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tables/table1.xml" ContentType="application/vnd.openxmlformats-officedocument.spreadsheetml.table+xml"/>
  <Override PartName="/xl/comments3.xml" ContentType="application/vnd.openxmlformats-officedocument.spreadsheetml.comments+xml"/>
  <Override PartName="/xl/comments4.xml" ContentType="application/vnd.openxmlformats-officedocument.spreadsheetml.comments+xml"/>
  <Override PartName="/xl/tables/table2.xml" ContentType="application/vnd.openxmlformats-officedocument.spreadsheetml.table+xml"/>
  <Override PartName="/xl/comments5.xml" ContentType="application/vnd.openxmlformats-officedocument.spreadsheetml.comments+xml"/>
  <Override PartName="/xl/comments6.xml" ContentType="application/vnd.openxmlformats-officedocument.spreadsheetml.comments+xml"/>
  <Override PartName="/xl/tables/table3.xml" ContentType="application/vnd.openxmlformats-officedocument.spreadsheetml.table+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1.xml" ContentType="application/vnd.openxmlformats-officedocument.drawing+xml"/>
  <Override PartName="/xl/comments11.xml" ContentType="application/vnd.openxmlformats-officedocument.spreadsheetml.comments+xml"/>
  <Override PartName="/xl/charts/chart1.xml" ContentType="application/vnd.openxmlformats-officedocument.drawingml.chart+xml"/>
  <Override PartName="/xl/comments12.xml" ContentType="application/vnd.openxmlformats-officedocument.spreadsheetml.comments+xml"/>
  <Override PartName="/xl/tables/table4.xml" ContentType="application/vnd.openxmlformats-officedocument.spreadsheetml.table+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zillion.liu/Documents/Project/Github/szhshp-game-dos2/resources/"/>
    </mc:Choice>
  </mc:AlternateContent>
  <xr:revisionPtr revIDLastSave="0" documentId="8_{2C0FEE07-A170-F54D-997D-946274E64D4C}" xr6:coauthVersionLast="47" xr6:coauthVersionMax="47" xr10:uidLastSave="{00000000-0000-0000-0000-000000000000}"/>
  <bookViews>
    <workbookView xWindow="0" yWindow="500" windowWidth="30720" windowHeight="18700" activeTab="1" xr2:uid="{00000000-000D-0000-FFFF-FFFF00000000}"/>
  </bookViews>
  <sheets>
    <sheet name="|" sheetId="1" r:id="rId1"/>
    <sheet name="Recipes" sheetId="2" r:id="rId2"/>
    <sheet name="Craftables by Ingredient" sheetId="3" r:id="rId3"/>
    <sheet name="Ingredients" sheetId="4" r:id="rId4"/>
    <sheet name="Skills" sheetId="5" r:id="rId5"/>
    <sheet name="2-Ability Skills" sheetId="6" r:id="rId6"/>
    <sheet name="SurfacesClouds" sheetId="7" r:id="rId7"/>
    <sheet name="Status" sheetId="8" r:id="rId8"/>
    <sheet name="Runes" sheetId="9" r:id="rId9"/>
    <sheet name="Summons" sheetId="10" r:id="rId10"/>
    <sheet name="V" sheetId="11" r:id="rId11"/>
    <sheet name="Attributes" sheetId="12" r:id="rId12"/>
    <sheet name="Abilities" sheetId="13" r:id="rId13"/>
    <sheet name="Talents" sheetId="14" r:id="rId14"/>
    <sheet name="Race Traits" sheetId="15" r:id="rId15"/>
    <sheet name="Classes" sheetId="16" r:id="rId16"/>
    <sheet name="Weapons" sheetId="17" r:id="rId17"/>
    <sheet name="Armor" sheetId="18" r:id="rId18"/>
    <sheet name="Gear Stats" sheetId="19" r:id="rId19"/>
    <sheet name="Rarity Multipliers" sheetId="20" r:id="rId20"/>
    <sheet name="Bugs" sheetId="21" r:id="rId21"/>
    <sheet name="_" sheetId="22" r:id="rId22"/>
    <sheet name="__" sheetId="23" r:id="rId23"/>
    <sheet name="_." sheetId="24" r:id="rId24"/>
    <sheet name="._" sheetId="25" r:id="rId25"/>
    <sheet name="." sheetId="26" r:id="rId26"/>
    <sheet name="Build" sheetId="27" r:id="rId27"/>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1" i="27" l="1"/>
  <c r="B494" i="26"/>
  <c r="B493" i="26"/>
  <c r="B492" i="26"/>
  <c r="B491" i="26"/>
  <c r="B490" i="26"/>
  <c r="B489" i="26"/>
  <c r="B488" i="26"/>
  <c r="B487" i="26"/>
  <c r="B486" i="26"/>
  <c r="B485" i="26"/>
  <c r="I484" i="26"/>
  <c r="H484" i="26"/>
  <c r="G484" i="26"/>
  <c r="F484" i="26"/>
  <c r="E484" i="26"/>
  <c r="D484" i="26"/>
  <c r="C484" i="26"/>
  <c r="B484" i="26"/>
  <c r="A484" i="26"/>
  <c r="B483" i="26"/>
  <c r="A483" i="26"/>
  <c r="C482" i="26"/>
  <c r="B482" i="26"/>
  <c r="A482" i="26"/>
  <c r="B481" i="26"/>
  <c r="A481" i="26"/>
  <c r="C480" i="26"/>
  <c r="B480" i="26"/>
  <c r="A480" i="26"/>
  <c r="B479" i="26"/>
  <c r="A479" i="26"/>
  <c r="B478" i="26"/>
  <c r="A478" i="26"/>
  <c r="B477" i="26"/>
  <c r="A477" i="26"/>
  <c r="C476" i="26"/>
  <c r="B476" i="26"/>
  <c r="A476" i="26"/>
  <c r="B475" i="26"/>
  <c r="A475" i="26"/>
  <c r="B474" i="26"/>
  <c r="A474" i="26"/>
  <c r="B473" i="26"/>
  <c r="A473" i="26"/>
  <c r="B472" i="26"/>
  <c r="A472" i="26"/>
  <c r="D471" i="26"/>
  <c r="C471" i="26"/>
  <c r="B471" i="26"/>
  <c r="A471" i="26"/>
  <c r="B470" i="26"/>
  <c r="A470" i="26"/>
  <c r="B469" i="26"/>
  <c r="A469" i="26"/>
  <c r="C468" i="26"/>
  <c r="B468" i="26"/>
  <c r="A468" i="26"/>
  <c r="D467" i="26"/>
  <c r="C467" i="26"/>
  <c r="B467" i="26"/>
  <c r="A467" i="26"/>
  <c r="B466" i="26"/>
  <c r="A466" i="26"/>
  <c r="B465" i="26"/>
  <c r="A465" i="26"/>
  <c r="B464" i="26"/>
  <c r="A464" i="26"/>
  <c r="K463" i="26"/>
  <c r="J463" i="26"/>
  <c r="I463" i="26"/>
  <c r="H463" i="26"/>
  <c r="G463" i="26"/>
  <c r="F463" i="26"/>
  <c r="E463" i="26"/>
  <c r="D463" i="26"/>
  <c r="C463" i="26"/>
  <c r="B463" i="26"/>
  <c r="A463" i="26"/>
  <c r="B462" i="26"/>
  <c r="A462" i="26"/>
  <c r="C461" i="26"/>
  <c r="B461" i="26"/>
  <c r="A461" i="26"/>
  <c r="B460" i="26"/>
  <c r="A460" i="26"/>
  <c r="M459" i="26"/>
  <c r="L459" i="26"/>
  <c r="K459" i="26"/>
  <c r="J459" i="26"/>
  <c r="I459" i="26"/>
  <c r="H459" i="26"/>
  <c r="G459" i="26"/>
  <c r="F459" i="26"/>
  <c r="E459" i="26"/>
  <c r="D459" i="26"/>
  <c r="C459" i="26"/>
  <c r="B459" i="26"/>
  <c r="A459" i="26"/>
  <c r="B458" i="26"/>
  <c r="A458" i="26"/>
  <c r="B457" i="26"/>
  <c r="A457" i="26"/>
  <c r="B456" i="26"/>
  <c r="A456" i="26"/>
  <c r="B455" i="26"/>
  <c r="A455" i="26"/>
  <c r="B454" i="26"/>
  <c r="A454" i="26"/>
  <c r="C453" i="26"/>
  <c r="B453" i="26"/>
  <c r="A453" i="26"/>
  <c r="B452" i="26"/>
  <c r="A452" i="26"/>
  <c r="B451" i="26"/>
  <c r="A451" i="26"/>
  <c r="H450" i="26"/>
  <c r="G450" i="26"/>
  <c r="F450" i="26"/>
  <c r="E450" i="26"/>
  <c r="D450" i="26"/>
  <c r="C450" i="26"/>
  <c r="B450" i="26"/>
  <c r="A450" i="26"/>
  <c r="B449" i="26"/>
  <c r="A449" i="26"/>
  <c r="C448" i="26"/>
  <c r="B448" i="26"/>
  <c r="A448" i="26"/>
  <c r="B447" i="26"/>
  <c r="A447" i="26"/>
  <c r="B446" i="26"/>
  <c r="A446" i="26"/>
  <c r="E445" i="26"/>
  <c r="D445" i="26"/>
  <c r="C445" i="26"/>
  <c r="B445" i="26"/>
  <c r="A445" i="26"/>
  <c r="C444" i="26"/>
  <c r="B444" i="26"/>
  <c r="A444" i="26"/>
  <c r="C443" i="26"/>
  <c r="B443" i="26"/>
  <c r="A443" i="26"/>
  <c r="C442" i="26"/>
  <c r="B442" i="26"/>
  <c r="A442" i="26"/>
  <c r="B441" i="26"/>
  <c r="A441" i="26"/>
  <c r="B440" i="26"/>
  <c r="A440" i="26"/>
  <c r="B439" i="26"/>
  <c r="A439" i="26"/>
  <c r="B438" i="26"/>
  <c r="A438" i="26"/>
  <c r="B437" i="26"/>
  <c r="A437" i="26"/>
  <c r="D436" i="26"/>
  <c r="C436" i="26"/>
  <c r="B436" i="26"/>
  <c r="A436" i="26"/>
  <c r="C435" i="26"/>
  <c r="B435" i="26"/>
  <c r="A435" i="26"/>
  <c r="B434" i="26"/>
  <c r="A434" i="26"/>
  <c r="B433" i="26"/>
  <c r="A433" i="26"/>
  <c r="B432" i="26"/>
  <c r="A432" i="26"/>
  <c r="C431" i="26"/>
  <c r="B431" i="26"/>
  <c r="A431" i="26"/>
  <c r="B430" i="26"/>
  <c r="A430" i="26"/>
  <c r="B429" i="26"/>
  <c r="A429" i="26"/>
  <c r="B428" i="26"/>
  <c r="A428" i="26"/>
  <c r="B427" i="26"/>
  <c r="A427" i="26"/>
  <c r="B426" i="26"/>
  <c r="A426" i="26"/>
  <c r="B425" i="26"/>
  <c r="A425" i="26"/>
  <c r="B424" i="26"/>
  <c r="A424" i="26"/>
  <c r="C423" i="26"/>
  <c r="B423" i="26"/>
  <c r="A423" i="26"/>
  <c r="C422" i="26"/>
  <c r="B422" i="26"/>
  <c r="A422" i="26"/>
  <c r="B421" i="26"/>
  <c r="A421" i="26"/>
  <c r="B420" i="26"/>
  <c r="A420" i="26"/>
  <c r="B419" i="26"/>
  <c r="A419" i="26"/>
  <c r="B418" i="26"/>
  <c r="A418" i="26"/>
  <c r="B417" i="26"/>
  <c r="A417" i="26"/>
  <c r="AD416" i="26"/>
  <c r="AC416" i="26"/>
  <c r="AB416" i="26"/>
  <c r="AA416" i="26"/>
  <c r="Z416" i="26"/>
  <c r="Y416" i="26"/>
  <c r="X416" i="26"/>
  <c r="W416" i="26"/>
  <c r="V416" i="26"/>
  <c r="U416" i="26"/>
  <c r="T416" i="26"/>
  <c r="S416" i="26"/>
  <c r="R416" i="26"/>
  <c r="Q416" i="26"/>
  <c r="P416" i="26"/>
  <c r="O416" i="26"/>
  <c r="N416" i="26"/>
  <c r="M416" i="26"/>
  <c r="L416" i="26"/>
  <c r="K416" i="26"/>
  <c r="J416" i="26"/>
  <c r="I416" i="26"/>
  <c r="H416" i="26"/>
  <c r="G416" i="26"/>
  <c r="F416" i="26"/>
  <c r="E416" i="26"/>
  <c r="D416" i="26"/>
  <c r="C416" i="26"/>
  <c r="B416" i="26"/>
  <c r="A416" i="26"/>
  <c r="B415" i="26"/>
  <c r="A415" i="26"/>
  <c r="B414" i="26"/>
  <c r="A414" i="26"/>
  <c r="B413" i="26"/>
  <c r="A413" i="26"/>
  <c r="B412" i="26"/>
  <c r="A412" i="26"/>
  <c r="D411" i="26"/>
  <c r="C411" i="26"/>
  <c r="B411" i="26"/>
  <c r="A411" i="26"/>
  <c r="D410" i="26"/>
  <c r="C410" i="26"/>
  <c r="B410" i="26"/>
  <c r="A410" i="26"/>
  <c r="D409" i="26"/>
  <c r="C409" i="26"/>
  <c r="B409" i="26"/>
  <c r="A409" i="26"/>
  <c r="D408" i="26"/>
  <c r="C408" i="26"/>
  <c r="B408" i="26"/>
  <c r="A408" i="26"/>
  <c r="D407" i="26"/>
  <c r="C407" i="26"/>
  <c r="B407" i="26"/>
  <c r="A407" i="26"/>
  <c r="B406" i="26"/>
  <c r="A406" i="26"/>
  <c r="D405" i="26"/>
  <c r="C405" i="26"/>
  <c r="B405" i="26"/>
  <c r="A405" i="26"/>
  <c r="D404" i="26"/>
  <c r="C404" i="26"/>
  <c r="B404" i="26"/>
  <c r="A404" i="26"/>
  <c r="C403" i="26"/>
  <c r="B403" i="26"/>
  <c r="A403" i="26"/>
  <c r="B402" i="26"/>
  <c r="A402" i="26"/>
  <c r="B401" i="26"/>
  <c r="A401" i="26"/>
  <c r="B400" i="26"/>
  <c r="A400" i="26"/>
  <c r="B399" i="26"/>
  <c r="A399" i="26"/>
  <c r="B398" i="26"/>
  <c r="A398" i="26"/>
  <c r="B397" i="26"/>
  <c r="A397" i="26"/>
  <c r="C396" i="26"/>
  <c r="B396" i="26"/>
  <c r="A396" i="26"/>
  <c r="B395" i="26"/>
  <c r="A395" i="26"/>
  <c r="B394" i="26"/>
  <c r="A394" i="26"/>
  <c r="B393" i="26"/>
  <c r="A393" i="26"/>
  <c r="B392" i="26"/>
  <c r="A392" i="26"/>
  <c r="B391" i="26"/>
  <c r="A391" i="26"/>
  <c r="B390" i="26"/>
  <c r="A390" i="26"/>
  <c r="G389" i="26"/>
  <c r="F389" i="26"/>
  <c r="E389" i="26"/>
  <c r="D389" i="26"/>
  <c r="C389" i="26"/>
  <c r="B389" i="26"/>
  <c r="A389" i="26"/>
  <c r="C388" i="26"/>
  <c r="B388" i="26"/>
  <c r="A388" i="26"/>
  <c r="B387" i="26"/>
  <c r="A387" i="26"/>
  <c r="B386" i="26"/>
  <c r="A386" i="26"/>
  <c r="B385" i="26"/>
  <c r="A385" i="26"/>
  <c r="BZ384" i="26"/>
  <c r="BY384" i="26"/>
  <c r="BX384" i="26"/>
  <c r="BW384" i="26"/>
  <c r="BV384" i="26"/>
  <c r="BU384" i="26"/>
  <c r="BT384" i="26"/>
  <c r="BS384" i="26"/>
  <c r="BR384" i="26"/>
  <c r="BQ384" i="26"/>
  <c r="BP384" i="26"/>
  <c r="BO384" i="26"/>
  <c r="BN384" i="26"/>
  <c r="BM384" i="26"/>
  <c r="BL384" i="26"/>
  <c r="BK384" i="26"/>
  <c r="BJ384" i="26"/>
  <c r="BI384" i="26"/>
  <c r="BH384" i="26"/>
  <c r="BG384" i="26"/>
  <c r="BF384" i="26"/>
  <c r="BE384" i="26"/>
  <c r="BD384" i="26"/>
  <c r="BC384" i="26"/>
  <c r="BB384" i="26"/>
  <c r="BA384" i="26"/>
  <c r="AZ384" i="26"/>
  <c r="AY384" i="26"/>
  <c r="AX384" i="26"/>
  <c r="AW384" i="26"/>
  <c r="AV384" i="26"/>
  <c r="AU384" i="26"/>
  <c r="AT384" i="26"/>
  <c r="AS384" i="26"/>
  <c r="AR384" i="26"/>
  <c r="AQ384" i="26"/>
  <c r="AP384" i="26"/>
  <c r="AO384" i="26"/>
  <c r="AN384" i="26"/>
  <c r="AM384" i="26"/>
  <c r="AL384" i="26"/>
  <c r="AK384" i="26"/>
  <c r="AJ384" i="26"/>
  <c r="AI384" i="26"/>
  <c r="AH384" i="26"/>
  <c r="AG384" i="26"/>
  <c r="AF384" i="26"/>
  <c r="AE384" i="26"/>
  <c r="AD384" i="26"/>
  <c r="AC384" i="26"/>
  <c r="AB384" i="26"/>
  <c r="AA384" i="26"/>
  <c r="Z384" i="26"/>
  <c r="Y384" i="26"/>
  <c r="X384" i="26"/>
  <c r="W384" i="26"/>
  <c r="V384" i="26"/>
  <c r="U384" i="26"/>
  <c r="T384" i="26"/>
  <c r="S384" i="26"/>
  <c r="R384" i="26"/>
  <c r="Q384" i="26"/>
  <c r="P384" i="26"/>
  <c r="O384" i="26"/>
  <c r="N384" i="26"/>
  <c r="M384" i="26"/>
  <c r="L384" i="26"/>
  <c r="K384" i="26"/>
  <c r="J384" i="26"/>
  <c r="I384" i="26"/>
  <c r="H384" i="26"/>
  <c r="G384" i="26"/>
  <c r="F384" i="26"/>
  <c r="E384" i="26"/>
  <c r="D384" i="26"/>
  <c r="C384" i="26"/>
  <c r="B384" i="26"/>
  <c r="A384" i="26"/>
  <c r="B383" i="26"/>
  <c r="A383" i="26"/>
  <c r="G382" i="26"/>
  <c r="F382" i="26"/>
  <c r="E382" i="26"/>
  <c r="D382" i="26"/>
  <c r="C382" i="26"/>
  <c r="B382" i="26"/>
  <c r="A382" i="26"/>
  <c r="F381" i="26"/>
  <c r="E381" i="26"/>
  <c r="D381" i="26"/>
  <c r="C381" i="26"/>
  <c r="B381" i="26"/>
  <c r="A381" i="26"/>
  <c r="B380" i="26"/>
  <c r="A380" i="26"/>
  <c r="B379" i="26"/>
  <c r="A379" i="26"/>
  <c r="F378" i="26"/>
  <c r="E378" i="26"/>
  <c r="D378" i="26"/>
  <c r="C378" i="26"/>
  <c r="B378" i="26"/>
  <c r="A378" i="26"/>
  <c r="B377" i="26"/>
  <c r="A377" i="26"/>
  <c r="B376" i="26"/>
  <c r="A376" i="26"/>
  <c r="B375" i="26"/>
  <c r="A375" i="26"/>
  <c r="D374" i="26"/>
  <c r="C374" i="26"/>
  <c r="B374" i="26"/>
  <c r="A374" i="26"/>
  <c r="Y373" i="26"/>
  <c r="X373" i="26"/>
  <c r="W373" i="26"/>
  <c r="V373" i="26"/>
  <c r="U373" i="26"/>
  <c r="T373" i="26"/>
  <c r="S373" i="26"/>
  <c r="R373" i="26"/>
  <c r="Q373" i="26"/>
  <c r="P373" i="26"/>
  <c r="O373" i="26"/>
  <c r="N373" i="26"/>
  <c r="M373" i="26"/>
  <c r="L373" i="26"/>
  <c r="K373" i="26"/>
  <c r="J373" i="26"/>
  <c r="I373" i="26"/>
  <c r="H373" i="26"/>
  <c r="G373" i="26"/>
  <c r="F373" i="26"/>
  <c r="E373" i="26"/>
  <c r="D373" i="26"/>
  <c r="C373" i="26"/>
  <c r="B373" i="26"/>
  <c r="A373" i="26"/>
  <c r="B372" i="26"/>
  <c r="A372" i="26"/>
  <c r="F371" i="26"/>
  <c r="E371" i="26"/>
  <c r="D371" i="26"/>
  <c r="C371" i="26"/>
  <c r="B371" i="26"/>
  <c r="A371" i="26"/>
  <c r="B370" i="26"/>
  <c r="A370" i="26"/>
  <c r="C369" i="26"/>
  <c r="B369" i="26"/>
  <c r="A369" i="26"/>
  <c r="B368" i="26"/>
  <c r="A368" i="26"/>
  <c r="B367" i="26"/>
  <c r="A367" i="26"/>
  <c r="B366" i="26"/>
  <c r="A366" i="26"/>
  <c r="B365" i="26"/>
  <c r="A365" i="26"/>
  <c r="F364" i="26"/>
  <c r="E364" i="26"/>
  <c r="D364" i="26"/>
  <c r="C364" i="26"/>
  <c r="B364" i="26"/>
  <c r="A364" i="26"/>
  <c r="B363" i="26"/>
  <c r="A363" i="26"/>
  <c r="B362" i="26"/>
  <c r="A362" i="26"/>
  <c r="B361" i="26"/>
  <c r="A361" i="26"/>
  <c r="B360" i="26"/>
  <c r="A360" i="26"/>
  <c r="B359" i="26"/>
  <c r="A359" i="26"/>
  <c r="B358" i="26"/>
  <c r="A358" i="26"/>
  <c r="B357" i="26"/>
  <c r="A357" i="26"/>
  <c r="B356" i="26"/>
  <c r="A356" i="26"/>
  <c r="B355" i="26"/>
  <c r="A355" i="26"/>
  <c r="B354" i="26"/>
  <c r="A354" i="26"/>
  <c r="B353" i="26"/>
  <c r="A353" i="26"/>
  <c r="B352" i="26"/>
  <c r="A352" i="26"/>
  <c r="B351" i="26"/>
  <c r="A351" i="26"/>
  <c r="B350" i="26"/>
  <c r="A350" i="26"/>
  <c r="B349" i="26"/>
  <c r="A349" i="26"/>
  <c r="C348" i="26"/>
  <c r="B348" i="26"/>
  <c r="A348" i="26"/>
  <c r="B347" i="26"/>
  <c r="A347" i="26"/>
  <c r="B346" i="26"/>
  <c r="A346" i="26"/>
  <c r="B345" i="26"/>
  <c r="A345" i="26"/>
  <c r="G344" i="26"/>
  <c r="F344" i="26"/>
  <c r="E344" i="26"/>
  <c r="D344" i="26"/>
  <c r="C344" i="26"/>
  <c r="B344" i="26"/>
  <c r="A344" i="26"/>
  <c r="E343" i="26"/>
  <c r="D343" i="26"/>
  <c r="C343" i="26"/>
  <c r="B343" i="26"/>
  <c r="A343" i="26"/>
  <c r="B342" i="26"/>
  <c r="A342" i="26"/>
  <c r="B341" i="26"/>
  <c r="A341" i="26"/>
  <c r="B340" i="26"/>
  <c r="A340" i="26"/>
  <c r="B339" i="26"/>
  <c r="A339" i="26"/>
  <c r="B338" i="26"/>
  <c r="A338" i="26"/>
  <c r="I337" i="26"/>
  <c r="H337" i="26"/>
  <c r="G337" i="26"/>
  <c r="F337" i="26"/>
  <c r="E337" i="26"/>
  <c r="D337" i="26"/>
  <c r="C337" i="26"/>
  <c r="B337" i="26"/>
  <c r="A337" i="26"/>
  <c r="B336" i="26"/>
  <c r="A336" i="26"/>
  <c r="B335" i="26"/>
  <c r="A335" i="26"/>
  <c r="B334" i="26"/>
  <c r="A334" i="26"/>
  <c r="B333" i="26"/>
  <c r="A333" i="26"/>
  <c r="V332" i="26"/>
  <c r="U332" i="26"/>
  <c r="T332" i="26"/>
  <c r="S332" i="26"/>
  <c r="R332" i="26"/>
  <c r="Q332" i="26"/>
  <c r="P332" i="26"/>
  <c r="O332" i="26"/>
  <c r="N332" i="26"/>
  <c r="M332" i="26"/>
  <c r="L332" i="26"/>
  <c r="K332" i="26"/>
  <c r="J332" i="26"/>
  <c r="I332" i="26"/>
  <c r="H332" i="26"/>
  <c r="G332" i="26"/>
  <c r="F332" i="26"/>
  <c r="E332" i="26"/>
  <c r="D332" i="26"/>
  <c r="C332" i="26"/>
  <c r="B332" i="26"/>
  <c r="A332" i="26"/>
  <c r="B331" i="26"/>
  <c r="A331" i="26"/>
  <c r="B330" i="26"/>
  <c r="A330" i="26"/>
  <c r="B329" i="26"/>
  <c r="A329" i="26"/>
  <c r="B328" i="26"/>
  <c r="A328" i="26"/>
  <c r="D327" i="26"/>
  <c r="C327" i="26"/>
  <c r="B327" i="26"/>
  <c r="A327" i="26"/>
  <c r="B326" i="26"/>
  <c r="A326" i="26"/>
  <c r="B325" i="26"/>
  <c r="A325" i="26"/>
  <c r="B324" i="26"/>
  <c r="A324" i="26"/>
  <c r="B323" i="26"/>
  <c r="A323" i="26"/>
  <c r="B322" i="26"/>
  <c r="A322" i="26"/>
  <c r="B321" i="26"/>
  <c r="A321" i="26"/>
  <c r="B320" i="26"/>
  <c r="A320" i="26"/>
  <c r="H319" i="26"/>
  <c r="G319" i="26"/>
  <c r="F319" i="26"/>
  <c r="E319" i="26"/>
  <c r="D319" i="26"/>
  <c r="C319" i="26"/>
  <c r="B319" i="26"/>
  <c r="A319" i="26"/>
  <c r="B318" i="26"/>
  <c r="A318" i="26"/>
  <c r="E317" i="26"/>
  <c r="D317" i="26"/>
  <c r="C317" i="26"/>
  <c r="B317" i="26"/>
  <c r="A317" i="26"/>
  <c r="D316" i="26"/>
  <c r="C316" i="26"/>
  <c r="B316" i="26"/>
  <c r="A316" i="26"/>
  <c r="E315" i="26"/>
  <c r="D315" i="26"/>
  <c r="C315" i="26"/>
  <c r="B315" i="26"/>
  <c r="A315" i="26"/>
  <c r="Y314" i="26"/>
  <c r="X314" i="26"/>
  <c r="W314" i="26"/>
  <c r="V314" i="26"/>
  <c r="U314" i="26"/>
  <c r="T314" i="26"/>
  <c r="S314" i="26"/>
  <c r="R314" i="26"/>
  <c r="Q314" i="26"/>
  <c r="P314" i="26"/>
  <c r="O314" i="26"/>
  <c r="N314" i="26"/>
  <c r="M314" i="26"/>
  <c r="L314" i="26"/>
  <c r="K314" i="26"/>
  <c r="J314" i="26"/>
  <c r="I314" i="26"/>
  <c r="H314" i="26"/>
  <c r="G314" i="26"/>
  <c r="F314" i="26"/>
  <c r="E314" i="26"/>
  <c r="D314" i="26"/>
  <c r="C314" i="26"/>
  <c r="B314" i="26"/>
  <c r="A314" i="26"/>
  <c r="B313" i="26"/>
  <c r="A313" i="26"/>
  <c r="B312" i="26"/>
  <c r="A312" i="26"/>
  <c r="E311" i="26"/>
  <c r="D311" i="26"/>
  <c r="C311" i="26"/>
  <c r="B311" i="26"/>
  <c r="A311" i="26"/>
  <c r="B310" i="26"/>
  <c r="A310" i="26"/>
  <c r="C309" i="26"/>
  <c r="B309" i="26"/>
  <c r="A309" i="26"/>
  <c r="B308" i="26"/>
  <c r="A308" i="26"/>
  <c r="F307" i="26"/>
  <c r="E307" i="26"/>
  <c r="D307" i="26"/>
  <c r="C307" i="26"/>
  <c r="B307" i="26"/>
  <c r="A307" i="26"/>
  <c r="B306" i="26"/>
  <c r="A306" i="26"/>
  <c r="E305" i="26"/>
  <c r="D305" i="26"/>
  <c r="C305" i="26"/>
  <c r="B305" i="26"/>
  <c r="A305" i="26"/>
  <c r="C304" i="26"/>
  <c r="B304" i="26"/>
  <c r="A304" i="26"/>
  <c r="B303" i="26"/>
  <c r="A303" i="26"/>
  <c r="B302" i="26"/>
  <c r="A302" i="26"/>
  <c r="B301" i="26"/>
  <c r="A301" i="26"/>
  <c r="D300" i="26"/>
  <c r="C300" i="26"/>
  <c r="B300" i="26"/>
  <c r="A300" i="26"/>
  <c r="D299" i="26"/>
  <c r="C299" i="26"/>
  <c r="B299" i="26"/>
  <c r="A299" i="26"/>
  <c r="D298" i="26"/>
  <c r="C298" i="26"/>
  <c r="B298" i="26"/>
  <c r="A298" i="26"/>
  <c r="B297" i="26"/>
  <c r="A297" i="26"/>
  <c r="C296" i="26"/>
  <c r="B296" i="26"/>
  <c r="A296" i="26"/>
  <c r="B295" i="26"/>
  <c r="A295" i="26"/>
  <c r="D294" i="26"/>
  <c r="C294" i="26"/>
  <c r="B294" i="26"/>
  <c r="A294" i="26"/>
  <c r="B293" i="26"/>
  <c r="A293" i="26"/>
  <c r="C292" i="26"/>
  <c r="B292" i="26"/>
  <c r="A292" i="26"/>
  <c r="D291" i="26"/>
  <c r="C291" i="26"/>
  <c r="B291" i="26"/>
  <c r="A291" i="26"/>
  <c r="D290" i="26"/>
  <c r="C290" i="26"/>
  <c r="B290" i="26"/>
  <c r="A290" i="26"/>
  <c r="B289" i="26"/>
  <c r="A289" i="26"/>
  <c r="B288" i="26"/>
  <c r="A288" i="26"/>
  <c r="B287" i="26"/>
  <c r="A287" i="26"/>
  <c r="B286" i="26"/>
  <c r="A286" i="26"/>
  <c r="B285" i="26"/>
  <c r="A285" i="26"/>
  <c r="B284" i="26"/>
  <c r="A284" i="26"/>
  <c r="B283" i="26"/>
  <c r="A283" i="26"/>
  <c r="B282" i="26"/>
  <c r="A282" i="26"/>
  <c r="I281" i="26"/>
  <c r="H281" i="26"/>
  <c r="G281" i="26"/>
  <c r="F281" i="26"/>
  <c r="E281" i="26"/>
  <c r="D281" i="26"/>
  <c r="C281" i="26"/>
  <c r="B281" i="26"/>
  <c r="A281" i="26"/>
  <c r="B280" i="26"/>
  <c r="A280" i="26"/>
  <c r="B279" i="26"/>
  <c r="A279" i="26"/>
  <c r="B278" i="26"/>
  <c r="A278" i="26"/>
  <c r="B277" i="26"/>
  <c r="A277" i="26"/>
  <c r="B276" i="26"/>
  <c r="A276" i="26"/>
  <c r="C275" i="26"/>
  <c r="B275" i="26"/>
  <c r="A275" i="26"/>
  <c r="H274" i="26"/>
  <c r="G274" i="26"/>
  <c r="F274" i="26"/>
  <c r="E274" i="26"/>
  <c r="D274" i="26"/>
  <c r="C274" i="26"/>
  <c r="B274" i="26"/>
  <c r="A274" i="26"/>
  <c r="B273" i="26"/>
  <c r="A273" i="26"/>
  <c r="F272" i="26"/>
  <c r="E272" i="26"/>
  <c r="D272" i="26"/>
  <c r="C272" i="26"/>
  <c r="B272" i="26"/>
  <c r="A272" i="26"/>
  <c r="B271" i="26"/>
  <c r="A271" i="26"/>
  <c r="B270" i="26"/>
  <c r="A270" i="26"/>
  <c r="D269" i="26"/>
  <c r="C269" i="26"/>
  <c r="B269" i="26"/>
  <c r="A269" i="26"/>
  <c r="B268" i="26"/>
  <c r="A268" i="26"/>
  <c r="D267" i="26"/>
  <c r="C267" i="26"/>
  <c r="B267" i="26"/>
  <c r="A267" i="26"/>
  <c r="D266" i="26"/>
  <c r="C266" i="26"/>
  <c r="B266" i="26"/>
  <c r="A266" i="26"/>
  <c r="C265" i="26"/>
  <c r="B265" i="26"/>
  <c r="A265" i="26"/>
  <c r="D264" i="26"/>
  <c r="C264" i="26"/>
  <c r="B264" i="26"/>
  <c r="A264" i="26"/>
  <c r="D263" i="26"/>
  <c r="C263" i="26"/>
  <c r="B263" i="26"/>
  <c r="A263" i="26"/>
  <c r="D262" i="26"/>
  <c r="C262" i="26"/>
  <c r="B262" i="26"/>
  <c r="A262" i="26"/>
  <c r="B261" i="26"/>
  <c r="A261" i="26"/>
  <c r="B260" i="26"/>
  <c r="A260" i="26"/>
  <c r="B259" i="26"/>
  <c r="A259" i="26"/>
  <c r="B258" i="26"/>
  <c r="A258" i="26"/>
  <c r="D257" i="26"/>
  <c r="C257" i="26"/>
  <c r="B257" i="26"/>
  <c r="A257" i="26"/>
  <c r="B256" i="26"/>
  <c r="A256" i="26"/>
  <c r="D255" i="26"/>
  <c r="C255" i="26"/>
  <c r="B255" i="26"/>
  <c r="A255" i="26"/>
  <c r="B254" i="26"/>
  <c r="A254" i="26"/>
  <c r="F253" i="26"/>
  <c r="E253" i="26"/>
  <c r="D253" i="26"/>
  <c r="C253" i="26"/>
  <c r="B253" i="26"/>
  <c r="A253" i="26"/>
  <c r="E252" i="26"/>
  <c r="D252" i="26"/>
  <c r="C252" i="26"/>
  <c r="B252" i="26"/>
  <c r="A252" i="26"/>
  <c r="B251" i="26"/>
  <c r="A251" i="26"/>
  <c r="B250" i="26"/>
  <c r="A250" i="26"/>
  <c r="B249" i="26"/>
  <c r="A249" i="26"/>
  <c r="B248" i="26"/>
  <c r="A248" i="26"/>
  <c r="B247" i="26"/>
  <c r="A247" i="26"/>
  <c r="B246" i="26"/>
  <c r="A246" i="26"/>
  <c r="B245" i="26"/>
  <c r="A245" i="26"/>
  <c r="B244" i="26"/>
  <c r="A244" i="26"/>
  <c r="C243" i="26"/>
  <c r="B243" i="26"/>
  <c r="A243" i="26"/>
  <c r="F242" i="26"/>
  <c r="E242" i="26"/>
  <c r="D242" i="26"/>
  <c r="C242" i="26"/>
  <c r="B242" i="26"/>
  <c r="A242" i="26"/>
  <c r="E241" i="26"/>
  <c r="D241" i="26"/>
  <c r="C241" i="26"/>
  <c r="B241" i="26"/>
  <c r="A241" i="26"/>
  <c r="E240" i="26"/>
  <c r="D240" i="26"/>
  <c r="C240" i="26"/>
  <c r="B240" i="26"/>
  <c r="A240" i="26"/>
  <c r="D239" i="26"/>
  <c r="C239" i="26"/>
  <c r="B239" i="26"/>
  <c r="A239" i="26"/>
  <c r="E238" i="26"/>
  <c r="D238" i="26"/>
  <c r="C238" i="26"/>
  <c r="B238" i="26"/>
  <c r="A238" i="26"/>
  <c r="E237" i="26"/>
  <c r="D237" i="26"/>
  <c r="C237" i="26"/>
  <c r="B237" i="26"/>
  <c r="A237" i="26"/>
  <c r="H236" i="26"/>
  <c r="G236" i="26"/>
  <c r="F236" i="26"/>
  <c r="E236" i="26"/>
  <c r="D236" i="26"/>
  <c r="C236" i="26"/>
  <c r="B236" i="26"/>
  <c r="A236" i="26"/>
  <c r="C235" i="26"/>
  <c r="B235" i="26"/>
  <c r="A235" i="26"/>
  <c r="C234" i="26"/>
  <c r="B234" i="26"/>
  <c r="A234" i="26"/>
  <c r="E233" i="26"/>
  <c r="D233" i="26"/>
  <c r="C233" i="26"/>
  <c r="B233" i="26"/>
  <c r="A233" i="26"/>
  <c r="C232" i="26"/>
  <c r="B232" i="26"/>
  <c r="A232" i="26"/>
  <c r="E231" i="26"/>
  <c r="D231" i="26"/>
  <c r="C231" i="26"/>
  <c r="B231" i="26"/>
  <c r="A231" i="26"/>
  <c r="D230" i="26"/>
  <c r="C230" i="26"/>
  <c r="B230" i="26"/>
  <c r="A230" i="26"/>
  <c r="T229" i="26"/>
  <c r="S229" i="26"/>
  <c r="R229" i="26"/>
  <c r="Q229" i="26"/>
  <c r="P229" i="26"/>
  <c r="O229" i="26"/>
  <c r="N229" i="26"/>
  <c r="M229" i="26"/>
  <c r="L229" i="26"/>
  <c r="K229" i="26"/>
  <c r="J229" i="26"/>
  <c r="I229" i="26"/>
  <c r="H229" i="26"/>
  <c r="G229" i="26"/>
  <c r="F229" i="26"/>
  <c r="E229" i="26"/>
  <c r="D229" i="26"/>
  <c r="C229" i="26"/>
  <c r="B229" i="26"/>
  <c r="A229" i="26"/>
  <c r="E228" i="26"/>
  <c r="D228" i="26"/>
  <c r="C228" i="26"/>
  <c r="B228" i="26"/>
  <c r="A228" i="26"/>
  <c r="B227" i="26"/>
  <c r="A227" i="26"/>
  <c r="B226" i="26"/>
  <c r="A226" i="26"/>
  <c r="B225" i="26"/>
  <c r="A225" i="26"/>
  <c r="B224" i="26"/>
  <c r="A224" i="26"/>
  <c r="C223" i="26"/>
  <c r="B223" i="26"/>
  <c r="A223" i="26"/>
  <c r="B222" i="26"/>
  <c r="A222" i="26"/>
  <c r="B221" i="26"/>
  <c r="A221" i="26"/>
  <c r="B220" i="26"/>
  <c r="A220" i="26"/>
  <c r="C219" i="26"/>
  <c r="B219" i="26"/>
  <c r="A219" i="26"/>
  <c r="G218" i="26"/>
  <c r="F218" i="26"/>
  <c r="E218" i="26"/>
  <c r="D218" i="26"/>
  <c r="C218" i="26"/>
  <c r="B218" i="26"/>
  <c r="A218" i="26"/>
  <c r="C217" i="26"/>
  <c r="B217" i="26"/>
  <c r="A217" i="26"/>
  <c r="B216" i="26"/>
  <c r="A216" i="26"/>
  <c r="B215" i="26"/>
  <c r="A215" i="26"/>
  <c r="B214" i="26"/>
  <c r="A214" i="26"/>
  <c r="B213" i="26"/>
  <c r="A213" i="26"/>
  <c r="B212" i="26"/>
  <c r="A212" i="26"/>
  <c r="D211" i="26"/>
  <c r="C211" i="26"/>
  <c r="B211" i="26"/>
  <c r="A211" i="26"/>
  <c r="B210" i="26"/>
  <c r="A210" i="26"/>
  <c r="C209" i="26"/>
  <c r="B209" i="26"/>
  <c r="A209" i="26"/>
  <c r="B208" i="26"/>
  <c r="A208" i="26"/>
  <c r="B207" i="26"/>
  <c r="A207" i="26"/>
  <c r="C206" i="26"/>
  <c r="B206" i="26"/>
  <c r="A206" i="26"/>
  <c r="C205" i="26"/>
  <c r="B205" i="26"/>
  <c r="A205" i="26"/>
  <c r="C204" i="26"/>
  <c r="B204" i="26"/>
  <c r="A204" i="26"/>
  <c r="C203" i="26"/>
  <c r="B203" i="26"/>
  <c r="A203" i="26"/>
  <c r="B202" i="26"/>
  <c r="A202" i="26"/>
  <c r="C201" i="26"/>
  <c r="B201" i="26"/>
  <c r="A201" i="26"/>
  <c r="C200" i="26"/>
  <c r="B200" i="26"/>
  <c r="A200" i="26"/>
  <c r="B199" i="26"/>
  <c r="A199" i="26"/>
  <c r="B198" i="26"/>
  <c r="A198" i="26"/>
  <c r="B197" i="26"/>
  <c r="A197" i="26"/>
  <c r="B196" i="26"/>
  <c r="A196" i="26"/>
  <c r="B195" i="26"/>
  <c r="A195" i="26"/>
  <c r="B194" i="26"/>
  <c r="A194" i="26"/>
  <c r="B193" i="26"/>
  <c r="A193" i="26"/>
  <c r="B192" i="26"/>
  <c r="A192" i="26"/>
  <c r="C191" i="26"/>
  <c r="B191" i="26"/>
  <c r="A191" i="26"/>
  <c r="C190" i="26"/>
  <c r="B190" i="26"/>
  <c r="A190" i="26"/>
  <c r="B189" i="26"/>
  <c r="A189" i="26"/>
  <c r="B188" i="26"/>
  <c r="A188" i="26"/>
  <c r="B187" i="26"/>
  <c r="A187" i="26"/>
  <c r="B186" i="26"/>
  <c r="A186" i="26"/>
  <c r="B185" i="26"/>
  <c r="A185" i="26"/>
  <c r="C184" i="26"/>
  <c r="B184" i="26"/>
  <c r="A184" i="26"/>
  <c r="B183" i="26"/>
  <c r="A183" i="26"/>
  <c r="B182" i="26"/>
  <c r="A182" i="26"/>
  <c r="B181" i="26"/>
  <c r="A181" i="26"/>
  <c r="B180" i="26"/>
  <c r="A180" i="26"/>
  <c r="B179" i="26"/>
  <c r="A179" i="26"/>
  <c r="J178" i="26"/>
  <c r="I178" i="26"/>
  <c r="H178" i="26"/>
  <c r="G178" i="26"/>
  <c r="F178" i="26"/>
  <c r="E178" i="26"/>
  <c r="D178" i="26"/>
  <c r="C178" i="26"/>
  <c r="B178" i="26"/>
  <c r="A178" i="26"/>
  <c r="E177" i="26"/>
  <c r="D177" i="26"/>
  <c r="C177" i="26"/>
  <c r="B177" i="26"/>
  <c r="A177" i="26"/>
  <c r="B176" i="26"/>
  <c r="A176" i="26"/>
  <c r="B175" i="26"/>
  <c r="A175" i="26"/>
  <c r="B174" i="26"/>
  <c r="A174" i="26"/>
  <c r="B173" i="26"/>
  <c r="A173" i="26"/>
  <c r="B172" i="26"/>
  <c r="A172" i="26"/>
  <c r="C171" i="26"/>
  <c r="B171" i="26"/>
  <c r="A171" i="26"/>
  <c r="B170" i="26"/>
  <c r="A170" i="26"/>
  <c r="B169" i="26"/>
  <c r="A169" i="26"/>
  <c r="B168" i="26"/>
  <c r="A168" i="26"/>
  <c r="B167" i="26"/>
  <c r="A167" i="26"/>
  <c r="B166" i="26"/>
  <c r="A166" i="26"/>
  <c r="B165" i="26"/>
  <c r="A165" i="26"/>
  <c r="C164" i="26"/>
  <c r="B164" i="26"/>
  <c r="A164" i="26"/>
  <c r="J163" i="26"/>
  <c r="I163" i="26"/>
  <c r="H163" i="26"/>
  <c r="G163" i="26"/>
  <c r="F163" i="26"/>
  <c r="E163" i="26"/>
  <c r="D163" i="26"/>
  <c r="C163" i="26"/>
  <c r="B163" i="26"/>
  <c r="A163" i="26"/>
  <c r="B162" i="26"/>
  <c r="A162" i="26"/>
  <c r="B161" i="26"/>
  <c r="A161" i="26"/>
  <c r="B160" i="26"/>
  <c r="A160" i="26"/>
  <c r="V159" i="26"/>
  <c r="U159" i="26"/>
  <c r="T159" i="26"/>
  <c r="S159" i="26"/>
  <c r="R159" i="26"/>
  <c r="Q159" i="26"/>
  <c r="P159" i="26"/>
  <c r="O159" i="26"/>
  <c r="N159" i="26"/>
  <c r="M159" i="26"/>
  <c r="L159" i="26"/>
  <c r="K159" i="26"/>
  <c r="J159" i="26"/>
  <c r="I159" i="26"/>
  <c r="H159" i="26"/>
  <c r="G159" i="26"/>
  <c r="F159" i="26"/>
  <c r="E159" i="26"/>
  <c r="D159" i="26"/>
  <c r="C159" i="26"/>
  <c r="B159" i="26"/>
  <c r="A159" i="26"/>
  <c r="B158" i="26"/>
  <c r="A158" i="26"/>
  <c r="E157" i="26"/>
  <c r="D157" i="26"/>
  <c r="C157" i="26"/>
  <c r="B157" i="26"/>
  <c r="A157" i="26"/>
  <c r="B156" i="26"/>
  <c r="A156" i="26"/>
  <c r="E155" i="26"/>
  <c r="D155" i="26"/>
  <c r="C155" i="26"/>
  <c r="B155" i="26"/>
  <c r="A155" i="26"/>
  <c r="C154" i="26"/>
  <c r="B154" i="26"/>
  <c r="A154" i="26"/>
  <c r="H153" i="26"/>
  <c r="G153" i="26"/>
  <c r="F153" i="26"/>
  <c r="E153" i="26"/>
  <c r="D153" i="26"/>
  <c r="C153" i="26"/>
  <c r="B153" i="26"/>
  <c r="A153" i="26"/>
  <c r="G152" i="26"/>
  <c r="F152" i="26"/>
  <c r="E152" i="26"/>
  <c r="D152" i="26"/>
  <c r="C152" i="26"/>
  <c r="B152" i="26"/>
  <c r="A152" i="26"/>
  <c r="F151" i="26"/>
  <c r="E151" i="26"/>
  <c r="D151" i="26"/>
  <c r="C151" i="26"/>
  <c r="B151" i="26"/>
  <c r="A151" i="26"/>
  <c r="B150" i="26"/>
  <c r="A150" i="26"/>
  <c r="B149" i="26"/>
  <c r="A149" i="26"/>
  <c r="B148" i="26"/>
  <c r="A148" i="26"/>
  <c r="B147" i="26"/>
  <c r="A147" i="26"/>
  <c r="C146" i="26"/>
  <c r="B146" i="26"/>
  <c r="A146" i="26"/>
  <c r="B145" i="26"/>
  <c r="A145" i="26"/>
  <c r="C144" i="26"/>
  <c r="B144" i="26"/>
  <c r="A144" i="26"/>
  <c r="B143" i="26"/>
  <c r="A143" i="26"/>
  <c r="K142" i="26"/>
  <c r="J142" i="26"/>
  <c r="I142" i="26"/>
  <c r="H142" i="26"/>
  <c r="G142" i="26"/>
  <c r="F142" i="26"/>
  <c r="E142" i="26"/>
  <c r="D142" i="26"/>
  <c r="C142" i="26"/>
  <c r="B142" i="26"/>
  <c r="A142" i="26"/>
  <c r="B141" i="26"/>
  <c r="A141" i="26"/>
  <c r="B140" i="26"/>
  <c r="A140" i="26"/>
  <c r="F139" i="26"/>
  <c r="E139" i="26"/>
  <c r="D139" i="26"/>
  <c r="C139" i="26"/>
  <c r="B139" i="26"/>
  <c r="A139" i="26"/>
  <c r="B138" i="26"/>
  <c r="A138" i="26"/>
  <c r="B137" i="26"/>
  <c r="A137" i="26"/>
  <c r="F136" i="26"/>
  <c r="E136" i="26"/>
  <c r="D136" i="26"/>
  <c r="C136" i="26"/>
  <c r="B136" i="26"/>
  <c r="A136" i="26"/>
  <c r="B135" i="26"/>
  <c r="A135" i="26"/>
  <c r="B134" i="26"/>
  <c r="A134" i="26"/>
  <c r="B133" i="26"/>
  <c r="A133" i="26"/>
  <c r="C132" i="26"/>
  <c r="B132" i="26"/>
  <c r="A132" i="26"/>
  <c r="B131" i="26"/>
  <c r="A131" i="26"/>
  <c r="B130" i="26"/>
  <c r="A130" i="26"/>
  <c r="B129" i="26"/>
  <c r="A129" i="26"/>
  <c r="B128" i="26"/>
  <c r="A128" i="26"/>
  <c r="B127" i="26"/>
  <c r="A127" i="26"/>
  <c r="D126" i="26"/>
  <c r="C126" i="26"/>
  <c r="B126" i="26"/>
  <c r="A126" i="26"/>
  <c r="J125" i="26"/>
  <c r="I125" i="26"/>
  <c r="H125" i="26"/>
  <c r="G125" i="26"/>
  <c r="F125" i="26"/>
  <c r="E125" i="26"/>
  <c r="D125" i="26"/>
  <c r="C125" i="26"/>
  <c r="B125" i="26"/>
  <c r="A125" i="26"/>
  <c r="B124" i="26"/>
  <c r="A124" i="26"/>
  <c r="B123" i="26"/>
  <c r="A123" i="26"/>
  <c r="B122" i="26"/>
  <c r="A122" i="26"/>
  <c r="B121" i="26"/>
  <c r="A121" i="26"/>
  <c r="B120" i="26"/>
  <c r="A120" i="26"/>
  <c r="B119" i="26"/>
  <c r="A119" i="26"/>
  <c r="B118" i="26"/>
  <c r="A118" i="26"/>
  <c r="B117" i="26"/>
  <c r="A117" i="26"/>
  <c r="B116" i="26"/>
  <c r="A116" i="26"/>
  <c r="B115" i="26"/>
  <c r="A115" i="26"/>
  <c r="B114" i="26"/>
  <c r="A114" i="26"/>
  <c r="B113" i="26"/>
  <c r="A113" i="26"/>
  <c r="F112" i="26"/>
  <c r="E112" i="26"/>
  <c r="D112" i="26"/>
  <c r="C112" i="26"/>
  <c r="B112" i="26"/>
  <c r="A112" i="26"/>
  <c r="B111" i="26"/>
  <c r="A111" i="26"/>
  <c r="B110" i="26"/>
  <c r="A110" i="26"/>
  <c r="B109" i="26"/>
  <c r="A109" i="26"/>
  <c r="C108" i="26"/>
  <c r="B108" i="26"/>
  <c r="A108" i="26"/>
  <c r="B107" i="26"/>
  <c r="A107" i="26"/>
  <c r="B106" i="26"/>
  <c r="A106" i="26"/>
  <c r="B105" i="26"/>
  <c r="A105" i="26"/>
  <c r="B104" i="26"/>
  <c r="A104" i="26"/>
  <c r="B103" i="26"/>
  <c r="A103" i="26"/>
  <c r="B102" i="26"/>
  <c r="A102" i="26"/>
  <c r="B101" i="26"/>
  <c r="A101" i="26"/>
  <c r="C100" i="26"/>
  <c r="B100" i="26"/>
  <c r="A100" i="26"/>
  <c r="B99" i="26"/>
  <c r="A99" i="26"/>
  <c r="B98" i="26"/>
  <c r="A98" i="26"/>
  <c r="B97" i="26"/>
  <c r="A97" i="26"/>
  <c r="B96" i="26"/>
  <c r="A96" i="26"/>
  <c r="B95" i="26"/>
  <c r="A95" i="26"/>
  <c r="C94" i="26"/>
  <c r="B94" i="26"/>
  <c r="A94" i="26"/>
  <c r="B93" i="26"/>
  <c r="A93" i="26"/>
  <c r="B92" i="26"/>
  <c r="A92" i="26"/>
  <c r="B91" i="26"/>
  <c r="A91" i="26"/>
  <c r="B90" i="26"/>
  <c r="A90" i="26"/>
  <c r="B89" i="26"/>
  <c r="A89" i="26"/>
  <c r="B88" i="26"/>
  <c r="A88" i="26"/>
  <c r="B87" i="26"/>
  <c r="A87" i="26"/>
  <c r="B86" i="26"/>
  <c r="A86" i="26"/>
  <c r="B85" i="26"/>
  <c r="A85" i="26"/>
  <c r="C84" i="26"/>
  <c r="B84" i="26"/>
  <c r="A84" i="26"/>
  <c r="B83" i="26"/>
  <c r="A83" i="26"/>
  <c r="C82" i="26"/>
  <c r="B82" i="26"/>
  <c r="A82" i="26"/>
  <c r="B81" i="26"/>
  <c r="A81" i="26"/>
  <c r="D80" i="26"/>
  <c r="C80" i="26"/>
  <c r="B80" i="26"/>
  <c r="A80" i="26"/>
  <c r="C79" i="26"/>
  <c r="B79" i="26"/>
  <c r="A79" i="26"/>
  <c r="B78" i="26"/>
  <c r="A78" i="26"/>
  <c r="C77" i="26"/>
  <c r="B77" i="26"/>
  <c r="A77" i="26"/>
  <c r="B76" i="26"/>
  <c r="A76" i="26"/>
  <c r="B75" i="26"/>
  <c r="A75" i="26"/>
  <c r="B74" i="26"/>
  <c r="A74" i="26"/>
  <c r="B73" i="26"/>
  <c r="A73" i="26"/>
  <c r="B72" i="26"/>
  <c r="A72" i="26"/>
  <c r="B71" i="26"/>
  <c r="A71" i="26"/>
  <c r="J70" i="26"/>
  <c r="I70" i="26"/>
  <c r="H70" i="26"/>
  <c r="G70" i="26"/>
  <c r="F70" i="26"/>
  <c r="E70" i="26"/>
  <c r="D70" i="26"/>
  <c r="C70" i="26"/>
  <c r="B70" i="26"/>
  <c r="A70" i="26"/>
  <c r="L69" i="26"/>
  <c r="K69" i="26"/>
  <c r="J69" i="26"/>
  <c r="I69" i="26"/>
  <c r="H69" i="26"/>
  <c r="G69" i="26"/>
  <c r="F69" i="26"/>
  <c r="E69" i="26"/>
  <c r="D69" i="26"/>
  <c r="C69" i="26"/>
  <c r="B69" i="26"/>
  <c r="A69" i="26"/>
  <c r="L68" i="26"/>
  <c r="K68" i="26"/>
  <c r="J68" i="26"/>
  <c r="I68" i="26"/>
  <c r="H68" i="26"/>
  <c r="G68" i="26"/>
  <c r="F68" i="26"/>
  <c r="E68" i="26"/>
  <c r="D68" i="26"/>
  <c r="C68" i="26"/>
  <c r="B68" i="26"/>
  <c r="A68" i="26"/>
  <c r="M67" i="26"/>
  <c r="L67" i="26"/>
  <c r="K67" i="26"/>
  <c r="J67" i="26"/>
  <c r="I67" i="26"/>
  <c r="H67" i="26"/>
  <c r="G67" i="26"/>
  <c r="F67" i="26"/>
  <c r="E67" i="26"/>
  <c r="D67" i="26"/>
  <c r="C67" i="26"/>
  <c r="B67" i="26"/>
  <c r="A67" i="26"/>
  <c r="M66" i="26"/>
  <c r="L66" i="26"/>
  <c r="K66" i="26"/>
  <c r="J66" i="26"/>
  <c r="I66" i="26"/>
  <c r="H66" i="26"/>
  <c r="G66" i="26"/>
  <c r="F66" i="26"/>
  <c r="E66" i="26"/>
  <c r="D66" i="26"/>
  <c r="C66" i="26"/>
  <c r="B66" i="26"/>
  <c r="A66" i="26"/>
  <c r="L65" i="26"/>
  <c r="K65" i="26"/>
  <c r="J65" i="26"/>
  <c r="I65" i="26"/>
  <c r="H65" i="26"/>
  <c r="G65" i="26"/>
  <c r="F65" i="26"/>
  <c r="E65" i="26"/>
  <c r="D65" i="26"/>
  <c r="C65" i="26"/>
  <c r="B65" i="26"/>
  <c r="A65" i="26"/>
  <c r="I64" i="26"/>
  <c r="H64" i="26"/>
  <c r="G64" i="26"/>
  <c r="F64" i="26"/>
  <c r="E64" i="26"/>
  <c r="D64" i="26"/>
  <c r="C64" i="26"/>
  <c r="B64" i="26"/>
  <c r="A64" i="26"/>
  <c r="B63" i="26"/>
  <c r="A63" i="26"/>
  <c r="C62" i="26"/>
  <c r="B62" i="26"/>
  <c r="A62" i="26"/>
  <c r="B61" i="26"/>
  <c r="A61" i="26"/>
  <c r="B60" i="26"/>
  <c r="A60" i="26"/>
  <c r="B59" i="26"/>
  <c r="A59" i="26"/>
  <c r="B58" i="26"/>
  <c r="A58" i="26"/>
  <c r="C57" i="26"/>
  <c r="B57" i="26"/>
  <c r="A57" i="26"/>
  <c r="C56" i="26"/>
  <c r="B56" i="26"/>
  <c r="A56" i="26"/>
  <c r="B55" i="26"/>
  <c r="A55" i="26"/>
  <c r="B54" i="26"/>
  <c r="A54" i="26"/>
  <c r="J53" i="26"/>
  <c r="I53" i="26"/>
  <c r="H53" i="26"/>
  <c r="G53" i="26"/>
  <c r="F53" i="26"/>
  <c r="E53" i="26"/>
  <c r="D53" i="26"/>
  <c r="C53" i="26"/>
  <c r="B53" i="26"/>
  <c r="A53" i="26"/>
  <c r="B52" i="26"/>
  <c r="A52" i="26"/>
  <c r="B51" i="26"/>
  <c r="A51" i="26"/>
  <c r="B50" i="26"/>
  <c r="A50" i="26"/>
  <c r="K49" i="26"/>
  <c r="J49" i="26"/>
  <c r="I49" i="26"/>
  <c r="H49" i="26"/>
  <c r="G49" i="26"/>
  <c r="F49" i="26"/>
  <c r="E49" i="26"/>
  <c r="D49" i="26"/>
  <c r="C49" i="26"/>
  <c r="B49" i="26"/>
  <c r="A49" i="26"/>
  <c r="Q48" i="26"/>
  <c r="P48" i="26"/>
  <c r="O48" i="26"/>
  <c r="N48" i="26"/>
  <c r="M48" i="26"/>
  <c r="L48" i="26"/>
  <c r="K48" i="26"/>
  <c r="J48" i="26"/>
  <c r="I48" i="26"/>
  <c r="H48" i="26"/>
  <c r="G48" i="26"/>
  <c r="F48" i="26"/>
  <c r="E48" i="26"/>
  <c r="D48" i="26"/>
  <c r="C48" i="26"/>
  <c r="B48" i="26"/>
  <c r="A48" i="26"/>
  <c r="I47" i="26"/>
  <c r="H47" i="26"/>
  <c r="G47" i="26"/>
  <c r="F47" i="26"/>
  <c r="E47" i="26"/>
  <c r="D47" i="26"/>
  <c r="C47" i="26"/>
  <c r="B47" i="26"/>
  <c r="A47" i="26"/>
  <c r="B46" i="26"/>
  <c r="A46" i="26"/>
  <c r="B45" i="26"/>
  <c r="A45" i="26"/>
  <c r="B44" i="26"/>
  <c r="A44" i="26"/>
  <c r="B43" i="26"/>
  <c r="A43" i="26"/>
  <c r="C42" i="26"/>
  <c r="B42" i="26"/>
  <c r="A42" i="26"/>
  <c r="B41" i="26"/>
  <c r="A41" i="26"/>
  <c r="D40" i="26"/>
  <c r="C40" i="26"/>
  <c r="B40" i="26"/>
  <c r="A40" i="26"/>
  <c r="B39" i="26"/>
  <c r="A39" i="26"/>
  <c r="B38" i="26"/>
  <c r="A38" i="26"/>
  <c r="B37" i="26"/>
  <c r="A37" i="26"/>
  <c r="B36" i="26"/>
  <c r="A36" i="26"/>
  <c r="B35" i="26"/>
  <c r="A35" i="26"/>
  <c r="B34" i="26"/>
  <c r="A34" i="26"/>
  <c r="B33" i="26"/>
  <c r="A33" i="26"/>
  <c r="B32" i="26"/>
  <c r="A32" i="26"/>
  <c r="B31" i="26"/>
  <c r="A31" i="26"/>
  <c r="B30" i="26"/>
  <c r="A30" i="26"/>
  <c r="B29" i="26"/>
  <c r="A29" i="26"/>
  <c r="C28" i="26"/>
  <c r="B28" i="26"/>
  <c r="A28" i="26"/>
  <c r="B27" i="26"/>
  <c r="A27" i="26"/>
  <c r="C26" i="26"/>
  <c r="B26" i="26"/>
  <c r="A26" i="26"/>
  <c r="B25" i="26"/>
  <c r="A25" i="26"/>
  <c r="J24" i="26"/>
  <c r="I24" i="26"/>
  <c r="H24" i="26"/>
  <c r="G24" i="26"/>
  <c r="F24" i="26"/>
  <c r="E24" i="26"/>
  <c r="D24" i="26"/>
  <c r="C24" i="26"/>
  <c r="B24" i="26"/>
  <c r="A24" i="26"/>
  <c r="D23" i="26"/>
  <c r="C23" i="26"/>
  <c r="B23" i="26"/>
  <c r="A23" i="26"/>
  <c r="B22" i="26"/>
  <c r="A22" i="26"/>
  <c r="G21" i="26"/>
  <c r="F21" i="26"/>
  <c r="E21" i="26"/>
  <c r="D21" i="26"/>
  <c r="C21" i="26"/>
  <c r="B21" i="26"/>
  <c r="A21" i="26"/>
  <c r="M20" i="26"/>
  <c r="L20" i="26"/>
  <c r="K20" i="26"/>
  <c r="J20" i="26"/>
  <c r="I20" i="26"/>
  <c r="H20" i="26"/>
  <c r="G20" i="26"/>
  <c r="F20" i="26"/>
  <c r="E20" i="26"/>
  <c r="D20" i="26"/>
  <c r="C20" i="26"/>
  <c r="B20" i="26"/>
  <c r="A20" i="26"/>
  <c r="E19" i="26"/>
  <c r="D19" i="26"/>
  <c r="C19" i="26"/>
  <c r="B19" i="26"/>
  <c r="A19" i="26"/>
  <c r="I18" i="26"/>
  <c r="H18" i="26"/>
  <c r="G18" i="26"/>
  <c r="F18" i="26"/>
  <c r="E18" i="26"/>
  <c r="D18" i="26"/>
  <c r="C18" i="26"/>
  <c r="B18" i="26"/>
  <c r="A18" i="26"/>
  <c r="E17" i="26"/>
  <c r="D17" i="26"/>
  <c r="C17" i="26"/>
  <c r="B17" i="26"/>
  <c r="A17" i="26"/>
  <c r="I16" i="26"/>
  <c r="H16" i="26"/>
  <c r="G16" i="26"/>
  <c r="F16" i="26"/>
  <c r="E16" i="26"/>
  <c r="D16" i="26"/>
  <c r="C16" i="26"/>
  <c r="B16" i="26"/>
  <c r="A16" i="26"/>
  <c r="E15" i="26"/>
  <c r="D15" i="26"/>
  <c r="C15" i="26"/>
  <c r="B15" i="26"/>
  <c r="A15" i="26"/>
  <c r="I14" i="26"/>
  <c r="H14" i="26"/>
  <c r="G14" i="26"/>
  <c r="F14" i="26"/>
  <c r="E14" i="26"/>
  <c r="D14" i="26"/>
  <c r="C14" i="26"/>
  <c r="B14" i="26"/>
  <c r="A14" i="26"/>
  <c r="E13" i="26"/>
  <c r="D13" i="26"/>
  <c r="C13" i="26"/>
  <c r="B13" i="26"/>
  <c r="A13" i="26"/>
  <c r="I12" i="26"/>
  <c r="H12" i="26"/>
  <c r="G12" i="26"/>
  <c r="F12" i="26"/>
  <c r="E12" i="26"/>
  <c r="D12" i="26"/>
  <c r="C12" i="26"/>
  <c r="B12" i="26"/>
  <c r="A12" i="26"/>
  <c r="E11" i="26"/>
  <c r="D11" i="26"/>
  <c r="C11" i="26"/>
  <c r="B11" i="26"/>
  <c r="A11" i="26"/>
  <c r="H10" i="26"/>
  <c r="G10" i="26"/>
  <c r="F10" i="26"/>
  <c r="E10" i="26"/>
  <c r="D10" i="26"/>
  <c r="C10" i="26"/>
  <c r="B10" i="26"/>
  <c r="A10" i="26"/>
  <c r="E9" i="26"/>
  <c r="D9" i="26"/>
  <c r="C9" i="26"/>
  <c r="B9" i="26"/>
  <c r="A9" i="26"/>
  <c r="I8" i="26"/>
  <c r="H8" i="26"/>
  <c r="G8" i="26"/>
  <c r="F8" i="26"/>
  <c r="E8" i="26"/>
  <c r="D8" i="26"/>
  <c r="C8" i="26"/>
  <c r="B8" i="26"/>
  <c r="A8" i="26"/>
  <c r="G7" i="26"/>
  <c r="F7" i="26"/>
  <c r="E7" i="26"/>
  <c r="D7" i="26"/>
  <c r="C7" i="26"/>
  <c r="B7" i="26"/>
  <c r="A7" i="26"/>
  <c r="M6" i="26"/>
  <c r="L6" i="26"/>
  <c r="K6" i="26"/>
  <c r="J6" i="26"/>
  <c r="I6" i="26"/>
  <c r="H6" i="26"/>
  <c r="G6" i="26"/>
  <c r="F6" i="26"/>
  <c r="E6" i="26"/>
  <c r="D6" i="26"/>
  <c r="C6" i="26"/>
  <c r="B6" i="26"/>
  <c r="A6" i="26"/>
  <c r="G5" i="26"/>
  <c r="F5" i="26"/>
  <c r="E5" i="26"/>
  <c r="D5" i="26"/>
  <c r="C5" i="26"/>
  <c r="B5" i="26"/>
  <c r="A5" i="26"/>
  <c r="L4" i="26"/>
  <c r="K4" i="26"/>
  <c r="J4" i="26"/>
  <c r="I4" i="26"/>
  <c r="H4" i="26"/>
  <c r="G4" i="26"/>
  <c r="F4" i="26"/>
  <c r="E4" i="26"/>
  <c r="D4" i="26"/>
  <c r="C4" i="26"/>
  <c r="B4" i="26"/>
  <c r="A4" i="26"/>
  <c r="G3" i="26"/>
  <c r="F3" i="26"/>
  <c r="E3" i="26"/>
  <c r="D3" i="26"/>
  <c r="C3" i="26"/>
  <c r="B3" i="26"/>
  <c r="A3" i="26"/>
  <c r="L2" i="26"/>
  <c r="K2" i="26"/>
  <c r="J2" i="26"/>
  <c r="I2" i="26"/>
  <c r="H2" i="26"/>
  <c r="G2" i="26"/>
  <c r="F2" i="26"/>
  <c r="E2" i="26"/>
  <c r="D2" i="26"/>
  <c r="C2" i="26"/>
  <c r="B2" i="26"/>
  <c r="A2" i="26"/>
  <c r="E61" i="25"/>
  <c r="E60" i="25"/>
  <c r="E59" i="25"/>
  <c r="E58" i="25"/>
  <c r="E57" i="25"/>
  <c r="E56" i="25"/>
  <c r="E55" i="25"/>
  <c r="E54" i="25"/>
  <c r="E53" i="25"/>
  <c r="E52" i="25"/>
  <c r="E51" i="25"/>
  <c r="E50" i="25"/>
  <c r="E49" i="25"/>
  <c r="E48" i="25"/>
  <c r="E47" i="25"/>
  <c r="E46" i="25"/>
  <c r="E45" i="25"/>
  <c r="E44" i="25"/>
  <c r="E43" i="25"/>
  <c r="E42" i="25"/>
  <c r="E41" i="25"/>
  <c r="E40" i="25"/>
  <c r="E39" i="25"/>
  <c r="E38" i="25"/>
  <c r="E37" i="25"/>
  <c r="E36" i="25"/>
  <c r="E35" i="25"/>
  <c r="E34" i="25"/>
  <c r="E33" i="25"/>
  <c r="E32" i="25"/>
  <c r="E31" i="25"/>
  <c r="E30" i="25"/>
  <c r="E29" i="25"/>
  <c r="E28" i="25"/>
  <c r="E27" i="25"/>
  <c r="E26" i="25"/>
  <c r="E25" i="25"/>
  <c r="E24" i="25"/>
  <c r="E23" i="25"/>
  <c r="E22" i="25"/>
  <c r="E21" i="25"/>
  <c r="E20" i="25"/>
  <c r="E19" i="25"/>
  <c r="E18" i="25"/>
  <c r="E17" i="25"/>
  <c r="E16" i="25"/>
  <c r="E15" i="25"/>
  <c r="E14" i="25"/>
  <c r="E13" i="25"/>
  <c r="E12" i="25"/>
  <c r="E11" i="25"/>
  <c r="E10" i="25"/>
  <c r="E9" i="25"/>
  <c r="E8" i="25"/>
  <c r="E7" i="25"/>
  <c r="E6" i="25"/>
  <c r="E5" i="25"/>
  <c r="E4" i="25"/>
  <c r="E3" i="25"/>
  <c r="E2" i="25"/>
  <c r="J75" i="24"/>
  <c r="I75" i="24"/>
  <c r="F75" i="24"/>
  <c r="E75" i="24"/>
  <c r="N75" i="24" s="1"/>
  <c r="D75" i="24"/>
  <c r="L75" i="24" s="1"/>
  <c r="F74" i="24"/>
  <c r="E74" i="24"/>
  <c r="D74" i="24"/>
  <c r="J74" i="24" s="1"/>
  <c r="L73" i="24"/>
  <c r="I73" i="24"/>
  <c r="F73" i="24"/>
  <c r="E73" i="24"/>
  <c r="N73" i="24" s="1"/>
  <c r="D73" i="24"/>
  <c r="K73" i="24" s="1"/>
  <c r="J72" i="24"/>
  <c r="I72" i="24"/>
  <c r="F72" i="24"/>
  <c r="E72" i="24"/>
  <c r="N72" i="24" s="1"/>
  <c r="D72" i="24"/>
  <c r="L72" i="24" s="1"/>
  <c r="F71" i="24"/>
  <c r="E71" i="24"/>
  <c r="D71" i="24"/>
  <c r="J71" i="24" s="1"/>
  <c r="N71" i="24" s="1"/>
  <c r="L70" i="24"/>
  <c r="K70" i="24"/>
  <c r="I70" i="24"/>
  <c r="F70" i="24"/>
  <c r="E70" i="24"/>
  <c r="N70" i="24" s="1"/>
  <c r="D70" i="24"/>
  <c r="J70" i="24" s="1"/>
  <c r="I69" i="24"/>
  <c r="F69" i="24"/>
  <c r="E69" i="24"/>
  <c r="D69" i="24"/>
  <c r="L69" i="24" s="1"/>
  <c r="L68" i="24"/>
  <c r="K68" i="24"/>
  <c r="J68" i="24"/>
  <c r="I68" i="24"/>
  <c r="N68" i="24" s="1"/>
  <c r="F68" i="24"/>
  <c r="E68" i="24"/>
  <c r="D68" i="24"/>
  <c r="F67" i="24"/>
  <c r="E67" i="24"/>
  <c r="D67" i="24"/>
  <c r="L67" i="24" s="1"/>
  <c r="I66" i="24"/>
  <c r="F66" i="24"/>
  <c r="E66" i="24"/>
  <c r="N66" i="24" s="1"/>
  <c r="D66" i="24"/>
  <c r="L66" i="24" s="1"/>
  <c r="L65" i="24"/>
  <c r="K65" i="24"/>
  <c r="J65" i="24"/>
  <c r="I65" i="24"/>
  <c r="N65" i="24" s="1"/>
  <c r="F65" i="24"/>
  <c r="E65" i="24"/>
  <c r="D65" i="24"/>
  <c r="K64" i="24"/>
  <c r="F64" i="24"/>
  <c r="E64" i="24"/>
  <c r="D64" i="24"/>
  <c r="L64" i="24" s="1"/>
  <c r="I63" i="24"/>
  <c r="F63" i="24"/>
  <c r="E63" i="24"/>
  <c r="N63" i="24" s="1"/>
  <c r="D63" i="24"/>
  <c r="L63" i="24" s="1"/>
  <c r="L62" i="24"/>
  <c r="K62" i="24"/>
  <c r="J62" i="24"/>
  <c r="N62" i="24" s="1"/>
  <c r="I62" i="24"/>
  <c r="F62" i="24"/>
  <c r="E62" i="24"/>
  <c r="D62" i="24"/>
  <c r="N61" i="24"/>
  <c r="F61" i="24"/>
  <c r="E61" i="24"/>
  <c r="C61" i="24"/>
  <c r="D61" i="24" s="1"/>
  <c r="F60" i="24"/>
  <c r="E60" i="24"/>
  <c r="D60" i="24"/>
  <c r="L60" i="24" s="1"/>
  <c r="L59" i="24"/>
  <c r="K59" i="24"/>
  <c r="J59" i="24"/>
  <c r="N59" i="24" s="1"/>
  <c r="I59" i="24"/>
  <c r="F59" i="24"/>
  <c r="E59" i="24"/>
  <c r="D59" i="24"/>
  <c r="L58" i="24"/>
  <c r="J58" i="24"/>
  <c r="F58" i="24"/>
  <c r="E58" i="24"/>
  <c r="D58" i="24"/>
  <c r="K58" i="24" s="1"/>
  <c r="F57" i="24"/>
  <c r="E57" i="24"/>
  <c r="D57" i="24"/>
  <c r="L57" i="24" s="1"/>
  <c r="L56" i="24"/>
  <c r="K56" i="24"/>
  <c r="J56" i="24"/>
  <c r="I56" i="24"/>
  <c r="N56" i="24" s="1"/>
  <c r="F56" i="24"/>
  <c r="E56" i="24"/>
  <c r="D56" i="24"/>
  <c r="K55" i="24"/>
  <c r="J55" i="24"/>
  <c r="I55" i="24"/>
  <c r="F55" i="24"/>
  <c r="E55" i="24"/>
  <c r="D55" i="24"/>
  <c r="L55" i="24" s="1"/>
  <c r="F54" i="24"/>
  <c r="E54" i="24"/>
  <c r="D54" i="24"/>
  <c r="K54" i="24" s="1"/>
  <c r="N53" i="24"/>
  <c r="L53" i="24"/>
  <c r="K53" i="24"/>
  <c r="J53" i="24"/>
  <c r="I53" i="24"/>
  <c r="F53" i="24"/>
  <c r="E53" i="24"/>
  <c r="D53" i="24"/>
  <c r="F52" i="24"/>
  <c r="E52" i="24"/>
  <c r="C52" i="24"/>
  <c r="D52" i="24" s="1"/>
  <c r="F51" i="24"/>
  <c r="E51" i="24"/>
  <c r="D51" i="24"/>
  <c r="L51" i="24" s="1"/>
  <c r="L50" i="24"/>
  <c r="K50" i="24"/>
  <c r="N50" i="24" s="1"/>
  <c r="J50" i="24"/>
  <c r="I50" i="24"/>
  <c r="F50" i="24"/>
  <c r="E50" i="24"/>
  <c r="D50" i="24"/>
  <c r="F49" i="24"/>
  <c r="E49" i="24"/>
  <c r="C49" i="24"/>
  <c r="D49" i="24" s="1"/>
  <c r="I48" i="24"/>
  <c r="F48" i="24"/>
  <c r="E48" i="24"/>
  <c r="N48" i="24" s="1"/>
  <c r="D48" i="24"/>
  <c r="L48" i="24" s="1"/>
  <c r="L47" i="24"/>
  <c r="K47" i="24"/>
  <c r="J47" i="24"/>
  <c r="I47" i="24"/>
  <c r="N47" i="24" s="1"/>
  <c r="F47" i="24"/>
  <c r="E47" i="24"/>
  <c r="D47" i="24"/>
  <c r="L46" i="24"/>
  <c r="K46" i="24"/>
  <c r="F46" i="24"/>
  <c r="E46" i="24"/>
  <c r="D46" i="24"/>
  <c r="J46" i="24" s="1"/>
  <c r="I45" i="24"/>
  <c r="F45" i="24"/>
  <c r="E45" i="24"/>
  <c r="N45" i="24" s="1"/>
  <c r="D45" i="24"/>
  <c r="L45" i="24" s="1"/>
  <c r="L44" i="24"/>
  <c r="N44" i="24" s="1"/>
  <c r="K44" i="24"/>
  <c r="J44" i="24"/>
  <c r="I44" i="24"/>
  <c r="F44" i="24"/>
  <c r="E44" i="24"/>
  <c r="D44" i="24"/>
  <c r="F43" i="24"/>
  <c r="E43" i="24"/>
  <c r="D43" i="24"/>
  <c r="I43" i="24" s="1"/>
  <c r="F42" i="24"/>
  <c r="E42" i="24"/>
  <c r="D42" i="24"/>
  <c r="L42" i="24" s="1"/>
  <c r="L41" i="24"/>
  <c r="K41" i="24"/>
  <c r="J41" i="24"/>
  <c r="I41" i="24"/>
  <c r="N41" i="24" s="1"/>
  <c r="F41" i="24"/>
  <c r="E41" i="24"/>
  <c r="D41" i="24"/>
  <c r="L40" i="24"/>
  <c r="K40" i="24"/>
  <c r="J40" i="24"/>
  <c r="F40" i="24"/>
  <c r="E40" i="24"/>
  <c r="N40" i="24" s="1"/>
  <c r="D40" i="24"/>
  <c r="I40" i="24" s="1"/>
  <c r="C40" i="24"/>
  <c r="I39" i="24"/>
  <c r="F39" i="24"/>
  <c r="E39" i="24"/>
  <c r="N39" i="24" s="1"/>
  <c r="D39" i="24"/>
  <c r="L39" i="24" s="1"/>
  <c r="L38" i="24"/>
  <c r="K38" i="24"/>
  <c r="J38" i="24"/>
  <c r="N38" i="24" s="1"/>
  <c r="I38" i="24"/>
  <c r="F38" i="24"/>
  <c r="E38" i="24"/>
  <c r="D38" i="24"/>
  <c r="F37" i="24"/>
  <c r="E37" i="24"/>
  <c r="D37" i="24"/>
  <c r="I37" i="24" s="1"/>
  <c r="I36" i="24"/>
  <c r="F36" i="24"/>
  <c r="E36" i="24"/>
  <c r="N36" i="24" s="1"/>
  <c r="D36" i="24"/>
  <c r="L36" i="24" s="1"/>
  <c r="N35" i="24"/>
  <c r="L35" i="24"/>
  <c r="K35" i="24"/>
  <c r="J35" i="24"/>
  <c r="I35" i="24"/>
  <c r="F35" i="24"/>
  <c r="E35" i="24"/>
  <c r="D35" i="24"/>
  <c r="L34" i="24"/>
  <c r="K34" i="24"/>
  <c r="J34" i="24"/>
  <c r="F34" i="24"/>
  <c r="E34" i="24"/>
  <c r="D34" i="24"/>
  <c r="I34" i="24" s="1"/>
  <c r="F33" i="24"/>
  <c r="E33" i="24"/>
  <c r="D33" i="24"/>
  <c r="L33" i="24" s="1"/>
  <c r="L32" i="24"/>
  <c r="K32" i="24"/>
  <c r="J32" i="24"/>
  <c r="I32" i="24"/>
  <c r="F32" i="24"/>
  <c r="E32" i="24"/>
  <c r="N32" i="24" s="1"/>
  <c r="D32" i="24"/>
  <c r="L31" i="24"/>
  <c r="K31" i="24"/>
  <c r="J31" i="24"/>
  <c r="F31" i="24"/>
  <c r="E31" i="24"/>
  <c r="N31" i="24" s="1"/>
  <c r="D31" i="24"/>
  <c r="I31" i="24" s="1"/>
  <c r="F30" i="24"/>
  <c r="E30" i="24"/>
  <c r="D30" i="24"/>
  <c r="L30" i="24" s="1"/>
  <c r="L29" i="24"/>
  <c r="K29" i="24"/>
  <c r="J29" i="24"/>
  <c r="I29" i="24"/>
  <c r="F29" i="24"/>
  <c r="E29" i="24"/>
  <c r="N29" i="24" s="1"/>
  <c r="D29" i="24"/>
  <c r="L28" i="24"/>
  <c r="K28" i="24"/>
  <c r="J28" i="24"/>
  <c r="F28" i="24"/>
  <c r="E28" i="24"/>
  <c r="N28" i="24" s="1"/>
  <c r="D28" i="24"/>
  <c r="I28" i="24" s="1"/>
  <c r="F27" i="24"/>
  <c r="E27" i="24"/>
  <c r="D27" i="24"/>
  <c r="L27" i="24" s="1"/>
  <c r="L26" i="24"/>
  <c r="K26" i="24"/>
  <c r="J26" i="24"/>
  <c r="I26" i="24"/>
  <c r="F26" i="24"/>
  <c r="E26" i="24"/>
  <c r="N26" i="24" s="1"/>
  <c r="D26" i="24"/>
  <c r="L25" i="24"/>
  <c r="K25" i="24"/>
  <c r="J25" i="24"/>
  <c r="F25" i="24"/>
  <c r="E25" i="24"/>
  <c r="N25" i="24" s="1"/>
  <c r="D25" i="24"/>
  <c r="I25" i="24" s="1"/>
  <c r="F24" i="24"/>
  <c r="E24" i="24"/>
  <c r="D24" i="24"/>
  <c r="L24" i="24" s="1"/>
  <c r="C24" i="24"/>
  <c r="F23" i="24"/>
  <c r="E23" i="24"/>
  <c r="C23" i="24"/>
  <c r="D23" i="24" s="1"/>
  <c r="N22" i="24"/>
  <c r="L22" i="24"/>
  <c r="J22" i="24"/>
  <c r="I22" i="24"/>
  <c r="F22" i="24"/>
  <c r="E22" i="24"/>
  <c r="D22" i="24"/>
  <c r="K22" i="24" s="1"/>
  <c r="J21" i="24"/>
  <c r="I21" i="24"/>
  <c r="F21" i="24"/>
  <c r="E21" i="24"/>
  <c r="D21" i="24"/>
  <c r="L21" i="24" s="1"/>
  <c r="N21" i="24" s="1"/>
  <c r="F20" i="24"/>
  <c r="E20" i="24"/>
  <c r="D20" i="24"/>
  <c r="J20" i="24" s="1"/>
  <c r="N19" i="24"/>
  <c r="L19" i="24"/>
  <c r="K19" i="24"/>
  <c r="J19" i="24"/>
  <c r="I19" i="24"/>
  <c r="F19" i="24"/>
  <c r="E19" i="24"/>
  <c r="D19" i="24"/>
  <c r="F18" i="24"/>
  <c r="E18" i="24"/>
  <c r="C18" i="24"/>
  <c r="D18" i="24" s="1"/>
  <c r="F17" i="24"/>
  <c r="E17" i="24"/>
  <c r="D17" i="24"/>
  <c r="J17" i="24" s="1"/>
  <c r="N16" i="24"/>
  <c r="L16" i="24"/>
  <c r="K16" i="24"/>
  <c r="J16" i="24"/>
  <c r="I16" i="24"/>
  <c r="F16" i="24"/>
  <c r="E16" i="24"/>
  <c r="D16" i="24"/>
  <c r="J15" i="24"/>
  <c r="I15" i="24"/>
  <c r="F15" i="24"/>
  <c r="E15" i="24"/>
  <c r="D15" i="24"/>
  <c r="F14" i="24"/>
  <c r="E14" i="24"/>
  <c r="D14" i="24"/>
  <c r="I14" i="24" s="1"/>
  <c r="N13" i="24"/>
  <c r="L13" i="24"/>
  <c r="K13" i="24"/>
  <c r="J13" i="24"/>
  <c r="I13" i="24"/>
  <c r="F13" i="24"/>
  <c r="E13" i="24"/>
  <c r="D13" i="24"/>
  <c r="J12" i="24"/>
  <c r="I12" i="24"/>
  <c r="F12" i="24"/>
  <c r="E12" i="24"/>
  <c r="D12" i="24"/>
  <c r="L12" i="24" s="1"/>
  <c r="F11" i="24"/>
  <c r="E11" i="24"/>
  <c r="D11" i="24"/>
  <c r="J11" i="24" s="1"/>
  <c r="C11" i="24"/>
  <c r="N10" i="24"/>
  <c r="L10" i="24"/>
  <c r="K10" i="24"/>
  <c r="J10" i="24"/>
  <c r="I10" i="24"/>
  <c r="F10" i="24"/>
  <c r="E10" i="24"/>
  <c r="D10" i="24"/>
  <c r="K9" i="24"/>
  <c r="J9" i="24"/>
  <c r="I9" i="24"/>
  <c r="F9" i="24"/>
  <c r="E9" i="24"/>
  <c r="N9" i="24" s="1"/>
  <c r="D9" i="24"/>
  <c r="L9" i="24" s="1"/>
  <c r="C9" i="24"/>
  <c r="F8" i="24"/>
  <c r="E8" i="24"/>
  <c r="D8" i="24"/>
  <c r="L8" i="24" s="1"/>
  <c r="C8" i="24"/>
  <c r="F7" i="24"/>
  <c r="E7" i="24"/>
  <c r="C7" i="24"/>
  <c r="D7" i="24" s="1"/>
  <c r="F6" i="24"/>
  <c r="E6" i="24"/>
  <c r="C6" i="24"/>
  <c r="D6" i="24" s="1"/>
  <c r="E5" i="24"/>
  <c r="C5" i="24"/>
  <c r="D5" i="24" s="1"/>
  <c r="F4" i="24"/>
  <c r="E4" i="24"/>
  <c r="N4" i="24" s="1"/>
  <c r="D4" i="24"/>
  <c r="K4" i="24" s="1"/>
  <c r="C4" i="24"/>
  <c r="F3" i="24"/>
  <c r="E3" i="24"/>
  <c r="C3" i="24"/>
  <c r="D3" i="24" s="1"/>
  <c r="N2" i="24"/>
  <c r="L2" i="24"/>
  <c r="K2" i="24"/>
  <c r="E2" i="24"/>
  <c r="D2" i="24"/>
  <c r="J2" i="24" s="1"/>
  <c r="O4" i="23"/>
  <c r="N4" i="23"/>
  <c r="M4" i="23"/>
  <c r="L4" i="23" s="1"/>
  <c r="K4" i="23"/>
  <c r="J4" i="23"/>
  <c r="I4" i="23"/>
  <c r="H4" i="23"/>
  <c r="G4" i="23"/>
  <c r="F4" i="23"/>
  <c r="E4" i="23"/>
  <c r="D4" i="23"/>
  <c r="C4" i="23"/>
  <c r="B4" i="23"/>
  <c r="O3" i="23"/>
  <c r="N3" i="23"/>
  <c r="M3" i="23"/>
  <c r="L3" i="23" s="1"/>
  <c r="K3" i="23"/>
  <c r="J3" i="23"/>
  <c r="I3" i="23"/>
  <c r="H3" i="23"/>
  <c r="G3" i="23"/>
  <c r="F3" i="23"/>
  <c r="E3" i="23"/>
  <c r="D3" i="23"/>
  <c r="C3" i="23"/>
  <c r="B3" i="23"/>
  <c r="O2" i="23"/>
  <c r="N2" i="23"/>
  <c r="M2" i="23"/>
  <c r="K2" i="23"/>
  <c r="J2" i="23"/>
  <c r="I2" i="23"/>
  <c r="H2" i="23"/>
  <c r="G2" i="23"/>
  <c r="F2" i="23"/>
  <c r="E2" i="23"/>
  <c r="L2" i="23" s="1"/>
  <c r="D2" i="23"/>
  <c r="C2" i="23"/>
  <c r="B2" i="23"/>
  <c r="P1" i="23"/>
  <c r="O1" i="23"/>
  <c r="N1" i="23"/>
  <c r="M1" i="23"/>
  <c r="K1" i="23"/>
  <c r="J1" i="23"/>
  <c r="I1" i="23"/>
  <c r="H1" i="23"/>
  <c r="G1" i="23"/>
  <c r="F1" i="23"/>
  <c r="E1" i="23"/>
  <c r="D1" i="23"/>
  <c r="C1" i="23"/>
  <c r="B1" i="23"/>
  <c r="A1" i="23"/>
  <c r="D32" i="22"/>
  <c r="D31" i="22"/>
  <c r="D30" i="22"/>
  <c r="D29" i="22"/>
  <c r="D28" i="22"/>
  <c r="D27" i="22"/>
  <c r="D26" i="22"/>
  <c r="D25" i="22"/>
  <c r="D24" i="22"/>
  <c r="D23" i="22"/>
  <c r="D22" i="22"/>
  <c r="D21" i="22"/>
  <c r="D20" i="22"/>
  <c r="D19" i="22"/>
  <c r="D18" i="22"/>
  <c r="D17" i="22"/>
  <c r="D16" i="22"/>
  <c r="D15" i="22"/>
  <c r="D14" i="22"/>
  <c r="D13" i="22"/>
  <c r="D12" i="22"/>
  <c r="D11" i="22"/>
  <c r="D10" i="22"/>
  <c r="D9" i="22"/>
  <c r="D8" i="22"/>
  <c r="D7" i="22"/>
  <c r="D6" i="22"/>
  <c r="D5" i="22"/>
  <c r="D4" i="22"/>
  <c r="D3" i="22"/>
  <c r="H2" i="22"/>
  <c r="I1" i="22" s="1"/>
  <c r="D2" i="22"/>
  <c r="B2" i="22"/>
  <c r="G1" i="22"/>
  <c r="B1" i="22"/>
  <c r="D26" i="20"/>
  <c r="L22" i="20"/>
  <c r="J22" i="20"/>
  <c r="H22" i="20"/>
  <c r="F22" i="20"/>
  <c r="D22" i="20"/>
  <c r="L21" i="20"/>
  <c r="J21" i="20"/>
  <c r="J26" i="20" s="1"/>
  <c r="H21" i="20"/>
  <c r="F21" i="20"/>
  <c r="D21" i="20"/>
  <c r="L20" i="20"/>
  <c r="L26" i="20" s="1"/>
  <c r="J20" i="20"/>
  <c r="H20" i="20"/>
  <c r="H26" i="20" s="1"/>
  <c r="F20" i="20"/>
  <c r="F26" i="20" s="1"/>
  <c r="D20" i="20"/>
  <c r="L19" i="20"/>
  <c r="J19" i="20"/>
  <c r="H19" i="20"/>
  <c r="F19" i="20"/>
  <c r="D19" i="20"/>
  <c r="L18" i="20"/>
  <c r="J18" i="20"/>
  <c r="H18" i="20"/>
  <c r="F18" i="20"/>
  <c r="D18" i="20"/>
  <c r="L17" i="20"/>
  <c r="L25" i="20" s="1"/>
  <c r="J17" i="20"/>
  <c r="J25" i="20" s="1"/>
  <c r="H17" i="20"/>
  <c r="F17" i="20"/>
  <c r="D17" i="20"/>
  <c r="L16" i="20"/>
  <c r="J16" i="20"/>
  <c r="H16" i="20"/>
  <c r="F16" i="20"/>
  <c r="D16" i="20"/>
  <c r="L15" i="20"/>
  <c r="J15" i="20"/>
  <c r="H15" i="20"/>
  <c r="F15" i="20"/>
  <c r="D15" i="20"/>
  <c r="D25" i="20" s="1"/>
  <c r="L14" i="20"/>
  <c r="J14" i="20"/>
  <c r="H14" i="20"/>
  <c r="H25" i="20" s="1"/>
  <c r="F14" i="20"/>
  <c r="F25" i="20" s="1"/>
  <c r="D14" i="20"/>
  <c r="L13" i="20"/>
  <c r="J13" i="20"/>
  <c r="H13" i="20"/>
  <c r="F13" i="20"/>
  <c r="D13" i="20"/>
  <c r="L12" i="20"/>
  <c r="J12" i="20"/>
  <c r="H12" i="20"/>
  <c r="F12" i="20"/>
  <c r="D12" i="20"/>
  <c r="L11" i="20"/>
  <c r="J11" i="20"/>
  <c r="H11" i="20"/>
  <c r="F11" i="20"/>
  <c r="D11" i="20"/>
  <c r="L10" i="20"/>
  <c r="J10" i="20"/>
  <c r="H10" i="20"/>
  <c r="F10" i="20"/>
  <c r="D10" i="20"/>
  <c r="L9" i="20"/>
  <c r="J9" i="20"/>
  <c r="H9" i="20"/>
  <c r="F9" i="20"/>
  <c r="D9" i="20"/>
  <c r="L8" i="20"/>
  <c r="J8" i="20"/>
  <c r="H8" i="20"/>
  <c r="F8" i="20"/>
  <c r="D8" i="20"/>
  <c r="L7" i="20"/>
  <c r="J7" i="20"/>
  <c r="H7" i="20"/>
  <c r="F7" i="20"/>
  <c r="D7" i="20"/>
  <c r="L6" i="20"/>
  <c r="J6" i="20"/>
  <c r="H6" i="20"/>
  <c r="F6" i="20"/>
  <c r="D6" i="20"/>
  <c r="L5" i="20"/>
  <c r="J5" i="20"/>
  <c r="H5" i="20"/>
  <c r="F5" i="20"/>
  <c r="D5" i="20"/>
  <c r="L4" i="20"/>
  <c r="J4" i="20"/>
  <c r="H4" i="20"/>
  <c r="F4" i="20"/>
  <c r="D4" i="20"/>
  <c r="L3" i="20"/>
  <c r="J3" i="20"/>
  <c r="H3" i="20"/>
  <c r="F3" i="20"/>
  <c r="D3" i="20"/>
  <c r="L2" i="20"/>
  <c r="L24" i="20" s="1"/>
  <c r="J2" i="20"/>
  <c r="J24" i="20" s="1"/>
  <c r="H2" i="20"/>
  <c r="H24" i="20" s="1"/>
  <c r="F2" i="20"/>
  <c r="F24" i="20" s="1"/>
  <c r="D2" i="20"/>
  <c r="D24" i="20" s="1"/>
  <c r="L33" i="18"/>
  <c r="K33" i="18"/>
  <c r="I33" i="18"/>
  <c r="H33" i="18"/>
  <c r="F33" i="18"/>
  <c r="E33" i="18"/>
  <c r="L32" i="18"/>
  <c r="K32" i="18"/>
  <c r="I32" i="18"/>
  <c r="H32" i="18"/>
  <c r="F32" i="18"/>
  <c r="E32" i="18"/>
  <c r="L31" i="18"/>
  <c r="K31" i="18"/>
  <c r="I31" i="18"/>
  <c r="H31" i="18"/>
  <c r="F31" i="18"/>
  <c r="E31" i="18"/>
  <c r="L29" i="18"/>
  <c r="K29" i="18"/>
  <c r="C37" i="18" s="1"/>
  <c r="I29" i="18"/>
  <c r="H29" i="18"/>
  <c r="F29" i="18"/>
  <c r="E29" i="18"/>
  <c r="L28" i="18"/>
  <c r="K28" i="18"/>
  <c r="C36" i="18" s="1"/>
  <c r="I28" i="18"/>
  <c r="H28" i="18"/>
  <c r="F28" i="18"/>
  <c r="E28" i="18"/>
  <c r="L27" i="18"/>
  <c r="K27" i="18"/>
  <c r="C35" i="18" s="1"/>
  <c r="I27" i="18"/>
  <c r="H27" i="18"/>
  <c r="F27" i="18"/>
  <c r="E27" i="18"/>
  <c r="K23" i="17"/>
  <c r="K24" i="17" s="1"/>
  <c r="J23" i="17"/>
  <c r="I23" i="17"/>
  <c r="H23" i="17"/>
  <c r="G23" i="17"/>
  <c r="F23" i="17"/>
  <c r="K22" i="17"/>
  <c r="J22" i="17"/>
  <c r="J24" i="17" s="1"/>
  <c r="I22" i="17"/>
  <c r="I24" i="17" s="1"/>
  <c r="H22" i="17"/>
  <c r="H24" i="17" s="1"/>
  <c r="G22" i="17"/>
  <c r="G24" i="17" s="1"/>
  <c r="F22" i="17"/>
  <c r="F24" i="17" s="1"/>
  <c r="K18" i="17"/>
  <c r="J18" i="17"/>
  <c r="J19" i="17" s="1"/>
  <c r="I18" i="17"/>
  <c r="I19" i="17" s="1"/>
  <c r="H18" i="17"/>
  <c r="H19" i="17" s="1"/>
  <c r="G18" i="17"/>
  <c r="G19" i="17" s="1"/>
  <c r="F18" i="17"/>
  <c r="F19" i="17" s="1"/>
  <c r="K17" i="17"/>
  <c r="K19" i="17" s="1"/>
  <c r="J17" i="17"/>
  <c r="I17" i="17"/>
  <c r="H17" i="17"/>
  <c r="G17" i="17"/>
  <c r="F17" i="17"/>
  <c r="K16" i="17"/>
  <c r="J16" i="17"/>
  <c r="I16" i="17"/>
  <c r="H16" i="17"/>
  <c r="G16" i="17"/>
  <c r="F16" i="17"/>
  <c r="K15" i="17"/>
  <c r="J15" i="17"/>
  <c r="I15" i="17"/>
  <c r="H15" i="17"/>
  <c r="G15" i="17"/>
  <c r="F15" i="17"/>
  <c r="U51" i="11"/>
  <c r="T51" i="11"/>
  <c r="S51" i="11"/>
  <c r="R51" i="11"/>
  <c r="U50" i="11"/>
  <c r="T50" i="11"/>
  <c r="S50" i="11"/>
  <c r="R50" i="11"/>
  <c r="U49" i="11"/>
  <c r="T49" i="11"/>
  <c r="S49" i="11"/>
  <c r="R49" i="11"/>
  <c r="U48" i="11"/>
  <c r="T48" i="11"/>
  <c r="S48" i="11"/>
  <c r="R48" i="11"/>
  <c r="U47" i="11"/>
  <c r="T47" i="11"/>
  <c r="S47" i="11"/>
  <c r="R47" i="11"/>
  <c r="U46" i="11"/>
  <c r="T46" i="11"/>
  <c r="S46" i="11"/>
  <c r="R46" i="11"/>
  <c r="U45" i="11"/>
  <c r="T45" i="11"/>
  <c r="S45" i="11"/>
  <c r="R45" i="11"/>
  <c r="U44" i="11"/>
  <c r="T44" i="11"/>
  <c r="S44" i="11"/>
  <c r="R44" i="11"/>
  <c r="U43" i="11"/>
  <c r="T43" i="11"/>
  <c r="S43" i="11"/>
  <c r="R43" i="11"/>
  <c r="U42" i="11"/>
  <c r="T42" i="11"/>
  <c r="S42" i="11"/>
  <c r="R42" i="11"/>
  <c r="U41" i="11"/>
  <c r="T41" i="11"/>
  <c r="S41" i="11"/>
  <c r="R41" i="11"/>
  <c r="U40" i="11"/>
  <c r="T40" i="11"/>
  <c r="S40" i="11"/>
  <c r="R40" i="11"/>
  <c r="U39" i="11"/>
  <c r="T39" i="11"/>
  <c r="S39" i="11"/>
  <c r="R39" i="11"/>
  <c r="U38" i="11"/>
  <c r="T38" i="11"/>
  <c r="S38" i="11"/>
  <c r="R38" i="11"/>
  <c r="U37" i="11"/>
  <c r="T37" i="11"/>
  <c r="S37" i="11"/>
  <c r="R37" i="11"/>
  <c r="U36" i="11"/>
  <c r="T36" i="11"/>
  <c r="S36" i="11"/>
  <c r="R36" i="11"/>
  <c r="U35" i="11"/>
  <c r="T35" i="11"/>
  <c r="S35" i="11"/>
  <c r="R35" i="11"/>
  <c r="U34" i="11"/>
  <c r="T34" i="11"/>
  <c r="S34" i="11"/>
  <c r="R34" i="11"/>
  <c r="U33" i="11"/>
  <c r="T33" i="11"/>
  <c r="S33" i="11"/>
  <c r="R33" i="11"/>
  <c r="U32" i="11"/>
  <c r="T32" i="11"/>
  <c r="S32" i="11"/>
  <c r="R32" i="11"/>
  <c r="U31" i="11"/>
  <c r="T31" i="11"/>
  <c r="S31" i="11"/>
  <c r="R31" i="11"/>
  <c r="P26" i="11"/>
  <c r="O26" i="11"/>
  <c r="K26" i="11"/>
  <c r="F26" i="11"/>
  <c r="D26" i="11"/>
  <c r="C26" i="11"/>
  <c r="B26" i="11"/>
  <c r="A72" i="10"/>
  <c r="A71" i="10"/>
  <c r="A70" i="10"/>
  <c r="A69" i="10"/>
  <c r="A68" i="10"/>
  <c r="A67" i="10"/>
  <c r="A66" i="10"/>
  <c r="A65" i="10"/>
  <c r="A64" i="10"/>
  <c r="A63" i="10"/>
  <c r="A62" i="10"/>
  <c r="A61" i="10"/>
  <c r="A60" i="10"/>
  <c r="A59" i="10"/>
  <c r="A58" i="10"/>
  <c r="A57" i="10"/>
  <c r="A56" i="10"/>
  <c r="A55" i="10"/>
  <c r="A54" i="10"/>
  <c r="A53" i="10"/>
  <c r="A52" i="10"/>
  <c r="A51" i="10"/>
  <c r="A50" i="10"/>
  <c r="A49" i="10"/>
  <c r="A48" i="10"/>
  <c r="A47" i="10"/>
  <c r="A46" i="10"/>
  <c r="A45" i="10"/>
  <c r="A44" i="10"/>
  <c r="A43" i="10"/>
  <c r="A42" i="10"/>
  <c r="A41" i="10"/>
  <c r="A40" i="10"/>
  <c r="A39" i="10"/>
  <c r="A38" i="10"/>
  <c r="A37" i="10"/>
  <c r="A36" i="10"/>
  <c r="A35" i="10"/>
  <c r="F3" i="8"/>
  <c r="F2" i="8"/>
  <c r="M16" i="6"/>
  <c r="L16" i="6"/>
  <c r="K16" i="6"/>
  <c r="E16" i="6"/>
  <c r="O16" i="6" s="1"/>
  <c r="D16" i="6"/>
  <c r="N16" i="6" s="1"/>
  <c r="C16" i="6"/>
  <c r="B16" i="6"/>
  <c r="K15" i="6"/>
  <c r="E15" i="6"/>
  <c r="O15" i="6" s="1"/>
  <c r="D15" i="6"/>
  <c r="N15" i="6" s="1"/>
  <c r="C15" i="6"/>
  <c r="M15" i="6" s="1"/>
  <c r="B15" i="6"/>
  <c r="L15" i="6" s="1"/>
  <c r="N14" i="6"/>
  <c r="M14" i="6"/>
  <c r="K14" i="6"/>
  <c r="E14" i="6"/>
  <c r="O14" i="6" s="1"/>
  <c r="D14" i="6"/>
  <c r="C14" i="6"/>
  <c r="B14" i="6"/>
  <c r="L14" i="6" s="1"/>
  <c r="K13" i="6"/>
  <c r="E13" i="6"/>
  <c r="O13" i="6" s="1"/>
  <c r="D13" i="6"/>
  <c r="N13" i="6" s="1"/>
  <c r="C13" i="6"/>
  <c r="M13" i="6" s="1"/>
  <c r="B13" i="6"/>
  <c r="L13" i="6" s="1"/>
  <c r="M12" i="6"/>
  <c r="L12" i="6"/>
  <c r="K12" i="6"/>
  <c r="E12" i="6"/>
  <c r="O12" i="6" s="1"/>
  <c r="D12" i="6"/>
  <c r="N12" i="6" s="1"/>
  <c r="C12" i="6"/>
  <c r="B12" i="6"/>
  <c r="K11" i="6"/>
  <c r="E11" i="6"/>
  <c r="O11" i="6" s="1"/>
  <c r="D11" i="6"/>
  <c r="N11" i="6" s="1"/>
  <c r="C11" i="6"/>
  <c r="M11" i="6" s="1"/>
  <c r="B11" i="6"/>
  <c r="L11" i="6" s="1"/>
  <c r="O10" i="6"/>
  <c r="N10" i="6"/>
  <c r="M10" i="6"/>
  <c r="L10" i="6"/>
  <c r="K10" i="6"/>
  <c r="O9" i="6"/>
  <c r="N9" i="6"/>
  <c r="M9" i="6"/>
  <c r="L9" i="6"/>
  <c r="K9" i="6"/>
  <c r="O8" i="6"/>
  <c r="N8" i="6"/>
  <c r="M8" i="6"/>
  <c r="L8" i="6"/>
  <c r="K8" i="6"/>
  <c r="K7" i="6"/>
  <c r="E7" i="6"/>
  <c r="O7" i="6" s="1"/>
  <c r="D7" i="6"/>
  <c r="N7" i="6" s="1"/>
  <c r="C7" i="6"/>
  <c r="M7" i="6" s="1"/>
  <c r="B7" i="6"/>
  <c r="L7" i="6" s="1"/>
  <c r="N6" i="6"/>
  <c r="M6" i="6"/>
  <c r="K6" i="6"/>
  <c r="E6" i="6"/>
  <c r="O6" i="6" s="1"/>
  <c r="D6" i="6"/>
  <c r="C6" i="6"/>
  <c r="B6" i="6"/>
  <c r="L6" i="6" s="1"/>
  <c r="K5" i="6"/>
  <c r="E5" i="6"/>
  <c r="O5" i="6" s="1"/>
  <c r="D5" i="6"/>
  <c r="N5" i="6" s="1"/>
  <c r="C5" i="6"/>
  <c r="M5" i="6" s="1"/>
  <c r="B5" i="6"/>
  <c r="L5" i="6" s="1"/>
  <c r="M4" i="6"/>
  <c r="L4" i="6"/>
  <c r="K4" i="6"/>
  <c r="E4" i="6"/>
  <c r="O4" i="6" s="1"/>
  <c r="D4" i="6"/>
  <c r="N4" i="6" s="1"/>
  <c r="C4" i="6"/>
  <c r="B4" i="6"/>
  <c r="K3" i="6"/>
  <c r="E3" i="6"/>
  <c r="O3" i="6" s="1"/>
  <c r="D3" i="6"/>
  <c r="N3" i="6" s="1"/>
  <c r="C3" i="6"/>
  <c r="M3" i="6" s="1"/>
  <c r="B3" i="6"/>
  <c r="L3" i="6" s="1"/>
  <c r="N2" i="6"/>
  <c r="K2" i="6"/>
  <c r="E2" i="6"/>
  <c r="O2" i="6" s="1"/>
  <c r="D2" i="6"/>
  <c r="C2" i="6"/>
  <c r="M2" i="6" s="1"/>
  <c r="B2" i="6"/>
  <c r="L2" i="6" s="1"/>
  <c r="O1" i="6"/>
  <c r="N1" i="6"/>
  <c r="M1" i="6"/>
  <c r="L1" i="6"/>
  <c r="K1" i="6"/>
  <c r="P250" i="5"/>
  <c r="P249" i="5"/>
  <c r="P248" i="5"/>
  <c r="P247" i="5"/>
  <c r="P246" i="5"/>
  <c r="P245" i="5"/>
  <c r="P244" i="5"/>
  <c r="P243" i="5"/>
  <c r="P242" i="5"/>
  <c r="P241" i="5"/>
  <c r="P240" i="5"/>
  <c r="P239" i="5"/>
  <c r="P238" i="5"/>
  <c r="P237" i="5"/>
  <c r="P236" i="5"/>
  <c r="P235" i="5"/>
  <c r="P234" i="5"/>
  <c r="P233" i="5"/>
  <c r="P232" i="5"/>
  <c r="P231" i="5"/>
  <c r="P230" i="5"/>
  <c r="P229" i="5"/>
  <c r="P228" i="5"/>
  <c r="P227" i="5"/>
  <c r="P226" i="5"/>
  <c r="P225" i="5"/>
  <c r="P224" i="5"/>
  <c r="P223" i="5"/>
  <c r="P222" i="5"/>
  <c r="P221" i="5"/>
  <c r="P220" i="5"/>
  <c r="P219" i="5"/>
  <c r="P218" i="5"/>
  <c r="P217" i="5"/>
  <c r="P216" i="5"/>
  <c r="P215" i="5"/>
  <c r="P214" i="5"/>
  <c r="P213" i="5"/>
  <c r="P212" i="5"/>
  <c r="P211" i="5"/>
  <c r="P210" i="5"/>
  <c r="P209" i="5"/>
  <c r="P208" i="5"/>
  <c r="P207" i="5"/>
  <c r="P206" i="5"/>
  <c r="P205" i="5"/>
  <c r="P204" i="5"/>
  <c r="P203" i="5"/>
  <c r="P202" i="5"/>
  <c r="P201" i="5"/>
  <c r="P200" i="5"/>
  <c r="P199" i="5"/>
  <c r="P198" i="5"/>
  <c r="P197" i="5"/>
  <c r="P196" i="5"/>
  <c r="P195" i="5"/>
  <c r="P194" i="5"/>
  <c r="P193" i="5"/>
  <c r="P192" i="5"/>
  <c r="P191" i="5"/>
  <c r="P3" i="23" s="1"/>
  <c r="P190" i="5"/>
  <c r="P189" i="5"/>
  <c r="P188" i="5"/>
  <c r="P187" i="5"/>
  <c r="P186" i="5"/>
  <c r="P185" i="5"/>
  <c r="P184" i="5"/>
  <c r="P183" i="5"/>
  <c r="P182" i="5"/>
  <c r="P181" i="5"/>
  <c r="P180" i="5"/>
  <c r="P179" i="5"/>
  <c r="P4" i="23" s="1"/>
  <c r="P178" i="5"/>
  <c r="P177" i="5"/>
  <c r="P176" i="5"/>
  <c r="P175" i="5"/>
  <c r="P174" i="5"/>
  <c r="P173" i="5"/>
  <c r="P172" i="5"/>
  <c r="P171" i="5"/>
  <c r="P170" i="5"/>
  <c r="P169" i="5"/>
  <c r="P168" i="5"/>
  <c r="P167" i="5"/>
  <c r="P166" i="5"/>
  <c r="P165" i="5"/>
  <c r="P164" i="5"/>
  <c r="P163" i="5"/>
  <c r="P162" i="5"/>
  <c r="P161" i="5"/>
  <c r="P160" i="5"/>
  <c r="P159" i="5"/>
  <c r="P158" i="5"/>
  <c r="P157" i="5"/>
  <c r="P156" i="5"/>
  <c r="P155" i="5"/>
  <c r="P154" i="5"/>
  <c r="P153" i="5"/>
  <c r="P152" i="5"/>
  <c r="P151" i="5"/>
  <c r="P150" i="5"/>
  <c r="P149" i="5"/>
  <c r="P148" i="5"/>
  <c r="P147" i="5"/>
  <c r="P146" i="5"/>
  <c r="P145" i="5"/>
  <c r="P144" i="5"/>
  <c r="P2" i="23" s="1"/>
  <c r="P143" i="5"/>
  <c r="P142" i="5"/>
  <c r="P141" i="5"/>
  <c r="P140" i="5"/>
  <c r="P139" i="5"/>
  <c r="P138" i="5"/>
  <c r="P137" i="5"/>
  <c r="P136" i="5"/>
  <c r="P135" i="5"/>
  <c r="P134" i="5"/>
  <c r="P133" i="5"/>
  <c r="P132" i="5"/>
  <c r="P131" i="5"/>
  <c r="P130" i="5"/>
  <c r="P129" i="5"/>
  <c r="P128" i="5"/>
  <c r="P127" i="5"/>
  <c r="P126" i="5"/>
  <c r="P125" i="5"/>
  <c r="P124" i="5"/>
  <c r="P123" i="5"/>
  <c r="P122" i="5"/>
  <c r="P121" i="5"/>
  <c r="P120" i="5"/>
  <c r="P119" i="5"/>
  <c r="P118" i="5"/>
  <c r="P117" i="5"/>
  <c r="P116" i="5"/>
  <c r="P115" i="5"/>
  <c r="P114" i="5"/>
  <c r="P113" i="5"/>
  <c r="P112" i="5"/>
  <c r="P111" i="5"/>
  <c r="P110" i="5"/>
  <c r="P109" i="5"/>
  <c r="P108" i="5"/>
  <c r="P107" i="5"/>
  <c r="P106" i="5"/>
  <c r="P105" i="5"/>
  <c r="P104" i="5"/>
  <c r="P103" i="5"/>
  <c r="P102" i="5"/>
  <c r="P101" i="5"/>
  <c r="P100" i="5"/>
  <c r="P99" i="5"/>
  <c r="P98" i="5"/>
  <c r="P97" i="5"/>
  <c r="P96" i="5"/>
  <c r="P95" i="5"/>
  <c r="P94" i="5"/>
  <c r="P93" i="5"/>
  <c r="P92" i="5"/>
  <c r="P91" i="5"/>
  <c r="P90" i="5"/>
  <c r="P89" i="5"/>
  <c r="P88" i="5"/>
  <c r="P87" i="5"/>
  <c r="P86" i="5"/>
  <c r="P85" i="5"/>
  <c r="P84" i="5"/>
  <c r="P83" i="5"/>
  <c r="P82" i="5"/>
  <c r="P81" i="5"/>
  <c r="P80" i="5"/>
  <c r="P79" i="5"/>
  <c r="P78" i="5"/>
  <c r="P77" i="5"/>
  <c r="P76" i="5"/>
  <c r="P75" i="5"/>
  <c r="P74" i="5"/>
  <c r="P73" i="5"/>
  <c r="P72" i="5"/>
  <c r="P71" i="5"/>
  <c r="P70" i="5"/>
  <c r="P69" i="5"/>
  <c r="P68" i="5"/>
  <c r="P67" i="5"/>
  <c r="P66" i="5"/>
  <c r="P65" i="5"/>
  <c r="P64" i="5"/>
  <c r="P63" i="5"/>
  <c r="P62" i="5"/>
  <c r="P61" i="5"/>
  <c r="P60" i="5"/>
  <c r="P59" i="5"/>
  <c r="P58" i="5"/>
  <c r="P57" i="5"/>
  <c r="P56" i="5"/>
  <c r="P55" i="5"/>
  <c r="P54" i="5"/>
  <c r="P53" i="5"/>
  <c r="P52" i="5"/>
  <c r="P51" i="5"/>
  <c r="P50" i="5"/>
  <c r="P49" i="5"/>
  <c r="P48" i="5"/>
  <c r="P47" i="5"/>
  <c r="P46" i="5"/>
  <c r="P45" i="5"/>
  <c r="P44" i="5"/>
  <c r="P43" i="5"/>
  <c r="P42" i="5"/>
  <c r="P41" i="5"/>
  <c r="P40" i="5"/>
  <c r="P39" i="5"/>
  <c r="P38" i="5"/>
  <c r="P37" i="5"/>
  <c r="P36" i="5"/>
  <c r="P35" i="5"/>
  <c r="P34" i="5"/>
  <c r="P33" i="5"/>
  <c r="P32" i="5"/>
  <c r="P31" i="5"/>
  <c r="P30" i="5"/>
  <c r="P29" i="5"/>
  <c r="P28" i="5"/>
  <c r="P27" i="5"/>
  <c r="P26" i="5"/>
  <c r="P25" i="5"/>
  <c r="P24" i="5"/>
  <c r="P23" i="5"/>
  <c r="P22" i="5"/>
  <c r="P21" i="5"/>
  <c r="P20" i="5"/>
  <c r="P19" i="5"/>
  <c r="P18" i="5"/>
  <c r="P17" i="5"/>
  <c r="P16" i="5"/>
  <c r="W15" i="5"/>
  <c r="V15" i="5"/>
  <c r="P15" i="5"/>
  <c r="W14" i="5"/>
  <c r="V14" i="5"/>
  <c r="P14" i="5"/>
  <c r="W13" i="5"/>
  <c r="V13" i="5"/>
  <c r="P13" i="5"/>
  <c r="W12" i="5"/>
  <c r="V12" i="5"/>
  <c r="P12" i="5"/>
  <c r="W11" i="5"/>
  <c r="V11" i="5"/>
  <c r="P11" i="5"/>
  <c r="W10" i="5"/>
  <c r="V10" i="5"/>
  <c r="P10" i="5"/>
  <c r="W9" i="5"/>
  <c r="V9" i="5"/>
  <c r="P9" i="5"/>
  <c r="W8" i="5"/>
  <c r="V8" i="5"/>
  <c r="P8" i="5"/>
  <c r="W7" i="5"/>
  <c r="V7" i="5"/>
  <c r="P7" i="5"/>
  <c r="W6" i="5"/>
  <c r="V6" i="5"/>
  <c r="P6" i="5"/>
  <c r="W5" i="5"/>
  <c r="V5" i="5"/>
  <c r="P5" i="5"/>
  <c r="W4" i="5"/>
  <c r="V4" i="5"/>
  <c r="P4" i="5"/>
  <c r="W3" i="5"/>
  <c r="V3" i="5"/>
  <c r="P3" i="5"/>
  <c r="W2" i="5"/>
  <c r="V2" i="5"/>
  <c r="U2" i="5"/>
  <c r="B395" i="4"/>
  <c r="B393" i="4"/>
  <c r="B390" i="4"/>
  <c r="B383" i="4"/>
  <c r="B380" i="4"/>
  <c r="B378" i="4"/>
  <c r="B371" i="4"/>
  <c r="B369" i="4"/>
  <c r="B365" i="4"/>
  <c r="B364" i="4"/>
  <c r="B359" i="4"/>
  <c r="B355" i="4"/>
  <c r="B353" i="4"/>
  <c r="B351" i="4"/>
  <c r="B345" i="4"/>
  <c r="B344" i="4"/>
  <c r="B334" i="4"/>
  <c r="B333" i="4"/>
  <c r="B331" i="4"/>
  <c r="B327" i="4"/>
  <c r="B323" i="4"/>
  <c r="B320" i="4"/>
  <c r="B313" i="4"/>
  <c r="B311" i="4"/>
  <c r="B310" i="4"/>
  <c r="B302" i="4"/>
  <c r="B297" i="4"/>
  <c r="C295" i="4"/>
  <c r="C294" i="4"/>
  <c r="C293" i="4"/>
  <c r="C292" i="4"/>
  <c r="C291" i="4"/>
  <c r="C290" i="4"/>
  <c r="C287" i="4"/>
  <c r="C286" i="4"/>
  <c r="C285" i="4"/>
  <c r="C284" i="4"/>
  <c r="C283" i="4"/>
  <c r="C282" i="4"/>
  <c r="C281" i="4"/>
  <c r="C280" i="4"/>
  <c r="C279" i="4"/>
  <c r="C278" i="4"/>
  <c r="C277" i="4"/>
  <c r="C276" i="4"/>
  <c r="B275" i="4"/>
  <c r="C274" i="4"/>
  <c r="B274" i="4"/>
  <c r="C273" i="4"/>
  <c r="B273" i="4"/>
  <c r="C272" i="4"/>
  <c r="B272" i="4"/>
  <c r="C271" i="4"/>
  <c r="B271" i="4"/>
  <c r="C270" i="4"/>
  <c r="B270" i="4"/>
  <c r="C269" i="4"/>
  <c r="C267" i="4"/>
  <c r="C266" i="4"/>
  <c r="C265" i="4"/>
  <c r="B265" i="4"/>
  <c r="C264" i="4"/>
  <c r="C263" i="4"/>
  <c r="C262" i="4"/>
  <c r="C261" i="4"/>
  <c r="C260" i="4"/>
  <c r="C259" i="4"/>
  <c r="C258" i="4"/>
  <c r="C257" i="4"/>
  <c r="C256" i="4"/>
  <c r="C255" i="4"/>
  <c r="C254" i="4"/>
  <c r="C253" i="4"/>
  <c r="C252" i="4"/>
  <c r="C251" i="4"/>
  <c r="C250" i="4"/>
  <c r="C249" i="4"/>
  <c r="C248" i="4"/>
  <c r="C247" i="4"/>
  <c r="C246" i="4"/>
  <c r="C245" i="4"/>
  <c r="C244" i="4"/>
  <c r="C243" i="4"/>
  <c r="C242" i="4"/>
  <c r="C241" i="4"/>
  <c r="C240" i="4"/>
  <c r="C239" i="4"/>
  <c r="C238" i="4"/>
  <c r="B216" i="4"/>
  <c r="B204" i="4"/>
  <c r="B185" i="4"/>
  <c r="D138" i="4"/>
  <c r="D137" i="4"/>
  <c r="C84" i="4"/>
  <c r="C83" i="4"/>
  <c r="C82" i="4"/>
  <c r="C81" i="4"/>
  <c r="C80" i="4"/>
  <c r="C79" i="4"/>
  <c r="C78" i="4"/>
  <c r="C76" i="4"/>
  <c r="C69" i="4"/>
  <c r="C67" i="4"/>
  <c r="C64" i="4"/>
  <c r="C63" i="4"/>
  <c r="C62" i="4"/>
  <c r="C58" i="4"/>
  <c r="C57" i="4"/>
  <c r="C56" i="4"/>
  <c r="C55" i="4"/>
  <c r="C54" i="4"/>
  <c r="C52" i="4"/>
  <c r="C51" i="4"/>
  <c r="C21" i="4"/>
  <c r="C20" i="4"/>
  <c r="C19" i="4"/>
  <c r="C16" i="4"/>
  <c r="C15" i="4"/>
  <c r="C14" i="4"/>
  <c r="C13" i="4"/>
  <c r="C12" i="4"/>
  <c r="C11" i="4"/>
  <c r="C10" i="4"/>
  <c r="C9" i="4"/>
  <c r="C8" i="4"/>
  <c r="C7" i="4"/>
  <c r="C6" i="4"/>
  <c r="C5" i="4"/>
  <c r="C4" i="4"/>
  <c r="C3" i="4"/>
  <c r="C2" i="4"/>
  <c r="K488" i="3" a="1"/>
  <c r="K488" i="3" s="1"/>
  <c r="J488" i="3" a="1"/>
  <c r="J488" i="3" s="1"/>
  <c r="I488" i="3" a="1"/>
  <c r="I488" i="3" s="1"/>
  <c r="H488" i="3" a="1"/>
  <c r="H488" i="3"/>
  <c r="G488" i="3" a="1"/>
  <c r="G488" i="3" s="1"/>
  <c r="F488" i="3" a="1"/>
  <c r="F488" i="3"/>
  <c r="A488" i="3"/>
  <c r="K487" i="3" a="1"/>
  <c r="K487" i="3"/>
  <c r="J487" i="3" a="1"/>
  <c r="J487" i="3" s="1"/>
  <c r="I487" i="3" a="1"/>
  <c r="I487" i="3"/>
  <c r="H487" i="3" a="1"/>
  <c r="H487" i="3" s="1"/>
  <c r="G487" i="3" a="1"/>
  <c r="G487" i="3" s="1"/>
  <c r="F487" i="3" a="1"/>
  <c r="F487" i="3" s="1"/>
  <c r="E487" i="3" a="1"/>
  <c r="E487" i="3"/>
  <c r="D487" i="3" a="1"/>
  <c r="D487" i="3" s="1"/>
  <c r="C487" i="3" a="1"/>
  <c r="C487" i="3"/>
  <c r="A487" i="3"/>
  <c r="K486" i="3" a="1"/>
  <c r="K486" i="3"/>
  <c r="J486" i="3" a="1"/>
  <c r="J486" i="3"/>
  <c r="I486" i="3" a="1"/>
  <c r="I486" i="3" s="1"/>
  <c r="H486" i="3" a="1"/>
  <c r="H486" i="3"/>
  <c r="G486" i="3" a="1"/>
  <c r="G486" i="3"/>
  <c r="F486" i="3" a="1"/>
  <c r="F486" i="3" s="1"/>
  <c r="E486" i="3" a="1"/>
  <c r="E486" i="3" s="1"/>
  <c r="D486" i="3" a="1"/>
  <c r="D486" i="3"/>
  <c r="C486" i="3" a="1"/>
  <c r="C486" i="3" s="1"/>
  <c r="B486" i="3" a="1"/>
  <c r="B486" i="3" s="1"/>
  <c r="A486" i="3"/>
  <c r="K485" i="3" a="1"/>
  <c r="K485" i="3"/>
  <c r="J485" i="3" a="1"/>
  <c r="J485" i="3" s="1"/>
  <c r="I485" i="3" a="1"/>
  <c r="I485" i="3" s="1"/>
  <c r="H485" i="3" a="1"/>
  <c r="H485" i="3" s="1"/>
  <c r="G485" i="3" a="1"/>
  <c r="G485" i="3"/>
  <c r="F485" i="3" a="1"/>
  <c r="F485" i="3" s="1"/>
  <c r="E485" i="3" a="1"/>
  <c r="E485" i="3"/>
  <c r="D485" i="3" a="1"/>
  <c r="D485" i="3" s="1"/>
  <c r="C485" i="3" a="1"/>
  <c r="C485" i="3" s="1"/>
  <c r="B485" i="3" a="1"/>
  <c r="B485" i="3" s="1"/>
  <c r="A485" i="3"/>
  <c r="K484" i="3" a="1"/>
  <c r="K484" i="3" s="1"/>
  <c r="J484" i="3" a="1"/>
  <c r="J484" i="3"/>
  <c r="A484" i="3"/>
  <c r="K483" i="3" a="1"/>
  <c r="K483" i="3" s="1"/>
  <c r="J483" i="3" a="1"/>
  <c r="J483" i="3"/>
  <c r="I483" i="3" a="1"/>
  <c r="I483" i="3" s="1"/>
  <c r="H483" i="3" a="1"/>
  <c r="H483" i="3"/>
  <c r="G483" i="3" a="1"/>
  <c r="G483" i="3"/>
  <c r="F483" i="3" a="1"/>
  <c r="F483" i="3" s="1"/>
  <c r="E483" i="3" a="1"/>
  <c r="E483" i="3" s="1"/>
  <c r="D483" i="3" a="1"/>
  <c r="D483" i="3"/>
  <c r="C483" i="3" a="1"/>
  <c r="C483" i="3" s="1"/>
  <c r="A483" i="3"/>
  <c r="K482" i="3" a="1"/>
  <c r="K482" i="3"/>
  <c r="J482" i="3" a="1"/>
  <c r="J482" i="3"/>
  <c r="I482" i="3" a="1"/>
  <c r="I482" i="3" s="1"/>
  <c r="H482" i="3" a="1"/>
  <c r="H482" i="3" s="1"/>
  <c r="G482" i="3" a="1"/>
  <c r="G482" i="3"/>
  <c r="F482" i="3" a="1"/>
  <c r="F482" i="3"/>
  <c r="E482" i="3" a="1"/>
  <c r="E482" i="3" s="1"/>
  <c r="D482" i="3" a="1"/>
  <c r="D482" i="3"/>
  <c r="A482" i="3"/>
  <c r="K481" i="3" a="1"/>
  <c r="K481" i="3"/>
  <c r="J481" i="3" a="1"/>
  <c r="J481" i="3"/>
  <c r="I481" i="3" a="1"/>
  <c r="I481" i="3" s="1"/>
  <c r="H481" i="3" a="1"/>
  <c r="H481" i="3"/>
  <c r="G481" i="3" a="1"/>
  <c r="G481" i="3"/>
  <c r="F481" i="3" a="1"/>
  <c r="F481" i="3" s="1"/>
  <c r="E481" i="3" a="1"/>
  <c r="E481" i="3"/>
  <c r="D481" i="3" a="1"/>
  <c r="D481" i="3" s="1"/>
  <c r="C481" i="3" a="1"/>
  <c r="C481" i="3" s="1"/>
  <c r="A481" i="3"/>
  <c r="K480" i="3" a="1"/>
  <c r="K480" i="3" s="1"/>
  <c r="J480" i="3" a="1"/>
  <c r="J480" i="3"/>
  <c r="I480" i="3" a="1"/>
  <c r="I480" i="3" s="1"/>
  <c r="H480" i="3" a="1"/>
  <c r="H480" i="3" s="1"/>
  <c r="G480" i="3" a="1"/>
  <c r="G480" i="3"/>
  <c r="F480" i="3" a="1"/>
  <c r="F480" i="3" s="1"/>
  <c r="E480" i="3" a="1"/>
  <c r="E480" i="3" s="1"/>
  <c r="D480" i="3" a="1"/>
  <c r="D480" i="3"/>
  <c r="A480" i="3"/>
  <c r="K479" i="3" a="1"/>
  <c r="K479" i="3" s="1"/>
  <c r="J479" i="3" a="1"/>
  <c r="J479" i="3"/>
  <c r="I479" i="3" a="1"/>
  <c r="I479" i="3" s="1"/>
  <c r="H479" i="3" a="1"/>
  <c r="H479" i="3"/>
  <c r="G479" i="3" a="1"/>
  <c r="G479" i="3" s="1"/>
  <c r="F479" i="3" a="1"/>
  <c r="F479" i="3" s="1"/>
  <c r="E479" i="3" a="1"/>
  <c r="E479" i="3"/>
  <c r="D479" i="3" a="1"/>
  <c r="D479" i="3" s="1"/>
  <c r="C479" i="3" a="1"/>
  <c r="C479" i="3" s="1"/>
  <c r="A479" i="3"/>
  <c r="K478" i="3" a="1"/>
  <c r="K478" i="3"/>
  <c r="J478" i="3" a="1"/>
  <c r="J478" i="3"/>
  <c r="I478" i="3" a="1"/>
  <c r="I478" i="3" s="1"/>
  <c r="H478" i="3" a="1"/>
  <c r="H478" i="3"/>
  <c r="G478" i="3" a="1"/>
  <c r="G478" i="3"/>
  <c r="F478" i="3" a="1"/>
  <c r="F478" i="3" s="1"/>
  <c r="E478" i="3" a="1"/>
  <c r="E478" i="3"/>
  <c r="D478" i="3" a="1"/>
  <c r="D478" i="3"/>
  <c r="C478" i="3" a="1"/>
  <c r="C478" i="3" s="1"/>
  <c r="A478" i="3"/>
  <c r="K477" i="3" a="1"/>
  <c r="K477" i="3"/>
  <c r="J477" i="3" a="1"/>
  <c r="J477" i="3"/>
  <c r="I477" i="3" a="1"/>
  <c r="I477" i="3" s="1"/>
  <c r="H477" i="3" a="1"/>
  <c r="H477" i="3" s="1"/>
  <c r="G477" i="3" a="1"/>
  <c r="G477" i="3" s="1"/>
  <c r="F477" i="3" a="1"/>
  <c r="F477" i="3" s="1"/>
  <c r="E477" i="3" a="1"/>
  <c r="E477" i="3"/>
  <c r="D477" i="3" a="1"/>
  <c r="D477" i="3"/>
  <c r="C477" i="3" a="1"/>
  <c r="C477" i="3" s="1"/>
  <c r="A477" i="3"/>
  <c r="K476" i="3" a="1"/>
  <c r="K476" i="3"/>
  <c r="J476" i="3" a="1"/>
  <c r="J476" i="3"/>
  <c r="I476" i="3" a="1"/>
  <c r="I476" i="3" s="1"/>
  <c r="H476" i="3" a="1"/>
  <c r="H476" i="3"/>
  <c r="G476" i="3" a="1"/>
  <c r="G476" i="3"/>
  <c r="F476" i="3" a="1"/>
  <c r="F476" i="3"/>
  <c r="E476" i="3" a="1"/>
  <c r="E476" i="3"/>
  <c r="D476" i="3" a="1"/>
  <c r="D476" i="3"/>
  <c r="B476" i="3" a="1"/>
  <c r="B476" i="3"/>
  <c r="A476" i="3"/>
  <c r="K475" i="3" a="1"/>
  <c r="K475" i="3"/>
  <c r="J475" i="3" a="1"/>
  <c r="J475" i="3" s="1"/>
  <c r="I475" i="3" a="1"/>
  <c r="I475" i="3" s="1"/>
  <c r="H475" i="3" a="1"/>
  <c r="H475" i="3"/>
  <c r="G475" i="3" a="1"/>
  <c r="G475" i="3" s="1"/>
  <c r="F475" i="3" a="1"/>
  <c r="F475" i="3" s="1"/>
  <c r="E475" i="3" a="1"/>
  <c r="E475" i="3" s="1"/>
  <c r="D475" i="3" a="1"/>
  <c r="D475" i="3"/>
  <c r="C475" i="3" a="1"/>
  <c r="C475" i="3" s="1"/>
  <c r="A475" i="3"/>
  <c r="K474" i="3" a="1"/>
  <c r="K474" i="3"/>
  <c r="J474" i="3" a="1"/>
  <c r="J474" i="3"/>
  <c r="I474" i="3" a="1"/>
  <c r="I474" i="3"/>
  <c r="H474" i="3" a="1"/>
  <c r="H474" i="3"/>
  <c r="G474" i="3" a="1"/>
  <c r="G474" i="3"/>
  <c r="F474" i="3" a="1"/>
  <c r="F474" i="3"/>
  <c r="E474" i="3" a="1"/>
  <c r="E474" i="3"/>
  <c r="D474" i="3" a="1"/>
  <c r="D474" i="3"/>
  <c r="C474" i="3" a="1"/>
  <c r="C474" i="3"/>
  <c r="A474" i="3"/>
  <c r="K473" i="3" a="1"/>
  <c r="K473" i="3"/>
  <c r="J473" i="3" a="1"/>
  <c r="J473" i="3" s="1"/>
  <c r="I473" i="3" a="1"/>
  <c r="I473" i="3" s="1"/>
  <c r="H473" i="3" a="1"/>
  <c r="H473" i="3" s="1"/>
  <c r="G473" i="3" a="1"/>
  <c r="G473" i="3"/>
  <c r="F473" i="3" a="1"/>
  <c r="F473" i="3" s="1"/>
  <c r="E473" i="3" a="1"/>
  <c r="E473" i="3"/>
  <c r="D473" i="3" a="1"/>
  <c r="D473" i="3" s="1"/>
  <c r="C473" i="3" a="1"/>
  <c r="C473" i="3" s="1"/>
  <c r="A473" i="3"/>
  <c r="K472" i="3" a="1"/>
  <c r="K472" i="3"/>
  <c r="J472" i="3" a="1"/>
  <c r="J472" i="3"/>
  <c r="I472" i="3" a="1"/>
  <c r="I472" i="3"/>
  <c r="H472" i="3" a="1"/>
  <c r="H472" i="3"/>
  <c r="G472" i="3" a="1"/>
  <c r="G472" i="3"/>
  <c r="F472" i="3" a="1"/>
  <c r="F472" i="3" s="1"/>
  <c r="E472" i="3" a="1"/>
  <c r="E472" i="3"/>
  <c r="D472" i="3" a="1"/>
  <c r="D472" i="3"/>
  <c r="C472" i="3" a="1"/>
  <c r="C472" i="3"/>
  <c r="A472" i="3"/>
  <c r="AE471" i="3" a="1"/>
  <c r="AE471" i="3"/>
  <c r="AD471" i="3" a="1"/>
  <c r="AD471" i="3" s="1"/>
  <c r="AC471" i="3" a="1"/>
  <c r="AC471" i="3" s="1"/>
  <c r="AB471" i="3" a="1"/>
  <c r="AB471" i="3"/>
  <c r="AA471" i="3" a="1"/>
  <c r="AA471" i="3"/>
  <c r="Z471" i="3" a="1"/>
  <c r="Z471" i="3"/>
  <c r="Y471" i="3" a="1"/>
  <c r="Y471" i="3"/>
  <c r="X471" i="3" a="1"/>
  <c r="X471" i="3" s="1"/>
  <c r="W471" i="3" a="1"/>
  <c r="W471" i="3" s="1"/>
  <c r="V471" i="3" a="1"/>
  <c r="V471" i="3"/>
  <c r="U471" i="3" a="1"/>
  <c r="U471" i="3"/>
  <c r="T471" i="3" a="1"/>
  <c r="T471" i="3" s="1"/>
  <c r="S471" i="3" a="1"/>
  <c r="S471" i="3" s="1"/>
  <c r="R471" i="3" a="1"/>
  <c r="R471" i="3"/>
  <c r="Q471" i="3" a="1"/>
  <c r="Q471" i="3" s="1"/>
  <c r="P471" i="3" a="1"/>
  <c r="P471" i="3"/>
  <c r="O471" i="3" a="1"/>
  <c r="O471" i="3" s="1"/>
  <c r="N471" i="3" a="1"/>
  <c r="N471" i="3"/>
  <c r="M471" i="3" a="1"/>
  <c r="M471" i="3"/>
  <c r="L471" i="3" a="1"/>
  <c r="L471" i="3"/>
  <c r="K471" i="3" a="1"/>
  <c r="K471" i="3" s="1"/>
  <c r="J471" i="3" a="1"/>
  <c r="J471" i="3"/>
  <c r="I471" i="3" a="1"/>
  <c r="I471" i="3"/>
  <c r="H471" i="3" a="1"/>
  <c r="H471" i="3"/>
  <c r="G471" i="3" a="1"/>
  <c r="G471" i="3" s="1"/>
  <c r="F471" i="3" a="1"/>
  <c r="F471" i="3" s="1"/>
  <c r="E471" i="3" a="1"/>
  <c r="E471" i="3" s="1"/>
  <c r="A471" i="3"/>
  <c r="AE470" i="3" a="1"/>
  <c r="AE470" i="3"/>
  <c r="AD470" i="3" a="1"/>
  <c r="AD470" i="3"/>
  <c r="AC470" i="3" a="1"/>
  <c r="AC470" i="3"/>
  <c r="AB470" i="3" a="1"/>
  <c r="AB470" i="3" s="1"/>
  <c r="AA470" i="3" a="1"/>
  <c r="AA470" i="3"/>
  <c r="Z470" i="3" a="1"/>
  <c r="Z470" i="3" s="1"/>
  <c r="Y470" i="3" a="1"/>
  <c r="Y470" i="3"/>
  <c r="X470" i="3" a="1"/>
  <c r="X470" i="3"/>
  <c r="W470" i="3" a="1"/>
  <c r="W470" i="3"/>
  <c r="V470" i="3" a="1"/>
  <c r="V470" i="3" s="1"/>
  <c r="U470" i="3" a="1"/>
  <c r="U470" i="3"/>
  <c r="T470" i="3" a="1"/>
  <c r="T470" i="3" s="1"/>
  <c r="S470" i="3" a="1"/>
  <c r="S470" i="3"/>
  <c r="R470" i="3" a="1"/>
  <c r="R470" i="3"/>
  <c r="Q470" i="3" a="1"/>
  <c r="Q470" i="3"/>
  <c r="P470" i="3" a="1"/>
  <c r="P470" i="3" s="1"/>
  <c r="O470" i="3" a="1"/>
  <c r="O470" i="3"/>
  <c r="N470" i="3" a="1"/>
  <c r="N470" i="3" s="1"/>
  <c r="M470" i="3" a="1"/>
  <c r="M470" i="3"/>
  <c r="L470" i="3" a="1"/>
  <c r="L470" i="3"/>
  <c r="K470" i="3" a="1"/>
  <c r="K470" i="3"/>
  <c r="J470" i="3" a="1"/>
  <c r="J470" i="3" s="1"/>
  <c r="I470" i="3" a="1"/>
  <c r="I470" i="3"/>
  <c r="H470" i="3" a="1"/>
  <c r="H470" i="3" s="1"/>
  <c r="G470" i="3" a="1"/>
  <c r="G470" i="3"/>
  <c r="F470" i="3" a="1"/>
  <c r="F470" i="3"/>
  <c r="E470" i="3" a="1"/>
  <c r="E470" i="3"/>
  <c r="D470" i="3" a="1"/>
  <c r="D470" i="3" s="1"/>
  <c r="C470" i="3" a="1"/>
  <c r="C470" i="3"/>
  <c r="A470" i="3"/>
  <c r="AE469" i="3" a="1"/>
  <c r="AE469" i="3" s="1"/>
  <c r="AD469" i="3" a="1"/>
  <c r="AD469" i="3" s="1"/>
  <c r="AC469" i="3" a="1"/>
  <c r="AC469" i="3"/>
  <c r="AB469" i="3" a="1"/>
  <c r="AB469" i="3" s="1"/>
  <c r="AA469" i="3" a="1"/>
  <c r="AA469" i="3"/>
  <c r="Z469" i="3" a="1"/>
  <c r="Z469" i="3" s="1"/>
  <c r="Y469" i="3" a="1"/>
  <c r="Y469" i="3"/>
  <c r="X469" i="3" a="1"/>
  <c r="X469" i="3" s="1"/>
  <c r="W469" i="3" a="1"/>
  <c r="W469" i="3"/>
  <c r="V469" i="3" a="1"/>
  <c r="V469" i="3"/>
  <c r="U469" i="3" a="1"/>
  <c r="U469" i="3" s="1"/>
  <c r="T469" i="3" a="1"/>
  <c r="T469" i="3"/>
  <c r="S469" i="3" a="1"/>
  <c r="S469" i="3"/>
  <c r="R469" i="3" a="1"/>
  <c r="R469" i="3" s="1"/>
  <c r="Q469" i="3" a="1"/>
  <c r="Q469" i="3"/>
  <c r="P469" i="3" a="1"/>
  <c r="P469" i="3"/>
  <c r="O469" i="3" a="1"/>
  <c r="O469" i="3" s="1"/>
  <c r="N469" i="3" a="1"/>
  <c r="N469" i="3"/>
  <c r="M469" i="3" a="1"/>
  <c r="M469" i="3" s="1"/>
  <c r="L469" i="3" a="1"/>
  <c r="L469" i="3" s="1"/>
  <c r="K469" i="3" a="1"/>
  <c r="K469" i="3"/>
  <c r="J469" i="3" a="1"/>
  <c r="J469" i="3" s="1"/>
  <c r="I469" i="3" a="1"/>
  <c r="I469" i="3"/>
  <c r="H469" i="3" a="1"/>
  <c r="H469" i="3" s="1"/>
  <c r="G469" i="3" a="1"/>
  <c r="G469" i="3" s="1"/>
  <c r="F469" i="3" a="1"/>
  <c r="F469" i="3" s="1"/>
  <c r="E469" i="3" a="1"/>
  <c r="E469" i="3"/>
  <c r="D469" i="3" a="1"/>
  <c r="D469" i="3"/>
  <c r="C469" i="3" a="1"/>
  <c r="C469" i="3"/>
  <c r="A469" i="3"/>
  <c r="AE468" i="3" a="1"/>
  <c r="AE468" i="3" s="1"/>
  <c r="AD468" i="3" a="1"/>
  <c r="AD468" i="3"/>
  <c r="AC468" i="3" a="1"/>
  <c r="AC468" i="3" s="1"/>
  <c r="AB468" i="3" a="1"/>
  <c r="AB468" i="3" s="1"/>
  <c r="AA468" i="3" a="1"/>
  <c r="AA468" i="3"/>
  <c r="Z468" i="3" a="1"/>
  <c r="Z468" i="3" s="1"/>
  <c r="Y468" i="3" a="1"/>
  <c r="Y468" i="3" s="1"/>
  <c r="X468" i="3" a="1"/>
  <c r="X468" i="3"/>
  <c r="W468" i="3" a="1"/>
  <c r="W468" i="3" s="1"/>
  <c r="V468" i="3" a="1"/>
  <c r="V468" i="3" s="1"/>
  <c r="U468" i="3" a="1"/>
  <c r="U468" i="3"/>
  <c r="T468" i="3" a="1"/>
  <c r="T468" i="3" s="1"/>
  <c r="S468" i="3" a="1"/>
  <c r="S468" i="3"/>
  <c r="R468" i="3" a="1"/>
  <c r="R468" i="3"/>
  <c r="Q468" i="3" a="1"/>
  <c r="Q468" i="3" s="1"/>
  <c r="P468" i="3" a="1"/>
  <c r="P468" i="3" s="1"/>
  <c r="O468" i="3" a="1"/>
  <c r="O468" i="3"/>
  <c r="N468" i="3" a="1"/>
  <c r="N468" i="3" s="1"/>
  <c r="M468" i="3" a="1"/>
  <c r="M468" i="3"/>
  <c r="L468" i="3" a="1"/>
  <c r="L468" i="3"/>
  <c r="K468" i="3" a="1"/>
  <c r="K468" i="3" s="1"/>
  <c r="J468" i="3" a="1"/>
  <c r="J468" i="3" s="1"/>
  <c r="I468" i="3" a="1"/>
  <c r="I468" i="3"/>
  <c r="H468" i="3" a="1"/>
  <c r="H468" i="3" s="1"/>
  <c r="G468" i="3" a="1"/>
  <c r="G468" i="3" s="1"/>
  <c r="F468" i="3" a="1"/>
  <c r="F468" i="3"/>
  <c r="E468" i="3" a="1"/>
  <c r="E468" i="3" s="1"/>
  <c r="D468" i="3" a="1"/>
  <c r="D468" i="3" s="1"/>
  <c r="A468" i="3"/>
  <c r="AE467" i="3" a="1"/>
  <c r="AE467" i="3" s="1"/>
  <c r="AD467" i="3" a="1"/>
  <c r="AD467" i="3"/>
  <c r="AC467" i="3" a="1"/>
  <c r="AC467" i="3" s="1"/>
  <c r="AB467" i="3" a="1"/>
  <c r="AB467" i="3" s="1"/>
  <c r="AA467" i="3" a="1"/>
  <c r="AA467" i="3"/>
  <c r="Z467" i="3" a="1"/>
  <c r="Z467" i="3" s="1"/>
  <c r="Y467" i="3" a="1"/>
  <c r="Y467" i="3" s="1"/>
  <c r="X467" i="3" a="1"/>
  <c r="X467" i="3" s="1"/>
  <c r="W467" i="3" a="1"/>
  <c r="W467" i="3"/>
  <c r="V467" i="3" a="1"/>
  <c r="V467" i="3"/>
  <c r="U467" i="3" a="1"/>
  <c r="U467" i="3"/>
  <c r="T467" i="3" a="1"/>
  <c r="T467" i="3" s="1"/>
  <c r="S467" i="3" a="1"/>
  <c r="S467" i="3" s="1"/>
  <c r="R467" i="3" a="1"/>
  <c r="R467" i="3"/>
  <c r="Q467" i="3" a="1"/>
  <c r="Q467" i="3"/>
  <c r="P467" i="3" a="1"/>
  <c r="P467" i="3" s="1"/>
  <c r="O467" i="3" a="1"/>
  <c r="O467" i="3" s="1"/>
  <c r="N467" i="3" a="1"/>
  <c r="N467" i="3"/>
  <c r="M467" i="3" a="1"/>
  <c r="M467" i="3" s="1"/>
  <c r="L467" i="3" a="1"/>
  <c r="L467" i="3"/>
  <c r="K467" i="3" a="1"/>
  <c r="K467" i="3" s="1"/>
  <c r="J467" i="3" a="1"/>
  <c r="J467" i="3"/>
  <c r="I467" i="3" a="1"/>
  <c r="I467" i="3"/>
  <c r="H467" i="3" a="1"/>
  <c r="H467" i="3"/>
  <c r="G467" i="3" a="1"/>
  <c r="G467" i="3" s="1"/>
  <c r="F467" i="3" a="1"/>
  <c r="F467" i="3" s="1"/>
  <c r="E467" i="3" a="1"/>
  <c r="E467" i="3" s="1"/>
  <c r="A467" i="3"/>
  <c r="AE466" i="3" a="1"/>
  <c r="AE466" i="3"/>
  <c r="AD466" i="3" a="1"/>
  <c r="AD466" i="3"/>
  <c r="AC466" i="3" a="1"/>
  <c r="AC466" i="3" s="1"/>
  <c r="AB466" i="3" a="1"/>
  <c r="AB466" i="3"/>
  <c r="AA466" i="3" a="1"/>
  <c r="AA466" i="3"/>
  <c r="Z466" i="3" a="1"/>
  <c r="Z466" i="3"/>
  <c r="Y466" i="3" a="1"/>
  <c r="Y466" i="3"/>
  <c r="X466" i="3" a="1"/>
  <c r="X466" i="3"/>
  <c r="W466" i="3" a="1"/>
  <c r="W466" i="3" s="1"/>
  <c r="V466" i="3" a="1"/>
  <c r="V466" i="3"/>
  <c r="U466" i="3" a="1"/>
  <c r="U466" i="3"/>
  <c r="T466" i="3" a="1"/>
  <c r="T466" i="3"/>
  <c r="S466" i="3" a="1"/>
  <c r="S466" i="3"/>
  <c r="R466" i="3" a="1"/>
  <c r="R466" i="3"/>
  <c r="Q466" i="3" a="1"/>
  <c r="Q466" i="3" s="1"/>
  <c r="P466" i="3" a="1"/>
  <c r="P466" i="3"/>
  <c r="O466" i="3" a="1"/>
  <c r="O466" i="3"/>
  <c r="N466" i="3" a="1"/>
  <c r="N466" i="3"/>
  <c r="M466" i="3" a="1"/>
  <c r="M466" i="3"/>
  <c r="L466" i="3" a="1"/>
  <c r="L466" i="3"/>
  <c r="K466" i="3" a="1"/>
  <c r="K466" i="3" s="1"/>
  <c r="J466" i="3" a="1"/>
  <c r="J466" i="3"/>
  <c r="I466" i="3" a="1"/>
  <c r="I466" i="3"/>
  <c r="H466" i="3" a="1"/>
  <c r="H466" i="3"/>
  <c r="G466" i="3" a="1"/>
  <c r="G466" i="3"/>
  <c r="F466" i="3" a="1"/>
  <c r="F466" i="3"/>
  <c r="E466" i="3" a="1"/>
  <c r="E466" i="3" s="1"/>
  <c r="D466" i="3" a="1"/>
  <c r="D466" i="3"/>
  <c r="C466" i="3" a="1"/>
  <c r="C466" i="3"/>
  <c r="A466" i="3"/>
  <c r="AE465" i="3" a="1"/>
  <c r="AE465" i="3" s="1"/>
  <c r="AD465" i="3" a="1"/>
  <c r="AD465" i="3"/>
  <c r="AC465" i="3" a="1"/>
  <c r="AC465" i="3"/>
  <c r="AB465" i="3" a="1"/>
  <c r="AB465" i="3" s="1"/>
  <c r="AA465" i="3" a="1"/>
  <c r="AA465" i="3" s="1"/>
  <c r="Z465" i="3" a="1"/>
  <c r="Z465" i="3" s="1"/>
  <c r="Y465" i="3" a="1"/>
  <c r="Y465" i="3" s="1"/>
  <c r="X465" i="3" a="1"/>
  <c r="X465" i="3"/>
  <c r="W465" i="3" a="1"/>
  <c r="W465" i="3" s="1"/>
  <c r="V465" i="3" a="1"/>
  <c r="V465" i="3"/>
  <c r="U465" i="3" a="1"/>
  <c r="U465" i="3"/>
  <c r="T465" i="3" a="1"/>
  <c r="T465" i="3" s="1"/>
  <c r="S465" i="3" a="1"/>
  <c r="S465" i="3"/>
  <c r="R465" i="3" a="1"/>
  <c r="R465" i="3" s="1"/>
  <c r="Q465" i="3" a="1"/>
  <c r="Q465" i="3"/>
  <c r="P465" i="3" a="1"/>
  <c r="P465" i="3"/>
  <c r="O465" i="3" a="1"/>
  <c r="O465" i="3" s="1"/>
  <c r="N465" i="3" a="1"/>
  <c r="N465" i="3" s="1"/>
  <c r="M465" i="3" a="1"/>
  <c r="M465" i="3"/>
  <c r="L465" i="3" a="1"/>
  <c r="L465" i="3" s="1"/>
  <c r="K465" i="3" a="1"/>
  <c r="K465" i="3"/>
  <c r="J465" i="3" a="1"/>
  <c r="J465" i="3" s="1"/>
  <c r="I465" i="3" a="1"/>
  <c r="I465" i="3"/>
  <c r="H465" i="3" a="1"/>
  <c r="H465" i="3" s="1"/>
  <c r="G465" i="3" a="1"/>
  <c r="G465" i="3" s="1"/>
  <c r="F465" i="3" a="1"/>
  <c r="F465" i="3"/>
  <c r="E465" i="3" a="1"/>
  <c r="E465" i="3" s="1"/>
  <c r="D465" i="3" a="1"/>
  <c r="D465" i="3" s="1"/>
  <c r="C465" i="3" a="1"/>
  <c r="C465" i="3"/>
  <c r="A465" i="3"/>
  <c r="AE464" i="3" a="1"/>
  <c r="AE464" i="3" s="1"/>
  <c r="AD464" i="3" a="1"/>
  <c r="AD464" i="3"/>
  <c r="AC464" i="3" a="1"/>
  <c r="AC464" i="3" s="1"/>
  <c r="AB464" i="3" a="1"/>
  <c r="AB464" i="3"/>
  <c r="AA464" i="3" a="1"/>
  <c r="AA464" i="3"/>
  <c r="Z464" i="3" a="1"/>
  <c r="Z464" i="3"/>
  <c r="Y464" i="3" a="1"/>
  <c r="Y464" i="3" s="1"/>
  <c r="X464" i="3" a="1"/>
  <c r="X464" i="3"/>
  <c r="W464" i="3" a="1"/>
  <c r="W464" i="3" s="1"/>
  <c r="V464" i="3" a="1"/>
  <c r="V464" i="3"/>
  <c r="U464" i="3" a="1"/>
  <c r="U464" i="3"/>
  <c r="T464" i="3" a="1"/>
  <c r="T464" i="3"/>
  <c r="S464" i="3" a="1"/>
  <c r="S464" i="3" s="1"/>
  <c r="R464" i="3" a="1"/>
  <c r="R464" i="3"/>
  <c r="Q464" i="3" a="1"/>
  <c r="Q464" i="3" s="1"/>
  <c r="P464" i="3" a="1"/>
  <c r="P464" i="3" s="1"/>
  <c r="O464" i="3" a="1"/>
  <c r="O464" i="3"/>
  <c r="N464" i="3" a="1"/>
  <c r="N464" i="3"/>
  <c r="M464" i="3" a="1"/>
  <c r="M464" i="3" s="1"/>
  <c r="L464" i="3" a="1"/>
  <c r="L464" i="3"/>
  <c r="K464" i="3" a="1"/>
  <c r="K464" i="3" s="1"/>
  <c r="J464" i="3" a="1"/>
  <c r="J464" i="3" s="1"/>
  <c r="I464" i="3" a="1"/>
  <c r="I464" i="3"/>
  <c r="H464" i="3" a="1"/>
  <c r="H464" i="3"/>
  <c r="G464" i="3" a="1"/>
  <c r="G464" i="3" s="1"/>
  <c r="F464" i="3" a="1"/>
  <c r="F464" i="3"/>
  <c r="E464" i="3" a="1"/>
  <c r="E464" i="3" s="1"/>
  <c r="D464" i="3" a="1"/>
  <c r="D464" i="3" s="1"/>
  <c r="C464" i="3" a="1"/>
  <c r="C464" i="3"/>
  <c r="A464" i="3"/>
  <c r="AE463" i="3" a="1"/>
  <c r="AE463" i="3" s="1"/>
  <c r="AD463" i="3" a="1"/>
  <c r="AD463" i="3"/>
  <c r="AC463" i="3" a="1"/>
  <c r="AC463" i="3" s="1"/>
  <c r="AB463" i="3" a="1"/>
  <c r="AB463" i="3" s="1"/>
  <c r="AA463" i="3" a="1"/>
  <c r="AA463" i="3" s="1"/>
  <c r="Z463" i="3" a="1"/>
  <c r="Z463" i="3"/>
  <c r="Y463" i="3" a="1"/>
  <c r="Y463" i="3"/>
  <c r="X463" i="3" a="1"/>
  <c r="X463" i="3"/>
  <c r="W463" i="3" a="1"/>
  <c r="W463" i="3" s="1"/>
  <c r="V463" i="3" a="1"/>
  <c r="V463" i="3"/>
  <c r="U463" i="3" a="1"/>
  <c r="U463" i="3" s="1"/>
  <c r="T463" i="3" a="1"/>
  <c r="T463" i="3"/>
  <c r="S463" i="3" a="1"/>
  <c r="S463" i="3" s="1"/>
  <c r="R463" i="3" a="1"/>
  <c r="R463" i="3" s="1"/>
  <c r="Q463" i="3" a="1"/>
  <c r="Q463" i="3"/>
  <c r="P463" i="3" a="1"/>
  <c r="P463" i="3" s="1"/>
  <c r="O463" i="3" a="1"/>
  <c r="O463" i="3" s="1"/>
  <c r="N463" i="3" a="1"/>
  <c r="N463" i="3" s="1"/>
  <c r="M463" i="3" a="1"/>
  <c r="M463" i="3"/>
  <c r="L463" i="3" a="1"/>
  <c r="L463" i="3"/>
  <c r="A463" i="3"/>
  <c r="AE462" i="3" a="1"/>
  <c r="AE462" i="3"/>
  <c r="AD462" i="3" a="1"/>
  <c r="AD462" i="3" s="1"/>
  <c r="AC462" i="3" a="1"/>
  <c r="AC462" i="3" s="1"/>
  <c r="AB462" i="3" a="1"/>
  <c r="AB462" i="3"/>
  <c r="AA462" i="3" a="1"/>
  <c r="AA462" i="3"/>
  <c r="Z462" i="3" a="1"/>
  <c r="Z462" i="3" s="1"/>
  <c r="Y462" i="3" a="1"/>
  <c r="Y462" i="3"/>
  <c r="X462" i="3" a="1"/>
  <c r="X462" i="3" s="1"/>
  <c r="W462" i="3" a="1"/>
  <c r="W462" i="3" s="1"/>
  <c r="V462" i="3" a="1"/>
  <c r="V462" i="3"/>
  <c r="U462" i="3" a="1"/>
  <c r="U462" i="3"/>
  <c r="T462" i="3" a="1"/>
  <c r="T462" i="3" s="1"/>
  <c r="S462" i="3" a="1"/>
  <c r="S462" i="3"/>
  <c r="R462" i="3" a="1"/>
  <c r="R462" i="3" s="1"/>
  <c r="Q462" i="3" a="1"/>
  <c r="Q462" i="3" s="1"/>
  <c r="P462" i="3" a="1"/>
  <c r="P462" i="3"/>
  <c r="O462" i="3" a="1"/>
  <c r="O462" i="3"/>
  <c r="N462" i="3" a="1"/>
  <c r="N462" i="3" s="1"/>
  <c r="M462" i="3" a="1"/>
  <c r="M462" i="3"/>
  <c r="L462" i="3" a="1"/>
  <c r="L462" i="3" s="1"/>
  <c r="K462" i="3" a="1"/>
  <c r="K462" i="3" s="1"/>
  <c r="J462" i="3" a="1"/>
  <c r="J462" i="3"/>
  <c r="I462" i="3" a="1"/>
  <c r="I462" i="3"/>
  <c r="H462" i="3" a="1"/>
  <c r="H462" i="3"/>
  <c r="G462" i="3" a="1"/>
  <c r="G462" i="3"/>
  <c r="F462" i="3" a="1"/>
  <c r="F462" i="3" s="1"/>
  <c r="E462" i="3" a="1"/>
  <c r="E462" i="3" s="1"/>
  <c r="D462" i="3" a="1"/>
  <c r="D462" i="3"/>
  <c r="C462" i="3" a="1"/>
  <c r="C462" i="3"/>
  <c r="A462" i="3"/>
  <c r="AE461" i="3" a="1"/>
  <c r="AE461" i="3"/>
  <c r="AD461" i="3" a="1"/>
  <c r="AD461" i="3"/>
  <c r="AC461" i="3" a="1"/>
  <c r="AC461" i="3"/>
  <c r="AB461" i="3" a="1"/>
  <c r="AB461" i="3" s="1"/>
  <c r="AA461" i="3" a="1"/>
  <c r="AA461" i="3" s="1"/>
  <c r="Z461" i="3" a="1"/>
  <c r="Z461" i="3"/>
  <c r="Y461" i="3" a="1"/>
  <c r="Y461" i="3"/>
  <c r="X461" i="3" a="1"/>
  <c r="X461" i="3" s="1"/>
  <c r="W461" i="3" a="1"/>
  <c r="W461" i="3" s="1"/>
  <c r="V461" i="3" a="1"/>
  <c r="V461" i="3" s="1"/>
  <c r="U461" i="3" a="1"/>
  <c r="U461" i="3" s="1"/>
  <c r="T461" i="3" a="1"/>
  <c r="T461" i="3"/>
  <c r="S461" i="3" a="1"/>
  <c r="S461" i="3" s="1"/>
  <c r="R461" i="3" a="1"/>
  <c r="R461" i="3"/>
  <c r="Q461" i="3" a="1"/>
  <c r="Q461" i="3"/>
  <c r="P461" i="3" a="1"/>
  <c r="P461" i="3" s="1"/>
  <c r="O461" i="3" a="1"/>
  <c r="O461" i="3"/>
  <c r="N461" i="3" a="1"/>
  <c r="N461" i="3" s="1"/>
  <c r="M461" i="3" a="1"/>
  <c r="M461" i="3" s="1"/>
  <c r="L461" i="3" a="1"/>
  <c r="L461" i="3"/>
  <c r="K461" i="3" a="1"/>
  <c r="K461" i="3" s="1"/>
  <c r="J461" i="3" a="1"/>
  <c r="J461" i="3" s="1"/>
  <c r="I461" i="3" a="1"/>
  <c r="I461" i="3"/>
  <c r="H461" i="3" a="1"/>
  <c r="H461" i="3" s="1"/>
  <c r="G461" i="3" a="1"/>
  <c r="G461" i="3"/>
  <c r="F461" i="3" a="1"/>
  <c r="F461" i="3" s="1"/>
  <c r="E461" i="3" a="1"/>
  <c r="E461" i="3"/>
  <c r="D461" i="3" a="1"/>
  <c r="D461" i="3" s="1"/>
  <c r="A461" i="3"/>
  <c r="AE460" i="3" a="1"/>
  <c r="AE460" i="3"/>
  <c r="AD460" i="3" a="1"/>
  <c r="AD460" i="3" s="1"/>
  <c r="AC460" i="3" a="1"/>
  <c r="AC460" i="3"/>
  <c r="AB460" i="3" a="1"/>
  <c r="AB460" i="3"/>
  <c r="AA460" i="3" a="1"/>
  <c r="AA460" i="3"/>
  <c r="Z460" i="3" a="1"/>
  <c r="Z460" i="3" s="1"/>
  <c r="Y460" i="3" a="1"/>
  <c r="Y460" i="3"/>
  <c r="X460" i="3" a="1"/>
  <c r="X460" i="3" s="1"/>
  <c r="W460" i="3" a="1"/>
  <c r="W460" i="3"/>
  <c r="V460" i="3" a="1"/>
  <c r="V460" i="3"/>
  <c r="U460" i="3" a="1"/>
  <c r="U460" i="3"/>
  <c r="T460" i="3" a="1"/>
  <c r="T460" i="3" s="1"/>
  <c r="S460" i="3" a="1"/>
  <c r="S460" i="3"/>
  <c r="R460" i="3" a="1"/>
  <c r="R460" i="3" s="1"/>
  <c r="Q460" i="3" a="1"/>
  <c r="Q460" i="3"/>
  <c r="P460" i="3" a="1"/>
  <c r="P460" i="3"/>
  <c r="O460" i="3" a="1"/>
  <c r="O460" i="3"/>
  <c r="N460" i="3" a="1"/>
  <c r="N460" i="3" s="1"/>
  <c r="M460" i="3" a="1"/>
  <c r="M460" i="3"/>
  <c r="L460" i="3" a="1"/>
  <c r="L460" i="3" s="1"/>
  <c r="K460" i="3" a="1"/>
  <c r="K460" i="3"/>
  <c r="J460" i="3" a="1"/>
  <c r="J460" i="3"/>
  <c r="I460" i="3" a="1"/>
  <c r="I460" i="3"/>
  <c r="H460" i="3" a="1"/>
  <c r="H460" i="3" s="1"/>
  <c r="G460" i="3" a="1"/>
  <c r="G460" i="3"/>
  <c r="F460" i="3" a="1"/>
  <c r="F460" i="3" s="1"/>
  <c r="E460" i="3" a="1"/>
  <c r="E460" i="3"/>
  <c r="D460" i="3" a="1"/>
  <c r="D460" i="3"/>
  <c r="C460" i="3" a="1"/>
  <c r="C460" i="3"/>
  <c r="A460" i="3"/>
  <c r="AE459" i="3" a="1"/>
  <c r="AE459" i="3"/>
  <c r="AD459" i="3" a="1"/>
  <c r="AD459" i="3"/>
  <c r="AC459" i="3" a="1"/>
  <c r="AC459" i="3" s="1"/>
  <c r="AB459" i="3" a="1"/>
  <c r="AB459" i="3"/>
  <c r="AA459" i="3" a="1"/>
  <c r="AA459" i="3"/>
  <c r="Z459" i="3" a="1"/>
  <c r="Z459" i="3" s="1"/>
  <c r="Y459" i="3" a="1"/>
  <c r="Y459" i="3"/>
  <c r="X459" i="3" a="1"/>
  <c r="X459" i="3" s="1"/>
  <c r="W459" i="3" a="1"/>
  <c r="W459" i="3"/>
  <c r="V459" i="3" a="1"/>
  <c r="V459" i="3"/>
  <c r="U459" i="3" a="1"/>
  <c r="U459" i="3"/>
  <c r="T459" i="3" a="1"/>
  <c r="T459" i="3" s="1"/>
  <c r="S459" i="3" a="1"/>
  <c r="S459" i="3"/>
  <c r="R459" i="3" a="1"/>
  <c r="R459" i="3" s="1"/>
  <c r="Q459" i="3" a="1"/>
  <c r="Q459" i="3"/>
  <c r="P459" i="3" a="1"/>
  <c r="P459" i="3"/>
  <c r="O459" i="3" a="1"/>
  <c r="O459" i="3"/>
  <c r="N459" i="3" a="1"/>
  <c r="N459" i="3" s="1"/>
  <c r="A459" i="3"/>
  <c r="AE458" i="3" a="1"/>
  <c r="AE458" i="3"/>
  <c r="AD458" i="3" a="1"/>
  <c r="AD458" i="3"/>
  <c r="AC458" i="3" a="1"/>
  <c r="AC458" i="3" s="1"/>
  <c r="AB458" i="3" a="1"/>
  <c r="AB458" i="3"/>
  <c r="AA458" i="3" a="1"/>
  <c r="AA458" i="3" s="1"/>
  <c r="Z458" i="3" a="1"/>
  <c r="Z458" i="3"/>
  <c r="Y458" i="3" a="1"/>
  <c r="Y458" i="3" s="1"/>
  <c r="X458" i="3" a="1"/>
  <c r="X458" i="3"/>
  <c r="W458" i="3" a="1"/>
  <c r="W458" i="3" s="1"/>
  <c r="V458" i="3" a="1"/>
  <c r="V458" i="3" s="1"/>
  <c r="U458" i="3" a="1"/>
  <c r="U458" i="3" s="1"/>
  <c r="T458" i="3" a="1"/>
  <c r="T458" i="3"/>
  <c r="S458" i="3" a="1"/>
  <c r="S458" i="3"/>
  <c r="R458" i="3" a="1"/>
  <c r="R458" i="3"/>
  <c r="Q458" i="3" a="1"/>
  <c r="Q458" i="3" s="1"/>
  <c r="P458" i="3" a="1"/>
  <c r="P458" i="3"/>
  <c r="O458" i="3" a="1"/>
  <c r="O458" i="3"/>
  <c r="N458" i="3" a="1"/>
  <c r="N458" i="3"/>
  <c r="M458" i="3" a="1"/>
  <c r="M458" i="3" s="1"/>
  <c r="L458" i="3" a="1"/>
  <c r="L458" i="3"/>
  <c r="K458" i="3" a="1"/>
  <c r="K458" i="3" s="1"/>
  <c r="J458" i="3" a="1"/>
  <c r="J458" i="3"/>
  <c r="I458" i="3" a="1"/>
  <c r="I458" i="3" s="1"/>
  <c r="H458" i="3" a="1"/>
  <c r="H458" i="3"/>
  <c r="G458" i="3" a="1"/>
  <c r="G458" i="3"/>
  <c r="F458" i="3" a="1"/>
  <c r="F458" i="3"/>
  <c r="E458" i="3" a="1"/>
  <c r="E458" i="3" s="1"/>
  <c r="D458" i="3" a="1"/>
  <c r="D458" i="3" s="1"/>
  <c r="C458" i="3" a="1"/>
  <c r="C458" i="3"/>
  <c r="A458" i="3"/>
  <c r="AE457" i="3" a="1"/>
  <c r="AE457" i="3" s="1"/>
  <c r="AD457" i="3" a="1"/>
  <c r="AD457" i="3" s="1"/>
  <c r="AC457" i="3" a="1"/>
  <c r="AC457" i="3"/>
  <c r="AB457" i="3" a="1"/>
  <c r="AB457" i="3" s="1"/>
  <c r="AA457" i="3" a="1"/>
  <c r="AA457" i="3" s="1"/>
  <c r="Z457" i="3" a="1"/>
  <c r="Z457" i="3"/>
  <c r="Y457" i="3" a="1"/>
  <c r="Y457" i="3" s="1"/>
  <c r="X457" i="3" a="1"/>
  <c r="X457" i="3"/>
  <c r="W457" i="3" a="1"/>
  <c r="W457" i="3"/>
  <c r="V457" i="3" a="1"/>
  <c r="V457" i="3" s="1"/>
  <c r="U457" i="3" a="1"/>
  <c r="U457" i="3" s="1"/>
  <c r="T457" i="3" a="1"/>
  <c r="T457" i="3"/>
  <c r="S457" i="3" a="1"/>
  <c r="S457" i="3" s="1"/>
  <c r="R457" i="3" a="1"/>
  <c r="R457" i="3"/>
  <c r="Q457" i="3" a="1"/>
  <c r="Q457" i="3"/>
  <c r="P457" i="3" a="1"/>
  <c r="P457" i="3" s="1"/>
  <c r="O457" i="3" a="1"/>
  <c r="O457" i="3" s="1"/>
  <c r="N457" i="3" a="1"/>
  <c r="N457" i="3"/>
  <c r="M457" i="3" a="1"/>
  <c r="M457" i="3" s="1"/>
  <c r="L457" i="3" a="1"/>
  <c r="L457" i="3" s="1"/>
  <c r="K457" i="3" a="1"/>
  <c r="K457" i="3"/>
  <c r="J457" i="3" a="1"/>
  <c r="J457" i="3"/>
  <c r="I457" i="3" a="1"/>
  <c r="I457" i="3" s="1"/>
  <c r="H457" i="3" a="1"/>
  <c r="H457" i="3"/>
  <c r="G457" i="3" a="1"/>
  <c r="G457" i="3" s="1"/>
  <c r="F457" i="3" a="1"/>
  <c r="F457" i="3" s="1"/>
  <c r="E457" i="3" a="1"/>
  <c r="E457" i="3"/>
  <c r="D457" i="3" a="1"/>
  <c r="D457" i="3"/>
  <c r="C457" i="3" a="1"/>
  <c r="C457" i="3" s="1"/>
  <c r="A457" i="3"/>
  <c r="AE456" i="3" a="1"/>
  <c r="AE456" i="3"/>
  <c r="AD456" i="3" a="1"/>
  <c r="AD456" i="3" s="1"/>
  <c r="AC456" i="3" a="1"/>
  <c r="AC456" i="3" s="1"/>
  <c r="AB456" i="3" a="1"/>
  <c r="AB456" i="3" s="1"/>
  <c r="AA456" i="3" a="1"/>
  <c r="AA456" i="3"/>
  <c r="Z456" i="3" a="1"/>
  <c r="Z456" i="3"/>
  <c r="Y456" i="3" a="1"/>
  <c r="Y456" i="3"/>
  <c r="X456" i="3" a="1"/>
  <c r="X456" i="3" s="1"/>
  <c r="W456" i="3" a="1"/>
  <c r="W456" i="3"/>
  <c r="V456" i="3" a="1"/>
  <c r="V456" i="3"/>
  <c r="U456" i="3" a="1"/>
  <c r="U456" i="3"/>
  <c r="T456" i="3" a="1"/>
  <c r="T456" i="3"/>
  <c r="S456" i="3" a="1"/>
  <c r="S456" i="3"/>
  <c r="R456" i="3" a="1"/>
  <c r="R456" i="3" s="1"/>
  <c r="Q456" i="3" a="1"/>
  <c r="Q456" i="3" s="1"/>
  <c r="P456" i="3" a="1"/>
  <c r="P456" i="3" s="1"/>
  <c r="O456" i="3" a="1"/>
  <c r="O456" i="3"/>
  <c r="N456" i="3" a="1"/>
  <c r="N456" i="3"/>
  <c r="M456" i="3" a="1"/>
  <c r="M456" i="3"/>
  <c r="L456" i="3" a="1"/>
  <c r="L456" i="3" s="1"/>
  <c r="K456" i="3" a="1"/>
  <c r="K456" i="3"/>
  <c r="J456" i="3" a="1"/>
  <c r="J456" i="3"/>
  <c r="I456" i="3" a="1"/>
  <c r="I456" i="3"/>
  <c r="H456" i="3" a="1"/>
  <c r="H456" i="3"/>
  <c r="G456" i="3" a="1"/>
  <c r="G456" i="3"/>
  <c r="F456" i="3" a="1"/>
  <c r="F456" i="3" s="1"/>
  <c r="E456" i="3" a="1"/>
  <c r="E456" i="3" s="1"/>
  <c r="D456" i="3" a="1"/>
  <c r="D456" i="3" s="1"/>
  <c r="C456" i="3" a="1"/>
  <c r="C456" i="3"/>
  <c r="A456" i="3"/>
  <c r="AE455" i="3" a="1"/>
  <c r="AE455" i="3"/>
  <c r="AD455" i="3" a="1"/>
  <c r="AD455" i="3"/>
  <c r="AC455" i="3" a="1"/>
  <c r="AC455" i="3"/>
  <c r="AB455" i="3" a="1"/>
  <c r="AB455" i="3" s="1"/>
  <c r="AA455" i="3" a="1"/>
  <c r="AA455" i="3"/>
  <c r="Z455" i="3" a="1"/>
  <c r="Z455" i="3" s="1"/>
  <c r="Y455" i="3" a="1"/>
  <c r="Y455" i="3"/>
  <c r="X455" i="3" a="1"/>
  <c r="X455" i="3"/>
  <c r="W455" i="3" a="1"/>
  <c r="W455" i="3" s="1"/>
  <c r="V455" i="3" a="1"/>
  <c r="V455" i="3" s="1"/>
  <c r="U455" i="3" a="1"/>
  <c r="U455" i="3"/>
  <c r="T455" i="3" a="1"/>
  <c r="T455" i="3" s="1"/>
  <c r="S455" i="3" a="1"/>
  <c r="S455" i="3"/>
  <c r="R455" i="3" a="1"/>
  <c r="R455" i="3"/>
  <c r="Q455" i="3" a="1"/>
  <c r="Q455" i="3"/>
  <c r="P455" i="3" a="1"/>
  <c r="P455" i="3" s="1"/>
  <c r="O455" i="3" a="1"/>
  <c r="O455" i="3"/>
  <c r="N455" i="3" a="1"/>
  <c r="N455" i="3" s="1"/>
  <c r="M455" i="3" a="1"/>
  <c r="M455" i="3"/>
  <c r="L455" i="3" a="1"/>
  <c r="L455" i="3"/>
  <c r="K455" i="3" a="1"/>
  <c r="K455" i="3"/>
  <c r="J455" i="3" a="1"/>
  <c r="J455" i="3" s="1"/>
  <c r="I455" i="3" a="1"/>
  <c r="I455" i="3"/>
  <c r="H455" i="3" a="1"/>
  <c r="H455" i="3" s="1"/>
  <c r="G455" i="3" a="1"/>
  <c r="G455" i="3"/>
  <c r="F455" i="3" a="1"/>
  <c r="F455" i="3"/>
  <c r="E455" i="3" a="1"/>
  <c r="E455" i="3"/>
  <c r="D455" i="3" a="1"/>
  <c r="D455" i="3" s="1"/>
  <c r="C455" i="3" a="1"/>
  <c r="C455" i="3"/>
  <c r="A455" i="3"/>
  <c r="AE454" i="3" a="1"/>
  <c r="AE454" i="3" s="1"/>
  <c r="AD454" i="3" a="1"/>
  <c r="AD454" i="3"/>
  <c r="AC454" i="3" a="1"/>
  <c r="AC454" i="3"/>
  <c r="AB454" i="3" a="1"/>
  <c r="AB454" i="3"/>
  <c r="AA454" i="3" a="1"/>
  <c r="AA454" i="3"/>
  <c r="Z454" i="3" a="1"/>
  <c r="Z454" i="3"/>
  <c r="Y454" i="3" a="1"/>
  <c r="Y454" i="3" s="1"/>
  <c r="X454" i="3" a="1"/>
  <c r="X454" i="3" s="1"/>
  <c r="W454" i="3" a="1"/>
  <c r="W454" i="3" s="1"/>
  <c r="V454" i="3" a="1"/>
  <c r="V454" i="3"/>
  <c r="U454" i="3" a="1"/>
  <c r="U454" i="3" s="1"/>
  <c r="T454" i="3" a="1"/>
  <c r="T454" i="3"/>
  <c r="S454" i="3" a="1"/>
  <c r="S454" i="3" s="1"/>
  <c r="R454" i="3" a="1"/>
  <c r="R454" i="3" s="1"/>
  <c r="Q454" i="3" a="1"/>
  <c r="Q454" i="3"/>
  <c r="P454" i="3" a="1"/>
  <c r="P454" i="3"/>
  <c r="O454" i="3" a="1"/>
  <c r="O454" i="3"/>
  <c r="N454" i="3" a="1"/>
  <c r="N454" i="3"/>
  <c r="M454" i="3" a="1"/>
  <c r="M454" i="3" s="1"/>
  <c r="L454" i="3" a="1"/>
  <c r="L454" i="3"/>
  <c r="K454" i="3" a="1"/>
  <c r="K454" i="3" s="1"/>
  <c r="J454" i="3" a="1"/>
  <c r="J454" i="3"/>
  <c r="I454" i="3" a="1"/>
  <c r="I454" i="3" s="1"/>
  <c r="H454" i="3" a="1"/>
  <c r="H454" i="3"/>
  <c r="G454" i="3" a="1"/>
  <c r="G454" i="3" s="1"/>
  <c r="F454" i="3" a="1"/>
  <c r="F454" i="3" s="1"/>
  <c r="E454" i="3" a="1"/>
  <c r="E454" i="3" s="1"/>
  <c r="D454" i="3" a="1"/>
  <c r="D454" i="3"/>
  <c r="C454" i="3" a="1"/>
  <c r="C454" i="3"/>
  <c r="A454" i="3"/>
  <c r="AE453" i="3" a="1"/>
  <c r="AE453" i="3"/>
  <c r="AD453" i="3" a="1"/>
  <c r="AD453" i="3" s="1"/>
  <c r="AC453" i="3" a="1"/>
  <c r="AC453" i="3" s="1"/>
  <c r="AB453" i="3" a="1"/>
  <c r="AB453" i="3"/>
  <c r="AA453" i="3" a="1"/>
  <c r="AA453" i="3" s="1"/>
  <c r="Z453" i="3" a="1"/>
  <c r="Z453" i="3"/>
  <c r="Y453" i="3" a="1"/>
  <c r="Y453" i="3"/>
  <c r="X453" i="3" a="1"/>
  <c r="X453" i="3"/>
  <c r="W453" i="3" a="1"/>
  <c r="W453" i="3" s="1"/>
  <c r="V453" i="3" a="1"/>
  <c r="V453" i="3"/>
  <c r="U453" i="3" a="1"/>
  <c r="U453" i="3" s="1"/>
  <c r="T453" i="3" a="1"/>
  <c r="T453" i="3"/>
  <c r="S453" i="3" a="1"/>
  <c r="S453" i="3"/>
  <c r="R453" i="3" a="1"/>
  <c r="R453" i="3"/>
  <c r="Q453" i="3" a="1"/>
  <c r="Q453" i="3" s="1"/>
  <c r="P453" i="3" a="1"/>
  <c r="P453" i="3"/>
  <c r="O453" i="3" a="1"/>
  <c r="O453" i="3" s="1"/>
  <c r="N453" i="3" a="1"/>
  <c r="N453" i="3" s="1"/>
  <c r="M453" i="3" a="1"/>
  <c r="M453" i="3"/>
  <c r="L453" i="3" a="1"/>
  <c r="L453" i="3"/>
  <c r="K453" i="3" a="1"/>
  <c r="K453" i="3" s="1"/>
  <c r="J453" i="3" a="1"/>
  <c r="J453" i="3"/>
  <c r="I453" i="3" a="1"/>
  <c r="I453" i="3" s="1"/>
  <c r="H453" i="3" a="1"/>
  <c r="H453" i="3" s="1"/>
  <c r="G453" i="3" a="1"/>
  <c r="G453" i="3"/>
  <c r="F453" i="3" a="1"/>
  <c r="F453" i="3"/>
  <c r="E453" i="3" a="1"/>
  <c r="E453" i="3" s="1"/>
  <c r="D453" i="3" a="1"/>
  <c r="D453" i="3"/>
  <c r="A453" i="3"/>
  <c r="AE452" i="3" a="1"/>
  <c r="AE452" i="3"/>
  <c r="AD452" i="3" a="1"/>
  <c r="AD452" i="3" s="1"/>
  <c r="AC452" i="3" a="1"/>
  <c r="AC452" i="3"/>
  <c r="AB452" i="3" a="1"/>
  <c r="AB452" i="3" s="1"/>
  <c r="AA452" i="3" a="1"/>
  <c r="AA452" i="3"/>
  <c r="Z452" i="3" a="1"/>
  <c r="Z452" i="3" s="1"/>
  <c r="Y452" i="3" a="1"/>
  <c r="Y452" i="3" s="1"/>
  <c r="X452" i="3" a="1"/>
  <c r="X452" i="3" s="1"/>
  <c r="W452" i="3" a="1"/>
  <c r="W452" i="3"/>
  <c r="V452" i="3" a="1"/>
  <c r="V452" i="3"/>
  <c r="U452" i="3" a="1"/>
  <c r="U452" i="3"/>
  <c r="T452" i="3" a="1"/>
  <c r="T452" i="3" s="1"/>
  <c r="S452" i="3" a="1"/>
  <c r="S452" i="3"/>
  <c r="R452" i="3" a="1"/>
  <c r="R452" i="3"/>
  <c r="Q452" i="3" a="1"/>
  <c r="Q452" i="3"/>
  <c r="P452" i="3" a="1"/>
  <c r="P452" i="3" s="1"/>
  <c r="O452" i="3" a="1"/>
  <c r="O452" i="3"/>
  <c r="N452" i="3" a="1"/>
  <c r="N452" i="3" s="1"/>
  <c r="M452" i="3" a="1"/>
  <c r="M452" i="3"/>
  <c r="L452" i="3" a="1"/>
  <c r="L452" i="3" s="1"/>
  <c r="K452" i="3" a="1"/>
  <c r="K452" i="3"/>
  <c r="J452" i="3" a="1"/>
  <c r="J452" i="3"/>
  <c r="I452" i="3" a="1"/>
  <c r="I452" i="3"/>
  <c r="H452" i="3" a="1"/>
  <c r="H452" i="3" s="1"/>
  <c r="G452" i="3" a="1"/>
  <c r="G452" i="3" s="1"/>
  <c r="F452" i="3" a="1"/>
  <c r="F452" i="3"/>
  <c r="E452" i="3" a="1"/>
  <c r="E452" i="3"/>
  <c r="D452" i="3" a="1"/>
  <c r="D452" i="3" s="1"/>
  <c r="C452" i="3" a="1"/>
  <c r="C452" i="3"/>
  <c r="A452" i="3"/>
  <c r="AE451" i="3" a="1"/>
  <c r="AE451" i="3" s="1"/>
  <c r="AD451" i="3" a="1"/>
  <c r="AD451" i="3" s="1"/>
  <c r="AC451" i="3" a="1"/>
  <c r="AC451" i="3"/>
  <c r="AB451" i="3" a="1"/>
  <c r="AB451" i="3" s="1"/>
  <c r="AA451" i="3" a="1"/>
  <c r="AA451" i="3" s="1"/>
  <c r="Z451" i="3" a="1"/>
  <c r="Z451" i="3"/>
  <c r="Y451" i="3" a="1"/>
  <c r="Y451" i="3" s="1"/>
  <c r="X451" i="3" a="1"/>
  <c r="X451" i="3" s="1"/>
  <c r="W451" i="3" a="1"/>
  <c r="W451" i="3"/>
  <c r="V451" i="3" a="1"/>
  <c r="V451" i="3" s="1"/>
  <c r="U451" i="3" a="1"/>
  <c r="U451" i="3"/>
  <c r="T451" i="3" a="1"/>
  <c r="T451" i="3"/>
  <c r="S451" i="3" a="1"/>
  <c r="S451" i="3" s="1"/>
  <c r="R451" i="3" a="1"/>
  <c r="R451" i="3" s="1"/>
  <c r="Q451" i="3" a="1"/>
  <c r="Q451" i="3"/>
  <c r="P451" i="3" a="1"/>
  <c r="P451" i="3" s="1"/>
  <c r="O451" i="3" a="1"/>
  <c r="O451" i="3"/>
  <c r="N451" i="3" a="1"/>
  <c r="N451" i="3"/>
  <c r="M451" i="3" a="1"/>
  <c r="M451" i="3" s="1"/>
  <c r="L451" i="3" a="1"/>
  <c r="L451" i="3" s="1"/>
  <c r="K451" i="3" a="1"/>
  <c r="K451" i="3"/>
  <c r="J451" i="3" a="1"/>
  <c r="J451" i="3" s="1"/>
  <c r="I451" i="3" a="1"/>
  <c r="I451" i="3" s="1"/>
  <c r="H451" i="3" a="1"/>
  <c r="H451" i="3"/>
  <c r="G451" i="3" a="1"/>
  <c r="G451" i="3"/>
  <c r="F451" i="3" a="1"/>
  <c r="F451" i="3" s="1"/>
  <c r="E451" i="3" a="1"/>
  <c r="E451" i="3"/>
  <c r="D451" i="3" a="1"/>
  <c r="D451" i="3" s="1"/>
  <c r="C451" i="3" a="1"/>
  <c r="C451" i="3" s="1"/>
  <c r="A451" i="3"/>
  <c r="AE450" i="3" a="1"/>
  <c r="AE450" i="3"/>
  <c r="AD450" i="3" a="1"/>
  <c r="AD450" i="3"/>
  <c r="AC450" i="3" a="1"/>
  <c r="AC450" i="3" s="1"/>
  <c r="AB450" i="3" a="1"/>
  <c r="AB450" i="3"/>
  <c r="AA450" i="3" a="1"/>
  <c r="AA450" i="3" s="1"/>
  <c r="Z450" i="3" a="1"/>
  <c r="Z450" i="3"/>
  <c r="Y450" i="3" a="1"/>
  <c r="Y450" i="3"/>
  <c r="X450" i="3" a="1"/>
  <c r="X450" i="3"/>
  <c r="W450" i="3" a="1"/>
  <c r="W450" i="3" s="1"/>
  <c r="V450" i="3" a="1"/>
  <c r="V450" i="3"/>
  <c r="U450" i="3" a="1"/>
  <c r="U450" i="3" s="1"/>
  <c r="T450" i="3" a="1"/>
  <c r="T450" i="3" s="1"/>
  <c r="S450" i="3" a="1"/>
  <c r="S450" i="3" s="1"/>
  <c r="R450" i="3" a="1"/>
  <c r="R450" i="3"/>
  <c r="Q450" i="3" a="1"/>
  <c r="Q450" i="3"/>
  <c r="P450" i="3" a="1"/>
  <c r="P450" i="3"/>
  <c r="O450" i="3" a="1"/>
  <c r="O450" i="3" s="1"/>
  <c r="N450" i="3" a="1"/>
  <c r="N450" i="3"/>
  <c r="M450" i="3" a="1"/>
  <c r="M450" i="3"/>
  <c r="L450" i="3" a="1"/>
  <c r="L450" i="3"/>
  <c r="K450" i="3" a="1"/>
  <c r="K450" i="3" s="1"/>
  <c r="J450" i="3" a="1"/>
  <c r="J450" i="3"/>
  <c r="I450" i="3" a="1"/>
  <c r="I450" i="3" s="1"/>
  <c r="A450" i="3"/>
  <c r="AE449" i="3" a="1"/>
  <c r="AE449" i="3"/>
  <c r="AD449" i="3" a="1"/>
  <c r="AD449" i="3"/>
  <c r="AC449" i="3" a="1"/>
  <c r="AC449" i="3" s="1"/>
  <c r="AB449" i="3" a="1"/>
  <c r="AB449" i="3" s="1"/>
  <c r="AA449" i="3" a="1"/>
  <c r="AA449" i="3"/>
  <c r="Z449" i="3" a="1"/>
  <c r="Z449" i="3"/>
  <c r="Y449" i="3" a="1"/>
  <c r="Y449" i="3" s="1"/>
  <c r="X449" i="3" a="1"/>
  <c r="X449" i="3"/>
  <c r="W449" i="3" a="1"/>
  <c r="W449" i="3" s="1"/>
  <c r="V449" i="3" a="1"/>
  <c r="V449" i="3"/>
  <c r="U449" i="3" a="1"/>
  <c r="U449" i="3"/>
  <c r="T449" i="3" a="1"/>
  <c r="T449" i="3" s="1"/>
  <c r="S449" i="3" a="1"/>
  <c r="S449" i="3" s="1"/>
  <c r="R449" i="3" a="1"/>
  <c r="R449" i="3"/>
  <c r="Q449" i="3" a="1"/>
  <c r="Q449" i="3" s="1"/>
  <c r="P449" i="3" a="1"/>
  <c r="P449" i="3" s="1"/>
  <c r="O449" i="3" a="1"/>
  <c r="O449" i="3"/>
  <c r="N449" i="3" a="1"/>
  <c r="N449" i="3"/>
  <c r="M449" i="3" a="1"/>
  <c r="M449" i="3"/>
  <c r="L449" i="3" a="1"/>
  <c r="L449" i="3"/>
  <c r="K449" i="3" a="1"/>
  <c r="K449" i="3" s="1"/>
  <c r="J449" i="3" a="1"/>
  <c r="J449" i="3"/>
  <c r="I449" i="3" a="1"/>
  <c r="I449" i="3"/>
  <c r="H449" i="3" a="1"/>
  <c r="H449" i="3"/>
  <c r="G449" i="3" a="1"/>
  <c r="G449" i="3" s="1"/>
  <c r="F449" i="3" a="1"/>
  <c r="F449" i="3"/>
  <c r="E449" i="3" a="1"/>
  <c r="E449" i="3" s="1"/>
  <c r="D449" i="3" a="1"/>
  <c r="D449" i="3" s="1"/>
  <c r="C449" i="3" a="1"/>
  <c r="C449" i="3"/>
  <c r="A449" i="3"/>
  <c r="AE448" i="3" a="1"/>
  <c r="AE448" i="3" s="1"/>
  <c r="AD448" i="3" a="1"/>
  <c r="AD448" i="3"/>
  <c r="AC448" i="3" a="1"/>
  <c r="AC448" i="3"/>
  <c r="AB448" i="3" a="1"/>
  <c r="AB448" i="3" s="1"/>
  <c r="AA448" i="3" a="1"/>
  <c r="AA448" i="3"/>
  <c r="Z448" i="3" a="1"/>
  <c r="Z448" i="3"/>
  <c r="Y448" i="3" a="1"/>
  <c r="Y448" i="3" s="1"/>
  <c r="X448" i="3" a="1"/>
  <c r="X448" i="3"/>
  <c r="W448" i="3" a="1"/>
  <c r="W448" i="3"/>
  <c r="V448" i="3" a="1"/>
  <c r="V448" i="3" s="1"/>
  <c r="U448" i="3" a="1"/>
  <c r="U448" i="3"/>
  <c r="T448" i="3" a="1"/>
  <c r="T448" i="3"/>
  <c r="S448" i="3" a="1"/>
  <c r="S448" i="3" s="1"/>
  <c r="R448" i="3" a="1"/>
  <c r="R448" i="3" s="1"/>
  <c r="Q448" i="3" a="1"/>
  <c r="Q448" i="3"/>
  <c r="P448" i="3" a="1"/>
  <c r="P448" i="3" s="1"/>
  <c r="O448" i="3" a="1"/>
  <c r="O448" i="3" s="1"/>
  <c r="N448" i="3" a="1"/>
  <c r="N448" i="3"/>
  <c r="M448" i="3" a="1"/>
  <c r="M448" i="3" s="1"/>
  <c r="L448" i="3" a="1"/>
  <c r="L448" i="3" s="1"/>
  <c r="K448" i="3" a="1"/>
  <c r="K448" i="3"/>
  <c r="J448" i="3" a="1"/>
  <c r="J448" i="3" s="1"/>
  <c r="I448" i="3" a="1"/>
  <c r="I448" i="3" s="1"/>
  <c r="H448" i="3" a="1"/>
  <c r="H448" i="3" s="1"/>
  <c r="G448" i="3" a="1"/>
  <c r="G448" i="3" s="1"/>
  <c r="F448" i="3" a="1"/>
  <c r="F448" i="3" s="1"/>
  <c r="E448" i="3" a="1"/>
  <c r="E448" i="3"/>
  <c r="D448" i="3" a="1"/>
  <c r="D448" i="3" s="1"/>
  <c r="A448" i="3"/>
  <c r="AE447" i="3" a="1"/>
  <c r="AE447" i="3"/>
  <c r="AD447" i="3" a="1"/>
  <c r="AD447" i="3" s="1"/>
  <c r="AC447" i="3" a="1"/>
  <c r="AC447" i="3"/>
  <c r="AB447" i="3" a="1"/>
  <c r="AB447" i="3"/>
  <c r="AA447" i="3" a="1"/>
  <c r="AA447" i="3" s="1"/>
  <c r="Z447" i="3" a="1"/>
  <c r="Z447" i="3" s="1"/>
  <c r="Y447" i="3" a="1"/>
  <c r="Y447" i="3"/>
  <c r="X447" i="3" a="1"/>
  <c r="X447" i="3" s="1"/>
  <c r="W447" i="3" a="1"/>
  <c r="W447" i="3" s="1"/>
  <c r="V447" i="3" a="1"/>
  <c r="V447" i="3"/>
  <c r="U447" i="3" a="1"/>
  <c r="U447" i="3" s="1"/>
  <c r="T447" i="3" a="1"/>
  <c r="T447" i="3"/>
  <c r="S447" i="3" a="1"/>
  <c r="S447" i="3"/>
  <c r="R447" i="3" a="1"/>
  <c r="R447" i="3" s="1"/>
  <c r="Q447" i="3" a="1"/>
  <c r="Q447" i="3"/>
  <c r="P447" i="3" a="1"/>
  <c r="P447" i="3"/>
  <c r="O447" i="3" a="1"/>
  <c r="O447" i="3"/>
  <c r="N447" i="3" a="1"/>
  <c r="N447" i="3" s="1"/>
  <c r="M447" i="3" a="1"/>
  <c r="M447" i="3"/>
  <c r="L447" i="3" a="1"/>
  <c r="L447" i="3" s="1"/>
  <c r="K447" i="3" a="1"/>
  <c r="K447" i="3" s="1"/>
  <c r="J447" i="3" a="1"/>
  <c r="J447" i="3"/>
  <c r="I447" i="3" a="1"/>
  <c r="I447" i="3" s="1"/>
  <c r="H447" i="3" a="1"/>
  <c r="H447" i="3" s="1"/>
  <c r="G447" i="3" a="1"/>
  <c r="G447" i="3"/>
  <c r="F447" i="3" a="1"/>
  <c r="F447" i="3" s="1"/>
  <c r="E447" i="3" a="1"/>
  <c r="E447" i="3" s="1"/>
  <c r="D447" i="3" a="1"/>
  <c r="D447" i="3"/>
  <c r="C447" i="3" a="1"/>
  <c r="C447" i="3"/>
  <c r="A447" i="3"/>
  <c r="AE446" i="3" a="1"/>
  <c r="AE446" i="3"/>
  <c r="AD446" i="3" a="1"/>
  <c r="AD446" i="3"/>
  <c r="AC446" i="3" a="1"/>
  <c r="AC446" i="3" s="1"/>
  <c r="AB446" i="3" a="1"/>
  <c r="AB446" i="3"/>
  <c r="AA446" i="3" a="1"/>
  <c r="AA446" i="3"/>
  <c r="Z446" i="3" a="1"/>
  <c r="Z446" i="3" s="1"/>
  <c r="Y446" i="3" a="1"/>
  <c r="Y446" i="3" s="1"/>
  <c r="X446" i="3" a="1"/>
  <c r="X446" i="3"/>
  <c r="W446" i="3" a="1"/>
  <c r="W446" i="3" s="1"/>
  <c r="V446" i="3" a="1"/>
  <c r="V446" i="3" s="1"/>
  <c r="U446" i="3" a="1"/>
  <c r="U446" i="3" s="1"/>
  <c r="T446" i="3" a="1"/>
  <c r="T446" i="3" s="1"/>
  <c r="S446" i="3" a="1"/>
  <c r="S446" i="3" s="1"/>
  <c r="R446" i="3" a="1"/>
  <c r="R446" i="3"/>
  <c r="Q446" i="3" a="1"/>
  <c r="Q446" i="3" s="1"/>
  <c r="P446" i="3" a="1"/>
  <c r="P446" i="3" s="1"/>
  <c r="O446" i="3" a="1"/>
  <c r="O446" i="3" s="1"/>
  <c r="N446" i="3" a="1"/>
  <c r="N446" i="3" s="1"/>
  <c r="M446" i="3" a="1"/>
  <c r="M446" i="3" s="1"/>
  <c r="L446" i="3" a="1"/>
  <c r="L446" i="3"/>
  <c r="K446" i="3" a="1"/>
  <c r="K446" i="3" s="1"/>
  <c r="J446" i="3" a="1"/>
  <c r="J446" i="3" s="1"/>
  <c r="I446" i="3" a="1"/>
  <c r="I446" i="3" s="1"/>
  <c r="H446" i="3" a="1"/>
  <c r="H446" i="3" s="1"/>
  <c r="G446" i="3" a="1"/>
  <c r="G446" i="3"/>
  <c r="F446" i="3" a="1"/>
  <c r="F446" i="3"/>
  <c r="E446" i="3" a="1"/>
  <c r="E446" i="3" s="1"/>
  <c r="D446" i="3" a="1"/>
  <c r="D446" i="3"/>
  <c r="C446" i="3" a="1"/>
  <c r="C446" i="3" s="1"/>
  <c r="A446" i="3"/>
  <c r="AE445" i="3" a="1"/>
  <c r="AE445" i="3" s="1"/>
  <c r="AD445" i="3" a="1"/>
  <c r="AD445" i="3" s="1"/>
  <c r="AC445" i="3" a="1"/>
  <c r="AC445" i="3"/>
  <c r="AB445" i="3" a="1"/>
  <c r="AB445" i="3" s="1"/>
  <c r="AA445" i="3" a="1"/>
  <c r="AA445" i="3" s="1"/>
  <c r="Z445" i="3" a="1"/>
  <c r="Z445" i="3"/>
  <c r="Y445" i="3" a="1"/>
  <c r="Y445" i="3" s="1"/>
  <c r="X445" i="3" a="1"/>
  <c r="X445" i="3" s="1"/>
  <c r="W445" i="3" a="1"/>
  <c r="W445" i="3"/>
  <c r="V445" i="3" a="1"/>
  <c r="V445" i="3"/>
  <c r="U445" i="3" a="1"/>
  <c r="U445" i="3"/>
  <c r="T445" i="3" a="1"/>
  <c r="T445" i="3"/>
  <c r="S445" i="3" a="1"/>
  <c r="S445" i="3" s="1"/>
  <c r="R445" i="3" a="1"/>
  <c r="R445" i="3"/>
  <c r="Q445" i="3" a="1"/>
  <c r="Q445" i="3"/>
  <c r="P445" i="3" a="1"/>
  <c r="P445" i="3" s="1"/>
  <c r="O445" i="3" a="1"/>
  <c r="O445" i="3" s="1"/>
  <c r="N445" i="3" a="1"/>
  <c r="N445" i="3"/>
  <c r="M445" i="3" a="1"/>
  <c r="M445" i="3"/>
  <c r="L445" i="3" a="1"/>
  <c r="L445" i="3"/>
  <c r="K445" i="3" a="1"/>
  <c r="K445" i="3"/>
  <c r="J445" i="3" a="1"/>
  <c r="J445" i="3" s="1"/>
  <c r="I445" i="3" a="1"/>
  <c r="I445" i="3" s="1"/>
  <c r="H445" i="3" a="1"/>
  <c r="H445" i="3"/>
  <c r="G445" i="3" a="1"/>
  <c r="G445" i="3"/>
  <c r="F445" i="3" a="1"/>
  <c r="F445" i="3"/>
  <c r="A445" i="3"/>
  <c r="AE444" i="3" a="1"/>
  <c r="AE444" i="3" s="1"/>
  <c r="AD444" i="3" a="1"/>
  <c r="AD444" i="3" s="1"/>
  <c r="AC444" i="3" a="1"/>
  <c r="AC444" i="3"/>
  <c r="AB444" i="3" a="1"/>
  <c r="AB444" i="3" s="1"/>
  <c r="AA444" i="3" a="1"/>
  <c r="AA444" i="3" s="1"/>
  <c r="Z444" i="3" a="1"/>
  <c r="Z444" i="3"/>
  <c r="Y444" i="3" a="1"/>
  <c r="Y444" i="3"/>
  <c r="X444" i="3" a="1"/>
  <c r="X444" i="3" s="1"/>
  <c r="W444" i="3" a="1"/>
  <c r="W444" i="3"/>
  <c r="V444" i="3" a="1"/>
  <c r="V444" i="3"/>
  <c r="U444" i="3" a="1"/>
  <c r="U444" i="3" s="1"/>
  <c r="T444" i="3" a="1"/>
  <c r="T444" i="3" s="1"/>
  <c r="S444" i="3" a="1"/>
  <c r="S444" i="3"/>
  <c r="R444" i="3" a="1"/>
  <c r="R444" i="3" s="1"/>
  <c r="Q444" i="3" a="1"/>
  <c r="Q444" i="3" s="1"/>
  <c r="P444" i="3" a="1"/>
  <c r="P444" i="3"/>
  <c r="O444" i="3" a="1"/>
  <c r="O444" i="3" s="1"/>
  <c r="N444" i="3" a="1"/>
  <c r="N444" i="3" s="1"/>
  <c r="M444" i="3" a="1"/>
  <c r="M444" i="3" s="1"/>
  <c r="L444" i="3" a="1"/>
  <c r="L444" i="3" s="1"/>
  <c r="K444" i="3" a="1"/>
  <c r="K444" i="3" s="1"/>
  <c r="J444" i="3" a="1"/>
  <c r="J444" i="3" s="1"/>
  <c r="I444" i="3" a="1"/>
  <c r="I444" i="3" s="1"/>
  <c r="H444" i="3" a="1"/>
  <c r="H444" i="3" s="1"/>
  <c r="G444" i="3" a="1"/>
  <c r="G444" i="3" s="1"/>
  <c r="F444" i="3" a="1"/>
  <c r="F444" i="3" s="1"/>
  <c r="E444" i="3" a="1"/>
  <c r="E444" i="3"/>
  <c r="D444" i="3" a="1"/>
  <c r="D444" i="3" s="1"/>
  <c r="A444" i="3"/>
  <c r="AE443" i="3" a="1"/>
  <c r="AE443" i="3"/>
  <c r="AD443" i="3" a="1"/>
  <c r="AD443" i="3"/>
  <c r="AC443" i="3" a="1"/>
  <c r="AC443" i="3"/>
  <c r="AB443" i="3" a="1"/>
  <c r="AB443" i="3" s="1"/>
  <c r="AA443" i="3" a="1"/>
  <c r="AA443" i="3"/>
  <c r="Z443" i="3" a="1"/>
  <c r="Z443" i="3"/>
  <c r="Y443" i="3" a="1"/>
  <c r="Y443" i="3"/>
  <c r="X443" i="3" a="1"/>
  <c r="X443" i="3"/>
  <c r="W443" i="3" a="1"/>
  <c r="W443" i="3"/>
  <c r="V443" i="3" a="1"/>
  <c r="V443" i="3" s="1"/>
  <c r="U443" i="3" a="1"/>
  <c r="U443" i="3"/>
  <c r="T443" i="3" a="1"/>
  <c r="T443" i="3"/>
  <c r="S443" i="3" a="1"/>
  <c r="S443" i="3"/>
  <c r="R443" i="3" a="1"/>
  <c r="R443" i="3"/>
  <c r="Q443" i="3" a="1"/>
  <c r="Q443" i="3"/>
  <c r="P443" i="3" a="1"/>
  <c r="P443" i="3" s="1"/>
  <c r="O443" i="3" a="1"/>
  <c r="O443" i="3"/>
  <c r="N443" i="3" a="1"/>
  <c r="N443" i="3"/>
  <c r="M443" i="3" a="1"/>
  <c r="M443" i="3"/>
  <c r="L443" i="3" a="1"/>
  <c r="L443" i="3"/>
  <c r="K443" i="3" a="1"/>
  <c r="K443" i="3"/>
  <c r="J443" i="3" a="1"/>
  <c r="J443" i="3" s="1"/>
  <c r="I443" i="3" a="1"/>
  <c r="I443" i="3"/>
  <c r="H443" i="3" a="1"/>
  <c r="H443" i="3"/>
  <c r="G443" i="3" a="1"/>
  <c r="G443" i="3"/>
  <c r="F443" i="3" a="1"/>
  <c r="F443" i="3"/>
  <c r="E443" i="3" a="1"/>
  <c r="E443" i="3"/>
  <c r="D443" i="3" a="1"/>
  <c r="D443" i="3" s="1"/>
  <c r="C443" i="3" a="1"/>
  <c r="C443" i="3" s="1"/>
  <c r="A443" i="3"/>
  <c r="AE442" i="3" a="1"/>
  <c r="AE442" i="3" s="1"/>
  <c r="AD442" i="3" a="1"/>
  <c r="AD442" i="3"/>
  <c r="AC442" i="3" a="1"/>
  <c r="AC442" i="3" s="1"/>
  <c r="AB442" i="3" a="1"/>
  <c r="AB442" i="3" s="1"/>
  <c r="AA442" i="3" a="1"/>
  <c r="AA442" i="3" s="1"/>
  <c r="Z442" i="3" a="1"/>
  <c r="Z442" i="3" s="1"/>
  <c r="Y442" i="3" a="1"/>
  <c r="Y442" i="3" s="1"/>
  <c r="X442" i="3" a="1"/>
  <c r="X442" i="3" s="1"/>
  <c r="W442" i="3" a="1"/>
  <c r="W442" i="3"/>
  <c r="V442" i="3" a="1"/>
  <c r="V442" i="3"/>
  <c r="U442" i="3" a="1"/>
  <c r="U442" i="3"/>
  <c r="T442" i="3" a="1"/>
  <c r="T442" i="3"/>
  <c r="S442" i="3" a="1"/>
  <c r="S442" i="3" s="1"/>
  <c r="R442" i="3" a="1"/>
  <c r="R442" i="3"/>
  <c r="Q442" i="3" a="1"/>
  <c r="Q442" i="3"/>
  <c r="P442" i="3" a="1"/>
  <c r="P442" i="3" s="1"/>
  <c r="O442" i="3" a="1"/>
  <c r="O442" i="3" s="1"/>
  <c r="N442" i="3" a="1"/>
  <c r="N442" i="3" s="1"/>
  <c r="M442" i="3" a="1"/>
  <c r="M442" i="3" s="1"/>
  <c r="L442" i="3" a="1"/>
  <c r="L442" i="3"/>
  <c r="K442" i="3" a="1"/>
  <c r="K442" i="3" s="1"/>
  <c r="J442" i="3" a="1"/>
  <c r="J442" i="3"/>
  <c r="I442" i="3" a="1"/>
  <c r="I442" i="3"/>
  <c r="H442" i="3" a="1"/>
  <c r="H442" i="3"/>
  <c r="G442" i="3" a="1"/>
  <c r="G442" i="3" s="1"/>
  <c r="F442" i="3" a="1"/>
  <c r="F442" i="3"/>
  <c r="E442" i="3" a="1"/>
  <c r="E442" i="3"/>
  <c r="D442" i="3" a="1"/>
  <c r="D442" i="3"/>
  <c r="A442" i="3"/>
  <c r="AE441" i="3" a="1"/>
  <c r="AE441" i="3"/>
  <c r="AD441" i="3" a="1"/>
  <c r="AD441" i="3"/>
  <c r="AC441" i="3" a="1"/>
  <c r="AC441" i="3" s="1"/>
  <c r="AB441" i="3" a="1"/>
  <c r="AB441" i="3"/>
  <c r="AA441" i="3" a="1"/>
  <c r="AA441" i="3"/>
  <c r="Z441" i="3" a="1"/>
  <c r="Z441" i="3"/>
  <c r="Y441" i="3" a="1"/>
  <c r="Y441" i="3"/>
  <c r="X441" i="3" a="1"/>
  <c r="X441" i="3"/>
  <c r="W441" i="3" a="1"/>
  <c r="W441" i="3" s="1"/>
  <c r="V441" i="3" a="1"/>
  <c r="V441" i="3"/>
  <c r="U441" i="3" a="1"/>
  <c r="U441" i="3"/>
  <c r="T441" i="3" a="1"/>
  <c r="T441" i="3"/>
  <c r="S441" i="3" a="1"/>
  <c r="S441" i="3"/>
  <c r="R441" i="3" a="1"/>
  <c r="R441" i="3"/>
  <c r="Q441" i="3" a="1"/>
  <c r="Q441" i="3" s="1"/>
  <c r="P441" i="3" a="1"/>
  <c r="P441" i="3"/>
  <c r="O441" i="3" a="1"/>
  <c r="O441" i="3"/>
  <c r="N441" i="3" a="1"/>
  <c r="N441" i="3"/>
  <c r="M441" i="3" a="1"/>
  <c r="M441" i="3"/>
  <c r="L441" i="3" a="1"/>
  <c r="L441" i="3"/>
  <c r="K441" i="3" a="1"/>
  <c r="K441" i="3" s="1"/>
  <c r="J441" i="3" a="1"/>
  <c r="J441" i="3"/>
  <c r="I441" i="3" a="1"/>
  <c r="I441" i="3"/>
  <c r="H441" i="3" a="1"/>
  <c r="H441" i="3"/>
  <c r="G441" i="3" a="1"/>
  <c r="G441" i="3"/>
  <c r="F441" i="3" a="1"/>
  <c r="F441" i="3" s="1"/>
  <c r="E441" i="3" a="1"/>
  <c r="E441" i="3" s="1"/>
  <c r="D441" i="3" a="1"/>
  <c r="D441" i="3" s="1"/>
  <c r="C441" i="3" a="1"/>
  <c r="C441" i="3"/>
  <c r="A441" i="3"/>
  <c r="AE440" i="3" a="1"/>
  <c r="AE440" i="3"/>
  <c r="AD440" i="3" a="1"/>
  <c r="AD440" i="3"/>
  <c r="AC440" i="3" a="1"/>
  <c r="AC440" i="3"/>
  <c r="AB440" i="3" a="1"/>
  <c r="AB440" i="3"/>
  <c r="AA440" i="3" a="1"/>
  <c r="AA440" i="3" s="1"/>
  <c r="Z440" i="3" a="1"/>
  <c r="Z440" i="3" s="1"/>
  <c r="Y440" i="3" a="1"/>
  <c r="Y440" i="3"/>
  <c r="X440" i="3" a="1"/>
  <c r="X440" i="3" s="1"/>
  <c r="W440" i="3" a="1"/>
  <c r="W440" i="3" s="1"/>
  <c r="V440" i="3" a="1"/>
  <c r="V440" i="3" s="1"/>
  <c r="U440" i="3" a="1"/>
  <c r="U440" i="3"/>
  <c r="T440" i="3" a="1"/>
  <c r="T440" i="3" s="1"/>
  <c r="S440" i="3" a="1"/>
  <c r="S440" i="3" s="1"/>
  <c r="R440" i="3" a="1"/>
  <c r="R440" i="3"/>
  <c r="Q440" i="3" a="1"/>
  <c r="Q440" i="3"/>
  <c r="P440" i="3" a="1"/>
  <c r="P440" i="3"/>
  <c r="O440" i="3" a="1"/>
  <c r="O440" i="3"/>
  <c r="N440" i="3" a="1"/>
  <c r="N440" i="3" s="1"/>
  <c r="M440" i="3" a="1"/>
  <c r="M440" i="3"/>
  <c r="L440" i="3" a="1"/>
  <c r="L440" i="3"/>
  <c r="K440" i="3" a="1"/>
  <c r="K440" i="3" s="1"/>
  <c r="J440" i="3" a="1"/>
  <c r="J440" i="3" s="1"/>
  <c r="I440" i="3" a="1"/>
  <c r="I440" i="3" s="1"/>
  <c r="H440" i="3" a="1"/>
  <c r="H440" i="3"/>
  <c r="G440" i="3" a="1"/>
  <c r="G440" i="3"/>
  <c r="F440" i="3" a="1"/>
  <c r="F440" i="3"/>
  <c r="E440" i="3" a="1"/>
  <c r="E440" i="3" s="1"/>
  <c r="D440" i="3" a="1"/>
  <c r="D440" i="3" s="1"/>
  <c r="C440" i="3" a="1"/>
  <c r="C440" i="3" s="1"/>
  <c r="A440" i="3"/>
  <c r="AE439" i="3" a="1"/>
  <c r="AE439" i="3" s="1"/>
  <c r="AD439" i="3" a="1"/>
  <c r="AD439" i="3"/>
  <c r="AC439" i="3" a="1"/>
  <c r="AC439" i="3"/>
  <c r="AB439" i="3" a="1"/>
  <c r="AB439" i="3"/>
  <c r="AA439" i="3" a="1"/>
  <c r="AA439" i="3"/>
  <c r="Z439" i="3" a="1"/>
  <c r="Z439" i="3" s="1"/>
  <c r="Y439" i="3" a="1"/>
  <c r="Y439" i="3" s="1"/>
  <c r="X439" i="3" a="1"/>
  <c r="X439" i="3"/>
  <c r="W439" i="3" a="1"/>
  <c r="W439" i="3"/>
  <c r="V439" i="3" a="1"/>
  <c r="V439" i="3"/>
  <c r="U439" i="3" a="1"/>
  <c r="U439" i="3" s="1"/>
  <c r="T439" i="3" a="1"/>
  <c r="T439" i="3" s="1"/>
  <c r="S439" i="3" a="1"/>
  <c r="S439" i="3" s="1"/>
  <c r="R439" i="3" a="1"/>
  <c r="R439" i="3"/>
  <c r="Q439" i="3" a="1"/>
  <c r="Q439" i="3"/>
  <c r="P439" i="3" a="1"/>
  <c r="P439" i="3"/>
  <c r="O439" i="3" a="1"/>
  <c r="O439" i="3" s="1"/>
  <c r="N439" i="3" a="1"/>
  <c r="N439" i="3" s="1"/>
  <c r="M439" i="3" a="1"/>
  <c r="M439" i="3" s="1"/>
  <c r="L439" i="3" a="1"/>
  <c r="L439" i="3"/>
  <c r="K439" i="3" a="1"/>
  <c r="K439" i="3"/>
  <c r="J439" i="3" a="1"/>
  <c r="J439" i="3"/>
  <c r="I439" i="3" a="1"/>
  <c r="I439" i="3" s="1"/>
  <c r="H439" i="3" a="1"/>
  <c r="H439" i="3" s="1"/>
  <c r="G439" i="3" a="1"/>
  <c r="G439" i="3" s="1"/>
  <c r="F439" i="3" a="1"/>
  <c r="F439" i="3"/>
  <c r="E439" i="3" a="1"/>
  <c r="E439" i="3"/>
  <c r="D439" i="3" a="1"/>
  <c r="D439" i="3"/>
  <c r="C439" i="3" a="1"/>
  <c r="C439" i="3" s="1"/>
  <c r="A439" i="3"/>
  <c r="AE438" i="3" a="1"/>
  <c r="AE438" i="3"/>
  <c r="AD438" i="3" a="1"/>
  <c r="AD438" i="3" s="1"/>
  <c r="AC438" i="3" a="1"/>
  <c r="AC438" i="3" s="1"/>
  <c r="AB438" i="3" a="1"/>
  <c r="AB438" i="3"/>
  <c r="AA438" i="3" a="1"/>
  <c r="AA438" i="3"/>
  <c r="Z438" i="3" a="1"/>
  <c r="Z438" i="3"/>
  <c r="Y438" i="3" a="1"/>
  <c r="Y438" i="3"/>
  <c r="X438" i="3" a="1"/>
  <c r="X438" i="3" s="1"/>
  <c r="W438" i="3" a="1"/>
  <c r="W438" i="3" s="1"/>
  <c r="V438" i="3" a="1"/>
  <c r="V438" i="3"/>
  <c r="U438" i="3" a="1"/>
  <c r="U438" i="3"/>
  <c r="T438" i="3" a="1"/>
  <c r="T438" i="3"/>
  <c r="S438" i="3" a="1"/>
  <c r="S438" i="3"/>
  <c r="R438" i="3" a="1"/>
  <c r="R438" i="3" s="1"/>
  <c r="Q438" i="3" a="1"/>
  <c r="Q438" i="3" s="1"/>
  <c r="P438" i="3" a="1"/>
  <c r="P438" i="3" s="1"/>
  <c r="O438" i="3" a="1"/>
  <c r="O438" i="3"/>
  <c r="N438" i="3" a="1"/>
  <c r="N438" i="3"/>
  <c r="M438" i="3" a="1"/>
  <c r="M438" i="3"/>
  <c r="L438" i="3" a="1"/>
  <c r="L438" i="3" s="1"/>
  <c r="K438" i="3" a="1"/>
  <c r="K438" i="3" s="1"/>
  <c r="J438" i="3" a="1"/>
  <c r="J438" i="3" s="1"/>
  <c r="I438" i="3" a="1"/>
  <c r="I438" i="3"/>
  <c r="H438" i="3" a="1"/>
  <c r="H438" i="3"/>
  <c r="G438" i="3" a="1"/>
  <c r="G438" i="3"/>
  <c r="F438" i="3" a="1"/>
  <c r="F438" i="3" s="1"/>
  <c r="E438" i="3" a="1"/>
  <c r="E438" i="3" s="1"/>
  <c r="D438" i="3" a="1"/>
  <c r="D438" i="3" s="1"/>
  <c r="C438" i="3" a="1"/>
  <c r="C438" i="3"/>
  <c r="A438" i="3"/>
  <c r="AE437" i="3" a="1"/>
  <c r="AE437" i="3"/>
  <c r="AD437" i="3" a="1"/>
  <c r="AD437" i="3"/>
  <c r="AC437" i="3" a="1"/>
  <c r="AC437" i="3"/>
  <c r="AB437" i="3" a="1"/>
  <c r="AB437" i="3"/>
  <c r="AA437" i="3" a="1"/>
  <c r="AA437" i="3" s="1"/>
  <c r="Z437" i="3" a="1"/>
  <c r="Z437" i="3" s="1"/>
  <c r="Y437" i="3" a="1"/>
  <c r="Y437" i="3"/>
  <c r="X437" i="3" a="1"/>
  <c r="X437" i="3"/>
  <c r="W437" i="3" a="1"/>
  <c r="W437" i="3"/>
  <c r="V437" i="3" a="1"/>
  <c r="V437" i="3" s="1"/>
  <c r="U437" i="3" a="1"/>
  <c r="U437" i="3" s="1"/>
  <c r="T437" i="3" a="1"/>
  <c r="T437" i="3" s="1"/>
  <c r="S437" i="3" a="1"/>
  <c r="S437" i="3"/>
  <c r="R437" i="3" a="1"/>
  <c r="R437" i="3"/>
  <c r="Q437" i="3" a="1"/>
  <c r="Q437" i="3"/>
  <c r="P437" i="3" a="1"/>
  <c r="P437" i="3" s="1"/>
  <c r="O437" i="3" a="1"/>
  <c r="O437" i="3" s="1"/>
  <c r="N437" i="3" a="1"/>
  <c r="N437" i="3" s="1"/>
  <c r="M437" i="3" a="1"/>
  <c r="M437" i="3"/>
  <c r="L437" i="3" a="1"/>
  <c r="L437" i="3"/>
  <c r="K437" i="3" a="1"/>
  <c r="K437" i="3"/>
  <c r="J437" i="3" a="1"/>
  <c r="J437" i="3" s="1"/>
  <c r="I437" i="3" a="1"/>
  <c r="I437" i="3" s="1"/>
  <c r="H437" i="3" a="1"/>
  <c r="H437" i="3" s="1"/>
  <c r="G437" i="3" a="1"/>
  <c r="G437" i="3"/>
  <c r="F437" i="3" a="1"/>
  <c r="F437" i="3"/>
  <c r="E437" i="3" a="1"/>
  <c r="E437" i="3"/>
  <c r="D437" i="3" a="1"/>
  <c r="D437" i="3" s="1"/>
  <c r="C437" i="3" a="1"/>
  <c r="C437" i="3" s="1"/>
  <c r="A437" i="3"/>
  <c r="AE436" i="3" a="1"/>
  <c r="AE436" i="3"/>
  <c r="AD436" i="3" a="1"/>
  <c r="AD436" i="3" s="1"/>
  <c r="AC436" i="3" a="1"/>
  <c r="AC436" i="3"/>
  <c r="AB436" i="3" a="1"/>
  <c r="AB436" i="3"/>
  <c r="AA436" i="3" a="1"/>
  <c r="AA436" i="3"/>
  <c r="Z436" i="3" a="1"/>
  <c r="Z436" i="3"/>
  <c r="Y436" i="3" a="1"/>
  <c r="Y436" i="3"/>
  <c r="X436" i="3" a="1"/>
  <c r="X436" i="3" s="1"/>
  <c r="W436" i="3" a="1"/>
  <c r="W436" i="3" s="1"/>
  <c r="V436" i="3" a="1"/>
  <c r="V436" i="3"/>
  <c r="U436" i="3" a="1"/>
  <c r="U436" i="3"/>
  <c r="T436" i="3" a="1"/>
  <c r="T436" i="3"/>
  <c r="S436" i="3" a="1"/>
  <c r="S436" i="3"/>
  <c r="R436" i="3" a="1"/>
  <c r="R436" i="3" s="1"/>
  <c r="Q436" i="3" a="1"/>
  <c r="Q436" i="3" s="1"/>
  <c r="P436" i="3" a="1"/>
  <c r="P436" i="3"/>
  <c r="O436" i="3" a="1"/>
  <c r="O436" i="3"/>
  <c r="N436" i="3" a="1"/>
  <c r="N436" i="3"/>
  <c r="M436" i="3" a="1"/>
  <c r="M436" i="3" s="1"/>
  <c r="L436" i="3" a="1"/>
  <c r="L436" i="3" s="1"/>
  <c r="K436" i="3" a="1"/>
  <c r="K436" i="3" s="1"/>
  <c r="J436" i="3" a="1"/>
  <c r="J436" i="3"/>
  <c r="I436" i="3" a="1"/>
  <c r="I436" i="3"/>
  <c r="H436" i="3" a="1"/>
  <c r="H436" i="3"/>
  <c r="G436" i="3" a="1"/>
  <c r="G436" i="3" s="1"/>
  <c r="F436" i="3" a="1"/>
  <c r="F436" i="3" s="1"/>
  <c r="E436" i="3" a="1"/>
  <c r="E436" i="3" s="1"/>
  <c r="A436" i="3"/>
  <c r="AE435" i="3" a="1"/>
  <c r="AE435" i="3"/>
  <c r="AD435" i="3" a="1"/>
  <c r="AD435" i="3"/>
  <c r="AC435" i="3" a="1"/>
  <c r="AC435" i="3"/>
  <c r="AB435" i="3" a="1"/>
  <c r="AB435" i="3" s="1"/>
  <c r="AA435" i="3" a="1"/>
  <c r="AA435" i="3" s="1"/>
  <c r="Z435" i="3" a="1"/>
  <c r="Z435" i="3"/>
  <c r="Y435" i="3" a="1"/>
  <c r="Y435" i="3"/>
  <c r="X435" i="3" a="1"/>
  <c r="X435" i="3"/>
  <c r="W435" i="3" a="1"/>
  <c r="W435" i="3" s="1"/>
  <c r="V435" i="3" a="1"/>
  <c r="V435" i="3" s="1"/>
  <c r="U435" i="3" a="1"/>
  <c r="U435" i="3" s="1"/>
  <c r="T435" i="3" a="1"/>
  <c r="T435" i="3"/>
  <c r="S435" i="3" a="1"/>
  <c r="S435" i="3"/>
  <c r="R435" i="3" a="1"/>
  <c r="R435" i="3"/>
  <c r="Q435" i="3" a="1"/>
  <c r="Q435" i="3" s="1"/>
  <c r="P435" i="3" a="1"/>
  <c r="P435" i="3" s="1"/>
  <c r="O435" i="3" a="1"/>
  <c r="O435" i="3" s="1"/>
  <c r="N435" i="3" a="1"/>
  <c r="N435" i="3"/>
  <c r="M435" i="3" a="1"/>
  <c r="M435" i="3"/>
  <c r="L435" i="3" a="1"/>
  <c r="L435" i="3"/>
  <c r="K435" i="3" a="1"/>
  <c r="K435" i="3" s="1"/>
  <c r="J435" i="3" a="1"/>
  <c r="J435" i="3" s="1"/>
  <c r="I435" i="3" a="1"/>
  <c r="I435" i="3" s="1"/>
  <c r="H435" i="3" a="1"/>
  <c r="H435" i="3"/>
  <c r="G435" i="3" a="1"/>
  <c r="G435" i="3"/>
  <c r="F435" i="3" a="1"/>
  <c r="F435" i="3"/>
  <c r="E435" i="3" a="1"/>
  <c r="E435" i="3" s="1"/>
  <c r="D435" i="3" a="1"/>
  <c r="D435" i="3" s="1"/>
  <c r="A435" i="3"/>
  <c r="AE434" i="3" a="1"/>
  <c r="AE434" i="3" s="1"/>
  <c r="AD434" i="3" a="1"/>
  <c r="AD434" i="3" s="1"/>
  <c r="AC434" i="3" a="1"/>
  <c r="AC434" i="3"/>
  <c r="AB434" i="3" a="1"/>
  <c r="AB434" i="3"/>
  <c r="AA434" i="3" a="1"/>
  <c r="AA434" i="3"/>
  <c r="Z434" i="3" a="1"/>
  <c r="Z434" i="3"/>
  <c r="Y434" i="3" a="1"/>
  <c r="Y434" i="3" s="1"/>
  <c r="X434" i="3" a="1"/>
  <c r="X434" i="3" s="1"/>
  <c r="W434" i="3" a="1"/>
  <c r="W434" i="3"/>
  <c r="V434" i="3" a="1"/>
  <c r="V434" i="3"/>
  <c r="U434" i="3" a="1"/>
  <c r="U434" i="3"/>
  <c r="T434" i="3" a="1"/>
  <c r="T434" i="3"/>
  <c r="S434" i="3" a="1"/>
  <c r="S434" i="3" s="1"/>
  <c r="R434" i="3" a="1"/>
  <c r="R434" i="3" s="1"/>
  <c r="Q434" i="3" a="1"/>
  <c r="Q434" i="3"/>
  <c r="P434" i="3" a="1"/>
  <c r="P434" i="3"/>
  <c r="O434" i="3" a="1"/>
  <c r="O434" i="3"/>
  <c r="N434" i="3" a="1"/>
  <c r="N434" i="3"/>
  <c r="M434" i="3" a="1"/>
  <c r="M434" i="3" s="1"/>
  <c r="L434" i="3" a="1"/>
  <c r="L434" i="3" s="1"/>
  <c r="K434" i="3" a="1"/>
  <c r="K434" i="3"/>
  <c r="J434" i="3" a="1"/>
  <c r="J434" i="3"/>
  <c r="I434" i="3" a="1"/>
  <c r="I434" i="3"/>
  <c r="H434" i="3" a="1"/>
  <c r="H434" i="3" s="1"/>
  <c r="G434" i="3" a="1"/>
  <c r="G434" i="3" s="1"/>
  <c r="F434" i="3" a="1"/>
  <c r="F434" i="3" s="1"/>
  <c r="E434" i="3" a="1"/>
  <c r="E434" i="3"/>
  <c r="D434" i="3" a="1"/>
  <c r="D434" i="3"/>
  <c r="C434" i="3" a="1"/>
  <c r="C434" i="3"/>
  <c r="A434" i="3"/>
  <c r="AE433" i="3" a="1"/>
  <c r="AE433" i="3"/>
  <c r="AD433" i="3" a="1"/>
  <c r="AD433" i="3"/>
  <c r="AC433" i="3" a="1"/>
  <c r="AC433" i="3" s="1"/>
  <c r="AB433" i="3" a="1"/>
  <c r="AB433" i="3" s="1"/>
  <c r="AA433" i="3" a="1"/>
  <c r="AA433" i="3"/>
  <c r="Z433" i="3" a="1"/>
  <c r="Z433" i="3"/>
  <c r="Y433" i="3" a="1"/>
  <c r="Y433" i="3"/>
  <c r="X433" i="3" a="1"/>
  <c r="X433" i="3"/>
  <c r="W433" i="3" a="1"/>
  <c r="W433" i="3" s="1"/>
  <c r="V433" i="3" a="1"/>
  <c r="V433" i="3" s="1"/>
  <c r="U433" i="3" a="1"/>
  <c r="U433" i="3"/>
  <c r="T433" i="3" a="1"/>
  <c r="T433" i="3"/>
  <c r="S433" i="3" a="1"/>
  <c r="S433" i="3"/>
  <c r="R433" i="3" a="1"/>
  <c r="R433" i="3"/>
  <c r="Q433" i="3" a="1"/>
  <c r="Q433" i="3" s="1"/>
  <c r="P433" i="3" a="1"/>
  <c r="P433" i="3" s="1"/>
  <c r="O433" i="3" a="1"/>
  <c r="O433" i="3"/>
  <c r="N433" i="3" a="1"/>
  <c r="N433" i="3"/>
  <c r="M433" i="3" a="1"/>
  <c r="M433" i="3"/>
  <c r="L433" i="3" a="1"/>
  <c r="L433" i="3"/>
  <c r="K433" i="3" a="1"/>
  <c r="K433" i="3" s="1"/>
  <c r="J433" i="3" a="1"/>
  <c r="J433" i="3" s="1"/>
  <c r="I433" i="3" a="1"/>
  <c r="I433" i="3"/>
  <c r="H433" i="3" a="1"/>
  <c r="H433" i="3"/>
  <c r="G433" i="3" a="1"/>
  <c r="G433" i="3"/>
  <c r="F433" i="3" a="1"/>
  <c r="F433" i="3"/>
  <c r="E433" i="3" a="1"/>
  <c r="E433" i="3" s="1"/>
  <c r="D433" i="3" a="1"/>
  <c r="D433" i="3" s="1"/>
  <c r="C433" i="3" a="1"/>
  <c r="C433" i="3" s="1"/>
  <c r="A433" i="3"/>
  <c r="AE432" i="3" a="1"/>
  <c r="AE432" i="3" s="1"/>
  <c r="AD432" i="3" a="1"/>
  <c r="AD432" i="3"/>
  <c r="AC432" i="3" a="1"/>
  <c r="AC432" i="3"/>
  <c r="AB432" i="3" a="1"/>
  <c r="AB432" i="3"/>
  <c r="AA432" i="3" a="1"/>
  <c r="AA432" i="3"/>
  <c r="Z432" i="3" a="1"/>
  <c r="Z432" i="3" s="1"/>
  <c r="Y432" i="3" a="1"/>
  <c r="Y432" i="3" s="1"/>
  <c r="X432" i="3" a="1"/>
  <c r="X432" i="3"/>
  <c r="W432" i="3" a="1"/>
  <c r="W432" i="3"/>
  <c r="V432" i="3" a="1"/>
  <c r="V432" i="3"/>
  <c r="U432" i="3" a="1"/>
  <c r="U432" i="3"/>
  <c r="T432" i="3" a="1"/>
  <c r="T432" i="3" s="1"/>
  <c r="S432" i="3" a="1"/>
  <c r="S432" i="3" s="1"/>
  <c r="R432" i="3" a="1"/>
  <c r="R432" i="3"/>
  <c r="Q432" i="3" a="1"/>
  <c r="Q432" i="3"/>
  <c r="P432" i="3" a="1"/>
  <c r="P432" i="3"/>
  <c r="O432" i="3" a="1"/>
  <c r="O432" i="3"/>
  <c r="N432" i="3" a="1"/>
  <c r="N432" i="3" s="1"/>
  <c r="M432" i="3" a="1"/>
  <c r="M432" i="3" s="1"/>
  <c r="L432" i="3" a="1"/>
  <c r="L432" i="3"/>
  <c r="K432" i="3" a="1"/>
  <c r="K432" i="3"/>
  <c r="J432" i="3" a="1"/>
  <c r="J432" i="3"/>
  <c r="I432" i="3" a="1"/>
  <c r="I432" i="3" s="1"/>
  <c r="H432" i="3" a="1"/>
  <c r="H432" i="3" s="1"/>
  <c r="G432" i="3" a="1"/>
  <c r="G432" i="3" s="1"/>
  <c r="F432" i="3" a="1"/>
  <c r="F432" i="3"/>
  <c r="E432" i="3" a="1"/>
  <c r="E432" i="3"/>
  <c r="D432" i="3" a="1"/>
  <c r="D432" i="3"/>
  <c r="C432" i="3" a="1"/>
  <c r="C432" i="3" s="1"/>
  <c r="A432" i="3"/>
  <c r="AE431" i="3" a="1"/>
  <c r="AE431" i="3"/>
  <c r="AD431" i="3" a="1"/>
  <c r="AD431" i="3" s="1"/>
  <c r="AC431" i="3" a="1"/>
  <c r="AC431" i="3" s="1"/>
  <c r="AB431" i="3" a="1"/>
  <c r="AB431" i="3"/>
  <c r="AA431" i="3" a="1"/>
  <c r="AA431" i="3"/>
  <c r="Z431" i="3" a="1"/>
  <c r="Z431" i="3"/>
  <c r="Y431" i="3" a="1"/>
  <c r="Y431" i="3"/>
  <c r="X431" i="3" a="1"/>
  <c r="X431" i="3" s="1"/>
  <c r="W431" i="3" a="1"/>
  <c r="W431" i="3" s="1"/>
  <c r="V431" i="3" a="1"/>
  <c r="V431" i="3"/>
  <c r="U431" i="3" a="1"/>
  <c r="U431" i="3"/>
  <c r="T431" i="3" a="1"/>
  <c r="T431" i="3"/>
  <c r="S431" i="3" a="1"/>
  <c r="S431" i="3"/>
  <c r="R431" i="3" a="1"/>
  <c r="R431" i="3" s="1"/>
  <c r="Q431" i="3" a="1"/>
  <c r="Q431" i="3" s="1"/>
  <c r="P431" i="3" a="1"/>
  <c r="P431" i="3"/>
  <c r="O431" i="3" a="1"/>
  <c r="O431" i="3"/>
  <c r="N431" i="3" a="1"/>
  <c r="N431" i="3"/>
  <c r="M431" i="3" a="1"/>
  <c r="M431" i="3" s="1"/>
  <c r="L431" i="3" a="1"/>
  <c r="L431" i="3" s="1"/>
  <c r="K431" i="3" a="1"/>
  <c r="K431" i="3" s="1"/>
  <c r="J431" i="3" a="1"/>
  <c r="J431" i="3" s="1"/>
  <c r="I431" i="3" a="1"/>
  <c r="I431" i="3"/>
  <c r="H431" i="3" a="1"/>
  <c r="H431" i="3"/>
  <c r="G431" i="3" a="1"/>
  <c r="G431" i="3" s="1"/>
  <c r="F431" i="3" a="1"/>
  <c r="F431" i="3" s="1"/>
  <c r="E431" i="3" a="1"/>
  <c r="E431" i="3" s="1"/>
  <c r="D431" i="3" a="1"/>
  <c r="D431" i="3" s="1"/>
  <c r="A431" i="3"/>
  <c r="AE430" i="3" a="1"/>
  <c r="AE430" i="3"/>
  <c r="AD430" i="3" a="1"/>
  <c r="AD430" i="3"/>
  <c r="AC430" i="3" a="1"/>
  <c r="AC430" i="3"/>
  <c r="AB430" i="3" a="1"/>
  <c r="AB430" i="3"/>
  <c r="AA430" i="3" a="1"/>
  <c r="AA430" i="3" s="1"/>
  <c r="Z430" i="3" a="1"/>
  <c r="Z430" i="3" s="1"/>
  <c r="Y430" i="3" a="1"/>
  <c r="Y430" i="3"/>
  <c r="X430" i="3" a="1"/>
  <c r="X430" i="3"/>
  <c r="W430" i="3" a="1"/>
  <c r="W430" i="3"/>
  <c r="V430" i="3" a="1"/>
  <c r="V430" i="3"/>
  <c r="U430" i="3" a="1"/>
  <c r="U430" i="3" s="1"/>
  <c r="T430" i="3" a="1"/>
  <c r="T430" i="3" s="1"/>
  <c r="S430" i="3" a="1"/>
  <c r="S430" i="3"/>
  <c r="R430" i="3" a="1"/>
  <c r="R430" i="3"/>
  <c r="Q430" i="3" a="1"/>
  <c r="Q430" i="3"/>
  <c r="P430" i="3" a="1"/>
  <c r="P430" i="3"/>
  <c r="O430" i="3" a="1"/>
  <c r="O430" i="3" s="1"/>
  <c r="N430" i="3" a="1"/>
  <c r="N430" i="3" s="1"/>
  <c r="M430" i="3" a="1"/>
  <c r="M430" i="3"/>
  <c r="L430" i="3" a="1"/>
  <c r="L430" i="3"/>
  <c r="K430" i="3" a="1"/>
  <c r="K430" i="3"/>
  <c r="J430" i="3" a="1"/>
  <c r="J430" i="3" s="1"/>
  <c r="I430" i="3" a="1"/>
  <c r="I430" i="3" s="1"/>
  <c r="H430" i="3" a="1"/>
  <c r="H430" i="3" s="1"/>
  <c r="G430" i="3" a="1"/>
  <c r="G430" i="3"/>
  <c r="F430" i="3" a="1"/>
  <c r="F430" i="3"/>
  <c r="E430" i="3" a="1"/>
  <c r="E430" i="3"/>
  <c r="D430" i="3" a="1"/>
  <c r="D430" i="3" s="1"/>
  <c r="C430" i="3" a="1"/>
  <c r="C430" i="3" s="1"/>
  <c r="A430" i="3"/>
  <c r="AE429" i="3" a="1"/>
  <c r="AE429" i="3" s="1"/>
  <c r="AD429" i="3" a="1"/>
  <c r="AD429" i="3" s="1"/>
  <c r="AC429" i="3" a="1"/>
  <c r="AC429" i="3"/>
  <c r="AB429" i="3" a="1"/>
  <c r="AB429" i="3"/>
  <c r="AA429" i="3" a="1"/>
  <c r="AA429" i="3"/>
  <c r="Z429" i="3" a="1"/>
  <c r="Z429" i="3"/>
  <c r="Y429" i="3" a="1"/>
  <c r="Y429" i="3" s="1"/>
  <c r="X429" i="3" a="1"/>
  <c r="X429" i="3" s="1"/>
  <c r="W429" i="3" a="1"/>
  <c r="W429" i="3"/>
  <c r="V429" i="3" a="1"/>
  <c r="V429" i="3"/>
  <c r="U429" i="3" a="1"/>
  <c r="U429" i="3"/>
  <c r="T429" i="3" a="1"/>
  <c r="T429" i="3" s="1"/>
  <c r="S429" i="3" a="1"/>
  <c r="S429" i="3" s="1"/>
  <c r="R429" i="3" a="1"/>
  <c r="R429" i="3" s="1"/>
  <c r="Q429" i="3" a="1"/>
  <c r="Q429" i="3"/>
  <c r="P429" i="3" a="1"/>
  <c r="P429" i="3"/>
  <c r="O429" i="3" a="1"/>
  <c r="O429" i="3"/>
  <c r="N429" i="3" a="1"/>
  <c r="N429" i="3" s="1"/>
  <c r="M429" i="3" a="1"/>
  <c r="M429" i="3" s="1"/>
  <c r="L429" i="3" a="1"/>
  <c r="L429" i="3" s="1"/>
  <c r="K429" i="3" a="1"/>
  <c r="K429" i="3"/>
  <c r="J429" i="3" a="1"/>
  <c r="J429" i="3" s="1"/>
  <c r="I429" i="3" a="1"/>
  <c r="I429" i="3"/>
  <c r="H429" i="3" a="1"/>
  <c r="H429" i="3" s="1"/>
  <c r="G429" i="3" a="1"/>
  <c r="G429" i="3" s="1"/>
  <c r="F429" i="3" a="1"/>
  <c r="F429" i="3" s="1"/>
  <c r="E429" i="3" a="1"/>
  <c r="E429" i="3"/>
  <c r="D429" i="3" a="1"/>
  <c r="D429" i="3" s="1"/>
  <c r="C429" i="3" a="1"/>
  <c r="C429" i="3"/>
  <c r="A429" i="3"/>
  <c r="AE428" i="3" a="1"/>
  <c r="AE428" i="3"/>
  <c r="AD428" i="3" a="1"/>
  <c r="AD428" i="3"/>
  <c r="AC428" i="3" a="1"/>
  <c r="AC428" i="3"/>
  <c r="AB428" i="3" a="1"/>
  <c r="AB428" i="3" s="1"/>
  <c r="AA428" i="3" a="1"/>
  <c r="AA428" i="3" s="1"/>
  <c r="Z428" i="3" a="1"/>
  <c r="Z428" i="3"/>
  <c r="Y428" i="3" a="1"/>
  <c r="Y428" i="3"/>
  <c r="X428" i="3" a="1"/>
  <c r="X428" i="3"/>
  <c r="W428" i="3" a="1"/>
  <c r="W428" i="3"/>
  <c r="V428" i="3" a="1"/>
  <c r="V428" i="3" s="1"/>
  <c r="U428" i="3" a="1"/>
  <c r="U428" i="3" s="1"/>
  <c r="T428" i="3" a="1"/>
  <c r="T428" i="3"/>
  <c r="S428" i="3" a="1"/>
  <c r="S428" i="3"/>
  <c r="R428" i="3" a="1"/>
  <c r="R428" i="3"/>
  <c r="Q428" i="3" a="1"/>
  <c r="Q428" i="3"/>
  <c r="P428" i="3" a="1"/>
  <c r="P428" i="3" s="1"/>
  <c r="O428" i="3" a="1"/>
  <c r="O428" i="3" s="1"/>
  <c r="N428" i="3" a="1"/>
  <c r="N428" i="3"/>
  <c r="M428" i="3" a="1"/>
  <c r="M428" i="3"/>
  <c r="L428" i="3" a="1"/>
  <c r="L428" i="3"/>
  <c r="K428" i="3" a="1"/>
  <c r="K428" i="3" s="1"/>
  <c r="J428" i="3" a="1"/>
  <c r="J428" i="3" s="1"/>
  <c r="I428" i="3" a="1"/>
  <c r="I428" i="3" s="1"/>
  <c r="H428" i="3" a="1"/>
  <c r="H428" i="3"/>
  <c r="G428" i="3" a="1"/>
  <c r="G428" i="3"/>
  <c r="F428" i="3" a="1"/>
  <c r="F428" i="3"/>
  <c r="E428" i="3" a="1"/>
  <c r="E428" i="3" s="1"/>
  <c r="D428" i="3" a="1"/>
  <c r="D428" i="3" s="1"/>
  <c r="C428" i="3" a="1"/>
  <c r="C428" i="3" s="1"/>
  <c r="A428" i="3"/>
  <c r="AE427" i="3" a="1"/>
  <c r="AE427" i="3" s="1"/>
  <c r="AD427" i="3" a="1"/>
  <c r="AD427" i="3"/>
  <c r="AC427" i="3" a="1"/>
  <c r="AC427" i="3" s="1"/>
  <c r="AB427" i="3" a="1"/>
  <c r="AB427" i="3"/>
  <c r="AA427" i="3" a="1"/>
  <c r="AA427" i="3" s="1"/>
  <c r="Z427" i="3" a="1"/>
  <c r="Z427" i="3" s="1"/>
  <c r="Y427" i="3" a="1"/>
  <c r="Y427" i="3" s="1"/>
  <c r="X427" i="3" a="1"/>
  <c r="X427" i="3"/>
  <c r="W427" i="3" a="1"/>
  <c r="W427" i="3"/>
  <c r="V427" i="3" a="1"/>
  <c r="V427" i="3"/>
  <c r="U427" i="3" a="1"/>
  <c r="U427" i="3" s="1"/>
  <c r="T427" i="3" a="1"/>
  <c r="T427" i="3" s="1"/>
  <c r="S427" i="3" a="1"/>
  <c r="S427" i="3" s="1"/>
  <c r="R427" i="3" a="1"/>
  <c r="R427" i="3"/>
  <c r="Q427" i="3" a="1"/>
  <c r="Q427" i="3" s="1"/>
  <c r="P427" i="3" a="1"/>
  <c r="P427" i="3"/>
  <c r="O427" i="3" a="1"/>
  <c r="O427" i="3" s="1"/>
  <c r="N427" i="3" a="1"/>
  <c r="N427" i="3" s="1"/>
  <c r="M427" i="3" a="1"/>
  <c r="M427" i="3" s="1"/>
  <c r="L427" i="3" a="1"/>
  <c r="L427" i="3" s="1"/>
  <c r="K427" i="3" a="1"/>
  <c r="K427" i="3" s="1"/>
  <c r="J427" i="3" a="1"/>
  <c r="J427" i="3"/>
  <c r="I427" i="3" a="1"/>
  <c r="I427" i="3" s="1"/>
  <c r="H427" i="3" a="1"/>
  <c r="H427" i="3" s="1"/>
  <c r="G427" i="3" a="1"/>
  <c r="G427" i="3" s="1"/>
  <c r="F427" i="3" a="1"/>
  <c r="F427" i="3"/>
  <c r="E427" i="3" a="1"/>
  <c r="E427" i="3" s="1"/>
  <c r="D427" i="3" a="1"/>
  <c r="D427" i="3"/>
  <c r="C427" i="3" a="1"/>
  <c r="C427" i="3" s="1"/>
  <c r="A427" i="3"/>
  <c r="AE426" i="3" a="1"/>
  <c r="AE426" i="3"/>
  <c r="AD426" i="3" a="1"/>
  <c r="AD426" i="3"/>
  <c r="AC426" i="3" a="1"/>
  <c r="AC426" i="3" s="1"/>
  <c r="AB426" i="3" a="1"/>
  <c r="AB426" i="3" s="1"/>
  <c r="AA426" i="3" a="1"/>
  <c r="AA426" i="3"/>
  <c r="Z426" i="3" a="1"/>
  <c r="Z426" i="3"/>
  <c r="Y426" i="3" a="1"/>
  <c r="Y426" i="3"/>
  <c r="X426" i="3" a="1"/>
  <c r="X426" i="3" s="1"/>
  <c r="W426" i="3" a="1"/>
  <c r="W426" i="3" s="1"/>
  <c r="V426" i="3" a="1"/>
  <c r="V426" i="3" s="1"/>
  <c r="U426" i="3" a="1"/>
  <c r="U426" i="3"/>
  <c r="T426" i="3" a="1"/>
  <c r="T426" i="3"/>
  <c r="S426" i="3" a="1"/>
  <c r="S426" i="3"/>
  <c r="R426" i="3" a="1"/>
  <c r="R426" i="3" s="1"/>
  <c r="Q426" i="3" a="1"/>
  <c r="Q426" i="3" s="1"/>
  <c r="P426" i="3" a="1"/>
  <c r="P426" i="3" s="1"/>
  <c r="O426" i="3" a="1"/>
  <c r="O426" i="3"/>
  <c r="N426" i="3" a="1"/>
  <c r="N426" i="3"/>
  <c r="M426" i="3" a="1"/>
  <c r="M426" i="3"/>
  <c r="L426" i="3" a="1"/>
  <c r="L426" i="3" s="1"/>
  <c r="K426" i="3" a="1"/>
  <c r="K426" i="3" s="1"/>
  <c r="J426" i="3" a="1"/>
  <c r="J426" i="3" s="1"/>
  <c r="I426" i="3" a="1"/>
  <c r="I426" i="3"/>
  <c r="H426" i="3" a="1"/>
  <c r="H426" i="3"/>
  <c r="G426" i="3" a="1"/>
  <c r="G426" i="3"/>
  <c r="F426" i="3" a="1"/>
  <c r="F426" i="3" s="1"/>
  <c r="E426" i="3" a="1"/>
  <c r="E426" i="3" s="1"/>
  <c r="D426" i="3" a="1"/>
  <c r="D426" i="3" s="1"/>
  <c r="C426" i="3" a="1"/>
  <c r="C426" i="3"/>
  <c r="A426" i="3"/>
  <c r="AE425" i="3" a="1"/>
  <c r="AE425" i="3"/>
  <c r="AD425" i="3" a="1"/>
  <c r="AD425" i="3"/>
  <c r="AC425" i="3" a="1"/>
  <c r="AC425" i="3"/>
  <c r="AB425" i="3" a="1"/>
  <c r="AB425" i="3" s="1"/>
  <c r="AA425" i="3" a="1"/>
  <c r="AA425" i="3" s="1"/>
  <c r="Z425" i="3" a="1"/>
  <c r="Z425" i="3" s="1"/>
  <c r="Y425" i="3" a="1"/>
  <c r="Y425" i="3"/>
  <c r="X425" i="3" a="1"/>
  <c r="X425" i="3"/>
  <c r="W425" i="3" a="1"/>
  <c r="W425" i="3"/>
  <c r="V425" i="3" a="1"/>
  <c r="V425" i="3" s="1"/>
  <c r="U425" i="3" a="1"/>
  <c r="U425" i="3" s="1"/>
  <c r="T425" i="3" a="1"/>
  <c r="T425" i="3" s="1"/>
  <c r="S425" i="3" a="1"/>
  <c r="S425" i="3" s="1"/>
  <c r="R425" i="3" a="1"/>
  <c r="R425" i="3" s="1"/>
  <c r="Q425" i="3" a="1"/>
  <c r="Q425" i="3"/>
  <c r="P425" i="3" a="1"/>
  <c r="P425" i="3" s="1"/>
  <c r="O425" i="3" a="1"/>
  <c r="O425" i="3" s="1"/>
  <c r="N425" i="3" a="1"/>
  <c r="N425" i="3" s="1"/>
  <c r="M425" i="3" a="1"/>
  <c r="M425" i="3" s="1"/>
  <c r="L425" i="3" a="1"/>
  <c r="L425" i="3"/>
  <c r="K425" i="3" a="1"/>
  <c r="K425" i="3"/>
  <c r="J425" i="3" a="1"/>
  <c r="J425" i="3" s="1"/>
  <c r="I425" i="3" a="1"/>
  <c r="I425" i="3" s="1"/>
  <c r="H425" i="3" a="1"/>
  <c r="H425" i="3" s="1"/>
  <c r="G425" i="3" a="1"/>
  <c r="G425" i="3"/>
  <c r="F425" i="3" a="1"/>
  <c r="F425" i="3"/>
  <c r="E425" i="3" a="1"/>
  <c r="E425" i="3"/>
  <c r="D425" i="3" a="1"/>
  <c r="D425" i="3" s="1"/>
  <c r="C425" i="3" a="1"/>
  <c r="C425" i="3" s="1"/>
  <c r="A425" i="3"/>
  <c r="AE424" i="3" a="1"/>
  <c r="AE424" i="3"/>
  <c r="AD424" i="3" a="1"/>
  <c r="AD424" i="3"/>
  <c r="AC424" i="3" a="1"/>
  <c r="AC424" i="3" s="1"/>
  <c r="AB424" i="3" a="1"/>
  <c r="AB424" i="3"/>
  <c r="AA424" i="3" a="1"/>
  <c r="AA424" i="3"/>
  <c r="Z424" i="3" a="1"/>
  <c r="Z424" i="3"/>
  <c r="Y424" i="3" a="1"/>
  <c r="Y424" i="3"/>
  <c r="X424" i="3" a="1"/>
  <c r="X424" i="3" s="1"/>
  <c r="W424" i="3" a="1"/>
  <c r="W424" i="3" s="1"/>
  <c r="V424" i="3" a="1"/>
  <c r="V424" i="3"/>
  <c r="U424" i="3" a="1"/>
  <c r="U424" i="3"/>
  <c r="T424" i="3" a="1"/>
  <c r="T424" i="3"/>
  <c r="S424" i="3" a="1"/>
  <c r="S424" i="3"/>
  <c r="R424" i="3" a="1"/>
  <c r="R424" i="3"/>
  <c r="Q424" i="3" a="1"/>
  <c r="Q424" i="3" s="1"/>
  <c r="P424" i="3" a="1"/>
  <c r="P424" i="3"/>
  <c r="O424" i="3" a="1"/>
  <c r="O424" i="3"/>
  <c r="N424" i="3" a="1"/>
  <c r="N424" i="3"/>
  <c r="M424" i="3" a="1"/>
  <c r="M424" i="3"/>
  <c r="L424" i="3" a="1"/>
  <c r="L424" i="3" s="1"/>
  <c r="K424" i="3" a="1"/>
  <c r="K424" i="3" s="1"/>
  <c r="J424" i="3" a="1"/>
  <c r="J424" i="3"/>
  <c r="I424" i="3" a="1"/>
  <c r="I424" i="3"/>
  <c r="H424" i="3" a="1"/>
  <c r="H424" i="3"/>
  <c r="G424" i="3" a="1"/>
  <c r="G424" i="3"/>
  <c r="F424" i="3" a="1"/>
  <c r="F424" i="3"/>
  <c r="E424" i="3" a="1"/>
  <c r="E424" i="3" s="1"/>
  <c r="D424" i="3" a="1"/>
  <c r="D424" i="3" s="1"/>
  <c r="C424" i="3" a="1"/>
  <c r="C424" i="3"/>
  <c r="A424" i="3"/>
  <c r="AE423" i="3" a="1"/>
  <c r="AE423" i="3" s="1"/>
  <c r="AD423" i="3" a="1"/>
  <c r="AD423" i="3" s="1"/>
  <c r="AC423" i="3" a="1"/>
  <c r="AC423" i="3"/>
  <c r="AB423" i="3" a="1"/>
  <c r="AB423" i="3" s="1"/>
  <c r="AA423" i="3" a="1"/>
  <c r="AA423" i="3" s="1"/>
  <c r="Z423" i="3" a="1"/>
  <c r="Z423" i="3" s="1"/>
  <c r="Y423" i="3" a="1"/>
  <c r="Y423" i="3"/>
  <c r="X423" i="3" a="1"/>
  <c r="X423" i="3" s="1"/>
  <c r="W423" i="3" a="1"/>
  <c r="W423" i="3"/>
  <c r="V423" i="3" a="1"/>
  <c r="V423" i="3" s="1"/>
  <c r="U423" i="3" a="1"/>
  <c r="U423" i="3" s="1"/>
  <c r="T423" i="3" a="1"/>
  <c r="T423" i="3" s="1"/>
  <c r="S423" i="3" a="1"/>
  <c r="S423" i="3" s="1"/>
  <c r="R423" i="3" a="1"/>
  <c r="R423" i="3" s="1"/>
  <c r="Q423" i="3" a="1"/>
  <c r="Q423" i="3"/>
  <c r="P423" i="3" a="1"/>
  <c r="P423" i="3"/>
  <c r="O423" i="3" a="1"/>
  <c r="O423" i="3"/>
  <c r="N423" i="3" a="1"/>
  <c r="N423" i="3" s="1"/>
  <c r="M423" i="3" a="1"/>
  <c r="M423" i="3"/>
  <c r="L423" i="3" a="1"/>
  <c r="L423" i="3"/>
  <c r="K423" i="3" a="1"/>
  <c r="K423" i="3"/>
  <c r="J423" i="3" a="1"/>
  <c r="J423" i="3" s="1"/>
  <c r="I423" i="3" a="1"/>
  <c r="I423" i="3" s="1"/>
  <c r="H423" i="3" a="1"/>
  <c r="H423" i="3" s="1"/>
  <c r="G423" i="3" a="1"/>
  <c r="G423" i="3"/>
  <c r="F423" i="3" a="1"/>
  <c r="F423" i="3" s="1"/>
  <c r="E423" i="3" a="1"/>
  <c r="E423" i="3"/>
  <c r="D423" i="3" a="1"/>
  <c r="D423" i="3"/>
  <c r="A423" i="3"/>
  <c r="AE422" i="3" a="1"/>
  <c r="AE422" i="3"/>
  <c r="AD422" i="3" a="1"/>
  <c r="AD422" i="3" s="1"/>
  <c r="AC422" i="3" a="1"/>
  <c r="AC422" i="3" s="1"/>
  <c r="AB422" i="3" a="1"/>
  <c r="AB422" i="3"/>
  <c r="AA422" i="3" a="1"/>
  <c r="AA422" i="3"/>
  <c r="Z422" i="3" a="1"/>
  <c r="Z422" i="3"/>
  <c r="Y422" i="3" a="1"/>
  <c r="Y422" i="3"/>
  <c r="X422" i="3" a="1"/>
  <c r="X422" i="3" s="1"/>
  <c r="W422" i="3" a="1"/>
  <c r="W422" i="3" s="1"/>
  <c r="V422" i="3" a="1"/>
  <c r="V422" i="3"/>
  <c r="U422" i="3" a="1"/>
  <c r="U422" i="3"/>
  <c r="T422" i="3" a="1"/>
  <c r="T422" i="3"/>
  <c r="S422" i="3" a="1"/>
  <c r="S422" i="3" s="1"/>
  <c r="R422" i="3" a="1"/>
  <c r="R422" i="3" s="1"/>
  <c r="Q422" i="3" a="1"/>
  <c r="Q422" i="3" s="1"/>
  <c r="P422" i="3" a="1"/>
  <c r="P422" i="3"/>
  <c r="O422" i="3" a="1"/>
  <c r="O422" i="3"/>
  <c r="N422" i="3" a="1"/>
  <c r="N422" i="3"/>
  <c r="M422" i="3" a="1"/>
  <c r="M422" i="3" s="1"/>
  <c r="L422" i="3" a="1"/>
  <c r="L422" i="3" s="1"/>
  <c r="K422" i="3" a="1"/>
  <c r="K422" i="3" s="1"/>
  <c r="J422" i="3" a="1"/>
  <c r="J422" i="3"/>
  <c r="I422" i="3" a="1"/>
  <c r="I422" i="3"/>
  <c r="H422" i="3" a="1"/>
  <c r="H422" i="3"/>
  <c r="G422" i="3" a="1"/>
  <c r="G422" i="3" s="1"/>
  <c r="F422" i="3" a="1"/>
  <c r="F422" i="3" s="1"/>
  <c r="E422" i="3" a="1"/>
  <c r="E422" i="3" s="1"/>
  <c r="D422" i="3" a="1"/>
  <c r="D422" i="3"/>
  <c r="A422" i="3"/>
  <c r="AE421" i="3" a="1"/>
  <c r="AE421" i="3" s="1"/>
  <c r="AD421" i="3" a="1"/>
  <c r="AD421" i="3" s="1"/>
  <c r="AC421" i="3" a="1"/>
  <c r="AC421" i="3" s="1"/>
  <c r="AB421" i="3" a="1"/>
  <c r="AB421" i="3" s="1"/>
  <c r="AA421" i="3" a="1"/>
  <c r="AA421" i="3" s="1"/>
  <c r="Z421" i="3" a="1"/>
  <c r="Z421" i="3" s="1"/>
  <c r="Y421" i="3" a="1"/>
  <c r="Y421" i="3" s="1"/>
  <c r="X421" i="3" a="1"/>
  <c r="X421" i="3"/>
  <c r="W421" i="3" a="1"/>
  <c r="W421" i="3"/>
  <c r="V421" i="3" a="1"/>
  <c r="V421" i="3" s="1"/>
  <c r="U421" i="3" a="1"/>
  <c r="U421" i="3" s="1"/>
  <c r="T421" i="3" a="1"/>
  <c r="T421" i="3"/>
  <c r="S421" i="3" a="1"/>
  <c r="S421" i="3"/>
  <c r="R421" i="3" a="1"/>
  <c r="R421" i="3" s="1"/>
  <c r="Q421" i="3" a="1"/>
  <c r="Q421" i="3" s="1"/>
  <c r="P421" i="3" a="1"/>
  <c r="P421" i="3" s="1"/>
  <c r="O421" i="3" a="1"/>
  <c r="O421" i="3" s="1"/>
  <c r="N421" i="3" a="1"/>
  <c r="N421" i="3"/>
  <c r="M421" i="3" a="1"/>
  <c r="M421" i="3" s="1"/>
  <c r="L421" i="3" a="1"/>
  <c r="L421" i="3" s="1"/>
  <c r="K421" i="3" a="1"/>
  <c r="K421" i="3"/>
  <c r="J421" i="3" a="1"/>
  <c r="J421" i="3"/>
  <c r="I421" i="3" a="1"/>
  <c r="I421" i="3" s="1"/>
  <c r="H421" i="3" a="1"/>
  <c r="H421" i="3"/>
  <c r="G421" i="3" a="1"/>
  <c r="G421" i="3"/>
  <c r="F421" i="3" a="1"/>
  <c r="F421" i="3"/>
  <c r="E421" i="3" a="1"/>
  <c r="E421" i="3" s="1"/>
  <c r="D421" i="3" a="1"/>
  <c r="D421" i="3" s="1"/>
  <c r="C421" i="3" a="1"/>
  <c r="C421" i="3" s="1"/>
  <c r="A421" i="3"/>
  <c r="AE420" i="3" a="1"/>
  <c r="AE420" i="3"/>
  <c r="AD420" i="3" a="1"/>
  <c r="AD420" i="3"/>
  <c r="AC420" i="3" a="1"/>
  <c r="AC420" i="3" s="1"/>
  <c r="AB420" i="3" a="1"/>
  <c r="AB420" i="3" s="1"/>
  <c r="AA420" i="3" a="1"/>
  <c r="AA420" i="3"/>
  <c r="Z420" i="3" a="1"/>
  <c r="Z420" i="3"/>
  <c r="Y420" i="3" a="1"/>
  <c r="Y420" i="3"/>
  <c r="X420" i="3" a="1"/>
  <c r="X420" i="3" s="1"/>
  <c r="W420" i="3" a="1"/>
  <c r="W420" i="3" s="1"/>
  <c r="V420" i="3" a="1"/>
  <c r="V420" i="3" s="1"/>
  <c r="U420" i="3" a="1"/>
  <c r="U420" i="3" s="1"/>
  <c r="T420" i="3" a="1"/>
  <c r="T420" i="3" s="1"/>
  <c r="S420" i="3" a="1"/>
  <c r="S420" i="3"/>
  <c r="R420" i="3" a="1"/>
  <c r="R420" i="3" s="1"/>
  <c r="Q420" i="3" a="1"/>
  <c r="Q420" i="3" s="1"/>
  <c r="P420" i="3" a="1"/>
  <c r="P420" i="3" s="1"/>
  <c r="O420" i="3" a="1"/>
  <c r="O420" i="3" s="1"/>
  <c r="N420" i="3" a="1"/>
  <c r="N420" i="3" s="1"/>
  <c r="M420" i="3" a="1"/>
  <c r="M420" i="3"/>
  <c r="L420" i="3" a="1"/>
  <c r="L420" i="3" s="1"/>
  <c r="K420" i="3" a="1"/>
  <c r="K420" i="3" s="1"/>
  <c r="J420" i="3" a="1"/>
  <c r="J420" i="3" s="1"/>
  <c r="I420" i="3" a="1"/>
  <c r="I420" i="3" s="1"/>
  <c r="H420" i="3" a="1"/>
  <c r="H420" i="3" s="1"/>
  <c r="G420" i="3" a="1"/>
  <c r="G420" i="3"/>
  <c r="F420" i="3" a="1"/>
  <c r="F420" i="3" s="1"/>
  <c r="E420" i="3" a="1"/>
  <c r="E420" i="3" s="1"/>
  <c r="D420" i="3" a="1"/>
  <c r="D420" i="3" s="1"/>
  <c r="C420" i="3" a="1"/>
  <c r="C420" i="3" s="1"/>
  <c r="A420" i="3"/>
  <c r="AE419" i="3" a="1"/>
  <c r="AE419" i="3" s="1"/>
  <c r="AD419" i="3" a="1"/>
  <c r="AD419" i="3" s="1"/>
  <c r="AC419" i="3" a="1"/>
  <c r="AC419" i="3"/>
  <c r="AB419" i="3" a="1"/>
  <c r="AB419" i="3"/>
  <c r="AA419" i="3" a="1"/>
  <c r="AA419" i="3"/>
  <c r="Z419" i="3" a="1"/>
  <c r="Z419" i="3"/>
  <c r="Y419" i="3" a="1"/>
  <c r="Y419" i="3" s="1"/>
  <c r="X419" i="3" a="1"/>
  <c r="X419" i="3" s="1"/>
  <c r="W419" i="3" a="1"/>
  <c r="W419" i="3"/>
  <c r="V419" i="3" a="1"/>
  <c r="V419" i="3"/>
  <c r="U419" i="3" a="1"/>
  <c r="U419" i="3"/>
  <c r="T419" i="3" a="1"/>
  <c r="T419" i="3"/>
  <c r="S419" i="3" a="1"/>
  <c r="S419" i="3" s="1"/>
  <c r="R419" i="3" a="1"/>
  <c r="R419" i="3" s="1"/>
  <c r="Q419" i="3" a="1"/>
  <c r="Q419" i="3"/>
  <c r="P419" i="3" a="1"/>
  <c r="P419" i="3"/>
  <c r="O419" i="3" a="1"/>
  <c r="O419" i="3" s="1"/>
  <c r="N419" i="3" a="1"/>
  <c r="N419" i="3"/>
  <c r="M419" i="3" a="1"/>
  <c r="M419" i="3" s="1"/>
  <c r="L419" i="3" a="1"/>
  <c r="L419" i="3" s="1"/>
  <c r="K419" i="3" a="1"/>
  <c r="K419" i="3"/>
  <c r="J419" i="3" a="1"/>
  <c r="J419" i="3"/>
  <c r="I419" i="3" a="1"/>
  <c r="I419" i="3" s="1"/>
  <c r="H419" i="3" a="1"/>
  <c r="H419" i="3"/>
  <c r="G419" i="3" a="1"/>
  <c r="G419" i="3" s="1"/>
  <c r="F419" i="3" a="1"/>
  <c r="F419" i="3" s="1"/>
  <c r="E419" i="3" a="1"/>
  <c r="E419" i="3"/>
  <c r="D419" i="3" a="1"/>
  <c r="D419" i="3"/>
  <c r="C419" i="3" a="1"/>
  <c r="C419" i="3" s="1"/>
  <c r="A419" i="3"/>
  <c r="AE418" i="3" a="1"/>
  <c r="AE418" i="3"/>
  <c r="AD418" i="3" a="1"/>
  <c r="AD418" i="3" s="1"/>
  <c r="AC418" i="3" a="1"/>
  <c r="AC418" i="3" s="1"/>
  <c r="AB418" i="3" a="1"/>
  <c r="AB418" i="3" s="1"/>
  <c r="AA418" i="3" a="1"/>
  <c r="AA418" i="3"/>
  <c r="Z418" i="3" a="1"/>
  <c r="Z418" i="3"/>
  <c r="Y418" i="3" a="1"/>
  <c r="Y418" i="3"/>
  <c r="X418" i="3" a="1"/>
  <c r="X418" i="3" s="1"/>
  <c r="W418" i="3" a="1"/>
  <c r="W418" i="3" s="1"/>
  <c r="V418" i="3" a="1"/>
  <c r="V418" i="3" s="1"/>
  <c r="U418" i="3" a="1"/>
  <c r="U418" i="3" s="1"/>
  <c r="T418" i="3" a="1"/>
  <c r="T418" i="3"/>
  <c r="S418" i="3" a="1"/>
  <c r="S418" i="3"/>
  <c r="R418" i="3" a="1"/>
  <c r="R418" i="3" s="1"/>
  <c r="Q418" i="3" a="1"/>
  <c r="Q418" i="3" s="1"/>
  <c r="P418" i="3" a="1"/>
  <c r="P418" i="3" s="1"/>
  <c r="O418" i="3" a="1"/>
  <c r="O418" i="3" s="1"/>
  <c r="N418" i="3" a="1"/>
  <c r="N418" i="3"/>
  <c r="M418" i="3" a="1"/>
  <c r="M418" i="3"/>
  <c r="L418" i="3" a="1"/>
  <c r="L418" i="3" s="1"/>
  <c r="K418" i="3" a="1"/>
  <c r="K418" i="3" s="1"/>
  <c r="J418" i="3" a="1"/>
  <c r="J418" i="3" s="1"/>
  <c r="I418" i="3" a="1"/>
  <c r="I418" i="3" s="1"/>
  <c r="H418" i="3" a="1"/>
  <c r="H418" i="3"/>
  <c r="G418" i="3" a="1"/>
  <c r="G418" i="3" s="1"/>
  <c r="F418" i="3" a="1"/>
  <c r="F418" i="3" s="1"/>
  <c r="E418" i="3" a="1"/>
  <c r="E418" i="3" s="1"/>
  <c r="D418" i="3" a="1"/>
  <c r="D418" i="3" s="1"/>
  <c r="C418" i="3" a="1"/>
  <c r="C418" i="3" s="1"/>
  <c r="A418" i="3"/>
  <c r="AE417" i="3" a="1"/>
  <c r="AE417" i="3" s="1"/>
  <c r="AD417" i="3" a="1"/>
  <c r="AD417" i="3"/>
  <c r="AC417" i="3" a="1"/>
  <c r="AC417" i="3"/>
  <c r="AB417" i="3" a="1"/>
  <c r="AB417" i="3" s="1"/>
  <c r="AA417" i="3" a="1"/>
  <c r="AA417" i="3"/>
  <c r="Z417" i="3" a="1"/>
  <c r="Z417" i="3" s="1"/>
  <c r="Y417" i="3" a="1"/>
  <c r="Y417" i="3" s="1"/>
  <c r="X417" i="3" a="1"/>
  <c r="X417" i="3"/>
  <c r="W417" i="3" a="1"/>
  <c r="W417" i="3"/>
  <c r="V417" i="3" a="1"/>
  <c r="V417" i="3" s="1"/>
  <c r="U417" i="3" a="1"/>
  <c r="U417" i="3"/>
  <c r="T417" i="3" a="1"/>
  <c r="T417" i="3" s="1"/>
  <c r="S417" i="3" a="1"/>
  <c r="S417" i="3" s="1"/>
  <c r="R417" i="3" a="1"/>
  <c r="R417" i="3"/>
  <c r="Q417" i="3" a="1"/>
  <c r="Q417" i="3"/>
  <c r="P417" i="3" a="1"/>
  <c r="P417" i="3" s="1"/>
  <c r="O417" i="3" a="1"/>
  <c r="O417" i="3"/>
  <c r="N417" i="3" a="1"/>
  <c r="N417" i="3" s="1"/>
  <c r="M417" i="3" a="1"/>
  <c r="M417" i="3" s="1"/>
  <c r="L417" i="3" a="1"/>
  <c r="L417" i="3"/>
  <c r="K417" i="3" a="1"/>
  <c r="K417" i="3"/>
  <c r="J417" i="3" a="1"/>
  <c r="J417" i="3" s="1"/>
  <c r="I417" i="3" a="1"/>
  <c r="I417" i="3"/>
  <c r="H417" i="3" a="1"/>
  <c r="H417" i="3" s="1"/>
  <c r="G417" i="3" a="1"/>
  <c r="G417" i="3" s="1"/>
  <c r="F417" i="3" a="1"/>
  <c r="F417" i="3"/>
  <c r="E417" i="3" a="1"/>
  <c r="E417" i="3"/>
  <c r="D417" i="3" a="1"/>
  <c r="D417" i="3" s="1"/>
  <c r="C417" i="3" a="1"/>
  <c r="C417" i="3"/>
  <c r="A417" i="3"/>
  <c r="AE416" i="3" a="1"/>
  <c r="AE416" i="3" s="1"/>
  <c r="G416" i="3" a="1"/>
  <c r="G416" i="3" s="1"/>
  <c r="F416" i="3" a="1"/>
  <c r="F416" i="3" s="1"/>
  <c r="E416" i="3" a="1"/>
  <c r="E416" i="3" s="1"/>
  <c r="D416" i="3" a="1"/>
  <c r="D416" i="3" s="1"/>
  <c r="C416" i="3" a="1"/>
  <c r="C416" i="3"/>
  <c r="B416" i="3" a="1"/>
  <c r="B416" i="3" s="1"/>
  <c r="A416" i="3"/>
  <c r="AE415" i="3" a="1"/>
  <c r="AE415" i="3"/>
  <c r="AD415" i="3" a="1"/>
  <c r="AD415" i="3"/>
  <c r="AC415" i="3" a="1"/>
  <c r="AC415" i="3" s="1"/>
  <c r="AB415" i="3" a="1"/>
  <c r="AB415" i="3"/>
  <c r="AA415" i="3" a="1"/>
  <c r="AA415" i="3" s="1"/>
  <c r="Z415" i="3" a="1"/>
  <c r="Z415" i="3" s="1"/>
  <c r="Y415" i="3" a="1"/>
  <c r="Y415" i="3"/>
  <c r="X415" i="3" a="1"/>
  <c r="X415" i="3"/>
  <c r="W415" i="3" a="1"/>
  <c r="W415" i="3" s="1"/>
  <c r="V415" i="3" a="1"/>
  <c r="V415" i="3"/>
  <c r="U415" i="3" a="1"/>
  <c r="U415" i="3" s="1"/>
  <c r="T415" i="3" a="1"/>
  <c r="T415" i="3" s="1"/>
  <c r="S415" i="3" a="1"/>
  <c r="S415" i="3"/>
  <c r="R415" i="3" a="1"/>
  <c r="R415" i="3"/>
  <c r="Q415" i="3" a="1"/>
  <c r="Q415" i="3" s="1"/>
  <c r="P415" i="3" a="1"/>
  <c r="P415" i="3"/>
  <c r="O415" i="3" a="1"/>
  <c r="O415" i="3" s="1"/>
  <c r="N415" i="3" a="1"/>
  <c r="N415" i="3" s="1"/>
  <c r="M415" i="3" a="1"/>
  <c r="M415" i="3"/>
  <c r="L415" i="3" a="1"/>
  <c r="L415" i="3"/>
  <c r="K415" i="3" a="1"/>
  <c r="K415" i="3" s="1"/>
  <c r="J415" i="3" a="1"/>
  <c r="J415" i="3"/>
  <c r="I415" i="3" a="1"/>
  <c r="I415" i="3" s="1"/>
  <c r="H415" i="3" a="1"/>
  <c r="H415" i="3" s="1"/>
  <c r="G415" i="3" a="1"/>
  <c r="G415" i="3"/>
  <c r="F415" i="3" a="1"/>
  <c r="F415" i="3"/>
  <c r="E415" i="3" a="1"/>
  <c r="E415" i="3" s="1"/>
  <c r="D415" i="3" a="1"/>
  <c r="D415" i="3"/>
  <c r="C415" i="3" a="1"/>
  <c r="C415" i="3" s="1"/>
  <c r="A415" i="3"/>
  <c r="AE414" i="3" a="1"/>
  <c r="AE414" i="3" s="1"/>
  <c r="AD414" i="3" a="1"/>
  <c r="AD414" i="3" s="1"/>
  <c r="AC414" i="3" a="1"/>
  <c r="AC414" i="3"/>
  <c r="AB414" i="3" a="1"/>
  <c r="AB414" i="3"/>
  <c r="AA414" i="3" a="1"/>
  <c r="AA414" i="3"/>
  <c r="Z414" i="3" a="1"/>
  <c r="Z414" i="3" s="1"/>
  <c r="Y414" i="3" a="1"/>
  <c r="Y414" i="3" s="1"/>
  <c r="X414" i="3" a="1"/>
  <c r="X414" i="3" s="1"/>
  <c r="W414" i="3" a="1"/>
  <c r="W414" i="3"/>
  <c r="V414" i="3" a="1"/>
  <c r="V414" i="3"/>
  <c r="U414" i="3" a="1"/>
  <c r="U414" i="3"/>
  <c r="T414" i="3" a="1"/>
  <c r="T414" i="3" s="1"/>
  <c r="S414" i="3" a="1"/>
  <c r="S414" i="3" s="1"/>
  <c r="R414" i="3" a="1"/>
  <c r="R414" i="3" s="1"/>
  <c r="Q414" i="3" a="1"/>
  <c r="Q414" i="3"/>
  <c r="P414" i="3" a="1"/>
  <c r="P414" i="3"/>
  <c r="O414" i="3" a="1"/>
  <c r="O414" i="3"/>
  <c r="N414" i="3" a="1"/>
  <c r="N414" i="3" s="1"/>
  <c r="M414" i="3" a="1"/>
  <c r="M414" i="3" s="1"/>
  <c r="L414" i="3" a="1"/>
  <c r="L414" i="3" s="1"/>
  <c r="K414" i="3" a="1"/>
  <c r="K414" i="3" s="1"/>
  <c r="J414" i="3" a="1"/>
  <c r="J414" i="3"/>
  <c r="I414" i="3" a="1"/>
  <c r="I414" i="3"/>
  <c r="H414" i="3" a="1"/>
  <c r="H414" i="3" s="1"/>
  <c r="G414" i="3" a="1"/>
  <c r="G414" i="3" s="1"/>
  <c r="F414" i="3" a="1"/>
  <c r="F414" i="3" s="1"/>
  <c r="E414" i="3" a="1"/>
  <c r="E414" i="3" s="1"/>
  <c r="D414" i="3" a="1"/>
  <c r="D414" i="3"/>
  <c r="C414" i="3" a="1"/>
  <c r="C414" i="3" s="1"/>
  <c r="A414" i="3"/>
  <c r="AE413" i="3" a="1"/>
  <c r="AE413" i="3"/>
  <c r="AD413" i="3" a="1"/>
  <c r="AD413" i="3" s="1"/>
  <c r="AC413" i="3" a="1"/>
  <c r="AC413" i="3"/>
  <c r="AB413" i="3" a="1"/>
  <c r="AB413" i="3" s="1"/>
  <c r="AA413" i="3" a="1"/>
  <c r="AA413" i="3" s="1"/>
  <c r="Z413" i="3" a="1"/>
  <c r="Z413" i="3"/>
  <c r="Y413" i="3" a="1"/>
  <c r="Y413" i="3"/>
  <c r="X413" i="3" a="1"/>
  <c r="X413" i="3" s="1"/>
  <c r="W413" i="3" a="1"/>
  <c r="W413" i="3"/>
  <c r="V413" i="3" a="1"/>
  <c r="V413" i="3" s="1"/>
  <c r="U413" i="3" a="1"/>
  <c r="U413" i="3" s="1"/>
  <c r="T413" i="3" a="1"/>
  <c r="T413" i="3"/>
  <c r="S413" i="3" a="1"/>
  <c r="S413" i="3"/>
  <c r="R413" i="3" a="1"/>
  <c r="R413" i="3" s="1"/>
  <c r="Q413" i="3" a="1"/>
  <c r="Q413" i="3"/>
  <c r="P413" i="3" a="1"/>
  <c r="P413" i="3" s="1"/>
  <c r="O413" i="3" a="1"/>
  <c r="O413" i="3" s="1"/>
  <c r="N413" i="3" a="1"/>
  <c r="N413" i="3"/>
  <c r="M413" i="3" a="1"/>
  <c r="M413" i="3"/>
  <c r="L413" i="3" a="1"/>
  <c r="L413" i="3" s="1"/>
  <c r="K413" i="3" a="1"/>
  <c r="K413" i="3"/>
  <c r="J413" i="3" a="1"/>
  <c r="J413" i="3" s="1"/>
  <c r="I413" i="3" a="1"/>
  <c r="I413" i="3" s="1"/>
  <c r="H413" i="3" a="1"/>
  <c r="H413" i="3"/>
  <c r="G413" i="3" a="1"/>
  <c r="G413" i="3"/>
  <c r="F413" i="3" a="1"/>
  <c r="F413" i="3" s="1"/>
  <c r="E413" i="3" a="1"/>
  <c r="E413" i="3"/>
  <c r="D413" i="3" a="1"/>
  <c r="D413" i="3" s="1"/>
  <c r="C413" i="3" a="1"/>
  <c r="C413" i="3" s="1"/>
  <c r="A413" i="3"/>
  <c r="AE412" i="3" a="1"/>
  <c r="AE412" i="3" s="1"/>
  <c r="AD412" i="3" a="1"/>
  <c r="AD412" i="3"/>
  <c r="AC412" i="3" a="1"/>
  <c r="AC412" i="3"/>
  <c r="AB412" i="3" a="1"/>
  <c r="AB412" i="3"/>
  <c r="AA412" i="3" a="1"/>
  <c r="AA412" i="3" s="1"/>
  <c r="Z412" i="3" a="1"/>
  <c r="Z412" i="3" s="1"/>
  <c r="Y412" i="3" a="1"/>
  <c r="Y412" i="3" s="1"/>
  <c r="X412" i="3" a="1"/>
  <c r="X412" i="3"/>
  <c r="W412" i="3" a="1"/>
  <c r="W412" i="3"/>
  <c r="V412" i="3" a="1"/>
  <c r="V412" i="3"/>
  <c r="U412" i="3" a="1"/>
  <c r="U412" i="3" s="1"/>
  <c r="T412" i="3" a="1"/>
  <c r="T412" i="3" s="1"/>
  <c r="S412" i="3" a="1"/>
  <c r="S412" i="3" s="1"/>
  <c r="R412" i="3" a="1"/>
  <c r="R412" i="3"/>
  <c r="Q412" i="3" a="1"/>
  <c r="Q412" i="3"/>
  <c r="P412" i="3" a="1"/>
  <c r="P412" i="3" s="1"/>
  <c r="O412" i="3" a="1"/>
  <c r="O412" i="3" s="1"/>
  <c r="N412" i="3" a="1"/>
  <c r="N412" i="3" s="1"/>
  <c r="M412" i="3" a="1"/>
  <c r="M412" i="3" s="1"/>
  <c r="L412" i="3" a="1"/>
  <c r="L412" i="3"/>
  <c r="K412" i="3" a="1"/>
  <c r="K412" i="3"/>
  <c r="J412" i="3" a="1"/>
  <c r="J412" i="3" s="1"/>
  <c r="I412" i="3" a="1"/>
  <c r="I412" i="3" s="1"/>
  <c r="H412" i="3" a="1"/>
  <c r="H412" i="3" s="1"/>
  <c r="G412" i="3" a="1"/>
  <c r="G412" i="3" s="1"/>
  <c r="F412" i="3" a="1"/>
  <c r="F412" i="3"/>
  <c r="E412" i="3" a="1"/>
  <c r="E412" i="3"/>
  <c r="D412" i="3" a="1"/>
  <c r="D412" i="3" s="1"/>
  <c r="C412" i="3" a="1"/>
  <c r="C412" i="3" s="1"/>
  <c r="A412" i="3"/>
  <c r="AE411" i="3" a="1"/>
  <c r="AE411" i="3" s="1"/>
  <c r="AD411" i="3" a="1"/>
  <c r="AD411" i="3"/>
  <c r="AC411" i="3" a="1"/>
  <c r="AC411" i="3" s="1"/>
  <c r="AB411" i="3" a="1"/>
  <c r="AB411" i="3" s="1"/>
  <c r="AA411" i="3" a="1"/>
  <c r="AA411" i="3"/>
  <c r="Z411" i="3" a="1"/>
  <c r="Z411" i="3"/>
  <c r="Y411" i="3" a="1"/>
  <c r="Y411" i="3" s="1"/>
  <c r="X411" i="3" a="1"/>
  <c r="X411" i="3"/>
  <c r="W411" i="3" a="1"/>
  <c r="W411" i="3" s="1"/>
  <c r="V411" i="3" a="1"/>
  <c r="V411" i="3" s="1"/>
  <c r="U411" i="3" a="1"/>
  <c r="U411" i="3"/>
  <c r="T411" i="3" a="1"/>
  <c r="T411" i="3"/>
  <c r="S411" i="3" a="1"/>
  <c r="S411" i="3" s="1"/>
  <c r="R411" i="3" a="1"/>
  <c r="R411" i="3"/>
  <c r="Q411" i="3" a="1"/>
  <c r="Q411" i="3" s="1"/>
  <c r="P411" i="3" a="1"/>
  <c r="P411" i="3" s="1"/>
  <c r="O411" i="3" a="1"/>
  <c r="O411" i="3"/>
  <c r="N411" i="3" a="1"/>
  <c r="N411" i="3"/>
  <c r="M411" i="3" a="1"/>
  <c r="M411" i="3" s="1"/>
  <c r="L411" i="3" a="1"/>
  <c r="L411" i="3"/>
  <c r="K411" i="3" a="1"/>
  <c r="K411" i="3" s="1"/>
  <c r="J411" i="3" a="1"/>
  <c r="J411" i="3" s="1"/>
  <c r="I411" i="3" a="1"/>
  <c r="I411" i="3"/>
  <c r="H411" i="3" a="1"/>
  <c r="H411" i="3"/>
  <c r="G411" i="3" a="1"/>
  <c r="G411" i="3" s="1"/>
  <c r="F411" i="3" a="1"/>
  <c r="F411" i="3"/>
  <c r="E411" i="3" a="1"/>
  <c r="E411" i="3" s="1"/>
  <c r="A411" i="3"/>
  <c r="AE410" i="3" a="1"/>
  <c r="AE410" i="3"/>
  <c r="AD410" i="3" a="1"/>
  <c r="AD410" i="3"/>
  <c r="AC410" i="3" a="1"/>
  <c r="AC410" i="3"/>
  <c r="AB410" i="3" a="1"/>
  <c r="AB410" i="3" s="1"/>
  <c r="AA410" i="3" a="1"/>
  <c r="AA410" i="3" s="1"/>
  <c r="Z410" i="3" a="1"/>
  <c r="Z410" i="3" s="1"/>
  <c r="Y410" i="3" a="1"/>
  <c r="Y410" i="3"/>
  <c r="X410" i="3" a="1"/>
  <c r="X410" i="3"/>
  <c r="W410" i="3" a="1"/>
  <c r="W410" i="3"/>
  <c r="V410" i="3" a="1"/>
  <c r="V410" i="3" s="1"/>
  <c r="U410" i="3" a="1"/>
  <c r="U410" i="3" s="1"/>
  <c r="T410" i="3" a="1"/>
  <c r="T410" i="3" s="1"/>
  <c r="S410" i="3" a="1"/>
  <c r="S410" i="3"/>
  <c r="R410" i="3" a="1"/>
  <c r="R410" i="3"/>
  <c r="Q410" i="3" a="1"/>
  <c r="Q410" i="3"/>
  <c r="P410" i="3" a="1"/>
  <c r="P410" i="3" s="1"/>
  <c r="O410" i="3" a="1"/>
  <c r="O410" i="3" s="1"/>
  <c r="N410" i="3" a="1"/>
  <c r="N410" i="3" s="1"/>
  <c r="M410" i="3" a="1"/>
  <c r="M410" i="3"/>
  <c r="L410" i="3" a="1"/>
  <c r="L410" i="3"/>
  <c r="K410" i="3" a="1"/>
  <c r="K410" i="3"/>
  <c r="J410" i="3" a="1"/>
  <c r="J410" i="3" s="1"/>
  <c r="I410" i="3" a="1"/>
  <c r="I410" i="3" s="1"/>
  <c r="H410" i="3" a="1"/>
  <c r="H410" i="3" s="1"/>
  <c r="G410" i="3" a="1"/>
  <c r="G410" i="3"/>
  <c r="F410" i="3" a="1"/>
  <c r="F410" i="3"/>
  <c r="E410" i="3" a="1"/>
  <c r="E410" i="3"/>
  <c r="A410" i="3"/>
  <c r="AE409" i="3" a="1"/>
  <c r="AE409" i="3"/>
  <c r="AD409" i="3" a="1"/>
  <c r="AD409" i="3" s="1"/>
  <c r="AC409" i="3" a="1"/>
  <c r="AC409" i="3" s="1"/>
  <c r="AB409" i="3" a="1"/>
  <c r="AB409" i="3"/>
  <c r="AA409" i="3" a="1"/>
  <c r="AA409" i="3"/>
  <c r="Z409" i="3" a="1"/>
  <c r="Z409" i="3" s="1"/>
  <c r="Y409" i="3" a="1"/>
  <c r="Y409" i="3"/>
  <c r="X409" i="3" a="1"/>
  <c r="X409" i="3" s="1"/>
  <c r="W409" i="3" a="1"/>
  <c r="W409" i="3" s="1"/>
  <c r="V409" i="3" a="1"/>
  <c r="V409" i="3"/>
  <c r="U409" i="3" a="1"/>
  <c r="U409" i="3"/>
  <c r="T409" i="3" a="1"/>
  <c r="T409" i="3" s="1"/>
  <c r="S409" i="3" a="1"/>
  <c r="S409" i="3"/>
  <c r="R409" i="3" a="1"/>
  <c r="R409" i="3" s="1"/>
  <c r="Q409" i="3" a="1"/>
  <c r="Q409" i="3" s="1"/>
  <c r="P409" i="3" a="1"/>
  <c r="P409" i="3"/>
  <c r="O409" i="3" a="1"/>
  <c r="O409" i="3"/>
  <c r="N409" i="3" a="1"/>
  <c r="N409" i="3" s="1"/>
  <c r="M409" i="3" a="1"/>
  <c r="M409" i="3"/>
  <c r="L409" i="3" a="1"/>
  <c r="L409" i="3" s="1"/>
  <c r="K409" i="3" a="1"/>
  <c r="K409" i="3" s="1"/>
  <c r="J409" i="3" a="1"/>
  <c r="J409" i="3"/>
  <c r="I409" i="3" a="1"/>
  <c r="I409" i="3"/>
  <c r="H409" i="3" a="1"/>
  <c r="H409" i="3" s="1"/>
  <c r="G409" i="3" a="1"/>
  <c r="G409" i="3"/>
  <c r="F409" i="3" a="1"/>
  <c r="F409" i="3" s="1"/>
  <c r="E409" i="3" a="1"/>
  <c r="E409" i="3" s="1"/>
  <c r="A409" i="3"/>
  <c r="AE408" i="3" a="1"/>
  <c r="AE408" i="3"/>
  <c r="AD408" i="3" a="1"/>
  <c r="AD408" i="3"/>
  <c r="AC408" i="3" a="1"/>
  <c r="AC408" i="3" s="1"/>
  <c r="AB408" i="3" a="1"/>
  <c r="AB408" i="3" s="1"/>
  <c r="AA408" i="3" a="1"/>
  <c r="AA408" i="3" s="1"/>
  <c r="Z408" i="3" a="1"/>
  <c r="Z408" i="3"/>
  <c r="Y408" i="3" a="1"/>
  <c r="Y408" i="3"/>
  <c r="X408" i="3" a="1"/>
  <c r="X408" i="3"/>
  <c r="W408" i="3" a="1"/>
  <c r="W408" i="3" s="1"/>
  <c r="V408" i="3" a="1"/>
  <c r="V408" i="3" s="1"/>
  <c r="U408" i="3" a="1"/>
  <c r="U408" i="3" s="1"/>
  <c r="T408" i="3" a="1"/>
  <c r="T408" i="3"/>
  <c r="S408" i="3" a="1"/>
  <c r="S408" i="3"/>
  <c r="R408" i="3" a="1"/>
  <c r="R408" i="3"/>
  <c r="Q408" i="3" a="1"/>
  <c r="Q408" i="3" s="1"/>
  <c r="P408" i="3" a="1"/>
  <c r="P408" i="3" s="1"/>
  <c r="O408" i="3" a="1"/>
  <c r="O408" i="3" s="1"/>
  <c r="N408" i="3" a="1"/>
  <c r="N408" i="3"/>
  <c r="M408" i="3" a="1"/>
  <c r="M408" i="3"/>
  <c r="L408" i="3" a="1"/>
  <c r="L408" i="3"/>
  <c r="K408" i="3" a="1"/>
  <c r="K408" i="3" s="1"/>
  <c r="J408" i="3" a="1"/>
  <c r="J408" i="3" s="1"/>
  <c r="I408" i="3" a="1"/>
  <c r="I408" i="3" s="1"/>
  <c r="H408" i="3" a="1"/>
  <c r="H408" i="3"/>
  <c r="G408" i="3" a="1"/>
  <c r="G408" i="3"/>
  <c r="F408" i="3" a="1"/>
  <c r="F408" i="3" s="1"/>
  <c r="E408" i="3" a="1"/>
  <c r="E408" i="3" s="1"/>
  <c r="A408" i="3"/>
  <c r="AE407" i="3" a="1"/>
  <c r="AE407" i="3" s="1"/>
  <c r="AD407" i="3" a="1"/>
  <c r="AD407" i="3" s="1"/>
  <c r="AC407" i="3" a="1"/>
  <c r="AC407" i="3"/>
  <c r="AB407" i="3" a="1"/>
  <c r="AB407" i="3"/>
  <c r="AA407" i="3" a="1"/>
  <c r="AA407" i="3" s="1"/>
  <c r="Z407" i="3" a="1"/>
  <c r="Z407" i="3"/>
  <c r="Y407" i="3" a="1"/>
  <c r="Y407" i="3" s="1"/>
  <c r="X407" i="3" a="1"/>
  <c r="X407" i="3" s="1"/>
  <c r="W407" i="3" a="1"/>
  <c r="W407" i="3"/>
  <c r="V407" i="3" a="1"/>
  <c r="V407" i="3"/>
  <c r="U407" i="3" a="1"/>
  <c r="U407" i="3" s="1"/>
  <c r="T407" i="3" a="1"/>
  <c r="T407" i="3"/>
  <c r="S407" i="3" a="1"/>
  <c r="S407" i="3" s="1"/>
  <c r="R407" i="3" a="1"/>
  <c r="R407" i="3" s="1"/>
  <c r="Q407" i="3" a="1"/>
  <c r="Q407" i="3"/>
  <c r="P407" i="3" a="1"/>
  <c r="P407" i="3"/>
  <c r="O407" i="3" a="1"/>
  <c r="O407" i="3" s="1"/>
  <c r="N407" i="3" a="1"/>
  <c r="N407" i="3"/>
  <c r="M407" i="3" a="1"/>
  <c r="M407" i="3" s="1"/>
  <c r="L407" i="3" a="1"/>
  <c r="L407" i="3" s="1"/>
  <c r="K407" i="3" a="1"/>
  <c r="K407" i="3"/>
  <c r="J407" i="3" a="1"/>
  <c r="J407" i="3"/>
  <c r="I407" i="3" a="1"/>
  <c r="I407" i="3" s="1"/>
  <c r="H407" i="3" a="1"/>
  <c r="H407" i="3"/>
  <c r="G407" i="3" a="1"/>
  <c r="G407" i="3" s="1"/>
  <c r="F407" i="3" a="1"/>
  <c r="F407" i="3" s="1"/>
  <c r="E407" i="3" a="1"/>
  <c r="E407" i="3"/>
  <c r="A407" i="3"/>
  <c r="AE406" i="3" a="1"/>
  <c r="AE406" i="3"/>
  <c r="AD406" i="3" a="1"/>
  <c r="AD406" i="3" s="1"/>
  <c r="AC406" i="3" a="1"/>
  <c r="AC406" i="3" s="1"/>
  <c r="AB406" i="3" a="1"/>
  <c r="AB406" i="3" s="1"/>
  <c r="AA406" i="3" a="1"/>
  <c r="AA406" i="3"/>
  <c r="Z406" i="3" a="1"/>
  <c r="Z406" i="3"/>
  <c r="Y406" i="3" a="1"/>
  <c r="Y406" i="3"/>
  <c r="X406" i="3" a="1"/>
  <c r="X406" i="3" s="1"/>
  <c r="W406" i="3" a="1"/>
  <c r="W406" i="3" s="1"/>
  <c r="V406" i="3" a="1"/>
  <c r="V406" i="3" s="1"/>
  <c r="U406" i="3" a="1"/>
  <c r="U406" i="3"/>
  <c r="T406" i="3" a="1"/>
  <c r="T406" i="3"/>
  <c r="S406" i="3" a="1"/>
  <c r="S406" i="3"/>
  <c r="R406" i="3" a="1"/>
  <c r="R406" i="3" s="1"/>
  <c r="Q406" i="3" a="1"/>
  <c r="Q406" i="3" s="1"/>
  <c r="P406" i="3" a="1"/>
  <c r="P406" i="3" s="1"/>
  <c r="O406" i="3" a="1"/>
  <c r="O406" i="3"/>
  <c r="N406" i="3" a="1"/>
  <c r="N406" i="3"/>
  <c r="M406" i="3" a="1"/>
  <c r="M406" i="3"/>
  <c r="L406" i="3" a="1"/>
  <c r="L406" i="3" s="1"/>
  <c r="K406" i="3" a="1"/>
  <c r="K406" i="3" s="1"/>
  <c r="J406" i="3" a="1"/>
  <c r="J406" i="3" s="1"/>
  <c r="I406" i="3" a="1"/>
  <c r="I406" i="3"/>
  <c r="H406" i="3" a="1"/>
  <c r="H406" i="3"/>
  <c r="G406" i="3" a="1"/>
  <c r="G406" i="3"/>
  <c r="F406" i="3" a="1"/>
  <c r="F406" i="3" s="1"/>
  <c r="E406" i="3" a="1"/>
  <c r="E406" i="3" s="1"/>
  <c r="D406" i="3" a="1"/>
  <c r="D406" i="3" s="1"/>
  <c r="C406" i="3" a="1"/>
  <c r="C406" i="3"/>
  <c r="A406" i="3"/>
  <c r="AE405" i="3" a="1"/>
  <c r="AE405" i="3" s="1"/>
  <c r="AD405" i="3" a="1"/>
  <c r="AD405" i="3"/>
  <c r="AC405" i="3" a="1"/>
  <c r="AC405" i="3"/>
  <c r="AB405" i="3" a="1"/>
  <c r="AB405" i="3" s="1"/>
  <c r="AA405" i="3" a="1"/>
  <c r="AA405" i="3"/>
  <c r="Z405" i="3" a="1"/>
  <c r="Z405" i="3" s="1"/>
  <c r="Y405" i="3" a="1"/>
  <c r="Y405" i="3" s="1"/>
  <c r="X405" i="3" a="1"/>
  <c r="X405" i="3"/>
  <c r="W405" i="3" a="1"/>
  <c r="W405" i="3"/>
  <c r="V405" i="3" a="1"/>
  <c r="V405" i="3" s="1"/>
  <c r="U405" i="3" a="1"/>
  <c r="U405" i="3"/>
  <c r="T405" i="3" a="1"/>
  <c r="T405" i="3" s="1"/>
  <c r="S405" i="3" a="1"/>
  <c r="S405" i="3" s="1"/>
  <c r="R405" i="3" a="1"/>
  <c r="R405" i="3"/>
  <c r="Q405" i="3" a="1"/>
  <c r="Q405" i="3"/>
  <c r="P405" i="3" a="1"/>
  <c r="P405" i="3" s="1"/>
  <c r="O405" i="3" a="1"/>
  <c r="O405" i="3"/>
  <c r="N405" i="3" a="1"/>
  <c r="N405" i="3" s="1"/>
  <c r="M405" i="3" a="1"/>
  <c r="M405" i="3" s="1"/>
  <c r="L405" i="3" a="1"/>
  <c r="L405" i="3"/>
  <c r="K405" i="3" a="1"/>
  <c r="K405" i="3"/>
  <c r="J405" i="3" a="1"/>
  <c r="J405" i="3" s="1"/>
  <c r="I405" i="3" a="1"/>
  <c r="I405" i="3"/>
  <c r="H405" i="3" a="1"/>
  <c r="H405" i="3" s="1"/>
  <c r="G405" i="3" a="1"/>
  <c r="G405" i="3" s="1"/>
  <c r="F405" i="3" a="1"/>
  <c r="F405" i="3"/>
  <c r="E405" i="3" a="1"/>
  <c r="E405" i="3"/>
  <c r="A405" i="3"/>
  <c r="AE404" i="3" a="1"/>
  <c r="AE404" i="3" s="1"/>
  <c r="AD404" i="3" a="1"/>
  <c r="AD404" i="3" s="1"/>
  <c r="AC404" i="3" a="1"/>
  <c r="AC404" i="3" s="1"/>
  <c r="AB404" i="3" a="1"/>
  <c r="AB404" i="3"/>
  <c r="AA404" i="3" a="1"/>
  <c r="AA404" i="3"/>
  <c r="Z404" i="3" a="1"/>
  <c r="Z404" i="3"/>
  <c r="Y404" i="3" a="1"/>
  <c r="Y404" i="3" s="1"/>
  <c r="X404" i="3" a="1"/>
  <c r="X404" i="3" s="1"/>
  <c r="W404" i="3" a="1"/>
  <c r="W404" i="3" s="1"/>
  <c r="V404" i="3" a="1"/>
  <c r="V404" i="3"/>
  <c r="U404" i="3" a="1"/>
  <c r="U404" i="3"/>
  <c r="T404" i="3" a="1"/>
  <c r="T404" i="3"/>
  <c r="S404" i="3" a="1"/>
  <c r="S404" i="3" s="1"/>
  <c r="R404" i="3" a="1"/>
  <c r="R404" i="3" s="1"/>
  <c r="Q404" i="3" a="1"/>
  <c r="Q404" i="3" s="1"/>
  <c r="P404" i="3" a="1"/>
  <c r="P404" i="3"/>
  <c r="O404" i="3" a="1"/>
  <c r="O404" i="3"/>
  <c r="N404" i="3" a="1"/>
  <c r="N404" i="3"/>
  <c r="M404" i="3" a="1"/>
  <c r="M404" i="3" s="1"/>
  <c r="L404" i="3" a="1"/>
  <c r="L404" i="3" s="1"/>
  <c r="K404" i="3" a="1"/>
  <c r="K404" i="3" s="1"/>
  <c r="J404" i="3" a="1"/>
  <c r="J404" i="3"/>
  <c r="I404" i="3" a="1"/>
  <c r="I404" i="3"/>
  <c r="H404" i="3" a="1"/>
  <c r="H404" i="3"/>
  <c r="G404" i="3" a="1"/>
  <c r="G404" i="3" s="1"/>
  <c r="F404" i="3" a="1"/>
  <c r="F404" i="3" s="1"/>
  <c r="E404" i="3" a="1"/>
  <c r="E404" i="3" s="1"/>
  <c r="A404" i="3"/>
  <c r="AE403" i="3" a="1"/>
  <c r="AE403" i="3"/>
  <c r="AD403" i="3" a="1"/>
  <c r="AD403" i="3"/>
  <c r="AC403" i="3" a="1"/>
  <c r="AC403" i="3"/>
  <c r="AB403" i="3" a="1"/>
  <c r="AB403" i="3"/>
  <c r="AA403" i="3" a="1"/>
  <c r="AA403" i="3" s="1"/>
  <c r="Z403" i="3" a="1"/>
  <c r="Z403" i="3" s="1"/>
  <c r="Y403" i="3" a="1"/>
  <c r="Y403" i="3"/>
  <c r="X403" i="3" a="1"/>
  <c r="X403" i="3"/>
  <c r="W403" i="3" a="1"/>
  <c r="W403" i="3" s="1"/>
  <c r="V403" i="3" a="1"/>
  <c r="V403" i="3"/>
  <c r="U403" i="3" a="1"/>
  <c r="U403" i="3" s="1"/>
  <c r="T403" i="3" a="1"/>
  <c r="T403" i="3" s="1"/>
  <c r="S403" i="3" a="1"/>
  <c r="S403" i="3"/>
  <c r="R403" i="3" a="1"/>
  <c r="R403" i="3"/>
  <c r="Q403" i="3" a="1"/>
  <c r="Q403" i="3" s="1"/>
  <c r="P403" i="3" a="1"/>
  <c r="P403" i="3"/>
  <c r="O403" i="3" a="1"/>
  <c r="O403" i="3" s="1"/>
  <c r="N403" i="3" a="1"/>
  <c r="N403" i="3" s="1"/>
  <c r="M403" i="3" a="1"/>
  <c r="M403" i="3"/>
  <c r="L403" i="3" a="1"/>
  <c r="L403" i="3"/>
  <c r="K403" i="3" a="1"/>
  <c r="K403" i="3" s="1"/>
  <c r="J403" i="3" a="1"/>
  <c r="J403" i="3"/>
  <c r="I403" i="3" a="1"/>
  <c r="I403" i="3" s="1"/>
  <c r="H403" i="3" a="1"/>
  <c r="H403" i="3" s="1"/>
  <c r="G403" i="3" a="1"/>
  <c r="G403" i="3"/>
  <c r="F403" i="3" a="1"/>
  <c r="F403" i="3"/>
  <c r="E403" i="3" a="1"/>
  <c r="E403" i="3" s="1"/>
  <c r="D403" i="3" a="1"/>
  <c r="D403" i="3"/>
  <c r="A403" i="3"/>
  <c r="AE402" i="3" a="1"/>
  <c r="AE402" i="3" s="1"/>
  <c r="AD402" i="3" a="1"/>
  <c r="AD402" i="3" s="1"/>
  <c r="AC402" i="3" a="1"/>
  <c r="AC402" i="3"/>
  <c r="AB402" i="3" a="1"/>
  <c r="AB402" i="3"/>
  <c r="AA402" i="3" a="1"/>
  <c r="AA402" i="3"/>
  <c r="Z402" i="3" a="1"/>
  <c r="Z402" i="3" s="1"/>
  <c r="Y402" i="3" a="1"/>
  <c r="Y402" i="3" s="1"/>
  <c r="X402" i="3" a="1"/>
  <c r="X402" i="3" s="1"/>
  <c r="W402" i="3" a="1"/>
  <c r="W402" i="3"/>
  <c r="V402" i="3" a="1"/>
  <c r="V402" i="3"/>
  <c r="U402" i="3" a="1"/>
  <c r="U402" i="3"/>
  <c r="T402" i="3" a="1"/>
  <c r="T402" i="3" s="1"/>
  <c r="S402" i="3" a="1"/>
  <c r="S402" i="3" s="1"/>
  <c r="R402" i="3" a="1"/>
  <c r="R402" i="3" s="1"/>
  <c r="Q402" i="3" a="1"/>
  <c r="Q402" i="3"/>
  <c r="P402" i="3" a="1"/>
  <c r="P402" i="3"/>
  <c r="O402" i="3" a="1"/>
  <c r="O402" i="3" s="1"/>
  <c r="N402" i="3" a="1"/>
  <c r="N402" i="3" s="1"/>
  <c r="M402" i="3" a="1"/>
  <c r="M402" i="3" s="1"/>
  <c r="L402" i="3" a="1"/>
  <c r="L402" i="3" s="1"/>
  <c r="K402" i="3" a="1"/>
  <c r="K402" i="3"/>
  <c r="J402" i="3" a="1"/>
  <c r="J402" i="3"/>
  <c r="I402" i="3" a="1"/>
  <c r="I402" i="3" s="1"/>
  <c r="H402" i="3" a="1"/>
  <c r="H402" i="3" s="1"/>
  <c r="G402" i="3" a="1"/>
  <c r="G402" i="3" s="1"/>
  <c r="F402" i="3" a="1"/>
  <c r="F402" i="3" s="1"/>
  <c r="E402" i="3" a="1"/>
  <c r="E402" i="3"/>
  <c r="D402" i="3" a="1"/>
  <c r="D402" i="3"/>
  <c r="C402" i="3" a="1"/>
  <c r="C402" i="3" s="1"/>
  <c r="A402" i="3"/>
  <c r="AE401" i="3" a="1"/>
  <c r="AE401" i="3"/>
  <c r="AD401" i="3" a="1"/>
  <c r="AD401" i="3"/>
  <c r="AC401" i="3" a="1"/>
  <c r="AC401" i="3"/>
  <c r="AB401" i="3" a="1"/>
  <c r="AB401" i="3" s="1"/>
  <c r="AA401" i="3" a="1"/>
  <c r="AA401" i="3" s="1"/>
  <c r="Z401" i="3" a="1"/>
  <c r="Z401" i="3"/>
  <c r="Y401" i="3" a="1"/>
  <c r="Y401" i="3"/>
  <c r="X401" i="3" a="1"/>
  <c r="X401" i="3" s="1"/>
  <c r="W401" i="3" a="1"/>
  <c r="W401" i="3"/>
  <c r="V401" i="3" a="1"/>
  <c r="V401" i="3" s="1"/>
  <c r="U401" i="3" a="1"/>
  <c r="U401" i="3" s="1"/>
  <c r="T401" i="3" a="1"/>
  <c r="T401" i="3"/>
  <c r="S401" i="3" a="1"/>
  <c r="S401" i="3"/>
  <c r="R401" i="3" a="1"/>
  <c r="R401" i="3" s="1"/>
  <c r="Q401" i="3" a="1"/>
  <c r="Q401" i="3"/>
  <c r="P401" i="3" a="1"/>
  <c r="P401" i="3" s="1"/>
  <c r="O401" i="3" a="1"/>
  <c r="O401" i="3" s="1"/>
  <c r="N401" i="3" a="1"/>
  <c r="N401" i="3"/>
  <c r="M401" i="3" a="1"/>
  <c r="M401" i="3"/>
  <c r="L401" i="3" a="1"/>
  <c r="L401" i="3" s="1"/>
  <c r="K401" i="3" a="1"/>
  <c r="K401" i="3"/>
  <c r="J401" i="3" a="1"/>
  <c r="J401" i="3" s="1"/>
  <c r="I401" i="3" a="1"/>
  <c r="I401" i="3" s="1"/>
  <c r="H401" i="3" a="1"/>
  <c r="H401" i="3"/>
  <c r="G401" i="3" a="1"/>
  <c r="G401" i="3"/>
  <c r="F401" i="3" a="1"/>
  <c r="F401" i="3" s="1"/>
  <c r="E401" i="3" a="1"/>
  <c r="E401" i="3"/>
  <c r="D401" i="3" a="1"/>
  <c r="D401" i="3" s="1"/>
  <c r="C401" i="3" a="1"/>
  <c r="C401" i="3" s="1"/>
  <c r="A401" i="3"/>
  <c r="AE400" i="3" a="1"/>
  <c r="AE400" i="3" s="1"/>
  <c r="AD400" i="3" a="1"/>
  <c r="AD400" i="3"/>
  <c r="AC400" i="3" a="1"/>
  <c r="AC400" i="3"/>
  <c r="AB400" i="3" a="1"/>
  <c r="AB400" i="3" s="1"/>
  <c r="AA400" i="3" a="1"/>
  <c r="AA400" i="3" s="1"/>
  <c r="Z400" i="3" a="1"/>
  <c r="Z400" i="3" s="1"/>
  <c r="Y400" i="3" a="1"/>
  <c r="Y400" i="3" s="1"/>
  <c r="X400" i="3" a="1"/>
  <c r="X400" i="3"/>
  <c r="W400" i="3" a="1"/>
  <c r="W400" i="3"/>
  <c r="V400" i="3" a="1"/>
  <c r="V400" i="3" s="1"/>
  <c r="U400" i="3" a="1"/>
  <c r="U400" i="3" s="1"/>
  <c r="T400" i="3" a="1"/>
  <c r="T400" i="3" s="1"/>
  <c r="S400" i="3" a="1"/>
  <c r="S400" i="3" s="1"/>
  <c r="R400" i="3" a="1"/>
  <c r="R400" i="3"/>
  <c r="Q400" i="3" a="1"/>
  <c r="Q400" i="3"/>
  <c r="P400" i="3" a="1"/>
  <c r="P400" i="3" s="1"/>
  <c r="O400" i="3" a="1"/>
  <c r="O400" i="3" s="1"/>
  <c r="N400" i="3" a="1"/>
  <c r="N400" i="3" s="1"/>
  <c r="M400" i="3" a="1"/>
  <c r="M400" i="3" s="1"/>
  <c r="L400" i="3" a="1"/>
  <c r="L400" i="3"/>
  <c r="K400" i="3" a="1"/>
  <c r="K400" i="3"/>
  <c r="J400" i="3" a="1"/>
  <c r="J400" i="3" s="1"/>
  <c r="I400" i="3" a="1"/>
  <c r="I400" i="3" s="1"/>
  <c r="H400" i="3" a="1"/>
  <c r="H400" i="3" s="1"/>
  <c r="G400" i="3" a="1"/>
  <c r="G400" i="3" s="1"/>
  <c r="F400" i="3" a="1"/>
  <c r="F400" i="3" s="1"/>
  <c r="E400" i="3" a="1"/>
  <c r="E400" i="3"/>
  <c r="D400" i="3" a="1"/>
  <c r="D400" i="3" s="1"/>
  <c r="C400" i="3" a="1"/>
  <c r="C400" i="3" s="1"/>
  <c r="A400" i="3"/>
  <c r="AE399" i="3" a="1"/>
  <c r="AE399" i="3"/>
  <c r="AD399" i="3" a="1"/>
  <c r="AD399" i="3"/>
  <c r="AC399" i="3" a="1"/>
  <c r="AC399" i="3" s="1"/>
  <c r="AB399" i="3" a="1"/>
  <c r="AB399" i="3" s="1"/>
  <c r="AA399" i="3" a="1"/>
  <c r="AA399" i="3"/>
  <c r="Z399" i="3" a="1"/>
  <c r="Z399" i="3"/>
  <c r="Y399" i="3" a="1"/>
  <c r="Y399" i="3"/>
  <c r="X399" i="3" a="1"/>
  <c r="X399" i="3"/>
  <c r="W399" i="3" a="1"/>
  <c r="W399" i="3" s="1"/>
  <c r="V399" i="3" a="1"/>
  <c r="V399" i="3" s="1"/>
  <c r="U399" i="3" a="1"/>
  <c r="U399" i="3"/>
  <c r="T399" i="3" a="1"/>
  <c r="T399" i="3"/>
  <c r="S399" i="3" a="1"/>
  <c r="S399" i="3"/>
  <c r="R399" i="3" a="1"/>
  <c r="R399" i="3"/>
  <c r="Q399" i="3" a="1"/>
  <c r="Q399" i="3" s="1"/>
  <c r="P399" i="3" a="1"/>
  <c r="P399" i="3" s="1"/>
  <c r="O399" i="3" a="1"/>
  <c r="O399" i="3"/>
  <c r="N399" i="3" a="1"/>
  <c r="N399" i="3"/>
  <c r="M399" i="3" a="1"/>
  <c r="M399" i="3" s="1"/>
  <c r="L399" i="3" a="1"/>
  <c r="L399" i="3"/>
  <c r="K399" i="3" a="1"/>
  <c r="K399" i="3" s="1"/>
  <c r="J399" i="3" a="1"/>
  <c r="J399" i="3" s="1"/>
  <c r="I399" i="3" a="1"/>
  <c r="I399" i="3"/>
  <c r="H399" i="3" a="1"/>
  <c r="H399" i="3"/>
  <c r="G399" i="3" a="1"/>
  <c r="G399" i="3" s="1"/>
  <c r="F399" i="3" a="1"/>
  <c r="F399" i="3"/>
  <c r="E399" i="3" a="1"/>
  <c r="E399" i="3" s="1"/>
  <c r="D399" i="3" a="1"/>
  <c r="D399" i="3" s="1"/>
  <c r="C399" i="3" a="1"/>
  <c r="C399" i="3"/>
  <c r="B399" i="3" a="1"/>
  <c r="B399" i="3" s="1"/>
  <c r="A399" i="3"/>
  <c r="AE398" i="3" a="1"/>
  <c r="AE398" i="3"/>
  <c r="AD398" i="3" a="1"/>
  <c r="AD398" i="3"/>
  <c r="AC398" i="3" a="1"/>
  <c r="AC398" i="3" s="1"/>
  <c r="AB398" i="3" a="1"/>
  <c r="AB398" i="3" s="1"/>
  <c r="AA398" i="3" a="1"/>
  <c r="AA398" i="3" s="1"/>
  <c r="Z398" i="3" a="1"/>
  <c r="Z398" i="3" s="1"/>
  <c r="Y398" i="3" a="1"/>
  <c r="Y398" i="3"/>
  <c r="X398" i="3" a="1"/>
  <c r="X398" i="3"/>
  <c r="W398" i="3" a="1"/>
  <c r="W398" i="3" s="1"/>
  <c r="V398" i="3" a="1"/>
  <c r="V398" i="3" s="1"/>
  <c r="U398" i="3" a="1"/>
  <c r="U398" i="3" s="1"/>
  <c r="T398" i="3" a="1"/>
  <c r="T398" i="3" s="1"/>
  <c r="S398" i="3" a="1"/>
  <c r="S398" i="3"/>
  <c r="R398" i="3" a="1"/>
  <c r="R398" i="3"/>
  <c r="Q398" i="3" a="1"/>
  <c r="Q398" i="3" s="1"/>
  <c r="P398" i="3" a="1"/>
  <c r="P398" i="3" s="1"/>
  <c r="O398" i="3" a="1"/>
  <c r="O398" i="3" s="1"/>
  <c r="N398" i="3" a="1"/>
  <c r="N398" i="3" s="1"/>
  <c r="M398" i="3" a="1"/>
  <c r="M398" i="3" s="1"/>
  <c r="L398" i="3" a="1"/>
  <c r="L398" i="3"/>
  <c r="K398" i="3" a="1"/>
  <c r="K398" i="3" s="1"/>
  <c r="J398" i="3" a="1"/>
  <c r="J398" i="3" s="1"/>
  <c r="I398" i="3" a="1"/>
  <c r="I398" i="3" s="1"/>
  <c r="H398" i="3" a="1"/>
  <c r="H398" i="3" s="1"/>
  <c r="G398" i="3" a="1"/>
  <c r="G398" i="3" s="1"/>
  <c r="F398" i="3" a="1"/>
  <c r="F398" i="3"/>
  <c r="E398" i="3" a="1"/>
  <c r="E398" i="3" s="1"/>
  <c r="D398" i="3" a="1"/>
  <c r="D398" i="3" s="1"/>
  <c r="C398" i="3" a="1"/>
  <c r="C398" i="3" s="1"/>
  <c r="A398" i="3"/>
  <c r="AE397" i="3" a="1"/>
  <c r="AE397" i="3"/>
  <c r="AD397" i="3" a="1"/>
  <c r="AD397" i="3" s="1"/>
  <c r="AC397" i="3" a="1"/>
  <c r="AC397" i="3" s="1"/>
  <c r="AB397" i="3" a="1"/>
  <c r="AB397" i="3"/>
  <c r="AA397" i="3" a="1"/>
  <c r="AA397" i="3"/>
  <c r="Z397" i="3" a="1"/>
  <c r="Z397" i="3"/>
  <c r="Y397" i="3" a="1"/>
  <c r="Y397" i="3"/>
  <c r="X397" i="3" a="1"/>
  <c r="X397" i="3"/>
  <c r="W397" i="3" a="1"/>
  <c r="W397" i="3" s="1"/>
  <c r="V397" i="3" a="1"/>
  <c r="V397" i="3"/>
  <c r="U397" i="3" a="1"/>
  <c r="U397" i="3"/>
  <c r="T397" i="3" a="1"/>
  <c r="T397" i="3"/>
  <c r="S397" i="3" a="1"/>
  <c r="S397" i="3"/>
  <c r="R397" i="3" a="1"/>
  <c r="R397" i="3"/>
  <c r="Q397" i="3" a="1"/>
  <c r="Q397" i="3" s="1"/>
  <c r="P397" i="3" a="1"/>
  <c r="P397" i="3"/>
  <c r="O397" i="3" a="1"/>
  <c r="O397" i="3"/>
  <c r="N397" i="3" a="1"/>
  <c r="N397" i="3" s="1"/>
  <c r="M397" i="3" a="1"/>
  <c r="M397" i="3"/>
  <c r="L397" i="3" a="1"/>
  <c r="L397" i="3"/>
  <c r="K397" i="3" a="1"/>
  <c r="K397" i="3" s="1"/>
  <c r="J397" i="3" a="1"/>
  <c r="J397" i="3"/>
  <c r="I397" i="3" a="1"/>
  <c r="I397" i="3"/>
  <c r="H397" i="3" a="1"/>
  <c r="H397" i="3" s="1"/>
  <c r="G397" i="3" a="1"/>
  <c r="G397" i="3" s="1"/>
  <c r="F397" i="3" a="1"/>
  <c r="F397" i="3" s="1"/>
  <c r="E397" i="3" a="1"/>
  <c r="E397" i="3" s="1"/>
  <c r="D397" i="3" a="1"/>
  <c r="D397" i="3"/>
  <c r="C397" i="3" a="1"/>
  <c r="C397" i="3"/>
  <c r="A397" i="3"/>
  <c r="AE396" i="3" a="1"/>
  <c r="AE396" i="3"/>
  <c r="AD396" i="3" a="1"/>
  <c r="AD396" i="3" s="1"/>
  <c r="AC396" i="3" a="1"/>
  <c r="AC396" i="3" s="1"/>
  <c r="AB396" i="3" a="1"/>
  <c r="AB396" i="3" s="1"/>
  <c r="AA396" i="3" a="1"/>
  <c r="AA396" i="3" s="1"/>
  <c r="Z396" i="3" a="1"/>
  <c r="Z396" i="3"/>
  <c r="Y396" i="3" a="1"/>
  <c r="Y396" i="3"/>
  <c r="X396" i="3" a="1"/>
  <c r="X396" i="3" s="1"/>
  <c r="W396" i="3" a="1"/>
  <c r="W396" i="3" s="1"/>
  <c r="V396" i="3" a="1"/>
  <c r="V396" i="3" s="1"/>
  <c r="U396" i="3" a="1"/>
  <c r="U396" i="3" s="1"/>
  <c r="T396" i="3" a="1"/>
  <c r="T396" i="3"/>
  <c r="S396" i="3" a="1"/>
  <c r="S396" i="3"/>
  <c r="R396" i="3" a="1"/>
  <c r="R396" i="3" s="1"/>
  <c r="Q396" i="3" a="1"/>
  <c r="Q396" i="3" s="1"/>
  <c r="P396" i="3" a="1"/>
  <c r="P396" i="3" s="1"/>
  <c r="O396" i="3" a="1"/>
  <c r="O396" i="3" s="1"/>
  <c r="N396" i="3" a="1"/>
  <c r="N396" i="3"/>
  <c r="M396" i="3" a="1"/>
  <c r="M396" i="3"/>
  <c r="L396" i="3" a="1"/>
  <c r="L396" i="3" s="1"/>
  <c r="K396" i="3" a="1"/>
  <c r="K396" i="3" s="1"/>
  <c r="J396" i="3" a="1"/>
  <c r="J396" i="3" s="1"/>
  <c r="I396" i="3" a="1"/>
  <c r="I396" i="3" s="1"/>
  <c r="H396" i="3" a="1"/>
  <c r="H396" i="3"/>
  <c r="G396" i="3" a="1"/>
  <c r="G396" i="3"/>
  <c r="F396" i="3" a="1"/>
  <c r="F396" i="3" s="1"/>
  <c r="E396" i="3" a="1"/>
  <c r="E396" i="3" s="1"/>
  <c r="D396" i="3" a="1"/>
  <c r="D396" i="3" s="1"/>
  <c r="A396" i="3"/>
  <c r="AE395" i="3" a="1"/>
  <c r="AE395" i="3" s="1"/>
  <c r="AD395" i="3" a="1"/>
  <c r="AD395" i="3" s="1"/>
  <c r="AC395" i="3" a="1"/>
  <c r="AC395" i="3"/>
  <c r="AB395" i="3" a="1"/>
  <c r="AB395" i="3"/>
  <c r="AA395" i="3" a="1"/>
  <c r="AA395" i="3"/>
  <c r="Z395" i="3" a="1"/>
  <c r="Z395" i="3"/>
  <c r="Y395" i="3" a="1"/>
  <c r="Y395" i="3"/>
  <c r="X395" i="3" a="1"/>
  <c r="X395" i="3" s="1"/>
  <c r="W395" i="3" a="1"/>
  <c r="W395" i="3"/>
  <c r="V395" i="3" a="1"/>
  <c r="V395" i="3"/>
  <c r="U395" i="3" a="1"/>
  <c r="U395" i="3" s="1"/>
  <c r="T395" i="3" a="1"/>
  <c r="T395" i="3"/>
  <c r="S395" i="3" a="1"/>
  <c r="S395" i="3" s="1"/>
  <c r="R395" i="3" a="1"/>
  <c r="R395" i="3" s="1"/>
  <c r="Q395" i="3" a="1"/>
  <c r="Q395" i="3"/>
  <c r="P395" i="3" a="1"/>
  <c r="P395" i="3"/>
  <c r="O395" i="3" a="1"/>
  <c r="O395" i="3" s="1"/>
  <c r="N395" i="3" a="1"/>
  <c r="N395" i="3"/>
  <c r="M395" i="3" a="1"/>
  <c r="M395" i="3"/>
  <c r="L395" i="3" a="1"/>
  <c r="L395" i="3" s="1"/>
  <c r="K395" i="3" a="1"/>
  <c r="K395" i="3"/>
  <c r="J395" i="3" a="1"/>
  <c r="J395" i="3"/>
  <c r="I395" i="3" a="1"/>
  <c r="I395" i="3" s="1"/>
  <c r="H395" i="3" a="1"/>
  <c r="H395" i="3" s="1"/>
  <c r="G395" i="3" a="1"/>
  <c r="G395" i="3"/>
  <c r="F395" i="3" a="1"/>
  <c r="F395" i="3" s="1"/>
  <c r="E395" i="3" a="1"/>
  <c r="E395" i="3"/>
  <c r="D395" i="3" a="1"/>
  <c r="D395" i="3"/>
  <c r="C395" i="3" a="1"/>
  <c r="C395" i="3" s="1"/>
  <c r="A395" i="3"/>
  <c r="AE394" i="3" a="1"/>
  <c r="AE394" i="3"/>
  <c r="AD394" i="3" a="1"/>
  <c r="AD394" i="3" s="1"/>
  <c r="AC394" i="3" a="1"/>
  <c r="AC394" i="3" s="1"/>
  <c r="AB394" i="3" a="1"/>
  <c r="AB394" i="3"/>
  <c r="AA394" i="3" a="1"/>
  <c r="AA394" i="3"/>
  <c r="Z394" i="3" a="1"/>
  <c r="Z394" i="3" s="1"/>
  <c r="Y394" i="3" a="1"/>
  <c r="Y394" i="3"/>
  <c r="X394" i="3" a="1"/>
  <c r="X394" i="3" s="1"/>
  <c r="W394" i="3" a="1"/>
  <c r="W394" i="3" s="1"/>
  <c r="V394" i="3" a="1"/>
  <c r="V394" i="3" s="1"/>
  <c r="U394" i="3" a="1"/>
  <c r="U394" i="3"/>
  <c r="T394" i="3" a="1"/>
  <c r="T394" i="3"/>
  <c r="S394" i="3" a="1"/>
  <c r="S394" i="3" s="1"/>
  <c r="R394" i="3" a="1"/>
  <c r="R394" i="3" s="1"/>
  <c r="Q394" i="3" a="1"/>
  <c r="Q394" i="3" s="1"/>
  <c r="P394" i="3" a="1"/>
  <c r="P394" i="3"/>
  <c r="O394" i="3" a="1"/>
  <c r="O394" i="3"/>
  <c r="N394" i="3" a="1"/>
  <c r="N394" i="3"/>
  <c r="M394" i="3" a="1"/>
  <c r="M394" i="3"/>
  <c r="L394" i="3" a="1"/>
  <c r="L394" i="3" s="1"/>
  <c r="K394" i="3" a="1"/>
  <c r="K394" i="3" s="1"/>
  <c r="J394" i="3" a="1"/>
  <c r="J394" i="3"/>
  <c r="I394" i="3" a="1"/>
  <c r="I394" i="3"/>
  <c r="H394" i="3" a="1"/>
  <c r="H394" i="3" s="1"/>
  <c r="G394" i="3" a="1"/>
  <c r="G394" i="3" s="1"/>
  <c r="F394" i="3" a="1"/>
  <c r="F394" i="3" s="1"/>
  <c r="E394" i="3" a="1"/>
  <c r="E394" i="3"/>
  <c r="D394" i="3" a="1"/>
  <c r="D394" i="3"/>
  <c r="C394" i="3" a="1"/>
  <c r="C394" i="3" s="1"/>
  <c r="A394" i="3"/>
  <c r="BZ393" i="3" a="1"/>
  <c r="BZ393" i="3" s="1"/>
  <c r="BY393" i="3" a="1"/>
  <c r="BY393" i="3"/>
  <c r="BX393" i="3" a="1"/>
  <c r="BX393" i="3" s="1"/>
  <c r="BW393" i="3" a="1"/>
  <c r="BW393" i="3"/>
  <c r="BV393" i="3" a="1"/>
  <c r="BV393" i="3"/>
  <c r="BU393" i="3" a="1"/>
  <c r="BU393" i="3" s="1"/>
  <c r="BT393" i="3" a="1"/>
  <c r="BT393" i="3" s="1"/>
  <c r="BS393" i="3" a="1"/>
  <c r="BS393" i="3"/>
  <c r="BR393" i="3" a="1"/>
  <c r="BR393" i="3" s="1"/>
  <c r="BQ393" i="3" a="1"/>
  <c r="BQ393" i="3"/>
  <c r="BP393" i="3" a="1"/>
  <c r="BP393" i="3"/>
  <c r="BO393" i="3" a="1"/>
  <c r="BO393" i="3" s="1"/>
  <c r="BN393" i="3" a="1"/>
  <c r="BN393" i="3" s="1"/>
  <c r="BM393" i="3" a="1"/>
  <c r="BM393" i="3"/>
  <c r="BL393" i="3" a="1"/>
  <c r="BL393" i="3" s="1"/>
  <c r="BK393" i="3" a="1"/>
  <c r="BK393" i="3"/>
  <c r="BJ393" i="3" a="1"/>
  <c r="BJ393" i="3"/>
  <c r="BI393" i="3" a="1"/>
  <c r="BI393" i="3" s="1"/>
  <c r="BH393" i="3" a="1"/>
  <c r="BH393" i="3" s="1"/>
  <c r="BG393" i="3" a="1"/>
  <c r="BG393" i="3"/>
  <c r="BF393" i="3" a="1"/>
  <c r="BF393" i="3" s="1"/>
  <c r="BE393" i="3" a="1"/>
  <c r="BE393" i="3"/>
  <c r="BD393" i="3" a="1"/>
  <c r="BD393" i="3"/>
  <c r="BC393" i="3" a="1"/>
  <c r="BC393" i="3" s="1"/>
  <c r="BB393" i="3" a="1"/>
  <c r="BB393" i="3" s="1"/>
  <c r="BA393" i="3" a="1"/>
  <c r="BA393" i="3"/>
  <c r="AZ393" i="3" a="1"/>
  <c r="AZ393" i="3" s="1"/>
  <c r="AY393" i="3" a="1"/>
  <c r="AY393" i="3"/>
  <c r="AX393" i="3" a="1"/>
  <c r="AX393" i="3"/>
  <c r="AW393" i="3" a="1"/>
  <c r="AW393" i="3" s="1"/>
  <c r="AV393" i="3" a="1"/>
  <c r="AV393" i="3" s="1"/>
  <c r="AU393" i="3" a="1"/>
  <c r="AU393" i="3"/>
  <c r="AT393" i="3" a="1"/>
  <c r="AT393" i="3" s="1"/>
  <c r="AS393" i="3" a="1"/>
  <c r="AS393" i="3"/>
  <c r="AR393" i="3" a="1"/>
  <c r="AR393" i="3"/>
  <c r="AQ393" i="3" a="1"/>
  <c r="AQ393" i="3" s="1"/>
  <c r="AP393" i="3" a="1"/>
  <c r="AP393" i="3" s="1"/>
  <c r="AO393" i="3" a="1"/>
  <c r="AO393" i="3"/>
  <c r="AN393" i="3" a="1"/>
  <c r="AN393" i="3" s="1"/>
  <c r="AM393" i="3" a="1"/>
  <c r="AM393" i="3"/>
  <c r="AL393" i="3" a="1"/>
  <c r="AL393" i="3"/>
  <c r="AK393" i="3" a="1"/>
  <c r="AK393" i="3" s="1"/>
  <c r="AJ393" i="3" a="1"/>
  <c r="AJ393" i="3" s="1"/>
  <c r="AI393" i="3" a="1"/>
  <c r="AI393" i="3"/>
  <c r="AH393" i="3" a="1"/>
  <c r="AH393" i="3" s="1"/>
  <c r="AG393" i="3" a="1"/>
  <c r="AG393" i="3" s="1"/>
  <c r="AF393" i="3" a="1"/>
  <c r="AF393" i="3"/>
  <c r="AE393" i="3" a="1"/>
  <c r="AE393" i="3" s="1"/>
  <c r="AD393" i="3" a="1"/>
  <c r="AD393" i="3" s="1"/>
  <c r="AC393" i="3" a="1"/>
  <c r="AC393" i="3" s="1"/>
  <c r="AB393" i="3" a="1"/>
  <c r="AB393" i="3" s="1"/>
  <c r="AA393" i="3" a="1"/>
  <c r="AA393" i="3" s="1"/>
  <c r="Z393" i="3" a="1"/>
  <c r="Z393" i="3"/>
  <c r="Y393" i="3" a="1"/>
  <c r="Y393" i="3" s="1"/>
  <c r="X393" i="3" a="1"/>
  <c r="X393" i="3" s="1"/>
  <c r="W393" i="3" a="1"/>
  <c r="W393" i="3" s="1"/>
  <c r="V393" i="3" a="1"/>
  <c r="V393" i="3" s="1"/>
  <c r="U393" i="3" a="1"/>
  <c r="U393" i="3" s="1"/>
  <c r="T393" i="3" a="1"/>
  <c r="T393" i="3"/>
  <c r="S393" i="3" a="1"/>
  <c r="S393" i="3" s="1"/>
  <c r="R393" i="3" a="1"/>
  <c r="R393" i="3" s="1"/>
  <c r="Q393" i="3" a="1"/>
  <c r="Q393" i="3" s="1"/>
  <c r="P393" i="3" a="1"/>
  <c r="P393" i="3" s="1"/>
  <c r="O393" i="3" a="1"/>
  <c r="O393" i="3" s="1"/>
  <c r="N393" i="3" a="1"/>
  <c r="N393" i="3"/>
  <c r="M393" i="3" a="1"/>
  <c r="M393" i="3" s="1"/>
  <c r="L393" i="3" a="1"/>
  <c r="L393" i="3" s="1"/>
  <c r="K393" i="3" a="1"/>
  <c r="K393" i="3" s="1"/>
  <c r="J393" i="3" a="1"/>
  <c r="J393" i="3" s="1"/>
  <c r="I393" i="3" a="1"/>
  <c r="I393" i="3" s="1"/>
  <c r="H393" i="3" a="1"/>
  <c r="H393" i="3"/>
  <c r="G393" i="3" a="1"/>
  <c r="G393" i="3" s="1"/>
  <c r="F393" i="3" a="1"/>
  <c r="F393" i="3" s="1"/>
  <c r="E393" i="3" a="1"/>
  <c r="E393" i="3" s="1"/>
  <c r="D393" i="3" a="1"/>
  <c r="D393" i="3" s="1"/>
  <c r="C393" i="3" a="1"/>
  <c r="C393" i="3" s="1"/>
  <c r="A393" i="3"/>
  <c r="AD392" i="3" a="1"/>
  <c r="AD392" i="3"/>
  <c r="AC392" i="3" a="1"/>
  <c r="AC392" i="3" s="1"/>
  <c r="AB392" i="3" a="1"/>
  <c r="AB392" i="3"/>
  <c r="AA392" i="3" a="1"/>
  <c r="AA392" i="3"/>
  <c r="Z392" i="3" a="1"/>
  <c r="Z392" i="3" s="1"/>
  <c r="Y392" i="3" a="1"/>
  <c r="Y392" i="3"/>
  <c r="X392" i="3" a="1"/>
  <c r="X392" i="3"/>
  <c r="W392" i="3" a="1"/>
  <c r="W392" i="3" s="1"/>
  <c r="V392" i="3" a="1"/>
  <c r="V392" i="3"/>
  <c r="U392" i="3" a="1"/>
  <c r="U392" i="3"/>
  <c r="T392" i="3" a="1"/>
  <c r="T392" i="3" s="1"/>
  <c r="S392" i="3" a="1"/>
  <c r="S392" i="3"/>
  <c r="R392" i="3" a="1"/>
  <c r="R392" i="3"/>
  <c r="Q392" i="3" a="1"/>
  <c r="Q392" i="3" s="1"/>
  <c r="P392" i="3" a="1"/>
  <c r="P392" i="3"/>
  <c r="O392" i="3" a="1"/>
  <c r="O392" i="3"/>
  <c r="N392" i="3" a="1"/>
  <c r="N392" i="3" s="1"/>
  <c r="M392" i="3" a="1"/>
  <c r="M392" i="3"/>
  <c r="L392" i="3" a="1"/>
  <c r="L392" i="3"/>
  <c r="K392" i="3" a="1"/>
  <c r="K392" i="3" s="1"/>
  <c r="J392" i="3" a="1"/>
  <c r="J392" i="3"/>
  <c r="I392" i="3" a="1"/>
  <c r="I392" i="3"/>
  <c r="H392" i="3" a="1"/>
  <c r="H392" i="3" s="1"/>
  <c r="G392" i="3" a="1"/>
  <c r="G392" i="3"/>
  <c r="F392" i="3" a="1"/>
  <c r="F392" i="3"/>
  <c r="E392" i="3" a="1"/>
  <c r="E392" i="3" s="1"/>
  <c r="D392" i="3" a="1"/>
  <c r="D392" i="3"/>
  <c r="C392" i="3" a="1"/>
  <c r="C392" i="3"/>
  <c r="A392" i="3"/>
  <c r="AD391" i="3" a="1"/>
  <c r="AD391" i="3" s="1"/>
  <c r="AC391" i="3" a="1"/>
  <c r="AC391" i="3" s="1"/>
  <c r="AB391" i="3" a="1"/>
  <c r="AB391" i="3"/>
  <c r="AA391" i="3" a="1"/>
  <c r="AA391" i="3" s="1"/>
  <c r="Z391" i="3" a="1"/>
  <c r="Z391" i="3" s="1"/>
  <c r="Y391" i="3" a="1"/>
  <c r="Y391" i="3"/>
  <c r="X391" i="3" a="1"/>
  <c r="X391" i="3" s="1"/>
  <c r="W391" i="3" a="1"/>
  <c r="W391" i="3" s="1"/>
  <c r="V391" i="3" a="1"/>
  <c r="V391" i="3"/>
  <c r="U391" i="3" a="1"/>
  <c r="U391" i="3" s="1"/>
  <c r="T391" i="3" a="1"/>
  <c r="T391" i="3" s="1"/>
  <c r="S391" i="3" a="1"/>
  <c r="S391" i="3"/>
  <c r="R391" i="3" a="1"/>
  <c r="R391" i="3" s="1"/>
  <c r="Q391" i="3" a="1"/>
  <c r="Q391" i="3" s="1"/>
  <c r="P391" i="3" a="1"/>
  <c r="P391" i="3"/>
  <c r="O391" i="3" a="1"/>
  <c r="O391" i="3" s="1"/>
  <c r="N391" i="3" a="1"/>
  <c r="N391" i="3" s="1"/>
  <c r="M391" i="3" a="1"/>
  <c r="M391" i="3"/>
  <c r="L391" i="3" a="1"/>
  <c r="L391" i="3" s="1"/>
  <c r="K391" i="3" a="1"/>
  <c r="K391" i="3" s="1"/>
  <c r="J391" i="3" a="1"/>
  <c r="J391" i="3"/>
  <c r="I391" i="3" a="1"/>
  <c r="I391" i="3" s="1"/>
  <c r="H391" i="3" a="1"/>
  <c r="H391" i="3" s="1"/>
  <c r="G391" i="3" a="1"/>
  <c r="G391" i="3"/>
  <c r="F391" i="3" a="1"/>
  <c r="F391" i="3" s="1"/>
  <c r="E391" i="3" a="1"/>
  <c r="E391" i="3" s="1"/>
  <c r="D391" i="3" a="1"/>
  <c r="D391" i="3"/>
  <c r="C391" i="3" a="1"/>
  <c r="C391" i="3" s="1"/>
  <c r="A391" i="3"/>
  <c r="AD390" i="3" a="1"/>
  <c r="AD390" i="3"/>
  <c r="AC390" i="3" a="1"/>
  <c r="AC390" i="3"/>
  <c r="AB390" i="3" a="1"/>
  <c r="AB390" i="3" s="1"/>
  <c r="AA390" i="3" a="1"/>
  <c r="AA390" i="3"/>
  <c r="Z390" i="3" a="1"/>
  <c r="Z390" i="3"/>
  <c r="Y390" i="3" a="1"/>
  <c r="Y390" i="3" s="1"/>
  <c r="X390" i="3" a="1"/>
  <c r="X390" i="3"/>
  <c r="W390" i="3" a="1"/>
  <c r="W390" i="3"/>
  <c r="V390" i="3" a="1"/>
  <c r="V390" i="3" s="1"/>
  <c r="U390" i="3" a="1"/>
  <c r="U390" i="3"/>
  <c r="T390" i="3" a="1"/>
  <c r="T390" i="3"/>
  <c r="S390" i="3" a="1"/>
  <c r="S390" i="3" s="1"/>
  <c r="R390" i="3" a="1"/>
  <c r="R390" i="3"/>
  <c r="Q390" i="3" a="1"/>
  <c r="Q390" i="3"/>
  <c r="P390" i="3" a="1"/>
  <c r="P390" i="3" s="1"/>
  <c r="O390" i="3" a="1"/>
  <c r="O390" i="3"/>
  <c r="N390" i="3" a="1"/>
  <c r="N390" i="3"/>
  <c r="M390" i="3" a="1"/>
  <c r="M390" i="3" s="1"/>
  <c r="L390" i="3" a="1"/>
  <c r="L390" i="3"/>
  <c r="K390" i="3" a="1"/>
  <c r="K390" i="3"/>
  <c r="J390" i="3" a="1"/>
  <c r="J390" i="3" s="1"/>
  <c r="I390" i="3" a="1"/>
  <c r="I390" i="3"/>
  <c r="H390" i="3" a="1"/>
  <c r="H390" i="3"/>
  <c r="G390" i="3" a="1"/>
  <c r="G390" i="3" s="1"/>
  <c r="F390" i="3" a="1"/>
  <c r="F390" i="3"/>
  <c r="E390" i="3" a="1"/>
  <c r="E390" i="3"/>
  <c r="D390" i="3" a="1"/>
  <c r="D390" i="3" s="1"/>
  <c r="C390" i="3" a="1"/>
  <c r="C390" i="3"/>
  <c r="A390" i="3"/>
  <c r="AD389" i="3" a="1"/>
  <c r="AD389" i="3"/>
  <c r="AC389" i="3" a="1"/>
  <c r="AC389" i="3" s="1"/>
  <c r="AB389" i="3" a="1"/>
  <c r="AB389" i="3" s="1"/>
  <c r="AA389" i="3" a="1"/>
  <c r="AA389" i="3"/>
  <c r="Z389" i="3" a="1"/>
  <c r="Z389" i="3" s="1"/>
  <c r="Y389" i="3" a="1"/>
  <c r="Y389" i="3" s="1"/>
  <c r="X389" i="3" a="1"/>
  <c r="X389" i="3"/>
  <c r="W389" i="3" a="1"/>
  <c r="W389" i="3" s="1"/>
  <c r="V389" i="3" a="1"/>
  <c r="V389" i="3" s="1"/>
  <c r="U389" i="3" a="1"/>
  <c r="U389" i="3"/>
  <c r="T389" i="3" a="1"/>
  <c r="T389" i="3" s="1"/>
  <c r="S389" i="3" a="1"/>
  <c r="S389" i="3" s="1"/>
  <c r="R389" i="3" a="1"/>
  <c r="R389" i="3"/>
  <c r="Q389" i="3" a="1"/>
  <c r="Q389" i="3" s="1"/>
  <c r="P389" i="3" a="1"/>
  <c r="P389" i="3" s="1"/>
  <c r="O389" i="3" a="1"/>
  <c r="O389" i="3"/>
  <c r="N389" i="3" a="1"/>
  <c r="N389" i="3" s="1"/>
  <c r="M389" i="3" a="1"/>
  <c r="M389" i="3" s="1"/>
  <c r="L389" i="3" a="1"/>
  <c r="L389" i="3"/>
  <c r="K389" i="3" a="1"/>
  <c r="K389" i="3" s="1"/>
  <c r="J389" i="3" a="1"/>
  <c r="J389" i="3" s="1"/>
  <c r="I389" i="3" a="1"/>
  <c r="I389" i="3"/>
  <c r="H389" i="3" a="1"/>
  <c r="H389" i="3" s="1"/>
  <c r="G389" i="3" a="1"/>
  <c r="G389" i="3" s="1"/>
  <c r="F389" i="3" a="1"/>
  <c r="F389" i="3" s="1"/>
  <c r="E389" i="3" a="1"/>
  <c r="E389" i="3" s="1"/>
  <c r="D389" i="3" a="1"/>
  <c r="D389" i="3" s="1"/>
  <c r="C389" i="3" a="1"/>
  <c r="C389" i="3" s="1"/>
  <c r="A389" i="3"/>
  <c r="AD388" i="3" a="1"/>
  <c r="AD388" i="3"/>
  <c r="AC388" i="3" a="1"/>
  <c r="AC388" i="3"/>
  <c r="AB388" i="3" a="1"/>
  <c r="AB388" i="3"/>
  <c r="AA388" i="3" a="1"/>
  <c r="AA388" i="3" s="1"/>
  <c r="Z388" i="3" a="1"/>
  <c r="Z388" i="3"/>
  <c r="Y388" i="3" a="1"/>
  <c r="Y388" i="3"/>
  <c r="X388" i="3" a="1"/>
  <c r="X388" i="3"/>
  <c r="W388" i="3" a="1"/>
  <c r="W388" i="3"/>
  <c r="V388" i="3" a="1"/>
  <c r="V388" i="3"/>
  <c r="U388" i="3" a="1"/>
  <c r="U388" i="3" s="1"/>
  <c r="T388" i="3" a="1"/>
  <c r="T388" i="3"/>
  <c r="S388" i="3" a="1"/>
  <c r="S388" i="3"/>
  <c r="R388" i="3" a="1"/>
  <c r="R388" i="3"/>
  <c r="Q388" i="3" a="1"/>
  <c r="Q388" i="3"/>
  <c r="P388" i="3" a="1"/>
  <c r="P388" i="3"/>
  <c r="O388" i="3" a="1"/>
  <c r="O388" i="3" s="1"/>
  <c r="N388" i="3" a="1"/>
  <c r="N388" i="3"/>
  <c r="M388" i="3" a="1"/>
  <c r="M388" i="3"/>
  <c r="L388" i="3" a="1"/>
  <c r="L388" i="3"/>
  <c r="K388" i="3" a="1"/>
  <c r="K388" i="3"/>
  <c r="J388" i="3" a="1"/>
  <c r="J388" i="3"/>
  <c r="I388" i="3" a="1"/>
  <c r="I388" i="3" s="1"/>
  <c r="H388" i="3" a="1"/>
  <c r="H388" i="3"/>
  <c r="G388" i="3" a="1"/>
  <c r="G388" i="3"/>
  <c r="F388" i="3" a="1"/>
  <c r="F388" i="3"/>
  <c r="E388" i="3" a="1"/>
  <c r="E388" i="3"/>
  <c r="D388" i="3" a="1"/>
  <c r="D388" i="3"/>
  <c r="A388" i="3"/>
  <c r="AD387" i="3" a="1"/>
  <c r="AD387" i="3" s="1"/>
  <c r="AC387" i="3" a="1"/>
  <c r="AC387" i="3"/>
  <c r="AB387" i="3" a="1"/>
  <c r="AB387" i="3" s="1"/>
  <c r="AA387" i="3" a="1"/>
  <c r="AA387" i="3" s="1"/>
  <c r="Z387" i="3" a="1"/>
  <c r="Z387" i="3"/>
  <c r="Y387" i="3" a="1"/>
  <c r="Y387" i="3" s="1"/>
  <c r="X387" i="3" a="1"/>
  <c r="X387" i="3" s="1"/>
  <c r="W387" i="3" a="1"/>
  <c r="W387" i="3"/>
  <c r="V387" i="3" a="1"/>
  <c r="V387" i="3" s="1"/>
  <c r="U387" i="3" a="1"/>
  <c r="U387" i="3" s="1"/>
  <c r="T387" i="3" a="1"/>
  <c r="T387" i="3"/>
  <c r="S387" i="3" a="1"/>
  <c r="S387" i="3" s="1"/>
  <c r="R387" i="3" a="1"/>
  <c r="R387" i="3" s="1"/>
  <c r="Q387" i="3" a="1"/>
  <c r="Q387" i="3"/>
  <c r="P387" i="3" a="1"/>
  <c r="P387" i="3" s="1"/>
  <c r="O387" i="3" a="1"/>
  <c r="O387" i="3" s="1"/>
  <c r="N387" i="3" a="1"/>
  <c r="N387" i="3"/>
  <c r="M387" i="3" a="1"/>
  <c r="M387" i="3" s="1"/>
  <c r="L387" i="3" a="1"/>
  <c r="L387" i="3" s="1"/>
  <c r="K387" i="3" a="1"/>
  <c r="K387" i="3"/>
  <c r="J387" i="3" a="1"/>
  <c r="J387" i="3" s="1"/>
  <c r="I387" i="3" a="1"/>
  <c r="I387" i="3" s="1"/>
  <c r="H387" i="3" a="1"/>
  <c r="H387" i="3" s="1"/>
  <c r="G387" i="3" a="1"/>
  <c r="G387" i="3" s="1"/>
  <c r="F387" i="3" a="1"/>
  <c r="F387" i="3" s="1"/>
  <c r="E387" i="3" a="1"/>
  <c r="E387" i="3" s="1"/>
  <c r="D387" i="3" a="1"/>
  <c r="D387" i="3" s="1"/>
  <c r="C387" i="3" a="1"/>
  <c r="C387" i="3" s="1"/>
  <c r="A387" i="3"/>
  <c r="AD386" i="3" a="1"/>
  <c r="AD386" i="3"/>
  <c r="AC386" i="3" a="1"/>
  <c r="AC386" i="3"/>
  <c r="AB386" i="3" a="1"/>
  <c r="AB386" i="3"/>
  <c r="AA386" i="3" a="1"/>
  <c r="AA386" i="3"/>
  <c r="Z386" i="3" a="1"/>
  <c r="Z386" i="3" s="1"/>
  <c r="Y386" i="3" a="1"/>
  <c r="Y386" i="3"/>
  <c r="X386" i="3" a="1"/>
  <c r="X386" i="3"/>
  <c r="W386" i="3" a="1"/>
  <c r="W386" i="3"/>
  <c r="V386" i="3" a="1"/>
  <c r="V386" i="3"/>
  <c r="U386" i="3" a="1"/>
  <c r="U386" i="3"/>
  <c r="T386" i="3" a="1"/>
  <c r="T386" i="3" s="1"/>
  <c r="S386" i="3" a="1"/>
  <c r="S386" i="3"/>
  <c r="R386" i="3" a="1"/>
  <c r="R386" i="3"/>
  <c r="Q386" i="3" a="1"/>
  <c r="Q386" i="3" s="1"/>
  <c r="P386" i="3" a="1"/>
  <c r="P386" i="3"/>
  <c r="O386" i="3" a="1"/>
  <c r="O386" i="3"/>
  <c r="N386" i="3" a="1"/>
  <c r="N386" i="3" s="1"/>
  <c r="M386" i="3" a="1"/>
  <c r="M386" i="3"/>
  <c r="L386" i="3" a="1"/>
  <c r="L386" i="3"/>
  <c r="K386" i="3" a="1"/>
  <c r="K386" i="3" s="1"/>
  <c r="J386" i="3" a="1"/>
  <c r="J386" i="3"/>
  <c r="I386" i="3" a="1"/>
  <c r="I386" i="3"/>
  <c r="H386" i="3" a="1"/>
  <c r="H386" i="3" s="1"/>
  <c r="G386" i="3" a="1"/>
  <c r="G386" i="3"/>
  <c r="F386" i="3" a="1"/>
  <c r="F386" i="3"/>
  <c r="E386" i="3" a="1"/>
  <c r="E386" i="3" s="1"/>
  <c r="D386" i="3" a="1"/>
  <c r="D386" i="3"/>
  <c r="C386" i="3" a="1"/>
  <c r="C386" i="3"/>
  <c r="A386" i="3"/>
  <c r="AD385" i="3" a="1"/>
  <c r="AD385" i="3" s="1"/>
  <c r="AC385" i="3" a="1"/>
  <c r="AC385" i="3" s="1"/>
  <c r="AB385" i="3" a="1"/>
  <c r="AB385" i="3"/>
  <c r="AA385" i="3" a="1"/>
  <c r="AA385" i="3" s="1"/>
  <c r="Z385" i="3" a="1"/>
  <c r="Z385" i="3" s="1"/>
  <c r="Y385" i="3" a="1"/>
  <c r="Y385" i="3" s="1"/>
  <c r="X385" i="3" a="1"/>
  <c r="X385" i="3" s="1"/>
  <c r="W385" i="3" a="1"/>
  <c r="W385" i="3" s="1"/>
  <c r="V385" i="3" a="1"/>
  <c r="V385" i="3"/>
  <c r="U385" i="3" a="1"/>
  <c r="U385" i="3" s="1"/>
  <c r="T385" i="3" a="1"/>
  <c r="T385" i="3" s="1"/>
  <c r="S385" i="3" a="1"/>
  <c r="S385" i="3" s="1"/>
  <c r="R385" i="3" a="1"/>
  <c r="R385" i="3" s="1"/>
  <c r="Q385" i="3" a="1"/>
  <c r="Q385" i="3" s="1"/>
  <c r="P385" i="3" a="1"/>
  <c r="P385" i="3"/>
  <c r="O385" i="3" a="1"/>
  <c r="O385" i="3" s="1"/>
  <c r="N385" i="3" a="1"/>
  <c r="N385" i="3" s="1"/>
  <c r="M385" i="3" a="1"/>
  <c r="M385" i="3" s="1"/>
  <c r="L385" i="3" a="1"/>
  <c r="L385" i="3" s="1"/>
  <c r="K385" i="3" a="1"/>
  <c r="K385" i="3" s="1"/>
  <c r="J385" i="3" a="1"/>
  <c r="J385" i="3"/>
  <c r="I385" i="3" a="1"/>
  <c r="I385" i="3" s="1"/>
  <c r="H385" i="3" a="1"/>
  <c r="H385" i="3" s="1"/>
  <c r="G385" i="3" a="1"/>
  <c r="G385" i="3" s="1"/>
  <c r="F385" i="3" a="1"/>
  <c r="F385" i="3" s="1"/>
  <c r="E385" i="3" a="1"/>
  <c r="E385" i="3" s="1"/>
  <c r="D385" i="3" a="1"/>
  <c r="D385" i="3"/>
  <c r="C385" i="3" a="1"/>
  <c r="C385" i="3" s="1"/>
  <c r="B385" i="3" a="1"/>
  <c r="B385" i="3" s="1"/>
  <c r="A385" i="3"/>
  <c r="A384" i="3"/>
  <c r="AD383" i="3" a="1"/>
  <c r="AD383" i="3" s="1"/>
  <c r="AC383" i="3" a="1"/>
  <c r="AC383" i="3" s="1"/>
  <c r="AB383" i="3" a="1"/>
  <c r="AB383" i="3" s="1"/>
  <c r="AA383" i="3" a="1"/>
  <c r="AA383" i="3"/>
  <c r="Z383" i="3" a="1"/>
  <c r="Z383" i="3" s="1"/>
  <c r="Y383" i="3" a="1"/>
  <c r="Y383" i="3" s="1"/>
  <c r="X383" i="3" a="1"/>
  <c r="X383" i="3" s="1"/>
  <c r="W383" i="3" a="1"/>
  <c r="W383" i="3" s="1"/>
  <c r="V383" i="3" a="1"/>
  <c r="V383" i="3" s="1"/>
  <c r="U383" i="3" a="1"/>
  <c r="U383" i="3"/>
  <c r="T383" i="3" a="1"/>
  <c r="T383" i="3" s="1"/>
  <c r="S383" i="3" a="1"/>
  <c r="S383" i="3" s="1"/>
  <c r="R383" i="3" a="1"/>
  <c r="R383" i="3" s="1"/>
  <c r="Q383" i="3" a="1"/>
  <c r="Q383" i="3" s="1"/>
  <c r="P383" i="3" a="1"/>
  <c r="P383" i="3" s="1"/>
  <c r="O383" i="3" a="1"/>
  <c r="O383" i="3"/>
  <c r="N383" i="3" a="1"/>
  <c r="N383" i="3" s="1"/>
  <c r="M383" i="3" a="1"/>
  <c r="M383" i="3" s="1"/>
  <c r="L383" i="3" a="1"/>
  <c r="L383" i="3" s="1"/>
  <c r="K383" i="3" a="1"/>
  <c r="K383" i="3" s="1"/>
  <c r="J383" i="3" a="1"/>
  <c r="J383" i="3" s="1"/>
  <c r="I383" i="3" a="1"/>
  <c r="I383" i="3"/>
  <c r="H383" i="3" a="1"/>
  <c r="H383" i="3" s="1"/>
  <c r="G383" i="3" a="1"/>
  <c r="G383" i="3" s="1"/>
  <c r="F383" i="3" a="1"/>
  <c r="F383" i="3" s="1"/>
  <c r="E383" i="3" a="1"/>
  <c r="E383" i="3" s="1"/>
  <c r="D383" i="3" a="1"/>
  <c r="D383" i="3" s="1"/>
  <c r="C383" i="3" a="1"/>
  <c r="C383" i="3"/>
  <c r="A383" i="3"/>
  <c r="AD382" i="3" a="1"/>
  <c r="AD382" i="3"/>
  <c r="AC382" i="3" a="1"/>
  <c r="AC382" i="3"/>
  <c r="AB382" i="3" a="1"/>
  <c r="AB382" i="3"/>
  <c r="AA382" i="3" a="1"/>
  <c r="AA382" i="3" s="1"/>
  <c r="Z382" i="3" a="1"/>
  <c r="Z382" i="3"/>
  <c r="Y382" i="3" a="1"/>
  <c r="Y382" i="3"/>
  <c r="X382" i="3" a="1"/>
  <c r="X382" i="3"/>
  <c r="W382" i="3" a="1"/>
  <c r="W382" i="3"/>
  <c r="V382" i="3" a="1"/>
  <c r="V382" i="3"/>
  <c r="U382" i="3" a="1"/>
  <c r="U382" i="3" s="1"/>
  <c r="T382" i="3" a="1"/>
  <c r="T382" i="3"/>
  <c r="S382" i="3" a="1"/>
  <c r="S382" i="3"/>
  <c r="R382" i="3" a="1"/>
  <c r="R382" i="3" s="1"/>
  <c r="Q382" i="3" a="1"/>
  <c r="Q382" i="3"/>
  <c r="P382" i="3" a="1"/>
  <c r="P382" i="3"/>
  <c r="O382" i="3" a="1"/>
  <c r="O382" i="3" s="1"/>
  <c r="N382" i="3" a="1"/>
  <c r="N382" i="3"/>
  <c r="M382" i="3" a="1"/>
  <c r="M382" i="3"/>
  <c r="L382" i="3" a="1"/>
  <c r="L382" i="3" s="1"/>
  <c r="K382" i="3" a="1"/>
  <c r="K382" i="3"/>
  <c r="J382" i="3" a="1"/>
  <c r="J382" i="3"/>
  <c r="I382" i="3" a="1"/>
  <c r="I382" i="3" s="1"/>
  <c r="H382" i="3" a="1"/>
  <c r="H382" i="3"/>
  <c r="G382" i="3" a="1"/>
  <c r="G382" i="3" s="1"/>
  <c r="F382" i="3" a="1"/>
  <c r="F382" i="3" s="1"/>
  <c r="E382" i="3" a="1"/>
  <c r="E382" i="3"/>
  <c r="A382" i="3"/>
  <c r="AD381" i="3" a="1"/>
  <c r="AD381" i="3" s="1"/>
  <c r="AC381" i="3" a="1"/>
  <c r="AC381" i="3"/>
  <c r="AB381" i="3" a="1"/>
  <c r="AB381" i="3" s="1"/>
  <c r="AA381" i="3" a="1"/>
  <c r="AA381" i="3" s="1"/>
  <c r="Z381" i="3" a="1"/>
  <c r="Z381" i="3"/>
  <c r="Y381" i="3" a="1"/>
  <c r="Y381" i="3"/>
  <c r="X381" i="3" a="1"/>
  <c r="X381" i="3" s="1"/>
  <c r="W381" i="3" a="1"/>
  <c r="W381" i="3"/>
  <c r="V381" i="3" a="1"/>
  <c r="V381" i="3" s="1"/>
  <c r="U381" i="3" a="1"/>
  <c r="U381" i="3" s="1"/>
  <c r="T381" i="3" a="1"/>
  <c r="T381" i="3"/>
  <c r="S381" i="3" a="1"/>
  <c r="S381" i="3"/>
  <c r="R381" i="3" a="1"/>
  <c r="R381" i="3" s="1"/>
  <c r="Q381" i="3" a="1"/>
  <c r="Q381" i="3" s="1"/>
  <c r="P381" i="3" a="1"/>
  <c r="P381" i="3" s="1"/>
  <c r="O381" i="3" a="1"/>
  <c r="O381" i="3" s="1"/>
  <c r="N381" i="3" a="1"/>
  <c r="N381" i="3"/>
  <c r="M381" i="3" a="1"/>
  <c r="M381" i="3"/>
  <c r="L381" i="3" a="1"/>
  <c r="L381" i="3" s="1"/>
  <c r="K381" i="3" a="1"/>
  <c r="K381" i="3" s="1"/>
  <c r="J381" i="3" a="1"/>
  <c r="J381" i="3" s="1"/>
  <c r="I381" i="3" a="1"/>
  <c r="I381" i="3" s="1"/>
  <c r="H381" i="3" a="1"/>
  <c r="H381" i="3"/>
  <c r="G381" i="3" a="1"/>
  <c r="G381" i="3"/>
  <c r="F381" i="3" a="1"/>
  <c r="F381" i="3" s="1"/>
  <c r="E381" i="3" a="1"/>
  <c r="E381" i="3" s="1"/>
  <c r="A381" i="3"/>
  <c r="AD380" i="3" a="1"/>
  <c r="AD380" i="3" s="1"/>
  <c r="AC380" i="3" a="1"/>
  <c r="AC380" i="3"/>
  <c r="AB380" i="3" a="1"/>
  <c r="AB380" i="3"/>
  <c r="AA380" i="3" a="1"/>
  <c r="AA380" i="3"/>
  <c r="Z380" i="3" a="1"/>
  <c r="Z380" i="3"/>
  <c r="Y380" i="3" a="1"/>
  <c r="Y380" i="3"/>
  <c r="X380" i="3" a="1"/>
  <c r="X380" i="3" s="1"/>
  <c r="W380" i="3" a="1"/>
  <c r="W380" i="3"/>
  <c r="V380" i="3" a="1"/>
  <c r="V380" i="3"/>
  <c r="U380" i="3" a="1"/>
  <c r="U380" i="3"/>
  <c r="T380" i="3" a="1"/>
  <c r="T380" i="3"/>
  <c r="S380" i="3" a="1"/>
  <c r="S380" i="3"/>
  <c r="R380" i="3" a="1"/>
  <c r="R380" i="3" s="1"/>
  <c r="Q380" i="3" a="1"/>
  <c r="Q380" i="3"/>
  <c r="P380" i="3" a="1"/>
  <c r="P380" i="3"/>
  <c r="O380" i="3" a="1"/>
  <c r="O380" i="3" s="1"/>
  <c r="N380" i="3" a="1"/>
  <c r="N380" i="3" s="1"/>
  <c r="M380" i="3" a="1"/>
  <c r="M380" i="3"/>
  <c r="L380" i="3" a="1"/>
  <c r="L380" i="3" s="1"/>
  <c r="K380" i="3" a="1"/>
  <c r="K380" i="3"/>
  <c r="J380" i="3" a="1"/>
  <c r="J380" i="3"/>
  <c r="I380" i="3" a="1"/>
  <c r="I380" i="3" s="1"/>
  <c r="H380" i="3" a="1"/>
  <c r="H380" i="3" s="1"/>
  <c r="G380" i="3" a="1"/>
  <c r="G380" i="3"/>
  <c r="F380" i="3" a="1"/>
  <c r="F380" i="3" s="1"/>
  <c r="E380" i="3" a="1"/>
  <c r="E380" i="3"/>
  <c r="D380" i="3" a="1"/>
  <c r="D380" i="3"/>
  <c r="C380" i="3" a="1"/>
  <c r="C380" i="3" s="1"/>
  <c r="A380" i="3"/>
  <c r="AD379" i="3" a="1"/>
  <c r="AD379" i="3"/>
  <c r="AC379" i="3" a="1"/>
  <c r="AC379" i="3" s="1"/>
  <c r="AB379" i="3" a="1"/>
  <c r="AB379" i="3" s="1"/>
  <c r="AA379" i="3" a="1"/>
  <c r="AA379" i="3" s="1"/>
  <c r="Z379" i="3" a="1"/>
  <c r="Z379" i="3"/>
  <c r="Y379" i="3" a="1"/>
  <c r="Y379" i="3"/>
  <c r="X379" i="3" a="1"/>
  <c r="X379" i="3"/>
  <c r="W379" i="3" a="1"/>
  <c r="W379" i="3" s="1"/>
  <c r="V379" i="3" a="1"/>
  <c r="V379" i="3" s="1"/>
  <c r="U379" i="3" a="1"/>
  <c r="U379" i="3" s="1"/>
  <c r="T379" i="3" a="1"/>
  <c r="T379" i="3" s="1"/>
  <c r="S379" i="3" a="1"/>
  <c r="S379" i="3"/>
  <c r="R379" i="3" a="1"/>
  <c r="R379" i="3"/>
  <c r="Q379" i="3" a="1"/>
  <c r="Q379" i="3" s="1"/>
  <c r="P379" i="3" a="1"/>
  <c r="P379" i="3" s="1"/>
  <c r="O379" i="3" a="1"/>
  <c r="O379" i="3" s="1"/>
  <c r="N379" i="3" a="1"/>
  <c r="N379" i="3" s="1"/>
  <c r="M379" i="3" a="1"/>
  <c r="M379" i="3"/>
  <c r="L379" i="3" a="1"/>
  <c r="L379" i="3"/>
  <c r="K379" i="3" a="1"/>
  <c r="K379" i="3" s="1"/>
  <c r="J379" i="3" a="1"/>
  <c r="J379" i="3" s="1"/>
  <c r="I379" i="3" a="1"/>
  <c r="I379" i="3" s="1"/>
  <c r="H379" i="3" a="1"/>
  <c r="H379" i="3" s="1"/>
  <c r="G379" i="3" a="1"/>
  <c r="G379" i="3" s="1"/>
  <c r="F379" i="3" a="1"/>
  <c r="F379" i="3"/>
  <c r="E379" i="3" a="1"/>
  <c r="E379" i="3" s="1"/>
  <c r="D379" i="3" a="1"/>
  <c r="D379" i="3" s="1"/>
  <c r="C379" i="3" a="1"/>
  <c r="C379" i="3" s="1"/>
  <c r="A379" i="3"/>
  <c r="AD378" i="3" a="1"/>
  <c r="AD378" i="3"/>
  <c r="AC378" i="3" a="1"/>
  <c r="AC378" i="3" s="1"/>
  <c r="AB378" i="3" a="1"/>
  <c r="AB378" i="3"/>
  <c r="AA378" i="3" a="1"/>
  <c r="AA378" i="3"/>
  <c r="Z378" i="3" a="1"/>
  <c r="Z378" i="3"/>
  <c r="Y378" i="3" a="1"/>
  <c r="Y378" i="3"/>
  <c r="X378" i="3" a="1"/>
  <c r="X378" i="3"/>
  <c r="W378" i="3" a="1"/>
  <c r="W378" i="3" s="1"/>
  <c r="V378" i="3" a="1"/>
  <c r="V378" i="3"/>
  <c r="U378" i="3" a="1"/>
  <c r="U378" i="3"/>
  <c r="T378" i="3" a="1"/>
  <c r="T378" i="3"/>
  <c r="S378" i="3" a="1"/>
  <c r="S378" i="3"/>
  <c r="R378" i="3" a="1"/>
  <c r="R378" i="3"/>
  <c r="Q378" i="3" a="1"/>
  <c r="Q378" i="3" s="1"/>
  <c r="P378" i="3" a="1"/>
  <c r="P378" i="3"/>
  <c r="O378" i="3" a="1"/>
  <c r="O378" i="3"/>
  <c r="N378" i="3" a="1"/>
  <c r="N378" i="3"/>
  <c r="M378" i="3" a="1"/>
  <c r="M378" i="3" s="1"/>
  <c r="L378" i="3" a="1"/>
  <c r="L378" i="3"/>
  <c r="K378" i="3" a="1"/>
  <c r="K378" i="3" s="1"/>
  <c r="J378" i="3" a="1"/>
  <c r="J378" i="3"/>
  <c r="I378" i="3" a="1"/>
  <c r="I378" i="3"/>
  <c r="H378" i="3" a="1"/>
  <c r="H378" i="3"/>
  <c r="G378" i="3" a="1"/>
  <c r="G378" i="3" s="1"/>
  <c r="A378" i="3"/>
  <c r="AD377" i="3" a="1"/>
  <c r="AD377" i="3"/>
  <c r="AC377" i="3" a="1"/>
  <c r="AC377" i="3"/>
  <c r="AB377" i="3" a="1"/>
  <c r="AB377" i="3" s="1"/>
  <c r="AA377" i="3" a="1"/>
  <c r="AA377" i="3" s="1"/>
  <c r="Z377" i="3" a="1"/>
  <c r="Z377" i="3" s="1"/>
  <c r="Y377" i="3" a="1"/>
  <c r="Y377" i="3"/>
  <c r="X377" i="3" a="1"/>
  <c r="X377" i="3" s="1"/>
  <c r="W377" i="3" a="1"/>
  <c r="W377" i="3"/>
  <c r="V377" i="3" a="1"/>
  <c r="V377" i="3" s="1"/>
  <c r="U377" i="3" a="1"/>
  <c r="U377" i="3" s="1"/>
  <c r="T377" i="3" a="1"/>
  <c r="T377" i="3" s="1"/>
  <c r="S377" i="3" a="1"/>
  <c r="S377" i="3"/>
  <c r="R377" i="3" a="1"/>
  <c r="R377" i="3" s="1"/>
  <c r="Q377" i="3" a="1"/>
  <c r="Q377" i="3"/>
  <c r="P377" i="3" a="1"/>
  <c r="P377" i="3" s="1"/>
  <c r="O377" i="3" a="1"/>
  <c r="O377" i="3" s="1"/>
  <c r="N377" i="3" a="1"/>
  <c r="N377" i="3" s="1"/>
  <c r="M377" i="3" a="1"/>
  <c r="M377" i="3"/>
  <c r="L377" i="3" a="1"/>
  <c r="L377" i="3" s="1"/>
  <c r="K377" i="3" a="1"/>
  <c r="K377" i="3"/>
  <c r="J377" i="3" a="1"/>
  <c r="J377" i="3" s="1"/>
  <c r="I377" i="3" a="1"/>
  <c r="I377" i="3" s="1"/>
  <c r="H377" i="3" a="1"/>
  <c r="H377" i="3" s="1"/>
  <c r="G377" i="3" a="1"/>
  <c r="G377" i="3" s="1"/>
  <c r="F377" i="3" a="1"/>
  <c r="F377" i="3" s="1"/>
  <c r="E377" i="3" a="1"/>
  <c r="E377" i="3"/>
  <c r="D377" i="3" a="1"/>
  <c r="D377" i="3" s="1"/>
  <c r="C377" i="3" a="1"/>
  <c r="C377" i="3" s="1"/>
  <c r="A377" i="3"/>
  <c r="AD376" i="3" a="1"/>
  <c r="AD376" i="3" s="1"/>
  <c r="AC376" i="3" a="1"/>
  <c r="AC376" i="3"/>
  <c r="AB376" i="3" a="1"/>
  <c r="AB376" i="3" s="1"/>
  <c r="AA376" i="3" a="1"/>
  <c r="AA376" i="3"/>
  <c r="Z376" i="3" a="1"/>
  <c r="Z376" i="3"/>
  <c r="Y376" i="3" a="1"/>
  <c r="Y376" i="3"/>
  <c r="X376" i="3" a="1"/>
  <c r="X376" i="3" s="1"/>
  <c r="W376" i="3" a="1"/>
  <c r="W376" i="3"/>
  <c r="V376" i="3" a="1"/>
  <c r="V376" i="3" s="1"/>
  <c r="U376" i="3" a="1"/>
  <c r="U376" i="3"/>
  <c r="T376" i="3" a="1"/>
  <c r="T376" i="3"/>
  <c r="S376" i="3" a="1"/>
  <c r="S376" i="3"/>
  <c r="R376" i="3" a="1"/>
  <c r="R376" i="3" s="1"/>
  <c r="Q376" i="3" a="1"/>
  <c r="Q376" i="3"/>
  <c r="P376" i="3" a="1"/>
  <c r="P376" i="3" s="1"/>
  <c r="O376" i="3" a="1"/>
  <c r="O376" i="3"/>
  <c r="N376" i="3" a="1"/>
  <c r="N376" i="3"/>
  <c r="M376" i="3" a="1"/>
  <c r="M376" i="3"/>
  <c r="L376" i="3" a="1"/>
  <c r="L376" i="3" s="1"/>
  <c r="K376" i="3" a="1"/>
  <c r="K376" i="3"/>
  <c r="J376" i="3" a="1"/>
  <c r="J376" i="3" s="1"/>
  <c r="I376" i="3" a="1"/>
  <c r="I376" i="3"/>
  <c r="H376" i="3" a="1"/>
  <c r="H376" i="3"/>
  <c r="G376" i="3" a="1"/>
  <c r="G376" i="3"/>
  <c r="F376" i="3" a="1"/>
  <c r="F376" i="3" s="1"/>
  <c r="E376" i="3" a="1"/>
  <c r="E376" i="3"/>
  <c r="D376" i="3" a="1"/>
  <c r="D376" i="3" s="1"/>
  <c r="C376" i="3" a="1"/>
  <c r="C376" i="3"/>
  <c r="A376" i="3"/>
  <c r="AD375" i="3" a="1"/>
  <c r="AD375" i="3"/>
  <c r="AC375" i="3" a="1"/>
  <c r="AC375" i="3"/>
  <c r="AB375" i="3" a="1"/>
  <c r="AB375" i="3"/>
  <c r="AA375" i="3" a="1"/>
  <c r="AA375" i="3" s="1"/>
  <c r="Z375" i="3" a="1"/>
  <c r="Z375" i="3" s="1"/>
  <c r="Y375" i="3" a="1"/>
  <c r="Y375" i="3" s="1"/>
  <c r="X375" i="3" a="1"/>
  <c r="X375" i="3" s="1"/>
  <c r="W375" i="3" a="1"/>
  <c r="W375" i="3"/>
  <c r="V375" i="3" a="1"/>
  <c r="V375" i="3"/>
  <c r="U375" i="3" a="1"/>
  <c r="U375" i="3" s="1"/>
  <c r="T375" i="3" a="1"/>
  <c r="T375" i="3" s="1"/>
  <c r="S375" i="3" a="1"/>
  <c r="S375" i="3" s="1"/>
  <c r="R375" i="3" a="1"/>
  <c r="R375" i="3" s="1"/>
  <c r="Q375" i="3" a="1"/>
  <c r="Q375" i="3"/>
  <c r="P375" i="3" a="1"/>
  <c r="P375" i="3"/>
  <c r="O375" i="3" a="1"/>
  <c r="O375" i="3" s="1"/>
  <c r="N375" i="3" a="1"/>
  <c r="N375" i="3" s="1"/>
  <c r="M375" i="3" a="1"/>
  <c r="M375" i="3" s="1"/>
  <c r="L375" i="3" a="1"/>
  <c r="L375" i="3" s="1"/>
  <c r="K375" i="3" a="1"/>
  <c r="K375" i="3"/>
  <c r="J375" i="3" a="1"/>
  <c r="J375" i="3"/>
  <c r="I375" i="3" a="1"/>
  <c r="I375" i="3" s="1"/>
  <c r="H375" i="3" a="1"/>
  <c r="H375" i="3" s="1"/>
  <c r="G375" i="3" a="1"/>
  <c r="G375" i="3" s="1"/>
  <c r="F375" i="3" a="1"/>
  <c r="F375" i="3" s="1"/>
  <c r="E375" i="3" a="1"/>
  <c r="E375" i="3" s="1"/>
  <c r="D375" i="3" a="1"/>
  <c r="D375" i="3"/>
  <c r="C375" i="3" a="1"/>
  <c r="C375" i="3" s="1"/>
  <c r="B375" i="3" a="1"/>
  <c r="B375" i="3" s="1"/>
  <c r="A375" i="3"/>
  <c r="AD374" i="3" a="1"/>
  <c r="AD374" i="3"/>
  <c r="AC374" i="3" a="1"/>
  <c r="AC374" i="3" s="1"/>
  <c r="AB374" i="3" a="1"/>
  <c r="AB374" i="3"/>
  <c r="AA374" i="3" a="1"/>
  <c r="AA374" i="3" s="1"/>
  <c r="Z374" i="3" a="1"/>
  <c r="Z374" i="3"/>
  <c r="Y374" i="3" a="1"/>
  <c r="Y374" i="3"/>
  <c r="X374" i="3" a="1"/>
  <c r="X374" i="3"/>
  <c r="W374" i="3" a="1"/>
  <c r="W374" i="3" s="1"/>
  <c r="V374" i="3" a="1"/>
  <c r="V374" i="3"/>
  <c r="U374" i="3" a="1"/>
  <c r="U374" i="3" s="1"/>
  <c r="T374" i="3" a="1"/>
  <c r="T374" i="3"/>
  <c r="S374" i="3" a="1"/>
  <c r="S374" i="3"/>
  <c r="R374" i="3" a="1"/>
  <c r="R374" i="3"/>
  <c r="Q374" i="3" a="1"/>
  <c r="Q374" i="3" s="1"/>
  <c r="P374" i="3" a="1"/>
  <c r="P374" i="3"/>
  <c r="O374" i="3" a="1"/>
  <c r="O374" i="3" s="1"/>
  <c r="N374" i="3" a="1"/>
  <c r="N374" i="3"/>
  <c r="M374" i="3" a="1"/>
  <c r="M374" i="3"/>
  <c r="L374" i="3" a="1"/>
  <c r="L374" i="3"/>
  <c r="K374" i="3" a="1"/>
  <c r="K374" i="3" s="1"/>
  <c r="J374" i="3" a="1"/>
  <c r="J374" i="3"/>
  <c r="I374" i="3" a="1"/>
  <c r="I374" i="3" s="1"/>
  <c r="H374" i="3" a="1"/>
  <c r="H374" i="3"/>
  <c r="G374" i="3" a="1"/>
  <c r="G374" i="3"/>
  <c r="F374" i="3" a="1"/>
  <c r="F374" i="3"/>
  <c r="E374" i="3" a="1"/>
  <c r="E374" i="3" s="1"/>
  <c r="A374" i="3"/>
  <c r="AD373" i="3" a="1"/>
  <c r="AD373" i="3" s="1"/>
  <c r="AC373" i="3" a="1"/>
  <c r="AC373" i="3"/>
  <c r="AB373" i="3" a="1"/>
  <c r="AB373" i="3"/>
  <c r="AA373" i="3" a="1"/>
  <c r="AA373" i="3"/>
  <c r="Z373" i="3" a="1"/>
  <c r="Z373" i="3" s="1"/>
  <c r="A373" i="3"/>
  <c r="AD372" i="3" a="1"/>
  <c r="AD372" i="3"/>
  <c r="AC372" i="3" a="1"/>
  <c r="AC372" i="3"/>
  <c r="AB372" i="3" a="1"/>
  <c r="AB372" i="3"/>
  <c r="AA372" i="3" a="1"/>
  <c r="AA372" i="3"/>
  <c r="Z372" i="3" a="1"/>
  <c r="Z372" i="3" s="1"/>
  <c r="Y372" i="3" a="1"/>
  <c r="Y372" i="3"/>
  <c r="X372" i="3" a="1"/>
  <c r="X372" i="3"/>
  <c r="W372" i="3" a="1"/>
  <c r="W372" i="3"/>
  <c r="V372" i="3" a="1"/>
  <c r="V372" i="3"/>
  <c r="U372" i="3" a="1"/>
  <c r="U372" i="3"/>
  <c r="T372" i="3" a="1"/>
  <c r="T372" i="3" s="1"/>
  <c r="S372" i="3" a="1"/>
  <c r="S372" i="3"/>
  <c r="R372" i="3" a="1"/>
  <c r="R372" i="3"/>
  <c r="Q372" i="3" a="1"/>
  <c r="Q372" i="3"/>
  <c r="P372" i="3" a="1"/>
  <c r="P372" i="3" s="1"/>
  <c r="O372" i="3" a="1"/>
  <c r="O372" i="3"/>
  <c r="N372" i="3" a="1"/>
  <c r="N372" i="3"/>
  <c r="M372" i="3" a="1"/>
  <c r="M372" i="3"/>
  <c r="L372" i="3" a="1"/>
  <c r="L372" i="3"/>
  <c r="K372" i="3" a="1"/>
  <c r="K372" i="3"/>
  <c r="J372" i="3" a="1"/>
  <c r="J372" i="3" s="1"/>
  <c r="I372" i="3" a="1"/>
  <c r="I372" i="3"/>
  <c r="H372" i="3" a="1"/>
  <c r="H372" i="3" s="1"/>
  <c r="G372" i="3" a="1"/>
  <c r="G372" i="3"/>
  <c r="F372" i="3" a="1"/>
  <c r="F372" i="3"/>
  <c r="E372" i="3" a="1"/>
  <c r="E372" i="3"/>
  <c r="D372" i="3" a="1"/>
  <c r="D372" i="3" s="1"/>
  <c r="C372" i="3" a="1"/>
  <c r="C372" i="3"/>
  <c r="A372" i="3"/>
  <c r="AD371" i="3" a="1"/>
  <c r="AD371" i="3" s="1"/>
  <c r="AC371" i="3" a="1"/>
  <c r="AC371" i="3" s="1"/>
  <c r="AB371" i="3" a="1"/>
  <c r="AB371" i="3"/>
  <c r="AA371" i="3" a="1"/>
  <c r="AA371" i="3"/>
  <c r="Z371" i="3" a="1"/>
  <c r="Z371" i="3"/>
  <c r="Y371" i="3" a="1"/>
  <c r="Y371" i="3" s="1"/>
  <c r="X371" i="3" a="1"/>
  <c r="X371" i="3" s="1"/>
  <c r="W371" i="3" a="1"/>
  <c r="W371" i="3" s="1"/>
  <c r="V371" i="3" a="1"/>
  <c r="V371" i="3"/>
  <c r="U371" i="3" a="1"/>
  <c r="U371" i="3"/>
  <c r="T371" i="3" a="1"/>
  <c r="T371" i="3"/>
  <c r="S371" i="3" a="1"/>
  <c r="S371" i="3" s="1"/>
  <c r="R371" i="3" a="1"/>
  <c r="R371" i="3" s="1"/>
  <c r="Q371" i="3" a="1"/>
  <c r="Q371" i="3" s="1"/>
  <c r="P371" i="3" a="1"/>
  <c r="P371" i="3" s="1"/>
  <c r="O371" i="3" a="1"/>
  <c r="O371" i="3"/>
  <c r="N371" i="3" a="1"/>
  <c r="N371" i="3"/>
  <c r="M371" i="3" a="1"/>
  <c r="M371" i="3" s="1"/>
  <c r="L371" i="3" a="1"/>
  <c r="L371" i="3" s="1"/>
  <c r="K371" i="3" a="1"/>
  <c r="K371" i="3" s="1"/>
  <c r="J371" i="3" a="1"/>
  <c r="J371" i="3" s="1"/>
  <c r="I371" i="3" a="1"/>
  <c r="I371" i="3"/>
  <c r="H371" i="3" a="1"/>
  <c r="H371" i="3"/>
  <c r="G371" i="3" a="1"/>
  <c r="G371" i="3" s="1"/>
  <c r="F371" i="3" a="1"/>
  <c r="F371" i="3" s="1"/>
  <c r="E371" i="3" a="1"/>
  <c r="E371" i="3" s="1"/>
  <c r="A371" i="3"/>
  <c r="AD370" i="3" a="1"/>
  <c r="AD370" i="3"/>
  <c r="AC370" i="3" a="1"/>
  <c r="AC370" i="3"/>
  <c r="AB370" i="3" a="1"/>
  <c r="AB370" i="3"/>
  <c r="AA370" i="3" a="1"/>
  <c r="AA370" i="3" s="1"/>
  <c r="Z370" i="3" a="1"/>
  <c r="Z370" i="3"/>
  <c r="Y370" i="3" a="1"/>
  <c r="Y370" i="3" s="1"/>
  <c r="X370" i="3" a="1"/>
  <c r="X370" i="3"/>
  <c r="W370" i="3" a="1"/>
  <c r="W370" i="3"/>
  <c r="V370" i="3" a="1"/>
  <c r="V370" i="3"/>
  <c r="U370" i="3" a="1"/>
  <c r="U370" i="3" s="1"/>
  <c r="T370" i="3" a="1"/>
  <c r="T370" i="3"/>
  <c r="S370" i="3" a="1"/>
  <c r="S370" i="3" s="1"/>
  <c r="R370" i="3" a="1"/>
  <c r="R370" i="3"/>
  <c r="Q370" i="3" a="1"/>
  <c r="Q370" i="3"/>
  <c r="P370" i="3" a="1"/>
  <c r="P370" i="3"/>
  <c r="O370" i="3" a="1"/>
  <c r="O370" i="3" s="1"/>
  <c r="N370" i="3" a="1"/>
  <c r="N370" i="3"/>
  <c r="M370" i="3" a="1"/>
  <c r="M370" i="3"/>
  <c r="L370" i="3" a="1"/>
  <c r="L370" i="3"/>
  <c r="K370" i="3" a="1"/>
  <c r="K370" i="3"/>
  <c r="J370" i="3" a="1"/>
  <c r="J370" i="3"/>
  <c r="I370" i="3" a="1"/>
  <c r="I370" i="3" s="1"/>
  <c r="H370" i="3" a="1"/>
  <c r="H370" i="3"/>
  <c r="G370" i="3" a="1"/>
  <c r="G370" i="3"/>
  <c r="F370" i="3" a="1"/>
  <c r="F370" i="3"/>
  <c r="E370" i="3" a="1"/>
  <c r="E370" i="3"/>
  <c r="D370" i="3" a="1"/>
  <c r="D370" i="3"/>
  <c r="C370" i="3" a="1"/>
  <c r="C370" i="3" s="1"/>
  <c r="A370" i="3"/>
  <c r="AD369" i="3" a="1"/>
  <c r="AD369" i="3" s="1"/>
  <c r="AC369" i="3" a="1"/>
  <c r="AC369" i="3" s="1"/>
  <c r="AB369" i="3" a="1"/>
  <c r="AB369" i="3" s="1"/>
  <c r="AA369" i="3" a="1"/>
  <c r="AA369" i="3"/>
  <c r="Z369" i="3" a="1"/>
  <c r="Z369" i="3"/>
  <c r="Y369" i="3" a="1"/>
  <c r="Y369" i="3"/>
  <c r="X369" i="3" a="1"/>
  <c r="X369" i="3" s="1"/>
  <c r="W369" i="3" a="1"/>
  <c r="W369" i="3" s="1"/>
  <c r="V369" i="3" a="1"/>
  <c r="V369" i="3" s="1"/>
  <c r="U369" i="3" a="1"/>
  <c r="U369" i="3" s="1"/>
  <c r="T369" i="3" a="1"/>
  <c r="T369" i="3"/>
  <c r="S369" i="3" a="1"/>
  <c r="S369" i="3"/>
  <c r="R369" i="3" a="1"/>
  <c r="R369" i="3" s="1"/>
  <c r="Q369" i="3" a="1"/>
  <c r="Q369" i="3" s="1"/>
  <c r="P369" i="3" a="1"/>
  <c r="P369" i="3" s="1"/>
  <c r="O369" i="3" a="1"/>
  <c r="O369" i="3" s="1"/>
  <c r="N369" i="3" a="1"/>
  <c r="N369" i="3"/>
  <c r="M369" i="3" a="1"/>
  <c r="M369" i="3"/>
  <c r="L369" i="3" a="1"/>
  <c r="L369" i="3" s="1"/>
  <c r="K369" i="3" a="1"/>
  <c r="K369" i="3" s="1"/>
  <c r="J369" i="3" a="1"/>
  <c r="J369" i="3" s="1"/>
  <c r="I369" i="3" a="1"/>
  <c r="I369" i="3" s="1"/>
  <c r="H369" i="3" a="1"/>
  <c r="H369" i="3" s="1"/>
  <c r="G369" i="3" a="1"/>
  <c r="G369" i="3" s="1"/>
  <c r="F369" i="3" a="1"/>
  <c r="F369" i="3" s="1"/>
  <c r="E369" i="3" a="1"/>
  <c r="E369" i="3" s="1"/>
  <c r="D369" i="3" a="1"/>
  <c r="D369" i="3" s="1"/>
  <c r="A369" i="3"/>
  <c r="AD368" i="3" a="1"/>
  <c r="AD368" i="3" s="1"/>
  <c r="AC368" i="3" a="1"/>
  <c r="AC368" i="3"/>
  <c r="AB368" i="3" a="1"/>
  <c r="AB368" i="3"/>
  <c r="AA368" i="3" a="1"/>
  <c r="AA368" i="3"/>
  <c r="Z368" i="3" a="1"/>
  <c r="Z368" i="3"/>
  <c r="Y368" i="3" a="1"/>
  <c r="Y368" i="3"/>
  <c r="X368" i="3" a="1"/>
  <c r="X368" i="3" s="1"/>
  <c r="W368" i="3" a="1"/>
  <c r="W368" i="3"/>
  <c r="V368" i="3" a="1"/>
  <c r="V368" i="3"/>
  <c r="U368" i="3" a="1"/>
  <c r="U368" i="3"/>
  <c r="T368" i="3" a="1"/>
  <c r="T368" i="3" s="1"/>
  <c r="S368" i="3" a="1"/>
  <c r="S368" i="3"/>
  <c r="R368" i="3" a="1"/>
  <c r="R368" i="3" s="1"/>
  <c r="Q368" i="3" a="1"/>
  <c r="Q368" i="3"/>
  <c r="P368" i="3" a="1"/>
  <c r="P368" i="3"/>
  <c r="O368" i="3" a="1"/>
  <c r="O368" i="3"/>
  <c r="N368" i="3" a="1"/>
  <c r="N368" i="3" s="1"/>
  <c r="M368" i="3" a="1"/>
  <c r="M368" i="3"/>
  <c r="L368" i="3" a="1"/>
  <c r="L368" i="3"/>
  <c r="K368" i="3" a="1"/>
  <c r="K368" i="3"/>
  <c r="J368" i="3" a="1"/>
  <c r="J368" i="3"/>
  <c r="I368" i="3" a="1"/>
  <c r="I368" i="3"/>
  <c r="H368" i="3" a="1"/>
  <c r="H368" i="3" s="1"/>
  <c r="G368" i="3" a="1"/>
  <c r="G368" i="3"/>
  <c r="F368" i="3" a="1"/>
  <c r="F368" i="3"/>
  <c r="E368" i="3" a="1"/>
  <c r="E368" i="3"/>
  <c r="D368" i="3" a="1"/>
  <c r="D368" i="3"/>
  <c r="C368" i="3" a="1"/>
  <c r="C368" i="3"/>
  <c r="A368" i="3"/>
  <c r="AD367" i="3" a="1"/>
  <c r="AD367" i="3" s="1"/>
  <c r="AC367" i="3" a="1"/>
  <c r="AC367" i="3" s="1"/>
  <c r="AB367" i="3" a="1"/>
  <c r="AB367" i="3"/>
  <c r="AA367" i="3" a="1"/>
  <c r="AA367" i="3" s="1"/>
  <c r="Z367" i="3" a="1"/>
  <c r="Z367" i="3" s="1"/>
  <c r="Y367" i="3" a="1"/>
  <c r="Y367" i="3"/>
  <c r="X367" i="3" a="1"/>
  <c r="X367" i="3"/>
  <c r="W367" i="3" a="1"/>
  <c r="W367" i="3" s="1"/>
  <c r="V367" i="3" a="1"/>
  <c r="V367" i="3" s="1"/>
  <c r="U367" i="3" a="1"/>
  <c r="U367" i="3" s="1"/>
  <c r="T367" i="3" a="1"/>
  <c r="T367" i="3" s="1"/>
  <c r="S367" i="3" a="1"/>
  <c r="S367" i="3" s="1"/>
  <c r="R367" i="3" a="1"/>
  <c r="R367" i="3" s="1"/>
  <c r="Q367" i="3" a="1"/>
  <c r="Q367" i="3" s="1"/>
  <c r="P367" i="3" a="1"/>
  <c r="P367" i="3"/>
  <c r="O367" i="3" a="1"/>
  <c r="O367" i="3" s="1"/>
  <c r="N367" i="3" a="1"/>
  <c r="N367" i="3" s="1"/>
  <c r="M367" i="3" a="1"/>
  <c r="M367" i="3" s="1"/>
  <c r="L367" i="3" a="1"/>
  <c r="L367" i="3"/>
  <c r="K367" i="3" a="1"/>
  <c r="K367" i="3"/>
  <c r="J367" i="3" a="1"/>
  <c r="J367" i="3" s="1"/>
  <c r="I367" i="3" a="1"/>
  <c r="I367" i="3" s="1"/>
  <c r="H367" i="3" a="1"/>
  <c r="H367" i="3" s="1"/>
  <c r="G367" i="3" a="1"/>
  <c r="G367" i="3" s="1"/>
  <c r="F367" i="3" a="1"/>
  <c r="F367" i="3" s="1"/>
  <c r="E367" i="3" a="1"/>
  <c r="E367" i="3" s="1"/>
  <c r="D367" i="3" a="1"/>
  <c r="D367" i="3"/>
  <c r="C367" i="3" a="1"/>
  <c r="C367" i="3" s="1"/>
  <c r="A367" i="3"/>
  <c r="AD366" i="3" a="1"/>
  <c r="AD366" i="3"/>
  <c r="AC366" i="3" a="1"/>
  <c r="AC366" i="3"/>
  <c r="AB366" i="3" a="1"/>
  <c r="AB366" i="3"/>
  <c r="AA366" i="3" a="1"/>
  <c r="AA366" i="3"/>
  <c r="Z366" i="3" a="1"/>
  <c r="Z366" i="3"/>
  <c r="Y366" i="3" a="1"/>
  <c r="Y366" i="3"/>
  <c r="X366" i="3" a="1"/>
  <c r="X366" i="3"/>
  <c r="W366" i="3" a="1"/>
  <c r="W366" i="3"/>
  <c r="V366" i="3" a="1"/>
  <c r="V366" i="3"/>
  <c r="U366" i="3" a="1"/>
  <c r="U366" i="3"/>
  <c r="T366" i="3" a="1"/>
  <c r="T366" i="3"/>
  <c r="S366" i="3" a="1"/>
  <c r="S366" i="3"/>
  <c r="R366" i="3" a="1"/>
  <c r="R366" i="3"/>
  <c r="Q366" i="3" a="1"/>
  <c r="Q366" i="3"/>
  <c r="P366" i="3" a="1"/>
  <c r="P366" i="3" s="1"/>
  <c r="O366" i="3" a="1"/>
  <c r="O366" i="3"/>
  <c r="N366" i="3" a="1"/>
  <c r="N366" i="3"/>
  <c r="M366" i="3" a="1"/>
  <c r="M366" i="3"/>
  <c r="L366" i="3" a="1"/>
  <c r="L366" i="3"/>
  <c r="K366" i="3" a="1"/>
  <c r="K366" i="3"/>
  <c r="J366" i="3" a="1"/>
  <c r="J366" i="3" s="1"/>
  <c r="I366" i="3" a="1"/>
  <c r="I366" i="3" s="1"/>
  <c r="H366" i="3" a="1"/>
  <c r="H366" i="3"/>
  <c r="G366" i="3" a="1"/>
  <c r="G366" i="3"/>
  <c r="F366" i="3" a="1"/>
  <c r="F366" i="3"/>
  <c r="E366" i="3" a="1"/>
  <c r="E366" i="3"/>
  <c r="D366" i="3" a="1"/>
  <c r="D366" i="3" s="1"/>
  <c r="C366" i="3" a="1"/>
  <c r="C366" i="3" s="1"/>
  <c r="A366" i="3"/>
  <c r="AD365" i="3" a="1"/>
  <c r="AD365" i="3" s="1"/>
  <c r="AC365" i="3" a="1"/>
  <c r="AC365" i="3" s="1"/>
  <c r="AB365" i="3" a="1"/>
  <c r="AB365" i="3"/>
  <c r="AA365" i="3" a="1"/>
  <c r="AA365" i="3" s="1"/>
  <c r="Z365" i="3" a="1"/>
  <c r="Z365" i="3" s="1"/>
  <c r="Y365" i="3" a="1"/>
  <c r="Y365" i="3"/>
  <c r="X365" i="3" a="1"/>
  <c r="X365" i="3"/>
  <c r="W365" i="3" a="1"/>
  <c r="W365" i="3" s="1"/>
  <c r="V365" i="3" a="1"/>
  <c r="V365" i="3" s="1"/>
  <c r="U365" i="3" a="1"/>
  <c r="U365" i="3" s="1"/>
  <c r="T365" i="3" a="1"/>
  <c r="T365" i="3" s="1"/>
  <c r="S365" i="3" a="1"/>
  <c r="S365" i="3" s="1"/>
  <c r="R365" i="3" a="1"/>
  <c r="R365" i="3"/>
  <c r="Q365" i="3" a="1"/>
  <c r="Q365" i="3" s="1"/>
  <c r="P365" i="3" a="1"/>
  <c r="P365" i="3"/>
  <c r="O365" i="3" a="1"/>
  <c r="O365" i="3"/>
  <c r="N365" i="3" a="1"/>
  <c r="N365" i="3" s="1"/>
  <c r="M365" i="3" a="1"/>
  <c r="M365" i="3" s="1"/>
  <c r="L365" i="3" a="1"/>
  <c r="L365" i="3"/>
  <c r="K365" i="3" a="1"/>
  <c r="K365" i="3"/>
  <c r="J365" i="3" a="1"/>
  <c r="J365" i="3" s="1"/>
  <c r="I365" i="3" a="1"/>
  <c r="I365" i="3" s="1"/>
  <c r="H365" i="3" a="1"/>
  <c r="H365" i="3" s="1"/>
  <c r="G365" i="3" a="1"/>
  <c r="G365" i="3" s="1"/>
  <c r="F365" i="3" a="1"/>
  <c r="F365" i="3" s="1"/>
  <c r="E365" i="3" a="1"/>
  <c r="E365" i="3"/>
  <c r="D365" i="3" a="1"/>
  <c r="D365" i="3" s="1"/>
  <c r="C365" i="3" a="1"/>
  <c r="C365" i="3"/>
  <c r="A365" i="3"/>
  <c r="AD364" i="3" a="1"/>
  <c r="AD364" i="3" s="1"/>
  <c r="AC364" i="3" a="1"/>
  <c r="AC364" i="3" s="1"/>
  <c r="AB364" i="3" a="1"/>
  <c r="AB364" i="3"/>
  <c r="AA364" i="3" a="1"/>
  <c r="AA364" i="3" s="1"/>
  <c r="Z364" i="3" a="1"/>
  <c r="Z364" i="3"/>
  <c r="Y364" i="3" a="1"/>
  <c r="Y364" i="3"/>
  <c r="X364" i="3" a="1"/>
  <c r="X364" i="3" s="1"/>
  <c r="W364" i="3" a="1"/>
  <c r="W364" i="3" s="1"/>
  <c r="V364" i="3" a="1"/>
  <c r="V364" i="3"/>
  <c r="U364" i="3" a="1"/>
  <c r="U364" i="3" s="1"/>
  <c r="T364" i="3" a="1"/>
  <c r="T364" i="3"/>
  <c r="S364" i="3" a="1"/>
  <c r="S364" i="3"/>
  <c r="R364" i="3" a="1"/>
  <c r="R364" i="3" s="1"/>
  <c r="Q364" i="3" a="1"/>
  <c r="Q364" i="3" s="1"/>
  <c r="P364" i="3" a="1"/>
  <c r="P364" i="3" s="1"/>
  <c r="O364" i="3" a="1"/>
  <c r="O364" i="3" s="1"/>
  <c r="N364" i="3" a="1"/>
  <c r="N364" i="3"/>
  <c r="M364" i="3" a="1"/>
  <c r="M364" i="3"/>
  <c r="L364" i="3" a="1"/>
  <c r="L364" i="3" s="1"/>
  <c r="K364" i="3" a="1"/>
  <c r="K364" i="3" s="1"/>
  <c r="J364" i="3" a="1"/>
  <c r="J364" i="3" s="1"/>
  <c r="I364" i="3" a="1"/>
  <c r="I364" i="3" s="1"/>
  <c r="H364" i="3" a="1"/>
  <c r="H364" i="3"/>
  <c r="G364" i="3" a="1"/>
  <c r="G364" i="3"/>
  <c r="A364" i="3"/>
  <c r="AD363" i="3" a="1"/>
  <c r="AD363" i="3"/>
  <c r="AC363" i="3" a="1"/>
  <c r="AC363" i="3" s="1"/>
  <c r="AB363" i="3" a="1"/>
  <c r="AB363" i="3"/>
  <c r="AA363" i="3" a="1"/>
  <c r="AA363" i="3"/>
  <c r="Z363" i="3" a="1"/>
  <c r="Z363" i="3"/>
  <c r="Y363" i="3" a="1"/>
  <c r="Y363" i="3" s="1"/>
  <c r="X363" i="3" a="1"/>
  <c r="X363" i="3"/>
  <c r="W363" i="3" a="1"/>
  <c r="W363" i="3" s="1"/>
  <c r="V363" i="3" a="1"/>
  <c r="V363" i="3"/>
  <c r="U363" i="3" a="1"/>
  <c r="U363" i="3"/>
  <c r="T363" i="3" a="1"/>
  <c r="T363" i="3" s="1"/>
  <c r="S363" i="3" a="1"/>
  <c r="S363" i="3" s="1"/>
  <c r="R363" i="3" a="1"/>
  <c r="R363" i="3"/>
  <c r="Q363" i="3" a="1"/>
  <c r="Q363" i="3" s="1"/>
  <c r="P363" i="3" a="1"/>
  <c r="P363" i="3"/>
  <c r="O363" i="3" a="1"/>
  <c r="O363" i="3"/>
  <c r="N363" i="3" a="1"/>
  <c r="N363" i="3" s="1"/>
  <c r="M363" i="3" a="1"/>
  <c r="M363" i="3" s="1"/>
  <c r="L363" i="3" a="1"/>
  <c r="L363" i="3" s="1"/>
  <c r="K363" i="3" a="1"/>
  <c r="K363" i="3" s="1"/>
  <c r="J363" i="3" a="1"/>
  <c r="J363" i="3"/>
  <c r="I363" i="3" a="1"/>
  <c r="I363" i="3"/>
  <c r="H363" i="3" a="1"/>
  <c r="H363" i="3" s="1"/>
  <c r="G363" i="3" a="1"/>
  <c r="G363" i="3" s="1"/>
  <c r="F363" i="3" a="1"/>
  <c r="F363" i="3" s="1"/>
  <c r="E363" i="3" a="1"/>
  <c r="E363" i="3" s="1"/>
  <c r="D363" i="3" a="1"/>
  <c r="D363" i="3"/>
  <c r="C363" i="3" a="1"/>
  <c r="C363" i="3"/>
  <c r="A363" i="3"/>
  <c r="AD362" i="3" a="1"/>
  <c r="AD362" i="3"/>
  <c r="AC362" i="3" a="1"/>
  <c r="AC362" i="3"/>
  <c r="AB362" i="3" a="1"/>
  <c r="AB362" i="3" s="1"/>
  <c r="AA362" i="3" a="1"/>
  <c r="AA362" i="3"/>
  <c r="Z362" i="3" a="1"/>
  <c r="Z362" i="3" s="1"/>
  <c r="Y362" i="3" a="1"/>
  <c r="Y362" i="3"/>
  <c r="X362" i="3" a="1"/>
  <c r="X362" i="3"/>
  <c r="W362" i="3" a="1"/>
  <c r="W362" i="3"/>
  <c r="V362" i="3" a="1"/>
  <c r="V362" i="3" s="1"/>
  <c r="U362" i="3" a="1"/>
  <c r="U362" i="3"/>
  <c r="T362" i="3" a="1"/>
  <c r="T362" i="3" s="1"/>
  <c r="S362" i="3" a="1"/>
  <c r="S362" i="3"/>
  <c r="R362" i="3" a="1"/>
  <c r="R362" i="3"/>
  <c r="Q362" i="3" a="1"/>
  <c r="Q362" i="3"/>
  <c r="P362" i="3" a="1"/>
  <c r="P362" i="3" s="1"/>
  <c r="O362" i="3" a="1"/>
  <c r="O362" i="3" s="1"/>
  <c r="N362" i="3" a="1"/>
  <c r="N362" i="3" s="1"/>
  <c r="M362" i="3" a="1"/>
  <c r="M362" i="3"/>
  <c r="L362" i="3" a="1"/>
  <c r="L362" i="3" s="1"/>
  <c r="K362" i="3" a="1"/>
  <c r="K362" i="3"/>
  <c r="J362" i="3" a="1"/>
  <c r="J362" i="3" s="1"/>
  <c r="I362" i="3" a="1"/>
  <c r="I362" i="3" s="1"/>
  <c r="H362" i="3" a="1"/>
  <c r="H362" i="3" s="1"/>
  <c r="G362" i="3" a="1"/>
  <c r="G362" i="3" s="1"/>
  <c r="F362" i="3" a="1"/>
  <c r="F362" i="3" s="1"/>
  <c r="E362" i="3" a="1"/>
  <c r="E362" i="3"/>
  <c r="D362" i="3" a="1"/>
  <c r="D362" i="3" s="1"/>
  <c r="C362" i="3" a="1"/>
  <c r="C362" i="3" s="1"/>
  <c r="A362" i="3"/>
  <c r="AD361" i="3" a="1"/>
  <c r="AD361" i="3" s="1"/>
  <c r="AC361" i="3" a="1"/>
  <c r="AC361" i="3"/>
  <c r="AB361" i="3" a="1"/>
  <c r="AB361" i="3" s="1"/>
  <c r="AA361" i="3" a="1"/>
  <c r="AA361" i="3"/>
  <c r="Z361" i="3" a="1"/>
  <c r="Z361" i="3"/>
  <c r="Y361" i="3" a="1"/>
  <c r="Y361" i="3"/>
  <c r="X361" i="3" a="1"/>
  <c r="X361" i="3" s="1"/>
  <c r="W361" i="3" a="1"/>
  <c r="W361" i="3"/>
  <c r="V361" i="3" a="1"/>
  <c r="V361" i="3" s="1"/>
  <c r="U361" i="3" a="1"/>
  <c r="U361" i="3"/>
  <c r="T361" i="3" a="1"/>
  <c r="T361" i="3"/>
  <c r="S361" i="3" a="1"/>
  <c r="S361" i="3" s="1"/>
  <c r="R361" i="3" a="1"/>
  <c r="R361" i="3" s="1"/>
  <c r="Q361" i="3" a="1"/>
  <c r="Q361" i="3" s="1"/>
  <c r="P361" i="3" a="1"/>
  <c r="P361" i="3" s="1"/>
  <c r="O361" i="3" a="1"/>
  <c r="O361" i="3"/>
  <c r="N361" i="3" a="1"/>
  <c r="N361" i="3"/>
  <c r="M361" i="3" a="1"/>
  <c r="M361" i="3" s="1"/>
  <c r="L361" i="3" a="1"/>
  <c r="L361" i="3" s="1"/>
  <c r="K361" i="3" a="1"/>
  <c r="K361" i="3" s="1"/>
  <c r="J361" i="3" a="1"/>
  <c r="J361" i="3" s="1"/>
  <c r="I361" i="3" a="1"/>
  <c r="I361" i="3"/>
  <c r="H361" i="3" a="1"/>
  <c r="H361" i="3"/>
  <c r="G361" i="3" a="1"/>
  <c r="G361" i="3" s="1"/>
  <c r="F361" i="3" a="1"/>
  <c r="F361" i="3" s="1"/>
  <c r="E361" i="3" a="1"/>
  <c r="E361" i="3" s="1"/>
  <c r="D361" i="3" a="1"/>
  <c r="D361" i="3" s="1"/>
  <c r="C361" i="3" a="1"/>
  <c r="C361" i="3"/>
  <c r="A361" i="3"/>
  <c r="AD360" i="3" a="1"/>
  <c r="AD360" i="3"/>
  <c r="AC360" i="3" a="1"/>
  <c r="AC360" i="3"/>
  <c r="AB360" i="3" a="1"/>
  <c r="AB360" i="3"/>
  <c r="AA360" i="3" a="1"/>
  <c r="AA360" i="3" s="1"/>
  <c r="Z360" i="3" a="1"/>
  <c r="Z360" i="3"/>
  <c r="Y360" i="3" a="1"/>
  <c r="Y360" i="3" s="1"/>
  <c r="X360" i="3" a="1"/>
  <c r="X360" i="3"/>
  <c r="W360" i="3" a="1"/>
  <c r="W360" i="3"/>
  <c r="V360" i="3" a="1"/>
  <c r="V360" i="3"/>
  <c r="U360" i="3" a="1"/>
  <c r="U360" i="3" s="1"/>
  <c r="T360" i="3" a="1"/>
  <c r="T360" i="3"/>
  <c r="S360" i="3" a="1"/>
  <c r="S360" i="3" s="1"/>
  <c r="R360" i="3" a="1"/>
  <c r="R360" i="3"/>
  <c r="Q360" i="3" a="1"/>
  <c r="Q360" i="3" s="1"/>
  <c r="P360" i="3" a="1"/>
  <c r="P360" i="3" s="1"/>
  <c r="O360" i="3" a="1"/>
  <c r="O360" i="3" s="1"/>
  <c r="N360" i="3" a="1"/>
  <c r="N360" i="3"/>
  <c r="M360" i="3" a="1"/>
  <c r="M360" i="3" s="1"/>
  <c r="L360" i="3" a="1"/>
  <c r="L360" i="3"/>
  <c r="K360" i="3" a="1"/>
  <c r="K360" i="3" s="1"/>
  <c r="J360" i="3" a="1"/>
  <c r="J360" i="3" s="1"/>
  <c r="I360" i="3" a="1"/>
  <c r="I360" i="3" s="1"/>
  <c r="H360" i="3" a="1"/>
  <c r="H360" i="3"/>
  <c r="G360" i="3" a="1"/>
  <c r="G360" i="3" s="1"/>
  <c r="F360" i="3" a="1"/>
  <c r="F360" i="3" s="1"/>
  <c r="E360" i="3" a="1"/>
  <c r="E360" i="3" s="1"/>
  <c r="D360" i="3" a="1"/>
  <c r="D360" i="3" s="1"/>
  <c r="C360" i="3" a="1"/>
  <c r="C360" i="3" s="1"/>
  <c r="A360" i="3"/>
  <c r="AD359" i="3" a="1"/>
  <c r="AD359" i="3" s="1"/>
  <c r="AC359" i="3" a="1"/>
  <c r="AC359" i="3" s="1"/>
  <c r="AB359" i="3" a="1"/>
  <c r="AB359" i="3"/>
  <c r="AA359" i="3" a="1"/>
  <c r="AA359" i="3" s="1"/>
  <c r="Z359" i="3" a="1"/>
  <c r="Z359" i="3"/>
  <c r="Y359" i="3" a="1"/>
  <c r="Y359" i="3"/>
  <c r="X359" i="3" a="1"/>
  <c r="X359" i="3" s="1"/>
  <c r="W359" i="3" a="1"/>
  <c r="W359" i="3" s="1"/>
  <c r="V359" i="3" a="1"/>
  <c r="V359" i="3"/>
  <c r="U359" i="3" a="1"/>
  <c r="U359" i="3" s="1"/>
  <c r="T359" i="3" a="1"/>
  <c r="T359" i="3"/>
  <c r="S359" i="3" a="1"/>
  <c r="S359" i="3"/>
  <c r="R359" i="3" a="1"/>
  <c r="R359" i="3" s="1"/>
  <c r="Q359" i="3" a="1"/>
  <c r="Q359" i="3" s="1"/>
  <c r="P359" i="3" a="1"/>
  <c r="P359" i="3"/>
  <c r="O359" i="3" a="1"/>
  <c r="O359" i="3" s="1"/>
  <c r="N359" i="3" a="1"/>
  <c r="N359" i="3"/>
  <c r="M359" i="3" a="1"/>
  <c r="M359" i="3"/>
  <c r="L359" i="3" a="1"/>
  <c r="L359" i="3" s="1"/>
  <c r="K359" i="3" a="1"/>
  <c r="K359" i="3" s="1"/>
  <c r="J359" i="3" a="1"/>
  <c r="J359" i="3"/>
  <c r="I359" i="3" a="1"/>
  <c r="I359" i="3" s="1"/>
  <c r="H359" i="3" a="1"/>
  <c r="H359" i="3"/>
  <c r="G359" i="3" a="1"/>
  <c r="G359" i="3"/>
  <c r="F359" i="3" a="1"/>
  <c r="F359" i="3" s="1"/>
  <c r="E359" i="3" a="1"/>
  <c r="E359" i="3" s="1"/>
  <c r="D359" i="3" a="1"/>
  <c r="D359" i="3" s="1"/>
  <c r="C359" i="3" a="1"/>
  <c r="C359" i="3" s="1"/>
  <c r="A359" i="3"/>
  <c r="AD358" i="3" a="1"/>
  <c r="AD358" i="3" s="1"/>
  <c r="AC358" i="3" a="1"/>
  <c r="AC358" i="3"/>
  <c r="AB358" i="3" a="1"/>
  <c r="AB358" i="3"/>
  <c r="AA358" i="3" a="1"/>
  <c r="AA358" i="3"/>
  <c r="Z358" i="3" a="1"/>
  <c r="Z358" i="3" s="1"/>
  <c r="Y358" i="3" a="1"/>
  <c r="Y358" i="3"/>
  <c r="X358" i="3" a="1"/>
  <c r="X358" i="3" s="1"/>
  <c r="W358" i="3" a="1"/>
  <c r="W358" i="3"/>
  <c r="V358" i="3" a="1"/>
  <c r="V358" i="3"/>
  <c r="U358" i="3" a="1"/>
  <c r="U358" i="3"/>
  <c r="T358" i="3" a="1"/>
  <c r="T358" i="3" s="1"/>
  <c r="S358" i="3" a="1"/>
  <c r="S358" i="3"/>
  <c r="R358" i="3" a="1"/>
  <c r="R358" i="3" s="1"/>
  <c r="Q358" i="3" a="1"/>
  <c r="Q358" i="3"/>
  <c r="P358" i="3" a="1"/>
  <c r="P358" i="3" s="1"/>
  <c r="O358" i="3" a="1"/>
  <c r="O358" i="3" s="1"/>
  <c r="N358" i="3" a="1"/>
  <c r="N358" i="3" s="1"/>
  <c r="M358" i="3" a="1"/>
  <c r="M358" i="3"/>
  <c r="L358" i="3" a="1"/>
  <c r="L358" i="3" s="1"/>
  <c r="K358" i="3" a="1"/>
  <c r="K358" i="3" s="1"/>
  <c r="J358" i="3" a="1"/>
  <c r="J358" i="3" s="1"/>
  <c r="I358" i="3" a="1"/>
  <c r="I358" i="3" s="1"/>
  <c r="H358" i="3" a="1"/>
  <c r="H358" i="3" s="1"/>
  <c r="G358" i="3" a="1"/>
  <c r="G358" i="3"/>
  <c r="F358" i="3" a="1"/>
  <c r="F358" i="3" s="1"/>
  <c r="E358" i="3" a="1"/>
  <c r="E358" i="3" s="1"/>
  <c r="D358" i="3" a="1"/>
  <c r="D358" i="3" s="1"/>
  <c r="C358" i="3" a="1"/>
  <c r="C358" i="3" s="1"/>
  <c r="A358" i="3"/>
  <c r="AD357" i="3" a="1"/>
  <c r="AD357" i="3"/>
  <c r="AC357" i="3" a="1"/>
  <c r="AC357" i="3"/>
  <c r="AB357" i="3" a="1"/>
  <c r="AB357" i="3"/>
  <c r="AA357" i="3" a="1"/>
  <c r="AA357" i="3"/>
  <c r="Z357" i="3" a="1"/>
  <c r="Z357" i="3" s="1"/>
  <c r="Y357" i="3" a="1"/>
  <c r="Y357" i="3"/>
  <c r="X357" i="3" a="1"/>
  <c r="X357" i="3"/>
  <c r="W357" i="3" a="1"/>
  <c r="W357" i="3" s="1"/>
  <c r="V357" i="3" a="1"/>
  <c r="V357" i="3" s="1"/>
  <c r="U357" i="3" a="1"/>
  <c r="U357" i="3" s="1"/>
  <c r="T357" i="3" a="1"/>
  <c r="T357" i="3" s="1"/>
  <c r="S357" i="3" a="1"/>
  <c r="S357" i="3"/>
  <c r="R357" i="3" a="1"/>
  <c r="R357" i="3"/>
  <c r="Q357" i="3" a="1"/>
  <c r="Q357" i="3" s="1"/>
  <c r="P357" i="3" a="1"/>
  <c r="P357" i="3" s="1"/>
  <c r="O357" i="3" a="1"/>
  <c r="O357" i="3" s="1"/>
  <c r="N357" i="3" a="1"/>
  <c r="N357" i="3" s="1"/>
  <c r="M357" i="3" a="1"/>
  <c r="M357" i="3"/>
  <c r="L357" i="3" a="1"/>
  <c r="L357" i="3"/>
  <c r="K357" i="3" a="1"/>
  <c r="K357" i="3" s="1"/>
  <c r="J357" i="3" a="1"/>
  <c r="J357" i="3" s="1"/>
  <c r="I357" i="3" a="1"/>
  <c r="I357" i="3" s="1"/>
  <c r="H357" i="3" a="1"/>
  <c r="H357" i="3" s="1"/>
  <c r="G357" i="3" a="1"/>
  <c r="G357" i="3"/>
  <c r="F357" i="3" a="1"/>
  <c r="F357" i="3"/>
  <c r="E357" i="3" a="1"/>
  <c r="E357" i="3" s="1"/>
  <c r="D357" i="3" a="1"/>
  <c r="D357" i="3" s="1"/>
  <c r="C357" i="3" a="1"/>
  <c r="C357" i="3" s="1"/>
  <c r="A357" i="3"/>
  <c r="AD356" i="3" a="1"/>
  <c r="AD356" i="3"/>
  <c r="AC356" i="3" a="1"/>
  <c r="AC356" i="3" s="1"/>
  <c r="AB356" i="3" a="1"/>
  <c r="AB356" i="3"/>
  <c r="AA356" i="3" a="1"/>
  <c r="AA356" i="3" s="1"/>
  <c r="Z356" i="3" a="1"/>
  <c r="Z356" i="3"/>
  <c r="Y356" i="3" a="1"/>
  <c r="Y356" i="3" s="1"/>
  <c r="X356" i="3" a="1"/>
  <c r="X356" i="3"/>
  <c r="W356" i="3" a="1"/>
  <c r="W356" i="3" s="1"/>
  <c r="V356" i="3" a="1"/>
  <c r="V356" i="3"/>
  <c r="U356" i="3" a="1"/>
  <c r="U356" i="3" s="1"/>
  <c r="T356" i="3" a="1"/>
  <c r="T356" i="3"/>
  <c r="S356" i="3" a="1"/>
  <c r="S356" i="3" s="1"/>
  <c r="R356" i="3" a="1"/>
  <c r="R356" i="3"/>
  <c r="Q356" i="3" a="1"/>
  <c r="Q356" i="3" s="1"/>
  <c r="P356" i="3" a="1"/>
  <c r="P356" i="3"/>
  <c r="O356" i="3" a="1"/>
  <c r="O356" i="3" s="1"/>
  <c r="N356" i="3" a="1"/>
  <c r="N356" i="3"/>
  <c r="M356" i="3" a="1"/>
  <c r="M356" i="3" s="1"/>
  <c r="L356" i="3" a="1"/>
  <c r="L356" i="3"/>
  <c r="K356" i="3" a="1"/>
  <c r="K356" i="3" s="1"/>
  <c r="J356" i="3" a="1"/>
  <c r="J356" i="3"/>
  <c r="I356" i="3" a="1"/>
  <c r="I356" i="3" s="1"/>
  <c r="H356" i="3" a="1"/>
  <c r="H356" i="3"/>
  <c r="G356" i="3" a="1"/>
  <c r="G356" i="3" s="1"/>
  <c r="F356" i="3" a="1"/>
  <c r="F356" i="3"/>
  <c r="E356" i="3" a="1"/>
  <c r="E356" i="3" s="1"/>
  <c r="D356" i="3" a="1"/>
  <c r="D356" i="3"/>
  <c r="C356" i="3" a="1"/>
  <c r="C356" i="3" s="1"/>
  <c r="A356" i="3"/>
  <c r="AD355" i="3" a="1"/>
  <c r="AD355" i="3"/>
  <c r="AC355" i="3" a="1"/>
  <c r="AC355" i="3"/>
  <c r="AB355" i="3" a="1"/>
  <c r="AB355" i="3" s="1"/>
  <c r="AA355" i="3" a="1"/>
  <c r="AA355" i="3"/>
  <c r="Z355" i="3" a="1"/>
  <c r="Z355" i="3"/>
  <c r="Y355" i="3" a="1"/>
  <c r="Y355" i="3" s="1"/>
  <c r="X355" i="3" a="1"/>
  <c r="X355" i="3"/>
  <c r="W355" i="3" a="1"/>
  <c r="W355" i="3"/>
  <c r="V355" i="3" a="1"/>
  <c r="V355" i="3" s="1"/>
  <c r="U355" i="3" a="1"/>
  <c r="U355" i="3"/>
  <c r="T355" i="3" a="1"/>
  <c r="T355" i="3" s="1"/>
  <c r="S355" i="3" a="1"/>
  <c r="S355" i="3" s="1"/>
  <c r="R355" i="3" a="1"/>
  <c r="R355" i="3"/>
  <c r="Q355" i="3" a="1"/>
  <c r="Q355" i="3"/>
  <c r="P355" i="3" a="1"/>
  <c r="P355" i="3" s="1"/>
  <c r="O355" i="3" a="1"/>
  <c r="O355" i="3"/>
  <c r="N355" i="3" a="1"/>
  <c r="N355" i="3" s="1"/>
  <c r="M355" i="3" a="1"/>
  <c r="M355" i="3" s="1"/>
  <c r="L355" i="3" a="1"/>
  <c r="L355" i="3"/>
  <c r="K355" i="3" a="1"/>
  <c r="K355" i="3"/>
  <c r="J355" i="3" a="1"/>
  <c r="J355" i="3" s="1"/>
  <c r="I355" i="3" a="1"/>
  <c r="I355" i="3"/>
  <c r="H355" i="3" a="1"/>
  <c r="H355" i="3" s="1"/>
  <c r="G355" i="3" a="1"/>
  <c r="G355" i="3" s="1"/>
  <c r="F355" i="3" a="1"/>
  <c r="F355" i="3"/>
  <c r="E355" i="3" a="1"/>
  <c r="E355" i="3"/>
  <c r="D355" i="3" a="1"/>
  <c r="D355" i="3" s="1"/>
  <c r="C355" i="3" a="1"/>
  <c r="C355" i="3"/>
  <c r="A355" i="3"/>
  <c r="AD354" i="3" a="1"/>
  <c r="AD354" i="3" s="1"/>
  <c r="AC354" i="3" a="1"/>
  <c r="AC354" i="3"/>
  <c r="AB354" i="3" a="1"/>
  <c r="AB354" i="3" s="1"/>
  <c r="AA354" i="3" a="1"/>
  <c r="AA354" i="3"/>
  <c r="Z354" i="3" a="1"/>
  <c r="Z354" i="3" s="1"/>
  <c r="Y354" i="3" a="1"/>
  <c r="Y354" i="3"/>
  <c r="X354" i="3" a="1"/>
  <c r="X354" i="3" s="1"/>
  <c r="W354" i="3" a="1"/>
  <c r="W354" i="3"/>
  <c r="V354" i="3" a="1"/>
  <c r="V354" i="3" s="1"/>
  <c r="U354" i="3" a="1"/>
  <c r="U354" i="3"/>
  <c r="T354" i="3" a="1"/>
  <c r="T354" i="3" s="1"/>
  <c r="S354" i="3" a="1"/>
  <c r="S354" i="3"/>
  <c r="R354" i="3" a="1"/>
  <c r="R354" i="3" s="1"/>
  <c r="Q354" i="3" a="1"/>
  <c r="Q354" i="3"/>
  <c r="P354" i="3" a="1"/>
  <c r="P354" i="3" s="1"/>
  <c r="O354" i="3" a="1"/>
  <c r="O354" i="3"/>
  <c r="N354" i="3" a="1"/>
  <c r="N354" i="3" s="1"/>
  <c r="M354" i="3" a="1"/>
  <c r="M354" i="3"/>
  <c r="L354" i="3" a="1"/>
  <c r="L354" i="3" s="1"/>
  <c r="K354" i="3" a="1"/>
  <c r="K354" i="3" s="1"/>
  <c r="J354" i="3" a="1"/>
  <c r="J354" i="3" s="1"/>
  <c r="I354" i="3" a="1"/>
  <c r="I354" i="3"/>
  <c r="H354" i="3" a="1"/>
  <c r="H354" i="3" s="1"/>
  <c r="G354" i="3" a="1"/>
  <c r="G354" i="3"/>
  <c r="F354" i="3" a="1"/>
  <c r="F354" i="3" s="1"/>
  <c r="E354" i="3" a="1"/>
  <c r="E354" i="3" s="1"/>
  <c r="D354" i="3" a="1"/>
  <c r="D354" i="3" s="1"/>
  <c r="C354" i="3" a="1"/>
  <c r="C354" i="3"/>
  <c r="A354" i="3"/>
  <c r="AD353" i="3" a="1"/>
  <c r="AD353" i="3" s="1"/>
  <c r="AC353" i="3" a="1"/>
  <c r="AC353" i="3"/>
  <c r="AB353" i="3" a="1"/>
  <c r="AB353" i="3"/>
  <c r="AA353" i="3" a="1"/>
  <c r="AA353" i="3" s="1"/>
  <c r="Z353" i="3" a="1"/>
  <c r="Z353" i="3"/>
  <c r="Y353" i="3" a="1"/>
  <c r="Y353" i="3"/>
  <c r="X353" i="3" a="1"/>
  <c r="X353" i="3" s="1"/>
  <c r="W353" i="3" a="1"/>
  <c r="W353" i="3"/>
  <c r="V353" i="3" a="1"/>
  <c r="V353" i="3"/>
  <c r="U353" i="3" a="1"/>
  <c r="U353" i="3" s="1"/>
  <c r="T353" i="3" a="1"/>
  <c r="T353" i="3"/>
  <c r="S353" i="3" a="1"/>
  <c r="S353" i="3"/>
  <c r="R353" i="3" a="1"/>
  <c r="R353" i="3" s="1"/>
  <c r="Q353" i="3" a="1"/>
  <c r="Q353" i="3"/>
  <c r="P353" i="3" a="1"/>
  <c r="P353" i="3"/>
  <c r="O353" i="3" a="1"/>
  <c r="O353" i="3" s="1"/>
  <c r="N353" i="3" a="1"/>
  <c r="N353" i="3"/>
  <c r="M353" i="3" a="1"/>
  <c r="M353" i="3"/>
  <c r="L353" i="3" a="1"/>
  <c r="L353" i="3" s="1"/>
  <c r="K353" i="3" a="1"/>
  <c r="K353" i="3"/>
  <c r="J353" i="3" a="1"/>
  <c r="J353" i="3"/>
  <c r="I353" i="3" a="1"/>
  <c r="I353" i="3" s="1"/>
  <c r="H353" i="3" a="1"/>
  <c r="H353" i="3"/>
  <c r="G353" i="3" a="1"/>
  <c r="G353" i="3"/>
  <c r="F353" i="3" a="1"/>
  <c r="F353" i="3" s="1"/>
  <c r="E353" i="3" a="1"/>
  <c r="E353" i="3"/>
  <c r="D353" i="3" a="1"/>
  <c r="D353" i="3"/>
  <c r="C353" i="3" a="1"/>
  <c r="C353" i="3" s="1"/>
  <c r="A353" i="3"/>
  <c r="AD352" i="3" a="1"/>
  <c r="AD352" i="3"/>
  <c r="AC352" i="3" a="1"/>
  <c r="AC352" i="3" s="1"/>
  <c r="AB352" i="3" a="1"/>
  <c r="AB352" i="3"/>
  <c r="AA352" i="3" a="1"/>
  <c r="AA352" i="3" s="1"/>
  <c r="Z352" i="3" a="1"/>
  <c r="Z352" i="3"/>
  <c r="Y352" i="3" a="1"/>
  <c r="Y352" i="3" s="1"/>
  <c r="X352" i="3" a="1"/>
  <c r="X352" i="3"/>
  <c r="W352" i="3" a="1"/>
  <c r="W352" i="3" s="1"/>
  <c r="V352" i="3" a="1"/>
  <c r="V352" i="3"/>
  <c r="U352" i="3" a="1"/>
  <c r="U352" i="3" s="1"/>
  <c r="T352" i="3" a="1"/>
  <c r="T352" i="3"/>
  <c r="S352" i="3" a="1"/>
  <c r="S352" i="3" s="1"/>
  <c r="R352" i="3" a="1"/>
  <c r="R352" i="3" s="1"/>
  <c r="Q352" i="3" a="1"/>
  <c r="Q352" i="3" s="1"/>
  <c r="P352" i="3" a="1"/>
  <c r="P352" i="3"/>
  <c r="O352" i="3" a="1"/>
  <c r="O352" i="3" s="1"/>
  <c r="N352" i="3" a="1"/>
  <c r="N352" i="3"/>
  <c r="M352" i="3" a="1"/>
  <c r="M352" i="3" s="1"/>
  <c r="L352" i="3" a="1"/>
  <c r="L352" i="3" s="1"/>
  <c r="K352" i="3" a="1"/>
  <c r="K352" i="3" s="1"/>
  <c r="J352" i="3" a="1"/>
  <c r="J352" i="3"/>
  <c r="I352" i="3" a="1"/>
  <c r="I352" i="3" s="1"/>
  <c r="H352" i="3" a="1"/>
  <c r="H352" i="3"/>
  <c r="G352" i="3" a="1"/>
  <c r="G352" i="3" s="1"/>
  <c r="F352" i="3" a="1"/>
  <c r="F352" i="3" s="1"/>
  <c r="E352" i="3" a="1"/>
  <c r="E352" i="3" s="1"/>
  <c r="D352" i="3" a="1"/>
  <c r="D352" i="3" s="1"/>
  <c r="C352" i="3" a="1"/>
  <c r="C352" i="3" s="1"/>
  <c r="A352" i="3"/>
  <c r="AD351" i="3" a="1"/>
  <c r="AD351" i="3"/>
  <c r="AC351" i="3" a="1"/>
  <c r="AC351" i="3" s="1"/>
  <c r="AB351" i="3" a="1"/>
  <c r="AB351" i="3"/>
  <c r="AA351" i="3" a="1"/>
  <c r="AA351" i="3"/>
  <c r="Z351" i="3" a="1"/>
  <c r="Z351" i="3" s="1"/>
  <c r="Y351" i="3" a="1"/>
  <c r="Y351" i="3"/>
  <c r="X351" i="3" a="1"/>
  <c r="X351" i="3"/>
  <c r="W351" i="3" a="1"/>
  <c r="W351" i="3" s="1"/>
  <c r="V351" i="3" a="1"/>
  <c r="V351" i="3"/>
  <c r="U351" i="3" a="1"/>
  <c r="U351" i="3"/>
  <c r="T351" i="3" a="1"/>
  <c r="T351" i="3" s="1"/>
  <c r="S351" i="3" a="1"/>
  <c r="S351" i="3"/>
  <c r="R351" i="3" a="1"/>
  <c r="R351" i="3"/>
  <c r="Q351" i="3" a="1"/>
  <c r="Q351" i="3" s="1"/>
  <c r="P351" i="3" a="1"/>
  <c r="P351" i="3"/>
  <c r="O351" i="3" a="1"/>
  <c r="O351" i="3"/>
  <c r="N351" i="3" a="1"/>
  <c r="N351" i="3" s="1"/>
  <c r="M351" i="3" a="1"/>
  <c r="M351" i="3"/>
  <c r="L351" i="3" a="1"/>
  <c r="L351" i="3"/>
  <c r="K351" i="3" a="1"/>
  <c r="K351" i="3" s="1"/>
  <c r="J351" i="3" a="1"/>
  <c r="J351" i="3"/>
  <c r="I351" i="3" a="1"/>
  <c r="I351" i="3"/>
  <c r="H351" i="3" a="1"/>
  <c r="H351" i="3" s="1"/>
  <c r="G351" i="3" a="1"/>
  <c r="G351" i="3"/>
  <c r="F351" i="3" a="1"/>
  <c r="F351" i="3"/>
  <c r="E351" i="3" a="1"/>
  <c r="E351" i="3" s="1"/>
  <c r="D351" i="3" a="1"/>
  <c r="D351" i="3"/>
  <c r="C351" i="3" a="1"/>
  <c r="C351" i="3"/>
  <c r="A351" i="3"/>
  <c r="AD350" i="3" a="1"/>
  <c r="AD350" i="3" s="1"/>
  <c r="AC350" i="3" a="1"/>
  <c r="AC350" i="3"/>
  <c r="AB350" i="3" a="1"/>
  <c r="AB350" i="3"/>
  <c r="AA350" i="3" a="1"/>
  <c r="AA350" i="3"/>
  <c r="Z350" i="3" a="1"/>
  <c r="Z350" i="3" s="1"/>
  <c r="Y350" i="3" a="1"/>
  <c r="Y350" i="3"/>
  <c r="X350" i="3" a="1"/>
  <c r="X350" i="3" s="1"/>
  <c r="W350" i="3" a="1"/>
  <c r="W350" i="3"/>
  <c r="V350" i="3" a="1"/>
  <c r="V350" i="3" s="1"/>
  <c r="U350" i="3" a="1"/>
  <c r="U350" i="3"/>
  <c r="T350" i="3" a="1"/>
  <c r="T350" i="3" s="1"/>
  <c r="S350" i="3" a="1"/>
  <c r="S350" i="3"/>
  <c r="R350" i="3" a="1"/>
  <c r="R350" i="3" s="1"/>
  <c r="Q350" i="3" a="1"/>
  <c r="Q350" i="3"/>
  <c r="P350" i="3" a="1"/>
  <c r="P350" i="3" s="1"/>
  <c r="O350" i="3" a="1"/>
  <c r="O350" i="3"/>
  <c r="N350" i="3" a="1"/>
  <c r="N350" i="3" s="1"/>
  <c r="M350" i="3" a="1"/>
  <c r="M350" i="3" s="1"/>
  <c r="L350" i="3" a="1"/>
  <c r="L350" i="3" s="1"/>
  <c r="K350" i="3" a="1"/>
  <c r="K350" i="3"/>
  <c r="J350" i="3" a="1"/>
  <c r="J350" i="3" s="1"/>
  <c r="I350" i="3" a="1"/>
  <c r="I350" i="3"/>
  <c r="H350" i="3" a="1"/>
  <c r="H350" i="3" s="1"/>
  <c r="G350" i="3" a="1"/>
  <c r="G350" i="3" s="1"/>
  <c r="F350" i="3" a="1"/>
  <c r="F350" i="3" s="1"/>
  <c r="E350" i="3" a="1"/>
  <c r="E350" i="3" s="1"/>
  <c r="D350" i="3" a="1"/>
  <c r="D350" i="3" s="1"/>
  <c r="C350" i="3" a="1"/>
  <c r="C350" i="3"/>
  <c r="A350" i="3"/>
  <c r="AD349" i="3" a="1"/>
  <c r="AD349" i="3"/>
  <c r="AC349" i="3" a="1"/>
  <c r="AC349" i="3"/>
  <c r="AB349" i="3" a="1"/>
  <c r="AB349" i="3" s="1"/>
  <c r="AA349" i="3" a="1"/>
  <c r="AA349" i="3"/>
  <c r="Z349" i="3" a="1"/>
  <c r="Z349" i="3"/>
  <c r="Y349" i="3" a="1"/>
  <c r="Y349" i="3"/>
  <c r="X349" i="3" a="1"/>
  <c r="X349" i="3"/>
  <c r="W349" i="3" a="1"/>
  <c r="W349" i="3"/>
  <c r="V349" i="3" a="1"/>
  <c r="V349" i="3" s="1"/>
  <c r="U349" i="3" a="1"/>
  <c r="U349" i="3"/>
  <c r="T349" i="3" a="1"/>
  <c r="T349" i="3"/>
  <c r="S349" i="3" a="1"/>
  <c r="S349" i="3"/>
  <c r="R349" i="3" a="1"/>
  <c r="R349" i="3"/>
  <c r="Q349" i="3" a="1"/>
  <c r="Q349" i="3"/>
  <c r="P349" i="3" a="1"/>
  <c r="P349" i="3" s="1"/>
  <c r="O349" i="3" a="1"/>
  <c r="O349" i="3"/>
  <c r="N349" i="3" a="1"/>
  <c r="N349" i="3"/>
  <c r="M349" i="3" a="1"/>
  <c r="M349" i="3"/>
  <c r="L349" i="3" a="1"/>
  <c r="L349" i="3" s="1"/>
  <c r="K349" i="3" a="1"/>
  <c r="K349" i="3"/>
  <c r="J349" i="3" a="1"/>
  <c r="J349" i="3" s="1"/>
  <c r="I349" i="3" a="1"/>
  <c r="I349" i="3"/>
  <c r="H349" i="3" a="1"/>
  <c r="H349" i="3"/>
  <c r="G349" i="3" a="1"/>
  <c r="G349" i="3"/>
  <c r="F349" i="3" a="1"/>
  <c r="F349" i="3" s="1"/>
  <c r="E349" i="3" a="1"/>
  <c r="E349" i="3"/>
  <c r="D349" i="3" a="1"/>
  <c r="D349" i="3" s="1"/>
  <c r="C349" i="3" a="1"/>
  <c r="C349" i="3"/>
  <c r="A349" i="3"/>
  <c r="AD348" i="3" a="1"/>
  <c r="AD348" i="3"/>
  <c r="AC348" i="3" a="1"/>
  <c r="AC348" i="3" s="1"/>
  <c r="AB348" i="3" a="1"/>
  <c r="AB348" i="3"/>
  <c r="AA348" i="3" a="1"/>
  <c r="AA348" i="3"/>
  <c r="Z348" i="3" a="1"/>
  <c r="Z348" i="3"/>
  <c r="Y348" i="3" a="1"/>
  <c r="Y348" i="3" s="1"/>
  <c r="X348" i="3" a="1"/>
  <c r="X348" i="3"/>
  <c r="W348" i="3" a="1"/>
  <c r="W348" i="3" s="1"/>
  <c r="V348" i="3" a="1"/>
  <c r="V348" i="3"/>
  <c r="U348" i="3" a="1"/>
  <c r="U348" i="3"/>
  <c r="T348" i="3" a="1"/>
  <c r="T348" i="3"/>
  <c r="S348" i="3" a="1"/>
  <c r="S348" i="3" s="1"/>
  <c r="R348" i="3" a="1"/>
  <c r="R348" i="3"/>
  <c r="Q348" i="3" a="1"/>
  <c r="Q348" i="3" s="1"/>
  <c r="P348" i="3" a="1"/>
  <c r="P348" i="3"/>
  <c r="O348" i="3" a="1"/>
  <c r="O348" i="3" s="1"/>
  <c r="N348" i="3" a="1"/>
  <c r="N348" i="3"/>
  <c r="M348" i="3" a="1"/>
  <c r="M348" i="3" s="1"/>
  <c r="L348" i="3" a="1"/>
  <c r="L348" i="3"/>
  <c r="K348" i="3" a="1"/>
  <c r="K348" i="3" s="1"/>
  <c r="J348" i="3" a="1"/>
  <c r="J348" i="3" s="1"/>
  <c r="I348" i="3" a="1"/>
  <c r="I348" i="3" s="1"/>
  <c r="H348" i="3" a="1"/>
  <c r="H348" i="3" s="1"/>
  <c r="G348" i="3" a="1"/>
  <c r="G348" i="3" s="1"/>
  <c r="F348" i="3" a="1"/>
  <c r="F348" i="3"/>
  <c r="E348" i="3" a="1"/>
  <c r="E348" i="3" s="1"/>
  <c r="D348" i="3" a="1"/>
  <c r="D348" i="3" s="1"/>
  <c r="A348" i="3"/>
  <c r="AD347" i="3" a="1"/>
  <c r="AD347" i="3"/>
  <c r="AC347" i="3" a="1"/>
  <c r="AC347" i="3"/>
  <c r="AB347" i="3" a="1"/>
  <c r="AB347" i="3"/>
  <c r="AA347" i="3" a="1"/>
  <c r="AA347" i="3" s="1"/>
  <c r="Z347" i="3" a="1"/>
  <c r="Z347" i="3"/>
  <c r="Y347" i="3" a="1"/>
  <c r="Y347" i="3"/>
  <c r="X347" i="3" a="1"/>
  <c r="X347" i="3" s="1"/>
  <c r="W347" i="3" a="1"/>
  <c r="W347" i="3"/>
  <c r="V347" i="3" a="1"/>
  <c r="V347" i="3"/>
  <c r="U347" i="3" a="1"/>
  <c r="U347" i="3" s="1"/>
  <c r="T347" i="3" a="1"/>
  <c r="T347" i="3"/>
  <c r="S347" i="3" a="1"/>
  <c r="S347" i="3"/>
  <c r="R347" i="3" a="1"/>
  <c r="R347" i="3" s="1"/>
  <c r="Q347" i="3" a="1"/>
  <c r="Q347" i="3" s="1"/>
  <c r="P347" i="3" a="1"/>
  <c r="P347" i="3"/>
  <c r="O347" i="3" a="1"/>
  <c r="O347" i="3" s="1"/>
  <c r="N347" i="3" a="1"/>
  <c r="N347" i="3"/>
  <c r="M347" i="3" a="1"/>
  <c r="M347" i="3"/>
  <c r="L347" i="3" a="1"/>
  <c r="L347" i="3" s="1"/>
  <c r="K347" i="3" a="1"/>
  <c r="K347" i="3" s="1"/>
  <c r="J347" i="3" a="1"/>
  <c r="J347" i="3"/>
  <c r="I347" i="3" a="1"/>
  <c r="I347" i="3" s="1"/>
  <c r="H347" i="3" a="1"/>
  <c r="H347" i="3"/>
  <c r="G347" i="3" a="1"/>
  <c r="G347" i="3"/>
  <c r="F347" i="3" a="1"/>
  <c r="F347" i="3" s="1"/>
  <c r="E347" i="3" a="1"/>
  <c r="E347" i="3" s="1"/>
  <c r="D347" i="3" a="1"/>
  <c r="D347" i="3"/>
  <c r="C347" i="3" a="1"/>
  <c r="C347" i="3" s="1"/>
  <c r="A347" i="3"/>
  <c r="AD346" i="3" a="1"/>
  <c r="AD346" i="3" s="1"/>
  <c r="AC346" i="3" a="1"/>
  <c r="AC346" i="3"/>
  <c r="AB346" i="3" a="1"/>
  <c r="AB346" i="3"/>
  <c r="AA346" i="3" a="1"/>
  <c r="AA346" i="3"/>
  <c r="Z346" i="3" a="1"/>
  <c r="Z346" i="3"/>
  <c r="Y346" i="3" a="1"/>
  <c r="Y346" i="3"/>
  <c r="X346" i="3" a="1"/>
  <c r="X346" i="3" s="1"/>
  <c r="W346" i="3" a="1"/>
  <c r="W346" i="3"/>
  <c r="V346" i="3" a="1"/>
  <c r="V346" i="3" s="1"/>
  <c r="U346" i="3" a="1"/>
  <c r="U346" i="3"/>
  <c r="T346" i="3" a="1"/>
  <c r="T346" i="3"/>
  <c r="S346" i="3" a="1"/>
  <c r="S346" i="3" s="1"/>
  <c r="R346" i="3" a="1"/>
  <c r="R346" i="3" s="1"/>
  <c r="Q346" i="3" a="1"/>
  <c r="Q346" i="3"/>
  <c r="P346" i="3" a="1"/>
  <c r="P346" i="3" s="1"/>
  <c r="O346" i="3" a="1"/>
  <c r="O346" i="3" s="1"/>
  <c r="N346" i="3" a="1"/>
  <c r="N346" i="3"/>
  <c r="M346" i="3" a="1"/>
  <c r="M346" i="3" s="1"/>
  <c r="L346" i="3" a="1"/>
  <c r="L346" i="3" s="1"/>
  <c r="K346" i="3" a="1"/>
  <c r="K346" i="3"/>
  <c r="J346" i="3" a="1"/>
  <c r="J346" i="3" s="1"/>
  <c r="I346" i="3" a="1"/>
  <c r="I346" i="3" s="1"/>
  <c r="H346" i="3" a="1"/>
  <c r="H346" i="3"/>
  <c r="G346" i="3" a="1"/>
  <c r="G346" i="3" s="1"/>
  <c r="F346" i="3" a="1"/>
  <c r="F346" i="3" s="1"/>
  <c r="E346" i="3" a="1"/>
  <c r="E346" i="3"/>
  <c r="D346" i="3" a="1"/>
  <c r="D346" i="3" s="1"/>
  <c r="C346" i="3" a="1"/>
  <c r="C346" i="3" s="1"/>
  <c r="A346" i="3"/>
  <c r="AD345" i="3" a="1"/>
  <c r="AD345" i="3"/>
  <c r="AC345" i="3" a="1"/>
  <c r="AC345" i="3" s="1"/>
  <c r="AB345" i="3" a="1"/>
  <c r="AB345" i="3"/>
  <c r="AA345" i="3" a="1"/>
  <c r="AA345" i="3"/>
  <c r="Z345" i="3" a="1"/>
  <c r="Z345" i="3" s="1"/>
  <c r="Y345" i="3" a="1"/>
  <c r="Y345" i="3"/>
  <c r="X345" i="3" a="1"/>
  <c r="X345" i="3"/>
  <c r="W345" i="3" a="1"/>
  <c r="W345" i="3" s="1"/>
  <c r="V345" i="3" a="1"/>
  <c r="V345" i="3"/>
  <c r="U345" i="3" a="1"/>
  <c r="U345" i="3"/>
  <c r="T345" i="3" a="1"/>
  <c r="T345" i="3" s="1"/>
  <c r="S345" i="3" a="1"/>
  <c r="S345" i="3"/>
  <c r="R345" i="3" a="1"/>
  <c r="R345" i="3"/>
  <c r="Q345" i="3" a="1"/>
  <c r="Q345" i="3" s="1"/>
  <c r="P345" i="3" a="1"/>
  <c r="P345" i="3"/>
  <c r="O345" i="3" a="1"/>
  <c r="O345" i="3"/>
  <c r="N345" i="3" a="1"/>
  <c r="N345" i="3" s="1"/>
  <c r="M345" i="3" a="1"/>
  <c r="M345" i="3"/>
  <c r="L345" i="3" a="1"/>
  <c r="L345" i="3"/>
  <c r="K345" i="3" a="1"/>
  <c r="K345" i="3" s="1"/>
  <c r="J345" i="3" a="1"/>
  <c r="J345" i="3" s="1"/>
  <c r="I345" i="3" a="1"/>
  <c r="I345" i="3"/>
  <c r="H345" i="3" a="1"/>
  <c r="H345" i="3" s="1"/>
  <c r="G345" i="3" a="1"/>
  <c r="G345" i="3"/>
  <c r="F345" i="3" a="1"/>
  <c r="F345" i="3"/>
  <c r="E345" i="3" a="1"/>
  <c r="E345" i="3" s="1"/>
  <c r="D345" i="3" a="1"/>
  <c r="D345" i="3" s="1"/>
  <c r="C345" i="3" a="1"/>
  <c r="C345" i="3" s="1"/>
  <c r="A345" i="3"/>
  <c r="AD344" i="3" a="1"/>
  <c r="AD344" i="3"/>
  <c r="AC344" i="3" a="1"/>
  <c r="AC344" i="3" s="1"/>
  <c r="AB344" i="3" a="1"/>
  <c r="AB344" i="3"/>
  <c r="AA344" i="3" a="1"/>
  <c r="AA344" i="3" s="1"/>
  <c r="Z344" i="3" a="1"/>
  <c r="Z344" i="3" s="1"/>
  <c r="Y344" i="3" a="1"/>
  <c r="Y344" i="3"/>
  <c r="X344" i="3" a="1"/>
  <c r="X344" i="3" s="1"/>
  <c r="W344" i="3" a="1"/>
  <c r="W344" i="3" s="1"/>
  <c r="V344" i="3" a="1"/>
  <c r="V344" i="3"/>
  <c r="U344" i="3" a="1"/>
  <c r="U344" i="3" s="1"/>
  <c r="T344" i="3" a="1"/>
  <c r="T344" i="3" s="1"/>
  <c r="S344" i="3" a="1"/>
  <c r="S344" i="3"/>
  <c r="R344" i="3" a="1"/>
  <c r="R344" i="3" s="1"/>
  <c r="Q344" i="3" a="1"/>
  <c r="Q344" i="3" s="1"/>
  <c r="P344" i="3" a="1"/>
  <c r="P344" i="3"/>
  <c r="O344" i="3" a="1"/>
  <c r="O344" i="3" s="1"/>
  <c r="N344" i="3" a="1"/>
  <c r="N344" i="3" s="1"/>
  <c r="M344" i="3" a="1"/>
  <c r="M344" i="3"/>
  <c r="L344" i="3" a="1"/>
  <c r="L344" i="3" s="1"/>
  <c r="K344" i="3" a="1"/>
  <c r="K344" i="3" s="1"/>
  <c r="J344" i="3" a="1"/>
  <c r="J344" i="3"/>
  <c r="I344" i="3" a="1"/>
  <c r="I344" i="3" s="1"/>
  <c r="H344" i="3" a="1"/>
  <c r="H344" i="3" s="1"/>
  <c r="A344" i="3"/>
  <c r="AD343" i="3" a="1"/>
  <c r="AD343" i="3"/>
  <c r="AC343" i="3" a="1"/>
  <c r="AC343" i="3"/>
  <c r="AB343" i="3" a="1"/>
  <c r="AB343" i="3" s="1"/>
  <c r="AA343" i="3" a="1"/>
  <c r="AA343" i="3"/>
  <c r="Z343" i="3" a="1"/>
  <c r="Z343" i="3" s="1"/>
  <c r="Y343" i="3" a="1"/>
  <c r="Y343" i="3" s="1"/>
  <c r="X343" i="3" a="1"/>
  <c r="X343" i="3"/>
  <c r="W343" i="3" a="1"/>
  <c r="W343" i="3"/>
  <c r="V343" i="3" a="1"/>
  <c r="V343" i="3" s="1"/>
  <c r="U343" i="3" a="1"/>
  <c r="U343" i="3"/>
  <c r="T343" i="3" a="1"/>
  <c r="T343" i="3" s="1"/>
  <c r="S343" i="3" a="1"/>
  <c r="S343" i="3" s="1"/>
  <c r="R343" i="3" a="1"/>
  <c r="R343" i="3"/>
  <c r="Q343" i="3" a="1"/>
  <c r="Q343" i="3"/>
  <c r="P343" i="3" a="1"/>
  <c r="P343" i="3" s="1"/>
  <c r="O343" i="3" a="1"/>
  <c r="O343" i="3"/>
  <c r="N343" i="3" a="1"/>
  <c r="N343" i="3" s="1"/>
  <c r="M343" i="3" a="1"/>
  <c r="M343" i="3" s="1"/>
  <c r="L343" i="3" a="1"/>
  <c r="L343" i="3"/>
  <c r="K343" i="3" a="1"/>
  <c r="K343" i="3"/>
  <c r="J343" i="3" a="1"/>
  <c r="J343" i="3" s="1"/>
  <c r="I343" i="3" a="1"/>
  <c r="I343" i="3"/>
  <c r="H343" i="3" a="1"/>
  <c r="H343" i="3" s="1"/>
  <c r="G343" i="3" a="1"/>
  <c r="G343" i="3" s="1"/>
  <c r="F343" i="3" a="1"/>
  <c r="F343" i="3"/>
  <c r="A343" i="3"/>
  <c r="AD342" i="3" a="1"/>
  <c r="AD342" i="3"/>
  <c r="AC342" i="3" a="1"/>
  <c r="AC342" i="3" s="1"/>
  <c r="AB342" i="3" a="1"/>
  <c r="AB342" i="3" s="1"/>
  <c r="AA342" i="3" a="1"/>
  <c r="AA342" i="3"/>
  <c r="Z342" i="3" a="1"/>
  <c r="Z342" i="3" s="1"/>
  <c r="Y342" i="3" a="1"/>
  <c r="Y342" i="3" s="1"/>
  <c r="X342" i="3" a="1"/>
  <c r="X342" i="3"/>
  <c r="W342" i="3" a="1"/>
  <c r="W342" i="3" s="1"/>
  <c r="V342" i="3" a="1"/>
  <c r="V342" i="3" s="1"/>
  <c r="U342" i="3" a="1"/>
  <c r="U342" i="3"/>
  <c r="T342" i="3" a="1"/>
  <c r="T342" i="3" s="1"/>
  <c r="S342" i="3" a="1"/>
  <c r="S342" i="3" s="1"/>
  <c r="R342" i="3" a="1"/>
  <c r="R342" i="3"/>
  <c r="Q342" i="3" a="1"/>
  <c r="Q342" i="3" s="1"/>
  <c r="P342" i="3" a="1"/>
  <c r="P342" i="3" s="1"/>
  <c r="O342" i="3" a="1"/>
  <c r="O342" i="3"/>
  <c r="N342" i="3" a="1"/>
  <c r="N342" i="3" s="1"/>
  <c r="M342" i="3" a="1"/>
  <c r="M342" i="3" s="1"/>
  <c r="L342" i="3" a="1"/>
  <c r="L342" i="3"/>
  <c r="K342" i="3" a="1"/>
  <c r="K342" i="3" s="1"/>
  <c r="J342" i="3" a="1"/>
  <c r="J342" i="3" s="1"/>
  <c r="I342" i="3" a="1"/>
  <c r="I342" i="3"/>
  <c r="H342" i="3" a="1"/>
  <c r="H342" i="3" s="1"/>
  <c r="G342" i="3" a="1"/>
  <c r="G342" i="3" s="1"/>
  <c r="F342" i="3" a="1"/>
  <c r="F342" i="3"/>
  <c r="E342" i="3" a="1"/>
  <c r="E342" i="3" s="1"/>
  <c r="D342" i="3" a="1"/>
  <c r="D342" i="3" s="1"/>
  <c r="C342" i="3" a="1"/>
  <c r="C342" i="3"/>
  <c r="A342" i="3"/>
  <c r="AD341" i="3" a="1"/>
  <c r="AD341" i="3" s="1"/>
  <c r="AC341" i="3" a="1"/>
  <c r="AC341" i="3"/>
  <c r="AB341" i="3" a="1"/>
  <c r="AB341" i="3"/>
  <c r="AA341" i="3" a="1"/>
  <c r="AA341" i="3" s="1"/>
  <c r="Z341" i="3" a="1"/>
  <c r="Z341" i="3"/>
  <c r="Y341" i="3" a="1"/>
  <c r="Y341" i="3" s="1"/>
  <c r="X341" i="3" a="1"/>
  <c r="X341" i="3" s="1"/>
  <c r="W341" i="3" a="1"/>
  <c r="W341" i="3"/>
  <c r="V341" i="3" a="1"/>
  <c r="V341" i="3"/>
  <c r="U341" i="3" a="1"/>
  <c r="U341" i="3" s="1"/>
  <c r="T341" i="3" a="1"/>
  <c r="T341" i="3"/>
  <c r="S341" i="3" a="1"/>
  <c r="S341" i="3" s="1"/>
  <c r="R341" i="3" a="1"/>
  <c r="R341" i="3" s="1"/>
  <c r="Q341" i="3" a="1"/>
  <c r="Q341" i="3"/>
  <c r="P341" i="3" a="1"/>
  <c r="P341" i="3"/>
  <c r="O341" i="3" a="1"/>
  <c r="O341" i="3" s="1"/>
  <c r="N341" i="3" a="1"/>
  <c r="N341" i="3"/>
  <c r="M341" i="3" a="1"/>
  <c r="M341" i="3" s="1"/>
  <c r="L341" i="3" a="1"/>
  <c r="L341" i="3" s="1"/>
  <c r="K341" i="3" a="1"/>
  <c r="K341" i="3"/>
  <c r="J341" i="3" a="1"/>
  <c r="J341" i="3"/>
  <c r="I341" i="3" a="1"/>
  <c r="I341" i="3" s="1"/>
  <c r="H341" i="3" a="1"/>
  <c r="H341" i="3"/>
  <c r="G341" i="3" a="1"/>
  <c r="G341" i="3" s="1"/>
  <c r="F341" i="3" a="1"/>
  <c r="F341" i="3" s="1"/>
  <c r="E341" i="3" a="1"/>
  <c r="E341" i="3"/>
  <c r="D341" i="3" a="1"/>
  <c r="D341" i="3"/>
  <c r="C341" i="3" a="1"/>
  <c r="C341" i="3" s="1"/>
  <c r="A341" i="3"/>
  <c r="AD340" i="3" a="1"/>
  <c r="AD340" i="3"/>
  <c r="AC340" i="3" a="1"/>
  <c r="AC340" i="3"/>
  <c r="AB340" i="3" a="1"/>
  <c r="AB340" i="3" s="1"/>
  <c r="AA340" i="3" a="1"/>
  <c r="AA340" i="3" s="1"/>
  <c r="Z340" i="3" a="1"/>
  <c r="Z340" i="3"/>
  <c r="Y340" i="3" a="1"/>
  <c r="Y340" i="3" s="1"/>
  <c r="X340" i="3" a="1"/>
  <c r="X340" i="3"/>
  <c r="W340" i="3" a="1"/>
  <c r="W340" i="3"/>
  <c r="V340" i="3" a="1"/>
  <c r="V340" i="3" s="1"/>
  <c r="U340" i="3" a="1"/>
  <c r="U340" i="3" s="1"/>
  <c r="T340" i="3" a="1"/>
  <c r="T340" i="3"/>
  <c r="S340" i="3" a="1"/>
  <c r="S340" i="3"/>
  <c r="R340" i="3" a="1"/>
  <c r="R340" i="3" s="1"/>
  <c r="Q340" i="3" a="1"/>
  <c r="Q340" i="3"/>
  <c r="P340" i="3" a="1"/>
  <c r="P340" i="3" s="1"/>
  <c r="O340" i="3" a="1"/>
  <c r="O340" i="3" s="1"/>
  <c r="N340" i="3" a="1"/>
  <c r="N340" i="3"/>
  <c r="M340" i="3" a="1"/>
  <c r="M340" i="3"/>
  <c r="L340" i="3" a="1"/>
  <c r="L340" i="3" s="1"/>
  <c r="K340" i="3" a="1"/>
  <c r="K340" i="3" s="1"/>
  <c r="J340" i="3" a="1"/>
  <c r="J340" i="3" s="1"/>
  <c r="I340" i="3" a="1"/>
  <c r="I340" i="3" s="1"/>
  <c r="H340" i="3" a="1"/>
  <c r="H340" i="3"/>
  <c r="G340" i="3" a="1"/>
  <c r="G340" i="3" s="1"/>
  <c r="F340" i="3" a="1"/>
  <c r="F340" i="3" s="1"/>
  <c r="E340" i="3" a="1"/>
  <c r="E340" i="3" s="1"/>
  <c r="D340" i="3" a="1"/>
  <c r="D340" i="3" s="1"/>
  <c r="C340" i="3" a="1"/>
  <c r="C340" i="3" s="1"/>
  <c r="A340" i="3"/>
  <c r="AD339" i="3" a="1"/>
  <c r="AD339" i="3" s="1"/>
  <c r="AC339" i="3" a="1"/>
  <c r="AC339" i="3" s="1"/>
  <c r="AB339" i="3" a="1"/>
  <c r="AB339" i="3"/>
  <c r="AA339" i="3" a="1"/>
  <c r="AA339" i="3"/>
  <c r="Z339" i="3" a="1"/>
  <c r="Z339" i="3"/>
  <c r="Y339" i="3" a="1"/>
  <c r="Y339" i="3"/>
  <c r="X339" i="3" a="1"/>
  <c r="X339" i="3" s="1"/>
  <c r="W339" i="3" a="1"/>
  <c r="W339" i="3" s="1"/>
  <c r="V339" i="3" a="1"/>
  <c r="V339" i="3"/>
  <c r="U339" i="3" a="1"/>
  <c r="U339" i="3"/>
  <c r="T339" i="3" a="1"/>
  <c r="T339" i="3"/>
  <c r="S339" i="3" a="1"/>
  <c r="S339" i="3"/>
  <c r="R339" i="3" a="1"/>
  <c r="R339" i="3" s="1"/>
  <c r="Q339" i="3" a="1"/>
  <c r="Q339" i="3" s="1"/>
  <c r="P339" i="3" a="1"/>
  <c r="P339" i="3"/>
  <c r="O339" i="3" a="1"/>
  <c r="O339" i="3"/>
  <c r="N339" i="3" a="1"/>
  <c r="N339" i="3" s="1"/>
  <c r="M339" i="3" a="1"/>
  <c r="M339" i="3"/>
  <c r="L339" i="3" a="1"/>
  <c r="L339" i="3" s="1"/>
  <c r="K339" i="3" a="1"/>
  <c r="K339" i="3" s="1"/>
  <c r="J339" i="3" a="1"/>
  <c r="J339" i="3"/>
  <c r="I339" i="3" a="1"/>
  <c r="I339" i="3"/>
  <c r="H339" i="3" a="1"/>
  <c r="H339" i="3" s="1"/>
  <c r="G339" i="3" a="1"/>
  <c r="G339" i="3"/>
  <c r="F339" i="3" a="1"/>
  <c r="F339" i="3" s="1"/>
  <c r="E339" i="3" a="1"/>
  <c r="E339" i="3" s="1"/>
  <c r="D339" i="3" a="1"/>
  <c r="D339" i="3"/>
  <c r="C339" i="3" a="1"/>
  <c r="C339" i="3" s="1"/>
  <c r="A339" i="3"/>
  <c r="AD338" i="3" a="1"/>
  <c r="AD338" i="3"/>
  <c r="AC338" i="3" a="1"/>
  <c r="AC338" i="3"/>
  <c r="AB338" i="3" a="1"/>
  <c r="AB338" i="3"/>
  <c r="AA338" i="3" a="1"/>
  <c r="AA338" i="3" s="1"/>
  <c r="Z338" i="3" a="1"/>
  <c r="Z338" i="3" s="1"/>
  <c r="Y338" i="3" a="1"/>
  <c r="Y338" i="3"/>
  <c r="X338" i="3" a="1"/>
  <c r="X338" i="3" s="1"/>
  <c r="W338" i="3" a="1"/>
  <c r="W338" i="3" s="1"/>
  <c r="V338" i="3" a="1"/>
  <c r="V338" i="3"/>
  <c r="U338" i="3" a="1"/>
  <c r="U338" i="3" s="1"/>
  <c r="T338" i="3" a="1"/>
  <c r="T338" i="3" s="1"/>
  <c r="S338" i="3" a="1"/>
  <c r="S338" i="3"/>
  <c r="R338" i="3" a="1"/>
  <c r="R338" i="3"/>
  <c r="Q338" i="3" a="1"/>
  <c r="Q338" i="3"/>
  <c r="P338" i="3" a="1"/>
  <c r="P338" i="3" s="1"/>
  <c r="O338" i="3" a="1"/>
  <c r="O338" i="3" s="1"/>
  <c r="N338" i="3" a="1"/>
  <c r="N338" i="3" s="1"/>
  <c r="M338" i="3" a="1"/>
  <c r="M338" i="3"/>
  <c r="L338" i="3" a="1"/>
  <c r="L338" i="3" s="1"/>
  <c r="K338" i="3" a="1"/>
  <c r="K338" i="3"/>
  <c r="J338" i="3" a="1"/>
  <c r="J338" i="3" s="1"/>
  <c r="I338" i="3" a="1"/>
  <c r="I338" i="3" s="1"/>
  <c r="H338" i="3" a="1"/>
  <c r="H338" i="3" s="1"/>
  <c r="G338" i="3" a="1"/>
  <c r="G338" i="3"/>
  <c r="F338" i="3" a="1"/>
  <c r="F338" i="3" s="1"/>
  <c r="E338" i="3" a="1"/>
  <c r="E338" i="3" s="1"/>
  <c r="D338" i="3" a="1"/>
  <c r="D338" i="3" s="1"/>
  <c r="C338" i="3" a="1"/>
  <c r="C338" i="3" s="1"/>
  <c r="A338" i="3"/>
  <c r="AD337" i="3" a="1"/>
  <c r="AD337" i="3" s="1"/>
  <c r="AC337" i="3" a="1"/>
  <c r="AC337" i="3" s="1"/>
  <c r="AB337" i="3" a="1"/>
  <c r="AB337" i="3" s="1"/>
  <c r="AA337" i="3" a="1"/>
  <c r="AA337" i="3"/>
  <c r="Z337" i="3" a="1"/>
  <c r="Z337" i="3"/>
  <c r="Y337" i="3" a="1"/>
  <c r="Y337" i="3"/>
  <c r="X337" i="3" a="1"/>
  <c r="X337" i="3" s="1"/>
  <c r="W337" i="3" a="1"/>
  <c r="W337" i="3"/>
  <c r="V337" i="3" a="1"/>
  <c r="V337" i="3" s="1"/>
  <c r="U337" i="3" a="1"/>
  <c r="U337" i="3"/>
  <c r="T337" i="3" a="1"/>
  <c r="T337" i="3"/>
  <c r="S337" i="3" a="1"/>
  <c r="S337" i="3"/>
  <c r="R337" i="3" a="1"/>
  <c r="R337" i="3" s="1"/>
  <c r="Q337" i="3" a="1"/>
  <c r="Q337" i="3" s="1"/>
  <c r="P337" i="3" a="1"/>
  <c r="P337" i="3" s="1"/>
  <c r="O337" i="3" a="1"/>
  <c r="O337" i="3"/>
  <c r="N337" i="3" a="1"/>
  <c r="N337" i="3" s="1"/>
  <c r="M337" i="3" a="1"/>
  <c r="M337" i="3" s="1"/>
  <c r="L337" i="3" a="1"/>
  <c r="L337" i="3" s="1"/>
  <c r="K337" i="3" a="1"/>
  <c r="K337" i="3" s="1"/>
  <c r="J337" i="3" a="1"/>
  <c r="J337" i="3" s="1"/>
  <c r="A337" i="3"/>
  <c r="AD336" i="3" a="1"/>
  <c r="AD336" i="3"/>
  <c r="AC336" i="3" a="1"/>
  <c r="AC336" i="3" s="1"/>
  <c r="AB336" i="3" a="1"/>
  <c r="AB336" i="3" s="1"/>
  <c r="AA336" i="3" a="1"/>
  <c r="AA336" i="3"/>
  <c r="Z336" i="3" a="1"/>
  <c r="Z336" i="3"/>
  <c r="Y336" i="3" a="1"/>
  <c r="Y336" i="3" s="1"/>
  <c r="X336" i="3" a="1"/>
  <c r="X336" i="3"/>
  <c r="W336" i="3" a="1"/>
  <c r="W336" i="3" s="1"/>
  <c r="V336" i="3" a="1"/>
  <c r="V336" i="3"/>
  <c r="U336" i="3" a="1"/>
  <c r="U336" i="3"/>
  <c r="T336" i="3" a="1"/>
  <c r="T336" i="3" s="1"/>
  <c r="S336" i="3" a="1"/>
  <c r="S336" i="3" s="1"/>
  <c r="R336" i="3" a="1"/>
  <c r="R336" i="3" s="1"/>
  <c r="Q336" i="3" a="1"/>
  <c r="Q336" i="3"/>
  <c r="P336" i="3" a="1"/>
  <c r="P336" i="3" s="1"/>
  <c r="O336" i="3" a="1"/>
  <c r="O336" i="3"/>
  <c r="N336" i="3" a="1"/>
  <c r="N336" i="3"/>
  <c r="M336" i="3" a="1"/>
  <c r="M336" i="3" s="1"/>
  <c r="L336" i="3" a="1"/>
  <c r="L336" i="3" s="1"/>
  <c r="K336" i="3" a="1"/>
  <c r="K336" i="3" s="1"/>
  <c r="J336" i="3" a="1"/>
  <c r="J336" i="3" s="1"/>
  <c r="I336" i="3" a="1"/>
  <c r="I336" i="3" s="1"/>
  <c r="H336" i="3" a="1"/>
  <c r="H336" i="3" s="1"/>
  <c r="G336" i="3" a="1"/>
  <c r="G336" i="3" s="1"/>
  <c r="F336" i="3" a="1"/>
  <c r="F336" i="3" s="1"/>
  <c r="E336" i="3" a="1"/>
  <c r="E336" i="3" s="1"/>
  <c r="D336" i="3" a="1"/>
  <c r="D336" i="3" s="1"/>
  <c r="C336" i="3" a="1"/>
  <c r="C336" i="3" s="1"/>
  <c r="B336" i="3" a="1"/>
  <c r="B336" i="3" s="1"/>
  <c r="A336" i="3"/>
  <c r="AD335" i="3" a="1"/>
  <c r="AD335" i="3"/>
  <c r="AC335" i="3" a="1"/>
  <c r="AC335" i="3" s="1"/>
  <c r="AB335" i="3" a="1"/>
  <c r="AB335" i="3" s="1"/>
  <c r="AA335" i="3" a="1"/>
  <c r="AA335" i="3" s="1"/>
  <c r="Z335" i="3" a="1"/>
  <c r="Z335" i="3"/>
  <c r="Y335" i="3" a="1"/>
  <c r="Y335" i="3" s="1"/>
  <c r="X335" i="3" a="1"/>
  <c r="X335" i="3" s="1"/>
  <c r="W335" i="3" a="1"/>
  <c r="W335" i="3"/>
  <c r="V335" i="3" a="1"/>
  <c r="V335" i="3"/>
  <c r="U335" i="3" a="1"/>
  <c r="U335" i="3" s="1"/>
  <c r="T335" i="3" a="1"/>
  <c r="T335" i="3"/>
  <c r="S335" i="3" a="1"/>
  <c r="S335" i="3" s="1"/>
  <c r="R335" i="3" a="1"/>
  <c r="R335" i="3"/>
  <c r="Q335" i="3" a="1"/>
  <c r="Q335" i="3" s="1"/>
  <c r="P335" i="3" a="1"/>
  <c r="P335" i="3" s="1"/>
  <c r="O335" i="3" a="1"/>
  <c r="O335" i="3" s="1"/>
  <c r="N335" i="3" a="1"/>
  <c r="N335" i="3" s="1"/>
  <c r="M335" i="3" a="1"/>
  <c r="M335" i="3" s="1"/>
  <c r="L335" i="3" a="1"/>
  <c r="L335" i="3"/>
  <c r="K335" i="3" a="1"/>
  <c r="K335" i="3" s="1"/>
  <c r="J335" i="3" a="1"/>
  <c r="J335" i="3" s="1"/>
  <c r="I335" i="3" a="1"/>
  <c r="I335" i="3" s="1"/>
  <c r="H335" i="3" a="1"/>
  <c r="H335" i="3" s="1"/>
  <c r="G335" i="3" a="1"/>
  <c r="G335" i="3" s="1"/>
  <c r="F335" i="3" a="1"/>
  <c r="F335" i="3"/>
  <c r="E335" i="3" a="1"/>
  <c r="E335" i="3" s="1"/>
  <c r="D335" i="3" a="1"/>
  <c r="D335" i="3" s="1"/>
  <c r="C335" i="3" a="1"/>
  <c r="C335" i="3" s="1"/>
  <c r="A335" i="3"/>
  <c r="AD334" i="3" a="1"/>
  <c r="AD334" i="3" s="1"/>
  <c r="AC334" i="3" a="1"/>
  <c r="AC334" i="3" s="1"/>
  <c r="AB334" i="3" a="1"/>
  <c r="AB334" i="3"/>
  <c r="AA334" i="3" a="1"/>
  <c r="AA334" i="3"/>
  <c r="Z334" i="3" a="1"/>
  <c r="Z334" i="3" s="1"/>
  <c r="Y334" i="3" a="1"/>
  <c r="Y334" i="3"/>
  <c r="X334" i="3" a="1"/>
  <c r="X334" i="3" s="1"/>
  <c r="W334" i="3" a="1"/>
  <c r="W334" i="3" s="1"/>
  <c r="V334" i="3" a="1"/>
  <c r="V334" i="3"/>
  <c r="U334" i="3" a="1"/>
  <c r="U334" i="3"/>
  <c r="T334" i="3" a="1"/>
  <c r="T334" i="3" s="1"/>
  <c r="S334" i="3" a="1"/>
  <c r="S334" i="3"/>
  <c r="R334" i="3" a="1"/>
  <c r="R334" i="3" s="1"/>
  <c r="Q334" i="3" a="1"/>
  <c r="Q334" i="3" s="1"/>
  <c r="P334" i="3" a="1"/>
  <c r="P334" i="3"/>
  <c r="O334" i="3" a="1"/>
  <c r="O334" i="3"/>
  <c r="N334" i="3" a="1"/>
  <c r="N334" i="3" s="1"/>
  <c r="M334" i="3" a="1"/>
  <c r="M334" i="3"/>
  <c r="L334" i="3" a="1"/>
  <c r="L334" i="3" s="1"/>
  <c r="K334" i="3" a="1"/>
  <c r="K334" i="3" s="1"/>
  <c r="J334" i="3" a="1"/>
  <c r="J334" i="3"/>
  <c r="I334" i="3" a="1"/>
  <c r="I334" i="3"/>
  <c r="H334" i="3" a="1"/>
  <c r="H334" i="3" s="1"/>
  <c r="G334" i="3" a="1"/>
  <c r="G334" i="3"/>
  <c r="F334" i="3" a="1"/>
  <c r="F334" i="3" s="1"/>
  <c r="E334" i="3" a="1"/>
  <c r="E334" i="3" s="1"/>
  <c r="D334" i="3" a="1"/>
  <c r="D334" i="3"/>
  <c r="C334" i="3" a="1"/>
  <c r="C334" i="3"/>
  <c r="A334" i="3"/>
  <c r="AD333" i="3" a="1"/>
  <c r="AD333" i="3" s="1"/>
  <c r="AC333" i="3" a="1"/>
  <c r="AC333" i="3"/>
  <c r="AB333" i="3" a="1"/>
  <c r="AB333" i="3" s="1"/>
  <c r="AA333" i="3" a="1"/>
  <c r="AA333" i="3" s="1"/>
  <c r="Z333" i="3" a="1"/>
  <c r="Z333" i="3" s="1"/>
  <c r="Y333" i="3" a="1"/>
  <c r="Y333" i="3" s="1"/>
  <c r="X333" i="3" a="1"/>
  <c r="X333" i="3" s="1"/>
  <c r="W333" i="3" a="1"/>
  <c r="W333" i="3"/>
  <c r="V333" i="3" a="1"/>
  <c r="V333" i="3" s="1"/>
  <c r="U333" i="3" a="1"/>
  <c r="U333" i="3" s="1"/>
  <c r="T333" i="3" a="1"/>
  <c r="T333" i="3" s="1"/>
  <c r="S333" i="3" a="1"/>
  <c r="S333" i="3" s="1"/>
  <c r="R333" i="3" a="1"/>
  <c r="R333" i="3" s="1"/>
  <c r="Q333" i="3" a="1"/>
  <c r="Q333" i="3"/>
  <c r="P333" i="3" a="1"/>
  <c r="P333" i="3" s="1"/>
  <c r="O333" i="3" a="1"/>
  <c r="O333" i="3" s="1"/>
  <c r="N333" i="3" a="1"/>
  <c r="N333" i="3" s="1"/>
  <c r="M333" i="3" a="1"/>
  <c r="M333" i="3" s="1"/>
  <c r="L333" i="3" a="1"/>
  <c r="L333" i="3" s="1"/>
  <c r="K333" i="3" a="1"/>
  <c r="K333" i="3"/>
  <c r="J333" i="3" a="1"/>
  <c r="J333" i="3" s="1"/>
  <c r="I333" i="3" a="1"/>
  <c r="I333" i="3" s="1"/>
  <c r="H333" i="3" a="1"/>
  <c r="H333" i="3" s="1"/>
  <c r="G333" i="3" a="1"/>
  <c r="G333" i="3" s="1"/>
  <c r="F333" i="3" a="1"/>
  <c r="F333" i="3" s="1"/>
  <c r="E333" i="3" a="1"/>
  <c r="E333" i="3"/>
  <c r="D333" i="3" a="1"/>
  <c r="D333" i="3" s="1"/>
  <c r="C333" i="3" a="1"/>
  <c r="C333" i="3" s="1"/>
  <c r="A333" i="3"/>
  <c r="AD332" i="3" a="1"/>
  <c r="AD332" i="3"/>
  <c r="AC332" i="3" a="1"/>
  <c r="AC332" i="3" s="1"/>
  <c r="AB332" i="3" a="1"/>
  <c r="AB332" i="3" s="1"/>
  <c r="AA332" i="3" a="1"/>
  <c r="AA332" i="3"/>
  <c r="Z332" i="3" a="1"/>
  <c r="Z332" i="3"/>
  <c r="Y332" i="3" a="1"/>
  <c r="Y332" i="3" s="1"/>
  <c r="X332" i="3" a="1"/>
  <c r="X332" i="3"/>
  <c r="W332" i="3" a="1"/>
  <c r="W332" i="3" s="1"/>
  <c r="B332" i="3" a="1"/>
  <c r="B332" i="3"/>
  <c r="A332" i="3"/>
  <c r="AD331" i="3" a="1"/>
  <c r="AD331" i="3"/>
  <c r="AC331" i="3" a="1"/>
  <c r="AC331" i="3" s="1"/>
  <c r="AB331" i="3" a="1"/>
  <c r="AB331" i="3"/>
  <c r="AA331" i="3" a="1"/>
  <c r="AA331" i="3"/>
  <c r="Z331" i="3" a="1"/>
  <c r="Z331" i="3" s="1"/>
  <c r="Y331" i="3" a="1"/>
  <c r="Y331" i="3" s="1"/>
  <c r="X331" i="3" a="1"/>
  <c r="X331" i="3"/>
  <c r="W331" i="3" a="1"/>
  <c r="W331" i="3" s="1"/>
  <c r="V331" i="3" a="1"/>
  <c r="V331" i="3"/>
  <c r="U331" i="3" a="1"/>
  <c r="U331" i="3" s="1"/>
  <c r="T331" i="3" a="1"/>
  <c r="T331" i="3" s="1"/>
  <c r="S331" i="3" a="1"/>
  <c r="S331" i="3" s="1"/>
  <c r="R331" i="3" a="1"/>
  <c r="R331" i="3" s="1"/>
  <c r="Q331" i="3" a="1"/>
  <c r="Q331" i="3" s="1"/>
  <c r="P331" i="3" a="1"/>
  <c r="P331" i="3"/>
  <c r="O331" i="3" a="1"/>
  <c r="O331" i="3" s="1"/>
  <c r="N331" i="3" a="1"/>
  <c r="N331" i="3" s="1"/>
  <c r="M331" i="3" a="1"/>
  <c r="M331" i="3" s="1"/>
  <c r="L331" i="3" a="1"/>
  <c r="L331" i="3" s="1"/>
  <c r="K331" i="3" a="1"/>
  <c r="K331" i="3" s="1"/>
  <c r="J331" i="3" a="1"/>
  <c r="J331" i="3"/>
  <c r="I331" i="3" a="1"/>
  <c r="I331" i="3" s="1"/>
  <c r="H331" i="3" a="1"/>
  <c r="H331" i="3" s="1"/>
  <c r="G331" i="3" a="1"/>
  <c r="G331" i="3" s="1"/>
  <c r="F331" i="3" a="1"/>
  <c r="F331" i="3" s="1"/>
  <c r="E331" i="3" a="1"/>
  <c r="E331" i="3" s="1"/>
  <c r="D331" i="3" a="1"/>
  <c r="D331" i="3"/>
  <c r="C331" i="3" a="1"/>
  <c r="C331" i="3" s="1"/>
  <c r="A331" i="3"/>
  <c r="AD330" i="3" a="1"/>
  <c r="AD330" i="3" s="1"/>
  <c r="AC330" i="3" a="1"/>
  <c r="AC330" i="3"/>
  <c r="AB330" i="3" a="1"/>
  <c r="AB330" i="3" s="1"/>
  <c r="AA330" i="3" a="1"/>
  <c r="AA330" i="3" s="1"/>
  <c r="Z330" i="3" a="1"/>
  <c r="Z330" i="3"/>
  <c r="Y330" i="3" a="1"/>
  <c r="Y330" i="3"/>
  <c r="X330" i="3" a="1"/>
  <c r="X330" i="3" s="1"/>
  <c r="W330" i="3" a="1"/>
  <c r="W330" i="3"/>
  <c r="V330" i="3" a="1"/>
  <c r="V330" i="3" s="1"/>
  <c r="U330" i="3" a="1"/>
  <c r="U330" i="3" s="1"/>
  <c r="T330" i="3" a="1"/>
  <c r="T330" i="3"/>
  <c r="S330" i="3" a="1"/>
  <c r="S330" i="3"/>
  <c r="R330" i="3" a="1"/>
  <c r="R330" i="3" s="1"/>
  <c r="Q330" i="3" a="1"/>
  <c r="Q330" i="3"/>
  <c r="P330" i="3" a="1"/>
  <c r="P330" i="3" s="1"/>
  <c r="O330" i="3" a="1"/>
  <c r="O330" i="3" s="1"/>
  <c r="N330" i="3" a="1"/>
  <c r="N330" i="3"/>
  <c r="M330" i="3" a="1"/>
  <c r="M330" i="3"/>
  <c r="L330" i="3" a="1"/>
  <c r="L330" i="3" s="1"/>
  <c r="K330" i="3" a="1"/>
  <c r="K330" i="3"/>
  <c r="J330" i="3" a="1"/>
  <c r="J330" i="3" s="1"/>
  <c r="I330" i="3" a="1"/>
  <c r="I330" i="3" s="1"/>
  <c r="H330" i="3" a="1"/>
  <c r="H330" i="3"/>
  <c r="G330" i="3" a="1"/>
  <c r="G330" i="3"/>
  <c r="F330" i="3" a="1"/>
  <c r="F330" i="3" s="1"/>
  <c r="E330" i="3" a="1"/>
  <c r="E330" i="3"/>
  <c r="D330" i="3" a="1"/>
  <c r="D330" i="3" s="1"/>
  <c r="C330" i="3" a="1"/>
  <c r="C330" i="3" s="1"/>
  <c r="A330" i="3"/>
  <c r="AD329" i="3" a="1"/>
  <c r="AD329" i="3" s="1"/>
  <c r="AC329" i="3" a="1"/>
  <c r="AC329" i="3"/>
  <c r="AB329" i="3" a="1"/>
  <c r="AB329" i="3" s="1"/>
  <c r="AA329" i="3" a="1"/>
  <c r="AA329" i="3"/>
  <c r="Z329" i="3" a="1"/>
  <c r="Z329" i="3" s="1"/>
  <c r="Y329" i="3" a="1"/>
  <c r="Y329" i="3"/>
  <c r="X329" i="3" a="1"/>
  <c r="X329" i="3" s="1"/>
  <c r="W329" i="3" a="1"/>
  <c r="W329" i="3" s="1"/>
  <c r="V329" i="3" a="1"/>
  <c r="V329" i="3" s="1"/>
  <c r="U329" i="3" a="1"/>
  <c r="U329" i="3"/>
  <c r="T329" i="3" a="1"/>
  <c r="T329" i="3" s="1"/>
  <c r="S329" i="3" a="1"/>
  <c r="S329" i="3" s="1"/>
  <c r="R329" i="3" a="1"/>
  <c r="R329" i="3" s="1"/>
  <c r="Q329" i="3" a="1"/>
  <c r="Q329" i="3" s="1"/>
  <c r="P329" i="3" a="1"/>
  <c r="P329" i="3" s="1"/>
  <c r="O329" i="3" a="1"/>
  <c r="O329" i="3"/>
  <c r="N329" i="3" a="1"/>
  <c r="N329" i="3" s="1"/>
  <c r="M329" i="3" a="1"/>
  <c r="M329" i="3" s="1"/>
  <c r="L329" i="3" a="1"/>
  <c r="L329" i="3" s="1"/>
  <c r="K329" i="3" a="1"/>
  <c r="K329" i="3" s="1"/>
  <c r="J329" i="3" a="1"/>
  <c r="J329" i="3" s="1"/>
  <c r="I329" i="3" a="1"/>
  <c r="I329" i="3"/>
  <c r="H329" i="3" a="1"/>
  <c r="H329" i="3" s="1"/>
  <c r="G329" i="3" a="1"/>
  <c r="G329" i="3" s="1"/>
  <c r="F329" i="3" a="1"/>
  <c r="F329" i="3" s="1"/>
  <c r="E329" i="3" a="1"/>
  <c r="E329" i="3" s="1"/>
  <c r="D329" i="3" a="1"/>
  <c r="D329" i="3" s="1"/>
  <c r="C329" i="3" a="1"/>
  <c r="C329" i="3"/>
  <c r="A329" i="3"/>
  <c r="AD328" i="3" a="1"/>
  <c r="AD328" i="3"/>
  <c r="AC328" i="3" a="1"/>
  <c r="AC328" i="3" s="1"/>
  <c r="AB328" i="3" a="1"/>
  <c r="AB328" i="3"/>
  <c r="AA328" i="3" a="1"/>
  <c r="AA328" i="3" s="1"/>
  <c r="Z328" i="3" a="1"/>
  <c r="Z328" i="3" s="1"/>
  <c r="Y328" i="3" a="1"/>
  <c r="Y328" i="3"/>
  <c r="X328" i="3" a="1"/>
  <c r="X328" i="3"/>
  <c r="W328" i="3" a="1"/>
  <c r="W328" i="3" s="1"/>
  <c r="V328" i="3" a="1"/>
  <c r="V328" i="3"/>
  <c r="U328" i="3" a="1"/>
  <c r="U328" i="3" s="1"/>
  <c r="T328" i="3" a="1"/>
  <c r="T328" i="3" s="1"/>
  <c r="S328" i="3" a="1"/>
  <c r="S328" i="3"/>
  <c r="R328" i="3" a="1"/>
  <c r="R328" i="3"/>
  <c r="Q328" i="3" a="1"/>
  <c r="Q328" i="3" s="1"/>
  <c r="P328" i="3" a="1"/>
  <c r="P328" i="3"/>
  <c r="O328" i="3" a="1"/>
  <c r="O328" i="3" s="1"/>
  <c r="N328" i="3" a="1"/>
  <c r="N328" i="3" s="1"/>
  <c r="M328" i="3" a="1"/>
  <c r="M328" i="3"/>
  <c r="L328" i="3" a="1"/>
  <c r="L328" i="3"/>
  <c r="K328" i="3" a="1"/>
  <c r="K328" i="3" s="1"/>
  <c r="J328" i="3" a="1"/>
  <c r="J328" i="3"/>
  <c r="I328" i="3" a="1"/>
  <c r="I328" i="3" s="1"/>
  <c r="H328" i="3" a="1"/>
  <c r="H328" i="3" s="1"/>
  <c r="G328" i="3" a="1"/>
  <c r="G328" i="3"/>
  <c r="F328" i="3" a="1"/>
  <c r="F328" i="3"/>
  <c r="E328" i="3" a="1"/>
  <c r="E328" i="3" s="1"/>
  <c r="D328" i="3" a="1"/>
  <c r="D328" i="3"/>
  <c r="C328" i="3" a="1"/>
  <c r="C328" i="3" s="1"/>
  <c r="A328" i="3"/>
  <c r="AD327" i="3" a="1"/>
  <c r="AD327" i="3"/>
  <c r="AC327" i="3" a="1"/>
  <c r="AC327" i="3" s="1"/>
  <c r="AB327" i="3" a="1"/>
  <c r="AB327" i="3"/>
  <c r="AA327" i="3" a="1"/>
  <c r="AA327" i="3"/>
  <c r="Z327" i="3" a="1"/>
  <c r="Z327" i="3"/>
  <c r="Y327" i="3" a="1"/>
  <c r="Y327" i="3" s="1"/>
  <c r="X327" i="3" a="1"/>
  <c r="X327" i="3" s="1"/>
  <c r="W327" i="3" a="1"/>
  <c r="W327" i="3" s="1"/>
  <c r="V327" i="3" a="1"/>
  <c r="V327" i="3"/>
  <c r="U327" i="3" a="1"/>
  <c r="U327" i="3"/>
  <c r="T327" i="3" a="1"/>
  <c r="T327" i="3"/>
  <c r="S327" i="3" a="1"/>
  <c r="S327" i="3" s="1"/>
  <c r="R327" i="3" a="1"/>
  <c r="R327" i="3" s="1"/>
  <c r="Q327" i="3" a="1"/>
  <c r="Q327" i="3" s="1"/>
  <c r="P327" i="3" a="1"/>
  <c r="P327" i="3" s="1"/>
  <c r="O327" i="3" a="1"/>
  <c r="O327" i="3"/>
  <c r="N327" i="3" a="1"/>
  <c r="N327" i="3"/>
  <c r="M327" i="3" a="1"/>
  <c r="M327" i="3" s="1"/>
  <c r="L327" i="3" a="1"/>
  <c r="L327" i="3" s="1"/>
  <c r="K327" i="3" a="1"/>
  <c r="K327" i="3" s="1"/>
  <c r="J327" i="3" a="1"/>
  <c r="J327" i="3" s="1"/>
  <c r="I327" i="3" a="1"/>
  <c r="I327" i="3"/>
  <c r="H327" i="3" a="1"/>
  <c r="H327" i="3"/>
  <c r="G327" i="3" a="1"/>
  <c r="G327" i="3" s="1"/>
  <c r="F327" i="3" a="1"/>
  <c r="F327" i="3" s="1"/>
  <c r="E327" i="3" a="1"/>
  <c r="E327" i="3" s="1"/>
  <c r="A327" i="3"/>
  <c r="AD326" i="3" a="1"/>
  <c r="AD326" i="3"/>
  <c r="AC326" i="3" a="1"/>
  <c r="AC326" i="3"/>
  <c r="AB326" i="3" a="1"/>
  <c r="AB326" i="3" s="1"/>
  <c r="AA326" i="3" a="1"/>
  <c r="AA326" i="3"/>
  <c r="Z326" i="3" a="1"/>
  <c r="Z326" i="3" s="1"/>
  <c r="Y326" i="3" a="1"/>
  <c r="Y326" i="3" s="1"/>
  <c r="X326" i="3" a="1"/>
  <c r="X326" i="3"/>
  <c r="W326" i="3" a="1"/>
  <c r="W326" i="3"/>
  <c r="V326" i="3" a="1"/>
  <c r="V326" i="3" s="1"/>
  <c r="U326" i="3" a="1"/>
  <c r="U326" i="3"/>
  <c r="T326" i="3" a="1"/>
  <c r="T326" i="3" s="1"/>
  <c r="S326" i="3" a="1"/>
  <c r="S326" i="3" s="1"/>
  <c r="R326" i="3" a="1"/>
  <c r="R326" i="3"/>
  <c r="Q326" i="3" a="1"/>
  <c r="Q326" i="3"/>
  <c r="P326" i="3" a="1"/>
  <c r="P326" i="3" s="1"/>
  <c r="O326" i="3" a="1"/>
  <c r="O326" i="3"/>
  <c r="N326" i="3" a="1"/>
  <c r="N326" i="3" s="1"/>
  <c r="M326" i="3" a="1"/>
  <c r="M326" i="3" s="1"/>
  <c r="L326" i="3" a="1"/>
  <c r="L326" i="3"/>
  <c r="K326" i="3" a="1"/>
  <c r="K326" i="3"/>
  <c r="J326" i="3" a="1"/>
  <c r="J326" i="3" s="1"/>
  <c r="I326" i="3" a="1"/>
  <c r="I326" i="3"/>
  <c r="H326" i="3" a="1"/>
  <c r="H326" i="3" s="1"/>
  <c r="G326" i="3" a="1"/>
  <c r="G326" i="3" s="1"/>
  <c r="F326" i="3" a="1"/>
  <c r="F326" i="3"/>
  <c r="E326" i="3" a="1"/>
  <c r="E326" i="3" s="1"/>
  <c r="D326" i="3" a="1"/>
  <c r="D326" i="3" s="1"/>
  <c r="C326" i="3" a="1"/>
  <c r="C326" i="3"/>
  <c r="A326" i="3"/>
  <c r="AD325" i="3" a="1"/>
  <c r="AD325" i="3"/>
  <c r="AC325" i="3" a="1"/>
  <c r="AC325" i="3" s="1"/>
  <c r="AB325" i="3" a="1"/>
  <c r="AB325" i="3" s="1"/>
  <c r="AA325" i="3" a="1"/>
  <c r="AA325" i="3"/>
  <c r="Z325" i="3" a="1"/>
  <c r="Z325" i="3"/>
  <c r="Y325" i="3" a="1"/>
  <c r="Y325" i="3"/>
  <c r="X325" i="3" a="1"/>
  <c r="X325" i="3"/>
  <c r="W325" i="3" a="1"/>
  <c r="W325" i="3" s="1"/>
  <c r="V325" i="3" a="1"/>
  <c r="V325" i="3" s="1"/>
  <c r="U325" i="3" a="1"/>
  <c r="U325" i="3" s="1"/>
  <c r="T325" i="3" a="1"/>
  <c r="T325" i="3"/>
  <c r="S325" i="3" a="1"/>
  <c r="S325" i="3"/>
  <c r="R325" i="3" a="1"/>
  <c r="R325" i="3"/>
  <c r="Q325" i="3" a="1"/>
  <c r="Q325" i="3" s="1"/>
  <c r="P325" i="3" a="1"/>
  <c r="P325" i="3" s="1"/>
  <c r="O325" i="3" a="1"/>
  <c r="O325" i="3" s="1"/>
  <c r="N325" i="3" a="1"/>
  <c r="N325" i="3"/>
  <c r="M325" i="3" a="1"/>
  <c r="M325" i="3"/>
  <c r="L325" i="3" a="1"/>
  <c r="L325" i="3"/>
  <c r="K325" i="3" a="1"/>
  <c r="K325" i="3" s="1"/>
  <c r="J325" i="3" a="1"/>
  <c r="J325" i="3" s="1"/>
  <c r="I325" i="3" a="1"/>
  <c r="I325" i="3" s="1"/>
  <c r="H325" i="3" a="1"/>
  <c r="H325" i="3"/>
  <c r="G325" i="3" a="1"/>
  <c r="G325" i="3"/>
  <c r="F325" i="3" a="1"/>
  <c r="F325" i="3"/>
  <c r="E325" i="3" a="1"/>
  <c r="E325" i="3" s="1"/>
  <c r="D325" i="3" a="1"/>
  <c r="D325" i="3" s="1"/>
  <c r="C325" i="3" a="1"/>
  <c r="C325" i="3" s="1"/>
  <c r="A325" i="3"/>
  <c r="AD324" i="3" a="1"/>
  <c r="AD324" i="3" s="1"/>
  <c r="AC324" i="3" a="1"/>
  <c r="AC324" i="3"/>
  <c r="AB324" i="3" a="1"/>
  <c r="AB324" i="3"/>
  <c r="AA324" i="3" a="1"/>
  <c r="AA324" i="3" s="1"/>
  <c r="Z324" i="3" a="1"/>
  <c r="Z324" i="3"/>
  <c r="Y324" i="3" a="1"/>
  <c r="Y324" i="3" s="1"/>
  <c r="X324" i="3" a="1"/>
  <c r="X324" i="3" s="1"/>
  <c r="W324" i="3" a="1"/>
  <c r="W324" i="3"/>
  <c r="V324" i="3" a="1"/>
  <c r="V324" i="3" s="1"/>
  <c r="U324" i="3" a="1"/>
  <c r="U324" i="3" s="1"/>
  <c r="T324" i="3" a="1"/>
  <c r="T324" i="3"/>
  <c r="S324" i="3" a="1"/>
  <c r="S324" i="3" s="1"/>
  <c r="R324" i="3" a="1"/>
  <c r="R324" i="3" s="1"/>
  <c r="Q324" i="3" a="1"/>
  <c r="Q324" i="3"/>
  <c r="P324" i="3" a="1"/>
  <c r="P324" i="3" s="1"/>
  <c r="O324" i="3" a="1"/>
  <c r="O324" i="3" s="1"/>
  <c r="N324" i="3" a="1"/>
  <c r="N324" i="3"/>
  <c r="M324" i="3" a="1"/>
  <c r="M324" i="3" s="1"/>
  <c r="L324" i="3" a="1"/>
  <c r="L324" i="3" s="1"/>
  <c r="K324" i="3" a="1"/>
  <c r="K324" i="3"/>
  <c r="J324" i="3" a="1"/>
  <c r="J324" i="3" s="1"/>
  <c r="I324" i="3" a="1"/>
  <c r="I324" i="3" s="1"/>
  <c r="H324" i="3" a="1"/>
  <c r="H324" i="3"/>
  <c r="G324" i="3" a="1"/>
  <c r="G324" i="3" s="1"/>
  <c r="F324" i="3" a="1"/>
  <c r="F324" i="3" s="1"/>
  <c r="E324" i="3" a="1"/>
  <c r="E324" i="3"/>
  <c r="D324" i="3" a="1"/>
  <c r="D324" i="3" s="1"/>
  <c r="C324" i="3" a="1"/>
  <c r="C324" i="3" s="1"/>
  <c r="A324" i="3"/>
  <c r="AD323" i="3" a="1"/>
  <c r="AD323" i="3"/>
  <c r="AC323" i="3" a="1"/>
  <c r="AC323" i="3"/>
  <c r="AB323" i="3" a="1"/>
  <c r="AB323" i="3" s="1"/>
  <c r="AA323" i="3" a="1"/>
  <c r="AA323" i="3" s="1"/>
  <c r="Z323" i="3" a="1"/>
  <c r="Z323" i="3"/>
  <c r="Y323" i="3" a="1"/>
  <c r="Y323" i="3"/>
  <c r="X323" i="3" a="1"/>
  <c r="X323" i="3"/>
  <c r="W323" i="3" a="1"/>
  <c r="W323" i="3"/>
  <c r="V323" i="3" a="1"/>
  <c r="V323" i="3" s="1"/>
  <c r="U323" i="3" a="1"/>
  <c r="U323" i="3" s="1"/>
  <c r="T323" i="3" a="1"/>
  <c r="T323" i="3"/>
  <c r="S323" i="3" a="1"/>
  <c r="S323" i="3"/>
  <c r="R323" i="3" a="1"/>
  <c r="R323" i="3"/>
  <c r="Q323" i="3" a="1"/>
  <c r="Q323" i="3"/>
  <c r="P323" i="3" a="1"/>
  <c r="P323" i="3" s="1"/>
  <c r="O323" i="3" a="1"/>
  <c r="O323" i="3" s="1"/>
  <c r="N323" i="3" a="1"/>
  <c r="N323" i="3"/>
  <c r="M323" i="3" a="1"/>
  <c r="M323" i="3"/>
  <c r="L323" i="3" a="1"/>
  <c r="L323" i="3"/>
  <c r="K323" i="3" a="1"/>
  <c r="K323" i="3"/>
  <c r="J323" i="3" a="1"/>
  <c r="J323" i="3" s="1"/>
  <c r="I323" i="3" a="1"/>
  <c r="I323" i="3" s="1"/>
  <c r="H323" i="3" a="1"/>
  <c r="H323" i="3"/>
  <c r="G323" i="3" a="1"/>
  <c r="G323" i="3"/>
  <c r="F323" i="3" a="1"/>
  <c r="F323" i="3"/>
  <c r="E323" i="3" a="1"/>
  <c r="E323" i="3" s="1"/>
  <c r="D323" i="3" a="1"/>
  <c r="D323" i="3" s="1"/>
  <c r="C323" i="3" a="1"/>
  <c r="C323" i="3" s="1"/>
  <c r="A323" i="3"/>
  <c r="AD322" i="3" a="1"/>
  <c r="AD322" i="3" s="1"/>
  <c r="AC322" i="3" a="1"/>
  <c r="AC322" i="3" s="1"/>
  <c r="AB322" i="3" a="1"/>
  <c r="AB322" i="3"/>
  <c r="AA322" i="3" a="1"/>
  <c r="AA322" i="3"/>
  <c r="Z322" i="3" a="1"/>
  <c r="Z322" i="3" s="1"/>
  <c r="Y322" i="3" a="1"/>
  <c r="Y322" i="3"/>
  <c r="X322" i="3" a="1"/>
  <c r="X322" i="3" s="1"/>
  <c r="W322" i="3" a="1"/>
  <c r="W322" i="3" s="1"/>
  <c r="V322" i="3" a="1"/>
  <c r="V322" i="3"/>
  <c r="U322" i="3" a="1"/>
  <c r="U322" i="3"/>
  <c r="T322" i="3" a="1"/>
  <c r="T322" i="3" s="1"/>
  <c r="S322" i="3" a="1"/>
  <c r="S322" i="3"/>
  <c r="R322" i="3" a="1"/>
  <c r="R322" i="3" s="1"/>
  <c r="Q322" i="3" a="1"/>
  <c r="Q322" i="3" s="1"/>
  <c r="P322" i="3" a="1"/>
  <c r="P322" i="3"/>
  <c r="O322" i="3" a="1"/>
  <c r="O322" i="3"/>
  <c r="N322" i="3" a="1"/>
  <c r="N322" i="3" s="1"/>
  <c r="M322" i="3" a="1"/>
  <c r="M322" i="3"/>
  <c r="L322" i="3" a="1"/>
  <c r="L322" i="3" s="1"/>
  <c r="K322" i="3" a="1"/>
  <c r="K322" i="3" s="1"/>
  <c r="J322" i="3" a="1"/>
  <c r="J322" i="3"/>
  <c r="I322" i="3" a="1"/>
  <c r="I322" i="3"/>
  <c r="H322" i="3" a="1"/>
  <c r="H322" i="3" s="1"/>
  <c r="G322" i="3" a="1"/>
  <c r="G322" i="3"/>
  <c r="F322" i="3" a="1"/>
  <c r="F322" i="3" s="1"/>
  <c r="E322" i="3" a="1"/>
  <c r="E322" i="3" s="1"/>
  <c r="D322" i="3" a="1"/>
  <c r="D322" i="3"/>
  <c r="C322" i="3" a="1"/>
  <c r="C322" i="3" s="1"/>
  <c r="A322" i="3"/>
  <c r="AD321" i="3" a="1"/>
  <c r="AD321" i="3"/>
  <c r="AC321" i="3" a="1"/>
  <c r="AC321" i="3"/>
  <c r="AB321" i="3" a="1"/>
  <c r="AB321" i="3"/>
  <c r="AA321" i="3" a="1"/>
  <c r="AA321" i="3" s="1"/>
  <c r="Z321" i="3" a="1"/>
  <c r="Z321" i="3" s="1"/>
  <c r="Y321" i="3" a="1"/>
  <c r="Y321" i="3"/>
  <c r="X321" i="3" a="1"/>
  <c r="X321" i="3"/>
  <c r="W321" i="3" a="1"/>
  <c r="W321" i="3"/>
  <c r="V321" i="3" a="1"/>
  <c r="V321" i="3"/>
  <c r="U321" i="3" a="1"/>
  <c r="U321" i="3" s="1"/>
  <c r="T321" i="3" a="1"/>
  <c r="T321" i="3" s="1"/>
  <c r="S321" i="3" a="1"/>
  <c r="S321" i="3"/>
  <c r="R321" i="3" a="1"/>
  <c r="R321" i="3"/>
  <c r="Q321" i="3" a="1"/>
  <c r="Q321" i="3"/>
  <c r="P321" i="3" a="1"/>
  <c r="P321" i="3"/>
  <c r="O321" i="3" a="1"/>
  <c r="O321" i="3" s="1"/>
  <c r="N321" i="3" a="1"/>
  <c r="N321" i="3" s="1"/>
  <c r="M321" i="3" a="1"/>
  <c r="M321" i="3"/>
  <c r="L321" i="3" a="1"/>
  <c r="L321" i="3"/>
  <c r="K321" i="3" a="1"/>
  <c r="K321" i="3"/>
  <c r="J321" i="3" a="1"/>
  <c r="J321" i="3"/>
  <c r="I321" i="3" a="1"/>
  <c r="I321" i="3" s="1"/>
  <c r="H321" i="3" a="1"/>
  <c r="H321" i="3" s="1"/>
  <c r="G321" i="3" a="1"/>
  <c r="G321" i="3" s="1"/>
  <c r="F321" i="3" a="1"/>
  <c r="F321" i="3"/>
  <c r="E321" i="3" a="1"/>
  <c r="E321" i="3"/>
  <c r="D321" i="3" a="1"/>
  <c r="D321" i="3"/>
  <c r="C321" i="3" a="1"/>
  <c r="C321" i="3" s="1"/>
  <c r="A321" i="3"/>
  <c r="AD320" i="3" a="1"/>
  <c r="AD320" i="3"/>
  <c r="AC320" i="3" a="1"/>
  <c r="AC320" i="3" s="1"/>
  <c r="AB320" i="3" a="1"/>
  <c r="AB320" i="3" s="1"/>
  <c r="AA320" i="3" a="1"/>
  <c r="AA320" i="3"/>
  <c r="Z320" i="3" a="1"/>
  <c r="Z320" i="3"/>
  <c r="Y320" i="3" a="1"/>
  <c r="Y320" i="3" s="1"/>
  <c r="X320" i="3" a="1"/>
  <c r="X320" i="3"/>
  <c r="W320" i="3" a="1"/>
  <c r="W320" i="3" s="1"/>
  <c r="V320" i="3" a="1"/>
  <c r="V320" i="3" s="1"/>
  <c r="U320" i="3" a="1"/>
  <c r="U320" i="3"/>
  <c r="T320" i="3" a="1"/>
  <c r="T320" i="3"/>
  <c r="S320" i="3" a="1"/>
  <c r="S320" i="3" s="1"/>
  <c r="R320" i="3" a="1"/>
  <c r="R320" i="3"/>
  <c r="Q320" i="3" a="1"/>
  <c r="Q320" i="3" s="1"/>
  <c r="P320" i="3" a="1"/>
  <c r="P320" i="3" s="1"/>
  <c r="O320" i="3" a="1"/>
  <c r="O320" i="3"/>
  <c r="N320" i="3" a="1"/>
  <c r="N320" i="3"/>
  <c r="M320" i="3" a="1"/>
  <c r="M320" i="3" s="1"/>
  <c r="L320" i="3" a="1"/>
  <c r="L320" i="3"/>
  <c r="K320" i="3" a="1"/>
  <c r="K320" i="3" s="1"/>
  <c r="J320" i="3" a="1"/>
  <c r="J320" i="3" s="1"/>
  <c r="I320" i="3" a="1"/>
  <c r="I320" i="3"/>
  <c r="H320" i="3" a="1"/>
  <c r="H320" i="3"/>
  <c r="G320" i="3" a="1"/>
  <c r="G320" i="3" s="1"/>
  <c r="F320" i="3" a="1"/>
  <c r="F320" i="3"/>
  <c r="E320" i="3" a="1"/>
  <c r="E320" i="3" s="1"/>
  <c r="D320" i="3" a="1"/>
  <c r="D320" i="3" s="1"/>
  <c r="C320" i="3" a="1"/>
  <c r="C320" i="3"/>
  <c r="A320" i="3"/>
  <c r="AD319" i="3" a="1"/>
  <c r="AD319" i="3"/>
  <c r="AC319" i="3" a="1"/>
  <c r="AC319" i="3"/>
  <c r="AB319" i="3" a="1"/>
  <c r="AB319" i="3"/>
  <c r="AA319" i="3" a="1"/>
  <c r="AA319" i="3"/>
  <c r="Z319" i="3" a="1"/>
  <c r="Z319" i="3"/>
  <c r="Y319" i="3" a="1"/>
  <c r="Y319" i="3" s="1"/>
  <c r="X319" i="3" a="1"/>
  <c r="X319" i="3"/>
  <c r="W319" i="3" a="1"/>
  <c r="W319" i="3"/>
  <c r="V319" i="3" a="1"/>
  <c r="V319" i="3"/>
  <c r="U319" i="3" a="1"/>
  <c r="U319" i="3"/>
  <c r="T319" i="3" a="1"/>
  <c r="T319" i="3" s="1"/>
  <c r="S319" i="3" a="1"/>
  <c r="S319" i="3" s="1"/>
  <c r="R319" i="3" a="1"/>
  <c r="R319" i="3" s="1"/>
  <c r="Q319" i="3" a="1"/>
  <c r="Q319" i="3"/>
  <c r="P319" i="3" a="1"/>
  <c r="P319" i="3"/>
  <c r="O319" i="3" a="1"/>
  <c r="O319" i="3"/>
  <c r="N319" i="3" a="1"/>
  <c r="N319" i="3" s="1"/>
  <c r="M319" i="3" a="1"/>
  <c r="M319" i="3" s="1"/>
  <c r="L319" i="3" a="1"/>
  <c r="L319" i="3" s="1"/>
  <c r="K319" i="3" a="1"/>
  <c r="K319" i="3"/>
  <c r="J319" i="3" a="1"/>
  <c r="J319" i="3"/>
  <c r="I319" i="3" a="1"/>
  <c r="I319" i="3"/>
  <c r="A319" i="3"/>
  <c r="AD318" i="3" a="1"/>
  <c r="AD318" i="3" s="1"/>
  <c r="AC318" i="3" a="1"/>
  <c r="AC318" i="3"/>
  <c r="AB318" i="3" a="1"/>
  <c r="AB318" i="3" s="1"/>
  <c r="AA318" i="3" a="1"/>
  <c r="AA318" i="3" s="1"/>
  <c r="Z318" i="3" a="1"/>
  <c r="Z318" i="3"/>
  <c r="Y318" i="3" a="1"/>
  <c r="Y318" i="3"/>
  <c r="X318" i="3" a="1"/>
  <c r="X318" i="3" s="1"/>
  <c r="W318" i="3" a="1"/>
  <c r="W318" i="3"/>
  <c r="V318" i="3" a="1"/>
  <c r="V318" i="3" s="1"/>
  <c r="U318" i="3" a="1"/>
  <c r="U318" i="3" s="1"/>
  <c r="T318" i="3" a="1"/>
  <c r="T318" i="3"/>
  <c r="S318" i="3" a="1"/>
  <c r="S318" i="3"/>
  <c r="R318" i="3" a="1"/>
  <c r="R318" i="3" s="1"/>
  <c r="Q318" i="3" a="1"/>
  <c r="Q318" i="3"/>
  <c r="P318" i="3" a="1"/>
  <c r="P318" i="3" s="1"/>
  <c r="O318" i="3" a="1"/>
  <c r="O318" i="3" s="1"/>
  <c r="N318" i="3" a="1"/>
  <c r="N318" i="3"/>
  <c r="M318" i="3" a="1"/>
  <c r="M318" i="3"/>
  <c r="L318" i="3" a="1"/>
  <c r="L318" i="3" s="1"/>
  <c r="K318" i="3" a="1"/>
  <c r="K318" i="3"/>
  <c r="J318" i="3" a="1"/>
  <c r="J318" i="3" s="1"/>
  <c r="I318" i="3" a="1"/>
  <c r="I318" i="3" s="1"/>
  <c r="H318" i="3" a="1"/>
  <c r="H318" i="3"/>
  <c r="G318" i="3" a="1"/>
  <c r="G318" i="3"/>
  <c r="F318" i="3" a="1"/>
  <c r="F318" i="3" s="1"/>
  <c r="E318" i="3" a="1"/>
  <c r="E318" i="3"/>
  <c r="D318" i="3" a="1"/>
  <c r="D318" i="3" s="1"/>
  <c r="C318" i="3" a="1"/>
  <c r="C318" i="3" s="1"/>
  <c r="A318" i="3"/>
  <c r="AD317" i="3" a="1"/>
  <c r="AD317" i="3" s="1"/>
  <c r="AC317" i="3" a="1"/>
  <c r="AC317" i="3"/>
  <c r="AB317" i="3" a="1"/>
  <c r="AB317" i="3"/>
  <c r="AA317" i="3" a="1"/>
  <c r="AA317" i="3"/>
  <c r="Z317" i="3" a="1"/>
  <c r="Z317" i="3"/>
  <c r="Y317" i="3" a="1"/>
  <c r="Y317" i="3"/>
  <c r="X317" i="3" a="1"/>
  <c r="X317" i="3" s="1"/>
  <c r="W317" i="3" a="1"/>
  <c r="W317" i="3"/>
  <c r="V317" i="3" a="1"/>
  <c r="V317" i="3"/>
  <c r="U317" i="3" a="1"/>
  <c r="U317" i="3"/>
  <c r="T317" i="3" a="1"/>
  <c r="T317" i="3"/>
  <c r="S317" i="3" a="1"/>
  <c r="S317" i="3"/>
  <c r="R317" i="3" a="1"/>
  <c r="R317" i="3" s="1"/>
  <c r="Q317" i="3" a="1"/>
  <c r="Q317" i="3" s="1"/>
  <c r="P317" i="3" a="1"/>
  <c r="P317" i="3"/>
  <c r="O317" i="3" a="1"/>
  <c r="O317" i="3"/>
  <c r="N317" i="3" a="1"/>
  <c r="N317" i="3"/>
  <c r="M317" i="3" a="1"/>
  <c r="M317" i="3" s="1"/>
  <c r="L317" i="3" a="1"/>
  <c r="L317" i="3" s="1"/>
  <c r="K317" i="3" a="1"/>
  <c r="K317" i="3" s="1"/>
  <c r="J317" i="3" a="1"/>
  <c r="J317" i="3"/>
  <c r="I317" i="3" a="1"/>
  <c r="I317" i="3"/>
  <c r="H317" i="3" a="1"/>
  <c r="H317" i="3"/>
  <c r="G317" i="3" a="1"/>
  <c r="G317" i="3" s="1"/>
  <c r="F317" i="3" a="1"/>
  <c r="F317" i="3" s="1"/>
  <c r="E317" i="3" a="1"/>
  <c r="E317" i="3" s="1"/>
  <c r="D317" i="3" a="1"/>
  <c r="D317" i="3"/>
  <c r="C317" i="3" a="1"/>
  <c r="C317" i="3" s="1"/>
  <c r="B317" i="3" a="1"/>
  <c r="B317" i="3" s="1"/>
  <c r="A317" i="3"/>
  <c r="AD316" i="3" a="1"/>
  <c r="AD316" i="3"/>
  <c r="AC316" i="3" a="1"/>
  <c r="AC316" i="3" s="1"/>
  <c r="AB316" i="3" a="1"/>
  <c r="AB316" i="3"/>
  <c r="AA316" i="3" a="1"/>
  <c r="AA316" i="3" s="1"/>
  <c r="Z316" i="3" a="1"/>
  <c r="Z316" i="3" s="1"/>
  <c r="Y316" i="3" a="1"/>
  <c r="Y316" i="3"/>
  <c r="X316" i="3" a="1"/>
  <c r="X316" i="3"/>
  <c r="W316" i="3" a="1"/>
  <c r="W316" i="3" s="1"/>
  <c r="V316" i="3" a="1"/>
  <c r="V316" i="3"/>
  <c r="U316" i="3" a="1"/>
  <c r="U316" i="3" s="1"/>
  <c r="T316" i="3" a="1"/>
  <c r="T316" i="3" s="1"/>
  <c r="S316" i="3" a="1"/>
  <c r="S316" i="3"/>
  <c r="R316" i="3" a="1"/>
  <c r="R316" i="3"/>
  <c r="Q316" i="3" a="1"/>
  <c r="Q316" i="3" s="1"/>
  <c r="P316" i="3" a="1"/>
  <c r="P316" i="3"/>
  <c r="O316" i="3" a="1"/>
  <c r="O316" i="3" s="1"/>
  <c r="N316" i="3" a="1"/>
  <c r="N316" i="3" s="1"/>
  <c r="M316" i="3" a="1"/>
  <c r="M316" i="3"/>
  <c r="L316" i="3" a="1"/>
  <c r="L316" i="3"/>
  <c r="K316" i="3" a="1"/>
  <c r="K316" i="3" s="1"/>
  <c r="J316" i="3" a="1"/>
  <c r="J316" i="3"/>
  <c r="I316" i="3" a="1"/>
  <c r="I316" i="3" s="1"/>
  <c r="H316" i="3" a="1"/>
  <c r="H316" i="3" s="1"/>
  <c r="G316" i="3" a="1"/>
  <c r="G316" i="3"/>
  <c r="F316" i="3" a="1"/>
  <c r="F316" i="3"/>
  <c r="E316" i="3" a="1"/>
  <c r="E316" i="3" s="1"/>
  <c r="A316" i="3"/>
  <c r="AD315" i="3" a="1"/>
  <c r="AD315" i="3"/>
  <c r="AC315" i="3" a="1"/>
  <c r="AC315" i="3" s="1"/>
  <c r="AB315" i="3" a="1"/>
  <c r="AB315" i="3" s="1"/>
  <c r="AA315" i="3" a="1"/>
  <c r="AA315" i="3"/>
  <c r="Z315" i="3" a="1"/>
  <c r="Z315" i="3"/>
  <c r="Y315" i="3" a="1"/>
  <c r="Y315" i="3"/>
  <c r="X315" i="3" a="1"/>
  <c r="X315" i="3"/>
  <c r="W315" i="3" a="1"/>
  <c r="W315" i="3" s="1"/>
  <c r="V315" i="3" a="1"/>
  <c r="V315" i="3" s="1"/>
  <c r="U315" i="3" a="1"/>
  <c r="U315" i="3"/>
  <c r="T315" i="3" a="1"/>
  <c r="T315" i="3"/>
  <c r="S315" i="3" a="1"/>
  <c r="S315" i="3" s="1"/>
  <c r="R315" i="3" a="1"/>
  <c r="R315" i="3" s="1"/>
  <c r="Q315" i="3" a="1"/>
  <c r="Q315" i="3" s="1"/>
  <c r="P315" i="3" a="1"/>
  <c r="P315" i="3" s="1"/>
  <c r="O315" i="3" a="1"/>
  <c r="O315" i="3"/>
  <c r="N315" i="3" a="1"/>
  <c r="N315" i="3"/>
  <c r="M315" i="3" a="1"/>
  <c r="M315" i="3" s="1"/>
  <c r="L315" i="3" a="1"/>
  <c r="L315" i="3" s="1"/>
  <c r="K315" i="3" a="1"/>
  <c r="K315" i="3" s="1"/>
  <c r="J315" i="3" a="1"/>
  <c r="J315" i="3" s="1"/>
  <c r="I315" i="3" a="1"/>
  <c r="I315" i="3"/>
  <c r="H315" i="3" a="1"/>
  <c r="H315" i="3"/>
  <c r="G315" i="3" a="1"/>
  <c r="G315" i="3" s="1"/>
  <c r="F315" i="3" a="1"/>
  <c r="F315" i="3" s="1"/>
  <c r="A315" i="3"/>
  <c r="AD314" i="3" a="1"/>
  <c r="AD314" i="3"/>
  <c r="AC314" i="3" a="1"/>
  <c r="AC314" i="3"/>
  <c r="AB314" i="3" a="1"/>
  <c r="AB314" i="3" s="1"/>
  <c r="AA314" i="3" a="1"/>
  <c r="AA314" i="3"/>
  <c r="Z314" i="3" a="1"/>
  <c r="Z314" i="3" s="1"/>
  <c r="A314" i="3"/>
  <c r="AD313" i="3" a="1"/>
  <c r="AD313" i="3"/>
  <c r="AC313" i="3" a="1"/>
  <c r="AC313" i="3" s="1"/>
  <c r="AB313" i="3" a="1"/>
  <c r="AB313" i="3" s="1"/>
  <c r="AA313" i="3" a="1"/>
  <c r="AA313" i="3" s="1"/>
  <c r="Z313" i="3" a="1"/>
  <c r="Z313" i="3"/>
  <c r="Y313" i="3" a="1"/>
  <c r="Y313" i="3"/>
  <c r="X313" i="3" a="1"/>
  <c r="X313" i="3" s="1"/>
  <c r="W313" i="3" a="1"/>
  <c r="W313" i="3" s="1"/>
  <c r="V313" i="3" a="1"/>
  <c r="V313" i="3" s="1"/>
  <c r="U313" i="3" a="1"/>
  <c r="U313" i="3" s="1"/>
  <c r="T313" i="3" a="1"/>
  <c r="T313" i="3" s="1"/>
  <c r="S313" i="3" a="1"/>
  <c r="S313" i="3"/>
  <c r="R313" i="3" a="1"/>
  <c r="R313" i="3" s="1"/>
  <c r="Q313" i="3" a="1"/>
  <c r="Q313" i="3" s="1"/>
  <c r="P313" i="3" a="1"/>
  <c r="P313" i="3" s="1"/>
  <c r="O313" i="3" a="1"/>
  <c r="O313" i="3" s="1"/>
  <c r="N313" i="3" a="1"/>
  <c r="N313" i="3"/>
  <c r="M313" i="3" a="1"/>
  <c r="M313" i="3"/>
  <c r="L313" i="3" a="1"/>
  <c r="L313" i="3" s="1"/>
  <c r="K313" i="3" a="1"/>
  <c r="K313" i="3" s="1"/>
  <c r="J313" i="3" a="1"/>
  <c r="J313" i="3" s="1"/>
  <c r="I313" i="3" a="1"/>
  <c r="I313" i="3" s="1"/>
  <c r="H313" i="3" a="1"/>
  <c r="H313" i="3"/>
  <c r="G313" i="3" a="1"/>
  <c r="G313" i="3"/>
  <c r="F313" i="3" a="1"/>
  <c r="F313" i="3" s="1"/>
  <c r="E313" i="3" a="1"/>
  <c r="E313" i="3" s="1"/>
  <c r="D313" i="3" a="1"/>
  <c r="D313" i="3" s="1"/>
  <c r="C313" i="3" a="1"/>
  <c r="C313" i="3" s="1"/>
  <c r="A313" i="3"/>
  <c r="AD312" i="3" a="1"/>
  <c r="AD312" i="3" s="1"/>
  <c r="AC312" i="3" a="1"/>
  <c r="AC312" i="3"/>
  <c r="AB312" i="3" a="1"/>
  <c r="AB312" i="3"/>
  <c r="AA312" i="3" a="1"/>
  <c r="AA312" i="3" s="1"/>
  <c r="Z312" i="3" a="1"/>
  <c r="Z312" i="3"/>
  <c r="Y312" i="3" a="1"/>
  <c r="Y312" i="3" s="1"/>
  <c r="X312" i="3" a="1"/>
  <c r="X312" i="3" s="1"/>
  <c r="W312" i="3" a="1"/>
  <c r="W312" i="3"/>
  <c r="V312" i="3" a="1"/>
  <c r="V312" i="3"/>
  <c r="U312" i="3" a="1"/>
  <c r="U312" i="3" s="1"/>
  <c r="T312" i="3" a="1"/>
  <c r="T312" i="3"/>
  <c r="S312" i="3" a="1"/>
  <c r="S312" i="3" s="1"/>
  <c r="R312" i="3" a="1"/>
  <c r="R312" i="3" s="1"/>
  <c r="Q312" i="3" a="1"/>
  <c r="Q312" i="3"/>
  <c r="P312" i="3" a="1"/>
  <c r="P312" i="3"/>
  <c r="O312" i="3" a="1"/>
  <c r="O312" i="3" s="1"/>
  <c r="N312" i="3" a="1"/>
  <c r="N312" i="3"/>
  <c r="M312" i="3" a="1"/>
  <c r="M312" i="3" s="1"/>
  <c r="L312" i="3" a="1"/>
  <c r="L312" i="3" s="1"/>
  <c r="K312" i="3" a="1"/>
  <c r="K312" i="3"/>
  <c r="J312" i="3" a="1"/>
  <c r="J312" i="3"/>
  <c r="I312" i="3" a="1"/>
  <c r="I312" i="3" s="1"/>
  <c r="H312" i="3" a="1"/>
  <c r="H312" i="3"/>
  <c r="G312" i="3" a="1"/>
  <c r="G312" i="3" s="1"/>
  <c r="F312" i="3" a="1"/>
  <c r="F312" i="3" s="1"/>
  <c r="E312" i="3" a="1"/>
  <c r="E312" i="3"/>
  <c r="D312" i="3" a="1"/>
  <c r="D312" i="3" s="1"/>
  <c r="C312" i="3" a="1"/>
  <c r="C312" i="3" s="1"/>
  <c r="A312" i="3"/>
  <c r="AD311" i="3" a="1"/>
  <c r="AD311" i="3"/>
  <c r="AC311" i="3" a="1"/>
  <c r="AC311" i="3"/>
  <c r="AB311" i="3" a="1"/>
  <c r="AB311" i="3" s="1"/>
  <c r="AA311" i="3" a="1"/>
  <c r="AA311" i="3" s="1"/>
  <c r="Z311" i="3" a="1"/>
  <c r="Z311" i="3" s="1"/>
  <c r="Y311" i="3" a="1"/>
  <c r="Y311" i="3"/>
  <c r="X311" i="3" a="1"/>
  <c r="X311" i="3"/>
  <c r="W311" i="3" a="1"/>
  <c r="W311" i="3" s="1"/>
  <c r="V311" i="3" a="1"/>
  <c r="V311" i="3" s="1"/>
  <c r="U311" i="3" a="1"/>
  <c r="U311" i="3" s="1"/>
  <c r="T311" i="3" a="1"/>
  <c r="T311" i="3" s="1"/>
  <c r="S311" i="3" a="1"/>
  <c r="S311" i="3"/>
  <c r="R311" i="3" a="1"/>
  <c r="R311" i="3"/>
  <c r="Q311" i="3" a="1"/>
  <c r="Q311" i="3" s="1"/>
  <c r="P311" i="3" a="1"/>
  <c r="P311" i="3"/>
  <c r="O311" i="3" a="1"/>
  <c r="O311" i="3" s="1"/>
  <c r="N311" i="3" a="1"/>
  <c r="N311" i="3" s="1"/>
  <c r="M311" i="3" a="1"/>
  <c r="M311" i="3"/>
  <c r="L311" i="3" a="1"/>
  <c r="L311" i="3"/>
  <c r="K311" i="3" a="1"/>
  <c r="K311" i="3" s="1"/>
  <c r="J311" i="3" a="1"/>
  <c r="J311" i="3" s="1"/>
  <c r="I311" i="3" a="1"/>
  <c r="I311" i="3" s="1"/>
  <c r="H311" i="3" a="1"/>
  <c r="H311" i="3" s="1"/>
  <c r="G311" i="3" a="1"/>
  <c r="G311" i="3" s="1"/>
  <c r="F311" i="3" a="1"/>
  <c r="F311" i="3"/>
  <c r="A311" i="3"/>
  <c r="AD310" i="3" a="1"/>
  <c r="AD310" i="3" s="1"/>
  <c r="AC310" i="3" a="1"/>
  <c r="AC310" i="3" s="1"/>
  <c r="AB310" i="3" a="1"/>
  <c r="AB310" i="3"/>
  <c r="AA310" i="3" a="1"/>
  <c r="AA310" i="3"/>
  <c r="Z310" i="3" a="1"/>
  <c r="Z310" i="3" s="1"/>
  <c r="Y310" i="3" a="1"/>
  <c r="Y310" i="3"/>
  <c r="X310" i="3" a="1"/>
  <c r="X310" i="3"/>
  <c r="W310" i="3" a="1"/>
  <c r="W310" i="3" s="1"/>
  <c r="V310" i="3" a="1"/>
  <c r="V310" i="3"/>
  <c r="U310" i="3" a="1"/>
  <c r="U310" i="3"/>
  <c r="T310" i="3" a="1"/>
  <c r="T310" i="3" s="1"/>
  <c r="S310" i="3" a="1"/>
  <c r="S310" i="3"/>
  <c r="R310" i="3" a="1"/>
  <c r="R310" i="3" s="1"/>
  <c r="Q310" i="3" a="1"/>
  <c r="Q310" i="3" s="1"/>
  <c r="P310" i="3" a="1"/>
  <c r="P310" i="3"/>
  <c r="O310" i="3" a="1"/>
  <c r="O310" i="3"/>
  <c r="N310" i="3" a="1"/>
  <c r="N310" i="3" s="1"/>
  <c r="M310" i="3" a="1"/>
  <c r="M310" i="3"/>
  <c r="L310" i="3" a="1"/>
  <c r="L310" i="3" s="1"/>
  <c r="K310" i="3" a="1"/>
  <c r="K310" i="3" s="1"/>
  <c r="J310" i="3" a="1"/>
  <c r="J310" i="3"/>
  <c r="I310" i="3" a="1"/>
  <c r="I310" i="3"/>
  <c r="H310" i="3" a="1"/>
  <c r="H310" i="3" s="1"/>
  <c r="G310" i="3" a="1"/>
  <c r="G310" i="3"/>
  <c r="F310" i="3" a="1"/>
  <c r="F310" i="3" s="1"/>
  <c r="E310" i="3" a="1"/>
  <c r="E310" i="3" s="1"/>
  <c r="D310" i="3" a="1"/>
  <c r="D310" i="3"/>
  <c r="C310" i="3" a="1"/>
  <c r="C310" i="3" s="1"/>
  <c r="A310" i="3"/>
  <c r="AD309" i="3" a="1"/>
  <c r="AD309" i="3" s="1"/>
  <c r="AC309" i="3" a="1"/>
  <c r="AC309" i="3" s="1"/>
  <c r="AB309" i="3" a="1"/>
  <c r="AB309" i="3" s="1"/>
  <c r="AA309" i="3" a="1"/>
  <c r="AA309" i="3"/>
  <c r="Z309" i="3" a="1"/>
  <c r="Z309" i="3" s="1"/>
  <c r="Y309" i="3" a="1"/>
  <c r="Y309" i="3" s="1"/>
  <c r="X309" i="3" a="1"/>
  <c r="X309" i="3" s="1"/>
  <c r="W309" i="3" a="1"/>
  <c r="W309" i="3"/>
  <c r="V309" i="3" a="1"/>
  <c r="V309" i="3" s="1"/>
  <c r="U309" i="3" a="1"/>
  <c r="U309" i="3" s="1"/>
  <c r="T309" i="3" a="1"/>
  <c r="T309" i="3" s="1"/>
  <c r="S309" i="3" a="1"/>
  <c r="S309" i="3" s="1"/>
  <c r="R309" i="3" a="1"/>
  <c r="R309" i="3" s="1"/>
  <c r="Q309" i="3" a="1"/>
  <c r="Q309" i="3" s="1"/>
  <c r="P309" i="3" a="1"/>
  <c r="P309" i="3" s="1"/>
  <c r="O309" i="3" a="1"/>
  <c r="O309" i="3"/>
  <c r="N309" i="3" a="1"/>
  <c r="N309" i="3" s="1"/>
  <c r="M309" i="3" a="1"/>
  <c r="M309" i="3" s="1"/>
  <c r="L309" i="3" a="1"/>
  <c r="L309" i="3"/>
  <c r="K309" i="3" a="1"/>
  <c r="K309" i="3"/>
  <c r="J309" i="3" a="1"/>
  <c r="J309" i="3" s="1"/>
  <c r="I309" i="3" a="1"/>
  <c r="I309" i="3" s="1"/>
  <c r="H309" i="3" a="1"/>
  <c r="H309" i="3" s="1"/>
  <c r="G309" i="3" a="1"/>
  <c r="G309" i="3" s="1"/>
  <c r="F309" i="3" a="1"/>
  <c r="F309" i="3" s="1"/>
  <c r="E309" i="3" a="1"/>
  <c r="E309" i="3" s="1"/>
  <c r="D309" i="3" a="1"/>
  <c r="D309" i="3" s="1"/>
  <c r="A309" i="3"/>
  <c r="AD308" i="3" a="1"/>
  <c r="AD308" i="3"/>
  <c r="AC308" i="3" a="1"/>
  <c r="AC308" i="3"/>
  <c r="AB308" i="3" a="1"/>
  <c r="AB308" i="3"/>
  <c r="AA308" i="3" a="1"/>
  <c r="AA308" i="3"/>
  <c r="Z308" i="3" a="1"/>
  <c r="Z308" i="3"/>
  <c r="Y308" i="3" a="1"/>
  <c r="Y308" i="3" s="1"/>
  <c r="X308" i="3" a="1"/>
  <c r="X308" i="3"/>
  <c r="W308" i="3" a="1"/>
  <c r="W308" i="3"/>
  <c r="V308" i="3" a="1"/>
  <c r="V308" i="3" s="1"/>
  <c r="U308" i="3" a="1"/>
  <c r="U308" i="3"/>
  <c r="T308" i="3" a="1"/>
  <c r="T308" i="3" s="1"/>
  <c r="S308" i="3" a="1"/>
  <c r="S308" i="3" s="1"/>
  <c r="R308" i="3" a="1"/>
  <c r="R308" i="3"/>
  <c r="Q308" i="3" a="1"/>
  <c r="Q308" i="3" s="1"/>
  <c r="P308" i="3" a="1"/>
  <c r="P308" i="3"/>
  <c r="O308" i="3" a="1"/>
  <c r="O308" i="3"/>
  <c r="N308" i="3" a="1"/>
  <c r="N308" i="3"/>
  <c r="M308" i="3" a="1"/>
  <c r="M308" i="3" s="1"/>
  <c r="L308" i="3" a="1"/>
  <c r="L308" i="3"/>
  <c r="K308" i="3" a="1"/>
  <c r="K308" i="3" s="1"/>
  <c r="J308" i="3" a="1"/>
  <c r="J308" i="3"/>
  <c r="I308" i="3" a="1"/>
  <c r="I308" i="3"/>
  <c r="H308" i="3" a="1"/>
  <c r="H308" i="3" s="1"/>
  <c r="G308" i="3" a="1"/>
  <c r="G308" i="3" s="1"/>
  <c r="F308" i="3" a="1"/>
  <c r="F308" i="3"/>
  <c r="E308" i="3" a="1"/>
  <c r="E308" i="3"/>
  <c r="D308" i="3" a="1"/>
  <c r="D308" i="3" s="1"/>
  <c r="C308" i="3" a="1"/>
  <c r="C308" i="3"/>
  <c r="A308" i="3"/>
  <c r="AD307" i="3" a="1"/>
  <c r="AD307" i="3" s="1"/>
  <c r="AC307" i="3" a="1"/>
  <c r="AC307" i="3"/>
  <c r="AB307" i="3" a="1"/>
  <c r="AB307" i="3"/>
  <c r="AA307" i="3" a="1"/>
  <c r="AA307" i="3" s="1"/>
  <c r="Z307" i="3" a="1"/>
  <c r="Z307" i="3"/>
  <c r="Y307" i="3" a="1"/>
  <c r="Y307" i="3"/>
  <c r="X307" i="3" a="1"/>
  <c r="X307" i="3" s="1"/>
  <c r="W307" i="3" a="1"/>
  <c r="W307" i="3" s="1"/>
  <c r="V307" i="3" a="1"/>
  <c r="V307" i="3" s="1"/>
  <c r="U307" i="3" a="1"/>
  <c r="U307" i="3" s="1"/>
  <c r="T307" i="3" a="1"/>
  <c r="T307" i="3"/>
  <c r="S307" i="3" a="1"/>
  <c r="S307" i="3" s="1"/>
  <c r="R307" i="3" a="1"/>
  <c r="R307" i="3" s="1"/>
  <c r="Q307" i="3" a="1"/>
  <c r="Q307" i="3"/>
  <c r="P307" i="3" a="1"/>
  <c r="P307" i="3"/>
  <c r="O307" i="3" a="1"/>
  <c r="O307" i="3"/>
  <c r="N307" i="3" a="1"/>
  <c r="N307" i="3" s="1"/>
  <c r="M307" i="3" a="1"/>
  <c r="M307" i="3"/>
  <c r="L307" i="3" a="1"/>
  <c r="L307" i="3" s="1"/>
  <c r="K307" i="3" a="1"/>
  <c r="K307" i="3"/>
  <c r="J307" i="3" a="1"/>
  <c r="J307" i="3" s="1"/>
  <c r="I307" i="3" a="1"/>
  <c r="I307" i="3" s="1"/>
  <c r="H307" i="3" a="1"/>
  <c r="H307" i="3" s="1"/>
  <c r="G307" i="3" a="1"/>
  <c r="G307" i="3"/>
  <c r="A307" i="3"/>
  <c r="AD306" i="3" a="1"/>
  <c r="AD306" i="3" s="1"/>
  <c r="AC306" i="3" a="1"/>
  <c r="AC306" i="3"/>
  <c r="AB306" i="3" a="1"/>
  <c r="AB306" i="3" s="1"/>
  <c r="AA306" i="3" a="1"/>
  <c r="AA306" i="3" s="1"/>
  <c r="Z306" i="3" a="1"/>
  <c r="Z306" i="3" s="1"/>
  <c r="Y306" i="3" a="1"/>
  <c r="Y306" i="3" s="1"/>
  <c r="X306" i="3" a="1"/>
  <c r="X306" i="3" s="1"/>
  <c r="W306" i="3" a="1"/>
  <c r="W306" i="3"/>
  <c r="V306" i="3" a="1"/>
  <c r="V306" i="3"/>
  <c r="U306" i="3" a="1"/>
  <c r="U306" i="3"/>
  <c r="T306" i="3" a="1"/>
  <c r="T306" i="3"/>
  <c r="S306" i="3" a="1"/>
  <c r="S306" i="3"/>
  <c r="R306" i="3" a="1"/>
  <c r="R306" i="3" s="1"/>
  <c r="Q306" i="3" a="1"/>
  <c r="Q306" i="3"/>
  <c r="P306" i="3" a="1"/>
  <c r="P306" i="3"/>
  <c r="O306" i="3" a="1"/>
  <c r="O306" i="3" s="1"/>
  <c r="N306" i="3" a="1"/>
  <c r="N306" i="3" s="1"/>
  <c r="M306" i="3" a="1"/>
  <c r="M306" i="3" s="1"/>
  <c r="L306" i="3" a="1"/>
  <c r="L306" i="3" s="1"/>
  <c r="K306" i="3" a="1"/>
  <c r="K306" i="3"/>
  <c r="J306" i="3" a="1"/>
  <c r="J306" i="3" s="1"/>
  <c r="I306" i="3" a="1"/>
  <c r="I306" i="3"/>
  <c r="H306" i="3" a="1"/>
  <c r="H306" i="3"/>
  <c r="G306" i="3" a="1"/>
  <c r="G306" i="3"/>
  <c r="F306" i="3" a="1"/>
  <c r="F306" i="3" s="1"/>
  <c r="E306" i="3" a="1"/>
  <c r="E306" i="3"/>
  <c r="D306" i="3" a="1"/>
  <c r="D306" i="3" s="1"/>
  <c r="C306" i="3" a="1"/>
  <c r="C306" i="3"/>
  <c r="A306" i="3"/>
  <c r="AD305" i="3" a="1"/>
  <c r="AD305" i="3"/>
  <c r="AC305" i="3" a="1"/>
  <c r="AC305" i="3" s="1"/>
  <c r="AB305" i="3" a="1"/>
  <c r="AB305" i="3" s="1"/>
  <c r="AA305" i="3" a="1"/>
  <c r="AA305" i="3" s="1"/>
  <c r="Z305" i="3" a="1"/>
  <c r="Z305" i="3"/>
  <c r="Y305" i="3" a="1"/>
  <c r="Y305" i="3" s="1"/>
  <c r="X305" i="3" a="1"/>
  <c r="X305" i="3" s="1"/>
  <c r="W305" i="3" a="1"/>
  <c r="W305" i="3" s="1"/>
  <c r="V305" i="3" a="1"/>
  <c r="V305" i="3"/>
  <c r="U305" i="3" a="1"/>
  <c r="U305" i="3"/>
  <c r="T305" i="3" a="1"/>
  <c r="T305" i="3"/>
  <c r="S305" i="3" a="1"/>
  <c r="S305" i="3"/>
  <c r="R305" i="3" a="1"/>
  <c r="R305" i="3"/>
  <c r="Q305" i="3" a="1"/>
  <c r="Q305" i="3" s="1"/>
  <c r="P305" i="3" a="1"/>
  <c r="P305" i="3" s="1"/>
  <c r="O305" i="3" a="1"/>
  <c r="O305" i="3" s="1"/>
  <c r="N305" i="3" a="1"/>
  <c r="N305" i="3" s="1"/>
  <c r="M305" i="3" a="1"/>
  <c r="M305" i="3" s="1"/>
  <c r="L305" i="3" a="1"/>
  <c r="L305" i="3" s="1"/>
  <c r="K305" i="3" a="1"/>
  <c r="K305" i="3" s="1"/>
  <c r="J305" i="3" a="1"/>
  <c r="J305" i="3"/>
  <c r="I305" i="3" a="1"/>
  <c r="I305" i="3"/>
  <c r="H305" i="3" a="1"/>
  <c r="H305" i="3"/>
  <c r="G305" i="3" a="1"/>
  <c r="G305" i="3" s="1"/>
  <c r="F305" i="3" a="1"/>
  <c r="F305" i="3"/>
  <c r="E305" i="3" a="1"/>
  <c r="E305" i="3" s="1"/>
  <c r="D305" i="3" a="1"/>
  <c r="D305" i="3" s="1"/>
  <c r="C305" i="3" a="1"/>
  <c r="C305" i="3" s="1"/>
  <c r="B305" i="3" a="1"/>
  <c r="B305" i="3" s="1"/>
  <c r="A305" i="3"/>
  <c r="AD304" i="3" a="1"/>
  <c r="AD304" i="3" s="1"/>
  <c r="AC304" i="3" a="1"/>
  <c r="AC304" i="3" s="1"/>
  <c r="AB304" i="3" a="1"/>
  <c r="AB304" i="3"/>
  <c r="AA304" i="3" a="1"/>
  <c r="AA304" i="3" s="1"/>
  <c r="Z304" i="3" a="1"/>
  <c r="Z304" i="3" s="1"/>
  <c r="Y304" i="3" a="1"/>
  <c r="Y304" i="3" s="1"/>
  <c r="X304" i="3" a="1"/>
  <c r="X304" i="3" s="1"/>
  <c r="W304" i="3" a="1"/>
  <c r="W304" i="3" s="1"/>
  <c r="V304" i="3" a="1"/>
  <c r="V304" i="3"/>
  <c r="U304" i="3" a="1"/>
  <c r="U304" i="3"/>
  <c r="T304" i="3" a="1"/>
  <c r="T304" i="3"/>
  <c r="S304" i="3" a="1"/>
  <c r="S304" i="3"/>
  <c r="R304" i="3" a="1"/>
  <c r="R304" i="3"/>
  <c r="Q304" i="3" a="1"/>
  <c r="Q304" i="3" s="1"/>
  <c r="P304" i="3" a="1"/>
  <c r="P304" i="3"/>
  <c r="O304" i="3" a="1"/>
  <c r="O304" i="3" s="1"/>
  <c r="N304" i="3" a="1"/>
  <c r="N304" i="3" s="1"/>
  <c r="M304" i="3" a="1"/>
  <c r="M304" i="3" s="1"/>
  <c r="L304" i="3" a="1"/>
  <c r="L304" i="3" s="1"/>
  <c r="K304" i="3" a="1"/>
  <c r="K304" i="3" s="1"/>
  <c r="J304" i="3" a="1"/>
  <c r="J304" i="3"/>
  <c r="I304" i="3" a="1"/>
  <c r="I304" i="3"/>
  <c r="H304" i="3" a="1"/>
  <c r="H304" i="3"/>
  <c r="G304" i="3" a="1"/>
  <c r="G304" i="3"/>
  <c r="F304" i="3" a="1"/>
  <c r="F304" i="3"/>
  <c r="E304" i="3" a="1"/>
  <c r="E304" i="3" s="1"/>
  <c r="D304" i="3" a="1"/>
  <c r="D304" i="3"/>
  <c r="A304" i="3"/>
  <c r="AD303" i="3" a="1"/>
  <c r="AD303" i="3"/>
  <c r="AC303" i="3" a="1"/>
  <c r="AC303" i="3"/>
  <c r="AB303" i="3" a="1"/>
  <c r="AB303" i="3" s="1"/>
  <c r="AA303" i="3" a="1"/>
  <c r="AA303" i="3" s="1"/>
  <c r="Z303" i="3" a="1"/>
  <c r="Z303" i="3" s="1"/>
  <c r="Y303" i="3" a="1"/>
  <c r="Y303" i="3" s="1"/>
  <c r="X303" i="3" a="1"/>
  <c r="X303" i="3" s="1"/>
  <c r="W303" i="3" a="1"/>
  <c r="W303" i="3" s="1"/>
  <c r="V303" i="3" a="1"/>
  <c r="V303" i="3" s="1"/>
  <c r="U303" i="3" a="1"/>
  <c r="U303" i="3"/>
  <c r="T303" i="3" a="1"/>
  <c r="T303" i="3"/>
  <c r="S303" i="3" a="1"/>
  <c r="S303" i="3"/>
  <c r="R303" i="3" a="1"/>
  <c r="R303" i="3"/>
  <c r="Q303" i="3" a="1"/>
  <c r="Q303" i="3"/>
  <c r="P303" i="3" a="1"/>
  <c r="P303" i="3" s="1"/>
  <c r="O303" i="3" a="1"/>
  <c r="O303" i="3" s="1"/>
  <c r="N303" i="3" a="1"/>
  <c r="N303" i="3" s="1"/>
  <c r="M303" i="3" a="1"/>
  <c r="M303" i="3" s="1"/>
  <c r="L303" i="3" a="1"/>
  <c r="L303" i="3" s="1"/>
  <c r="K303" i="3" a="1"/>
  <c r="K303" i="3" s="1"/>
  <c r="J303" i="3" a="1"/>
  <c r="J303" i="3" s="1"/>
  <c r="I303" i="3" a="1"/>
  <c r="I303" i="3"/>
  <c r="H303" i="3" a="1"/>
  <c r="H303" i="3"/>
  <c r="G303" i="3" a="1"/>
  <c r="G303" i="3"/>
  <c r="F303" i="3" a="1"/>
  <c r="F303" i="3"/>
  <c r="E303" i="3" a="1"/>
  <c r="E303" i="3"/>
  <c r="D303" i="3" a="1"/>
  <c r="D303" i="3" s="1"/>
  <c r="C303" i="3" a="1"/>
  <c r="C303" i="3" s="1"/>
  <c r="A303" i="3"/>
  <c r="AD302" i="3" a="1"/>
  <c r="AD302" i="3"/>
  <c r="AC302" i="3" a="1"/>
  <c r="AC302" i="3"/>
  <c r="AB302" i="3" a="1"/>
  <c r="AB302" i="3" s="1"/>
  <c r="AA302" i="3" a="1"/>
  <c r="AA302" i="3"/>
  <c r="Z302" i="3" a="1"/>
  <c r="Z302" i="3" s="1"/>
  <c r="Y302" i="3" a="1"/>
  <c r="Y302" i="3" s="1"/>
  <c r="X302" i="3" a="1"/>
  <c r="X302" i="3" s="1"/>
  <c r="W302" i="3" a="1"/>
  <c r="W302" i="3" s="1"/>
  <c r="V302" i="3" a="1"/>
  <c r="V302" i="3" s="1"/>
  <c r="U302" i="3" a="1"/>
  <c r="U302" i="3"/>
  <c r="T302" i="3" a="1"/>
  <c r="T302" i="3"/>
  <c r="S302" i="3" a="1"/>
  <c r="S302" i="3"/>
  <c r="R302" i="3" a="1"/>
  <c r="R302" i="3"/>
  <c r="Q302" i="3" a="1"/>
  <c r="Q302" i="3"/>
  <c r="P302" i="3" a="1"/>
  <c r="P302" i="3" s="1"/>
  <c r="O302" i="3" a="1"/>
  <c r="O302" i="3"/>
  <c r="N302" i="3" a="1"/>
  <c r="N302" i="3" s="1"/>
  <c r="M302" i="3" a="1"/>
  <c r="M302" i="3" s="1"/>
  <c r="L302" i="3" a="1"/>
  <c r="L302" i="3" s="1"/>
  <c r="K302" i="3" a="1"/>
  <c r="K302" i="3" s="1"/>
  <c r="J302" i="3" a="1"/>
  <c r="J302" i="3" s="1"/>
  <c r="I302" i="3" a="1"/>
  <c r="I302" i="3"/>
  <c r="H302" i="3" a="1"/>
  <c r="H302" i="3"/>
  <c r="G302" i="3" a="1"/>
  <c r="G302" i="3"/>
  <c r="F302" i="3" a="1"/>
  <c r="F302" i="3"/>
  <c r="E302" i="3" a="1"/>
  <c r="E302" i="3"/>
  <c r="D302" i="3" a="1"/>
  <c r="D302" i="3" s="1"/>
  <c r="C302" i="3" a="1"/>
  <c r="C302" i="3"/>
  <c r="A302" i="3"/>
  <c r="AD301" i="3" a="1"/>
  <c r="AD301" i="3"/>
  <c r="AC301" i="3" a="1"/>
  <c r="AC301" i="3"/>
  <c r="AB301" i="3" a="1"/>
  <c r="AB301" i="3"/>
  <c r="AA301" i="3" a="1"/>
  <c r="AA301" i="3" s="1"/>
  <c r="Z301" i="3" a="1"/>
  <c r="Z301" i="3" s="1"/>
  <c r="Y301" i="3" a="1"/>
  <c r="Y301" i="3" s="1"/>
  <c r="X301" i="3" a="1"/>
  <c r="X301" i="3" s="1"/>
  <c r="W301" i="3" a="1"/>
  <c r="W301" i="3" s="1"/>
  <c r="V301" i="3" a="1"/>
  <c r="V301" i="3" s="1"/>
  <c r="U301" i="3" a="1"/>
  <c r="U301" i="3" s="1"/>
  <c r="T301" i="3" a="1"/>
  <c r="T301" i="3"/>
  <c r="S301" i="3" a="1"/>
  <c r="S301" i="3"/>
  <c r="R301" i="3" a="1"/>
  <c r="R301" i="3"/>
  <c r="Q301" i="3" a="1"/>
  <c r="Q301" i="3"/>
  <c r="P301" i="3" a="1"/>
  <c r="P301" i="3"/>
  <c r="O301" i="3" a="1"/>
  <c r="O301" i="3" s="1"/>
  <c r="N301" i="3" a="1"/>
  <c r="N301" i="3" s="1"/>
  <c r="M301" i="3" a="1"/>
  <c r="M301" i="3" s="1"/>
  <c r="L301" i="3" a="1"/>
  <c r="L301" i="3" s="1"/>
  <c r="K301" i="3" a="1"/>
  <c r="K301" i="3" s="1"/>
  <c r="J301" i="3" a="1"/>
  <c r="J301" i="3" s="1"/>
  <c r="I301" i="3" a="1"/>
  <c r="I301" i="3" s="1"/>
  <c r="H301" i="3" a="1"/>
  <c r="H301" i="3"/>
  <c r="G301" i="3" a="1"/>
  <c r="G301" i="3"/>
  <c r="F301" i="3" a="1"/>
  <c r="F301" i="3"/>
  <c r="E301" i="3" a="1"/>
  <c r="E301" i="3"/>
  <c r="D301" i="3" a="1"/>
  <c r="D301" i="3"/>
  <c r="C301" i="3" a="1"/>
  <c r="C301" i="3" s="1"/>
  <c r="A301" i="3"/>
  <c r="AD300" i="3" a="1"/>
  <c r="AD300" i="3"/>
  <c r="AC300" i="3" a="1"/>
  <c r="AC300" i="3"/>
  <c r="AB300" i="3" a="1"/>
  <c r="AB300" i="3"/>
  <c r="AA300" i="3" a="1"/>
  <c r="AA300" i="3" s="1"/>
  <c r="Z300" i="3" a="1"/>
  <c r="Z300" i="3"/>
  <c r="Y300" i="3" a="1"/>
  <c r="Y300" i="3" s="1"/>
  <c r="X300" i="3" a="1"/>
  <c r="X300" i="3" s="1"/>
  <c r="W300" i="3" a="1"/>
  <c r="W300" i="3" s="1"/>
  <c r="V300" i="3" a="1"/>
  <c r="V300" i="3" s="1"/>
  <c r="U300" i="3" a="1"/>
  <c r="U300" i="3" s="1"/>
  <c r="T300" i="3" a="1"/>
  <c r="T300" i="3"/>
  <c r="S300" i="3" a="1"/>
  <c r="S300" i="3"/>
  <c r="R300" i="3" a="1"/>
  <c r="R300" i="3"/>
  <c r="Q300" i="3" a="1"/>
  <c r="Q300" i="3"/>
  <c r="P300" i="3" a="1"/>
  <c r="P300" i="3"/>
  <c r="O300" i="3" a="1"/>
  <c r="O300" i="3" s="1"/>
  <c r="N300" i="3" a="1"/>
  <c r="N300" i="3"/>
  <c r="M300" i="3" a="1"/>
  <c r="M300" i="3" s="1"/>
  <c r="L300" i="3" a="1"/>
  <c r="L300" i="3" s="1"/>
  <c r="K300" i="3" a="1"/>
  <c r="K300" i="3" s="1"/>
  <c r="J300" i="3" a="1"/>
  <c r="J300" i="3" s="1"/>
  <c r="I300" i="3" a="1"/>
  <c r="I300" i="3" s="1"/>
  <c r="H300" i="3" a="1"/>
  <c r="H300" i="3"/>
  <c r="G300" i="3" a="1"/>
  <c r="G300" i="3"/>
  <c r="F300" i="3" a="1"/>
  <c r="F300" i="3"/>
  <c r="E300" i="3" a="1"/>
  <c r="E300" i="3"/>
  <c r="A300" i="3"/>
  <c r="AD299" i="3" a="1"/>
  <c r="AD299" i="3" s="1"/>
  <c r="AC299" i="3" a="1"/>
  <c r="AC299" i="3" s="1"/>
  <c r="AB299" i="3" a="1"/>
  <c r="AB299" i="3" s="1"/>
  <c r="AA299" i="3" a="1"/>
  <c r="AA299" i="3" s="1"/>
  <c r="Z299" i="3" a="1"/>
  <c r="Z299" i="3" s="1"/>
  <c r="Y299" i="3" a="1"/>
  <c r="Y299" i="3"/>
  <c r="X299" i="3" a="1"/>
  <c r="X299" i="3"/>
  <c r="W299" i="3" a="1"/>
  <c r="W299" i="3"/>
  <c r="V299" i="3" a="1"/>
  <c r="V299" i="3"/>
  <c r="U299" i="3" a="1"/>
  <c r="U299" i="3"/>
  <c r="T299" i="3" a="1"/>
  <c r="T299" i="3" s="1"/>
  <c r="S299" i="3" a="1"/>
  <c r="S299" i="3" s="1"/>
  <c r="R299" i="3" a="1"/>
  <c r="R299" i="3" s="1"/>
  <c r="Q299" i="3" a="1"/>
  <c r="Q299" i="3" s="1"/>
  <c r="P299" i="3" a="1"/>
  <c r="P299" i="3" s="1"/>
  <c r="O299" i="3" a="1"/>
  <c r="O299" i="3" s="1"/>
  <c r="N299" i="3" a="1"/>
  <c r="N299" i="3" s="1"/>
  <c r="M299" i="3" a="1"/>
  <c r="M299" i="3"/>
  <c r="L299" i="3" a="1"/>
  <c r="L299" i="3"/>
  <c r="K299" i="3" a="1"/>
  <c r="K299" i="3"/>
  <c r="J299" i="3" a="1"/>
  <c r="J299" i="3"/>
  <c r="I299" i="3" a="1"/>
  <c r="I299" i="3"/>
  <c r="H299" i="3" a="1"/>
  <c r="H299" i="3" s="1"/>
  <c r="G299" i="3" a="1"/>
  <c r="G299" i="3" s="1"/>
  <c r="F299" i="3" a="1"/>
  <c r="F299" i="3" s="1"/>
  <c r="E299" i="3" a="1"/>
  <c r="E299" i="3" s="1"/>
  <c r="A299" i="3"/>
  <c r="AD298" i="3" a="1"/>
  <c r="AD298" i="3" s="1"/>
  <c r="AC298" i="3" a="1"/>
  <c r="AC298" i="3" s="1"/>
  <c r="AB298" i="3" a="1"/>
  <c r="AB298" i="3" s="1"/>
  <c r="AA298" i="3" a="1"/>
  <c r="AA298" i="3" s="1"/>
  <c r="Z298" i="3" a="1"/>
  <c r="Z298" i="3" s="1"/>
  <c r="Y298" i="3" a="1"/>
  <c r="Y298" i="3"/>
  <c r="X298" i="3" a="1"/>
  <c r="X298" i="3" s="1"/>
  <c r="W298" i="3" a="1"/>
  <c r="W298" i="3" s="1"/>
  <c r="V298" i="3" a="1"/>
  <c r="V298" i="3" s="1"/>
  <c r="U298" i="3" a="1"/>
  <c r="U298" i="3" s="1"/>
  <c r="T298" i="3" a="1"/>
  <c r="T298" i="3" s="1"/>
  <c r="S298" i="3" a="1"/>
  <c r="S298" i="3"/>
  <c r="R298" i="3" a="1"/>
  <c r="R298" i="3" s="1"/>
  <c r="Q298" i="3" a="1"/>
  <c r="Q298" i="3" s="1"/>
  <c r="P298" i="3" a="1"/>
  <c r="P298" i="3" s="1"/>
  <c r="O298" i="3" a="1"/>
  <c r="O298" i="3" s="1"/>
  <c r="N298" i="3" a="1"/>
  <c r="N298" i="3" s="1"/>
  <c r="M298" i="3" a="1"/>
  <c r="M298" i="3"/>
  <c r="L298" i="3" a="1"/>
  <c r="L298" i="3" s="1"/>
  <c r="K298" i="3" a="1"/>
  <c r="K298" i="3" s="1"/>
  <c r="J298" i="3" a="1"/>
  <c r="J298" i="3" s="1"/>
  <c r="I298" i="3" a="1"/>
  <c r="I298" i="3" s="1"/>
  <c r="H298" i="3" a="1"/>
  <c r="H298" i="3" s="1"/>
  <c r="G298" i="3" a="1"/>
  <c r="G298" i="3"/>
  <c r="F298" i="3" a="1"/>
  <c r="F298" i="3" s="1"/>
  <c r="E298" i="3" a="1"/>
  <c r="E298" i="3" s="1"/>
  <c r="A298" i="3"/>
  <c r="AD297" i="3" a="1"/>
  <c r="AD297" i="3"/>
  <c r="AC297" i="3" a="1"/>
  <c r="AC297" i="3"/>
  <c r="AB297" i="3" a="1"/>
  <c r="AB297" i="3"/>
  <c r="AA297" i="3" a="1"/>
  <c r="AA297" i="3"/>
  <c r="Z297" i="3" a="1"/>
  <c r="Z297" i="3"/>
  <c r="Y297" i="3" a="1"/>
  <c r="Y297" i="3" s="1"/>
  <c r="X297" i="3" a="1"/>
  <c r="X297" i="3" s="1"/>
  <c r="W297" i="3" a="1"/>
  <c r="W297" i="3" s="1"/>
  <c r="V297" i="3" a="1"/>
  <c r="V297" i="3" s="1"/>
  <c r="U297" i="3" a="1"/>
  <c r="U297" i="3" s="1"/>
  <c r="T297" i="3" a="1"/>
  <c r="T297" i="3" s="1"/>
  <c r="S297" i="3" a="1"/>
  <c r="S297" i="3" s="1"/>
  <c r="R297" i="3" a="1"/>
  <c r="R297" i="3"/>
  <c r="Q297" i="3" a="1"/>
  <c r="Q297" i="3"/>
  <c r="P297" i="3" a="1"/>
  <c r="P297" i="3"/>
  <c r="O297" i="3" a="1"/>
  <c r="O297" i="3"/>
  <c r="N297" i="3" a="1"/>
  <c r="N297" i="3"/>
  <c r="M297" i="3" a="1"/>
  <c r="M297" i="3" s="1"/>
  <c r="L297" i="3" a="1"/>
  <c r="L297" i="3" s="1"/>
  <c r="K297" i="3" a="1"/>
  <c r="K297" i="3" s="1"/>
  <c r="J297" i="3" a="1"/>
  <c r="J297" i="3" s="1"/>
  <c r="I297" i="3" a="1"/>
  <c r="I297" i="3" s="1"/>
  <c r="H297" i="3" a="1"/>
  <c r="H297" i="3" s="1"/>
  <c r="G297" i="3" a="1"/>
  <c r="G297" i="3" s="1"/>
  <c r="F297" i="3" a="1"/>
  <c r="F297" i="3"/>
  <c r="E297" i="3" a="1"/>
  <c r="E297" i="3"/>
  <c r="D297" i="3" a="1"/>
  <c r="D297" i="3"/>
  <c r="C297" i="3" a="1"/>
  <c r="C297" i="3"/>
  <c r="A297" i="3"/>
  <c r="AD296" i="3" a="1"/>
  <c r="AD296" i="3"/>
  <c r="AC296" i="3" a="1"/>
  <c r="AC296" i="3" s="1"/>
  <c r="AB296" i="3" a="1"/>
  <c r="AB296" i="3" s="1"/>
  <c r="AA296" i="3" a="1"/>
  <c r="AA296" i="3" s="1"/>
  <c r="Z296" i="3" a="1"/>
  <c r="Z296" i="3" s="1"/>
  <c r="Y296" i="3" a="1"/>
  <c r="Y296" i="3" s="1"/>
  <c r="X296" i="3" a="1"/>
  <c r="X296" i="3"/>
  <c r="W296" i="3" a="1"/>
  <c r="W296" i="3" s="1"/>
  <c r="V296" i="3" a="1"/>
  <c r="V296" i="3" s="1"/>
  <c r="U296" i="3" a="1"/>
  <c r="U296" i="3" s="1"/>
  <c r="T296" i="3" a="1"/>
  <c r="T296" i="3" s="1"/>
  <c r="S296" i="3" a="1"/>
  <c r="S296" i="3" s="1"/>
  <c r="R296" i="3" a="1"/>
  <c r="R296" i="3"/>
  <c r="Q296" i="3" a="1"/>
  <c r="Q296" i="3" s="1"/>
  <c r="P296" i="3" a="1"/>
  <c r="P296" i="3" s="1"/>
  <c r="O296" i="3" a="1"/>
  <c r="O296" i="3" s="1"/>
  <c r="N296" i="3" a="1"/>
  <c r="N296" i="3" s="1"/>
  <c r="M296" i="3" a="1"/>
  <c r="M296" i="3" s="1"/>
  <c r="L296" i="3" a="1"/>
  <c r="L296" i="3"/>
  <c r="K296" i="3" a="1"/>
  <c r="K296" i="3" s="1"/>
  <c r="J296" i="3" a="1"/>
  <c r="J296" i="3" s="1"/>
  <c r="I296" i="3" a="1"/>
  <c r="I296" i="3" s="1"/>
  <c r="H296" i="3" a="1"/>
  <c r="H296" i="3" s="1"/>
  <c r="G296" i="3" a="1"/>
  <c r="G296" i="3" s="1"/>
  <c r="F296" i="3" a="1"/>
  <c r="F296" i="3" s="1"/>
  <c r="E296" i="3" a="1"/>
  <c r="E296" i="3" s="1"/>
  <c r="D296" i="3" a="1"/>
  <c r="D296" i="3" s="1"/>
  <c r="A296" i="3"/>
  <c r="AD295" i="3" a="1"/>
  <c r="AD295" i="3"/>
  <c r="AC295" i="3" a="1"/>
  <c r="AC295" i="3"/>
  <c r="AB295" i="3" a="1"/>
  <c r="AB295" i="3"/>
  <c r="AA295" i="3" a="1"/>
  <c r="AA295" i="3"/>
  <c r="Z295" i="3" a="1"/>
  <c r="Z295" i="3"/>
  <c r="Y295" i="3" a="1"/>
  <c r="Y295" i="3"/>
  <c r="X295" i="3" a="1"/>
  <c r="X295" i="3"/>
  <c r="W295" i="3" a="1"/>
  <c r="W295" i="3"/>
  <c r="V295" i="3" a="1"/>
  <c r="V295" i="3"/>
  <c r="U295" i="3" a="1"/>
  <c r="U295" i="3"/>
  <c r="T295" i="3" a="1"/>
  <c r="T295" i="3"/>
  <c r="S295" i="3" a="1"/>
  <c r="S295" i="3"/>
  <c r="R295" i="3" a="1"/>
  <c r="R295" i="3"/>
  <c r="Q295" i="3" a="1"/>
  <c r="Q295" i="3"/>
  <c r="P295" i="3" a="1"/>
  <c r="P295" i="3"/>
  <c r="O295" i="3" a="1"/>
  <c r="O295" i="3"/>
  <c r="N295" i="3" a="1"/>
  <c r="N295" i="3"/>
  <c r="M295" i="3" a="1"/>
  <c r="M295" i="3"/>
  <c r="L295" i="3" a="1"/>
  <c r="L295" i="3"/>
  <c r="K295" i="3" a="1"/>
  <c r="K295" i="3"/>
  <c r="J295" i="3" a="1"/>
  <c r="J295" i="3"/>
  <c r="I295" i="3" a="1"/>
  <c r="I295" i="3"/>
  <c r="H295" i="3" a="1"/>
  <c r="H295" i="3"/>
  <c r="G295" i="3" a="1"/>
  <c r="G295" i="3"/>
  <c r="F295" i="3" a="1"/>
  <c r="F295" i="3"/>
  <c r="E295" i="3" a="1"/>
  <c r="E295" i="3"/>
  <c r="D295" i="3" a="1"/>
  <c r="D295" i="3"/>
  <c r="C295" i="3" a="1"/>
  <c r="C295" i="3"/>
  <c r="A295" i="3"/>
  <c r="AD294" i="3" a="1"/>
  <c r="AD294" i="3" s="1"/>
  <c r="AC294" i="3" a="1"/>
  <c r="AC294" i="3" s="1"/>
  <c r="AB294" i="3" a="1"/>
  <c r="AB294" i="3" s="1"/>
  <c r="AA294" i="3" a="1"/>
  <c r="AA294" i="3" s="1"/>
  <c r="Z294" i="3" a="1"/>
  <c r="Z294" i="3" s="1"/>
  <c r="Y294" i="3" a="1"/>
  <c r="Y294" i="3" s="1"/>
  <c r="X294" i="3" a="1"/>
  <c r="X294" i="3" s="1"/>
  <c r="W294" i="3" a="1"/>
  <c r="W294" i="3" s="1"/>
  <c r="V294" i="3" a="1"/>
  <c r="V294" i="3" s="1"/>
  <c r="U294" i="3" a="1"/>
  <c r="U294" i="3" s="1"/>
  <c r="T294" i="3" a="1"/>
  <c r="T294" i="3" s="1"/>
  <c r="S294" i="3" a="1"/>
  <c r="S294" i="3" s="1"/>
  <c r="R294" i="3" a="1"/>
  <c r="R294" i="3" s="1"/>
  <c r="Q294" i="3" a="1"/>
  <c r="Q294" i="3" s="1"/>
  <c r="P294" i="3" a="1"/>
  <c r="P294" i="3" s="1"/>
  <c r="O294" i="3" a="1"/>
  <c r="O294" i="3" s="1"/>
  <c r="N294" i="3" a="1"/>
  <c r="N294" i="3" s="1"/>
  <c r="M294" i="3" a="1"/>
  <c r="M294" i="3" s="1"/>
  <c r="L294" i="3" a="1"/>
  <c r="L294" i="3" s="1"/>
  <c r="K294" i="3" a="1"/>
  <c r="K294" i="3" s="1"/>
  <c r="J294" i="3" a="1"/>
  <c r="J294" i="3" s="1"/>
  <c r="I294" i="3" a="1"/>
  <c r="I294" i="3" s="1"/>
  <c r="H294" i="3" a="1"/>
  <c r="H294" i="3" s="1"/>
  <c r="G294" i="3" a="1"/>
  <c r="G294" i="3" s="1"/>
  <c r="F294" i="3" a="1"/>
  <c r="F294" i="3" s="1"/>
  <c r="E294" i="3" a="1"/>
  <c r="E294" i="3" s="1"/>
  <c r="A294" i="3"/>
  <c r="AD293" i="3" a="1"/>
  <c r="AD293" i="3"/>
  <c r="AC293" i="3" a="1"/>
  <c r="AC293" i="3"/>
  <c r="AB293" i="3" a="1"/>
  <c r="AB293" i="3"/>
  <c r="AA293" i="3" a="1"/>
  <c r="AA293" i="3"/>
  <c r="Z293" i="3" a="1"/>
  <c r="Z293" i="3"/>
  <c r="Y293" i="3" a="1"/>
  <c r="Y293" i="3"/>
  <c r="X293" i="3" a="1"/>
  <c r="X293" i="3"/>
  <c r="W293" i="3" a="1"/>
  <c r="W293" i="3"/>
  <c r="V293" i="3" a="1"/>
  <c r="V293" i="3"/>
  <c r="U293" i="3" a="1"/>
  <c r="U293" i="3"/>
  <c r="T293" i="3" a="1"/>
  <c r="T293" i="3"/>
  <c r="S293" i="3" a="1"/>
  <c r="S293" i="3"/>
  <c r="R293" i="3" a="1"/>
  <c r="R293" i="3"/>
  <c r="Q293" i="3" a="1"/>
  <c r="Q293" i="3"/>
  <c r="P293" i="3" a="1"/>
  <c r="P293" i="3"/>
  <c r="O293" i="3" a="1"/>
  <c r="O293" i="3"/>
  <c r="N293" i="3" a="1"/>
  <c r="N293" i="3"/>
  <c r="M293" i="3" a="1"/>
  <c r="M293" i="3"/>
  <c r="L293" i="3" a="1"/>
  <c r="L293" i="3"/>
  <c r="K293" i="3" a="1"/>
  <c r="K293" i="3"/>
  <c r="J293" i="3" a="1"/>
  <c r="J293" i="3"/>
  <c r="I293" i="3" a="1"/>
  <c r="I293" i="3"/>
  <c r="H293" i="3" a="1"/>
  <c r="H293" i="3"/>
  <c r="G293" i="3" a="1"/>
  <c r="G293" i="3"/>
  <c r="F293" i="3" a="1"/>
  <c r="F293" i="3"/>
  <c r="E293" i="3" a="1"/>
  <c r="E293" i="3"/>
  <c r="D293" i="3" a="1"/>
  <c r="D293" i="3"/>
  <c r="C293" i="3" a="1"/>
  <c r="C293" i="3"/>
  <c r="A293" i="3"/>
  <c r="AD292" i="3" a="1"/>
  <c r="AD292" i="3" s="1"/>
  <c r="AC292" i="3" a="1"/>
  <c r="AC292" i="3" s="1"/>
  <c r="AB292" i="3" a="1"/>
  <c r="AB292" i="3"/>
  <c r="AA292" i="3" a="1"/>
  <c r="AA292" i="3" s="1"/>
  <c r="Z292" i="3" a="1"/>
  <c r="Z292" i="3" s="1"/>
  <c r="Y292" i="3" a="1"/>
  <c r="Y292" i="3" s="1"/>
  <c r="X292" i="3" a="1"/>
  <c r="X292" i="3" s="1"/>
  <c r="W292" i="3" a="1"/>
  <c r="W292" i="3" s="1"/>
  <c r="V292" i="3" a="1"/>
  <c r="V292" i="3" s="1"/>
  <c r="U292" i="3" a="1"/>
  <c r="U292" i="3" s="1"/>
  <c r="T292" i="3" a="1"/>
  <c r="T292" i="3" s="1"/>
  <c r="S292" i="3" a="1"/>
  <c r="S292" i="3" s="1"/>
  <c r="R292" i="3" a="1"/>
  <c r="R292" i="3" s="1"/>
  <c r="Q292" i="3" a="1"/>
  <c r="Q292" i="3" s="1"/>
  <c r="P292" i="3" a="1"/>
  <c r="P292" i="3" s="1"/>
  <c r="O292" i="3" a="1"/>
  <c r="O292" i="3" s="1"/>
  <c r="N292" i="3" a="1"/>
  <c r="N292" i="3" s="1"/>
  <c r="M292" i="3" a="1"/>
  <c r="M292" i="3" s="1"/>
  <c r="L292" i="3" a="1"/>
  <c r="L292" i="3" s="1"/>
  <c r="K292" i="3" a="1"/>
  <c r="K292" i="3" s="1"/>
  <c r="J292" i="3" a="1"/>
  <c r="J292" i="3" s="1"/>
  <c r="I292" i="3" a="1"/>
  <c r="I292" i="3" s="1"/>
  <c r="H292" i="3" a="1"/>
  <c r="H292" i="3" s="1"/>
  <c r="G292" i="3" a="1"/>
  <c r="G292" i="3" s="1"/>
  <c r="F292" i="3" a="1"/>
  <c r="F292" i="3" s="1"/>
  <c r="E292" i="3" a="1"/>
  <c r="E292" i="3" s="1"/>
  <c r="D292" i="3" a="1"/>
  <c r="D292" i="3" s="1"/>
  <c r="A292" i="3"/>
  <c r="AD291" i="3" a="1"/>
  <c r="AD291" i="3"/>
  <c r="AC291" i="3" a="1"/>
  <c r="AC291" i="3"/>
  <c r="AB291" i="3" a="1"/>
  <c r="AB291" i="3"/>
  <c r="AA291" i="3" a="1"/>
  <c r="AA291" i="3"/>
  <c r="Z291" i="3" a="1"/>
  <c r="Z291" i="3"/>
  <c r="Y291" i="3" a="1"/>
  <c r="Y291" i="3"/>
  <c r="X291" i="3" a="1"/>
  <c r="X291" i="3"/>
  <c r="W291" i="3" a="1"/>
  <c r="W291" i="3"/>
  <c r="V291" i="3" a="1"/>
  <c r="V291" i="3"/>
  <c r="U291" i="3" a="1"/>
  <c r="U291" i="3"/>
  <c r="T291" i="3" a="1"/>
  <c r="T291" i="3"/>
  <c r="S291" i="3" a="1"/>
  <c r="S291" i="3"/>
  <c r="R291" i="3" a="1"/>
  <c r="R291" i="3"/>
  <c r="Q291" i="3" a="1"/>
  <c r="Q291" i="3"/>
  <c r="P291" i="3" a="1"/>
  <c r="P291" i="3"/>
  <c r="O291" i="3" a="1"/>
  <c r="O291" i="3"/>
  <c r="N291" i="3" a="1"/>
  <c r="N291" i="3"/>
  <c r="M291" i="3" a="1"/>
  <c r="M291" i="3"/>
  <c r="L291" i="3" a="1"/>
  <c r="L291" i="3"/>
  <c r="K291" i="3" a="1"/>
  <c r="K291" i="3"/>
  <c r="J291" i="3" a="1"/>
  <c r="J291" i="3"/>
  <c r="I291" i="3" a="1"/>
  <c r="I291" i="3"/>
  <c r="H291" i="3" a="1"/>
  <c r="H291" i="3"/>
  <c r="G291" i="3" a="1"/>
  <c r="G291" i="3"/>
  <c r="F291" i="3" a="1"/>
  <c r="F291" i="3"/>
  <c r="E291" i="3" a="1"/>
  <c r="E291" i="3"/>
  <c r="A291" i="3"/>
  <c r="AD290" i="3" a="1"/>
  <c r="AD290" i="3" s="1"/>
  <c r="AC290" i="3" a="1"/>
  <c r="AC290" i="3" s="1"/>
  <c r="AB290" i="3" a="1"/>
  <c r="AB290" i="3" s="1"/>
  <c r="AA290" i="3" a="1"/>
  <c r="AA290" i="3" s="1"/>
  <c r="Z290" i="3" a="1"/>
  <c r="Z290" i="3" s="1"/>
  <c r="Y290" i="3" a="1"/>
  <c r="Y290" i="3" s="1"/>
  <c r="X290" i="3" a="1"/>
  <c r="X290" i="3" s="1"/>
  <c r="W290" i="3" a="1"/>
  <c r="W290" i="3" s="1"/>
  <c r="V290" i="3" a="1"/>
  <c r="V290" i="3" s="1"/>
  <c r="U290" i="3" a="1"/>
  <c r="U290" i="3" s="1"/>
  <c r="T290" i="3" a="1"/>
  <c r="T290" i="3" s="1"/>
  <c r="S290" i="3" a="1"/>
  <c r="S290" i="3" s="1"/>
  <c r="R290" i="3" a="1"/>
  <c r="R290" i="3" s="1"/>
  <c r="Q290" i="3" a="1"/>
  <c r="Q290" i="3" s="1"/>
  <c r="P290" i="3" a="1"/>
  <c r="P290" i="3" s="1"/>
  <c r="O290" i="3" a="1"/>
  <c r="O290" i="3" s="1"/>
  <c r="N290" i="3" a="1"/>
  <c r="N290" i="3" s="1"/>
  <c r="M290" i="3" a="1"/>
  <c r="M290" i="3" s="1"/>
  <c r="L290" i="3" a="1"/>
  <c r="L290" i="3" s="1"/>
  <c r="K290" i="3" a="1"/>
  <c r="K290" i="3" s="1"/>
  <c r="J290" i="3" a="1"/>
  <c r="J290" i="3" s="1"/>
  <c r="I290" i="3" a="1"/>
  <c r="I290" i="3" s="1"/>
  <c r="H290" i="3" a="1"/>
  <c r="H290" i="3" s="1"/>
  <c r="G290" i="3" a="1"/>
  <c r="G290" i="3" s="1"/>
  <c r="F290" i="3" a="1"/>
  <c r="F290" i="3" s="1"/>
  <c r="E290" i="3" a="1"/>
  <c r="E290" i="3" s="1"/>
  <c r="A290" i="3"/>
  <c r="AD289" i="3" a="1"/>
  <c r="AD289" i="3"/>
  <c r="AC289" i="3" a="1"/>
  <c r="AC289" i="3"/>
  <c r="AB289" i="3" a="1"/>
  <c r="AB289" i="3"/>
  <c r="AA289" i="3" a="1"/>
  <c r="AA289" i="3"/>
  <c r="Z289" i="3" a="1"/>
  <c r="Z289" i="3"/>
  <c r="Y289" i="3" a="1"/>
  <c r="Y289" i="3"/>
  <c r="X289" i="3" a="1"/>
  <c r="X289" i="3"/>
  <c r="W289" i="3" a="1"/>
  <c r="W289" i="3"/>
  <c r="V289" i="3" a="1"/>
  <c r="V289" i="3"/>
  <c r="U289" i="3" a="1"/>
  <c r="U289" i="3"/>
  <c r="T289" i="3" a="1"/>
  <c r="T289" i="3"/>
  <c r="S289" i="3" a="1"/>
  <c r="S289" i="3"/>
  <c r="R289" i="3" a="1"/>
  <c r="R289" i="3"/>
  <c r="Q289" i="3" a="1"/>
  <c r="Q289" i="3"/>
  <c r="P289" i="3" a="1"/>
  <c r="P289" i="3"/>
  <c r="O289" i="3" a="1"/>
  <c r="O289" i="3"/>
  <c r="N289" i="3" a="1"/>
  <c r="N289" i="3"/>
  <c r="M289" i="3" a="1"/>
  <c r="M289" i="3"/>
  <c r="L289" i="3" a="1"/>
  <c r="L289" i="3"/>
  <c r="K289" i="3" a="1"/>
  <c r="K289" i="3"/>
  <c r="J289" i="3" a="1"/>
  <c r="J289" i="3"/>
  <c r="I289" i="3" a="1"/>
  <c r="I289" i="3"/>
  <c r="H289" i="3" a="1"/>
  <c r="H289" i="3"/>
  <c r="G289" i="3" a="1"/>
  <c r="G289" i="3"/>
  <c r="F289" i="3" a="1"/>
  <c r="F289" i="3"/>
  <c r="E289" i="3" a="1"/>
  <c r="E289" i="3"/>
  <c r="D289" i="3" a="1"/>
  <c r="D289" i="3"/>
  <c r="C289" i="3" a="1"/>
  <c r="C289" i="3" s="1"/>
  <c r="A289" i="3"/>
  <c r="AD288" i="3" a="1"/>
  <c r="AD288" i="3" s="1"/>
  <c r="AC288" i="3" a="1"/>
  <c r="AC288" i="3" s="1"/>
  <c r="AB288" i="3" a="1"/>
  <c r="AB288" i="3" s="1"/>
  <c r="AA288" i="3" a="1"/>
  <c r="AA288" i="3" s="1"/>
  <c r="Z288" i="3" a="1"/>
  <c r="Z288" i="3"/>
  <c r="Y288" i="3" a="1"/>
  <c r="Y288" i="3" s="1"/>
  <c r="X288" i="3" a="1"/>
  <c r="X288" i="3" s="1"/>
  <c r="W288" i="3" a="1"/>
  <c r="W288" i="3" s="1"/>
  <c r="V288" i="3" a="1"/>
  <c r="V288" i="3" s="1"/>
  <c r="U288" i="3" a="1"/>
  <c r="U288" i="3" s="1"/>
  <c r="T288" i="3" a="1"/>
  <c r="T288" i="3"/>
  <c r="S288" i="3" a="1"/>
  <c r="S288" i="3" s="1"/>
  <c r="R288" i="3" a="1"/>
  <c r="R288" i="3" s="1"/>
  <c r="Q288" i="3" a="1"/>
  <c r="Q288" i="3" s="1"/>
  <c r="P288" i="3" a="1"/>
  <c r="P288" i="3" s="1"/>
  <c r="O288" i="3" a="1"/>
  <c r="O288" i="3" s="1"/>
  <c r="N288" i="3" a="1"/>
  <c r="N288" i="3"/>
  <c r="M288" i="3" a="1"/>
  <c r="M288" i="3" s="1"/>
  <c r="L288" i="3" a="1"/>
  <c r="L288" i="3" s="1"/>
  <c r="K288" i="3" a="1"/>
  <c r="K288" i="3" s="1"/>
  <c r="J288" i="3" a="1"/>
  <c r="J288" i="3" s="1"/>
  <c r="I288" i="3" a="1"/>
  <c r="I288" i="3" s="1"/>
  <c r="H288" i="3" a="1"/>
  <c r="H288" i="3"/>
  <c r="G288" i="3" a="1"/>
  <c r="G288" i="3" s="1"/>
  <c r="F288" i="3" a="1"/>
  <c r="F288" i="3" s="1"/>
  <c r="E288" i="3" a="1"/>
  <c r="E288" i="3" s="1"/>
  <c r="D288" i="3" a="1"/>
  <c r="D288" i="3" s="1"/>
  <c r="C288" i="3" a="1"/>
  <c r="C288" i="3" s="1"/>
  <c r="A288" i="3"/>
  <c r="AD287" i="3" a="1"/>
  <c r="AD287" i="3"/>
  <c r="AC287" i="3" a="1"/>
  <c r="AC287" i="3"/>
  <c r="AB287" i="3" a="1"/>
  <c r="AB287" i="3"/>
  <c r="AA287" i="3" a="1"/>
  <c r="AA287" i="3"/>
  <c r="Z287" i="3" a="1"/>
  <c r="Z287" i="3"/>
  <c r="Y287" i="3" a="1"/>
  <c r="Y287" i="3"/>
  <c r="X287" i="3" a="1"/>
  <c r="X287" i="3"/>
  <c r="W287" i="3" a="1"/>
  <c r="W287" i="3"/>
  <c r="V287" i="3" a="1"/>
  <c r="V287" i="3"/>
  <c r="U287" i="3" a="1"/>
  <c r="U287" i="3"/>
  <c r="T287" i="3" a="1"/>
  <c r="T287" i="3"/>
  <c r="S287" i="3" a="1"/>
  <c r="S287" i="3"/>
  <c r="R287" i="3" a="1"/>
  <c r="R287" i="3"/>
  <c r="Q287" i="3" a="1"/>
  <c r="Q287" i="3"/>
  <c r="P287" i="3" a="1"/>
  <c r="P287" i="3"/>
  <c r="O287" i="3" a="1"/>
  <c r="O287" i="3"/>
  <c r="N287" i="3" a="1"/>
  <c r="N287" i="3" s="1"/>
  <c r="M287" i="3" a="1"/>
  <c r="M287" i="3"/>
  <c r="L287" i="3" a="1"/>
  <c r="L287" i="3"/>
  <c r="K287" i="3" a="1"/>
  <c r="K287" i="3"/>
  <c r="J287" i="3" a="1"/>
  <c r="J287" i="3"/>
  <c r="I287" i="3" a="1"/>
  <c r="I287" i="3"/>
  <c r="H287" i="3" a="1"/>
  <c r="H287" i="3" s="1"/>
  <c r="G287" i="3" a="1"/>
  <c r="G287" i="3"/>
  <c r="F287" i="3" a="1"/>
  <c r="F287" i="3"/>
  <c r="E287" i="3" a="1"/>
  <c r="E287" i="3"/>
  <c r="D287" i="3" a="1"/>
  <c r="D287" i="3"/>
  <c r="C287" i="3" a="1"/>
  <c r="C287" i="3"/>
  <c r="A287" i="3"/>
  <c r="AD286" i="3" a="1"/>
  <c r="AD286" i="3" s="1"/>
  <c r="AC286" i="3" a="1"/>
  <c r="AC286" i="3" s="1"/>
  <c r="AB286" i="3" a="1"/>
  <c r="AB286" i="3" s="1"/>
  <c r="AA286" i="3" a="1"/>
  <c r="AA286" i="3" s="1"/>
  <c r="Z286" i="3" a="1"/>
  <c r="Z286" i="3" s="1"/>
  <c r="Y286" i="3" a="1"/>
  <c r="Y286" i="3"/>
  <c r="X286" i="3" a="1"/>
  <c r="X286" i="3" s="1"/>
  <c r="W286" i="3" a="1"/>
  <c r="W286" i="3" s="1"/>
  <c r="V286" i="3" a="1"/>
  <c r="V286" i="3" s="1"/>
  <c r="U286" i="3" a="1"/>
  <c r="U286" i="3" s="1"/>
  <c r="T286" i="3" a="1"/>
  <c r="T286" i="3" s="1"/>
  <c r="S286" i="3" a="1"/>
  <c r="S286" i="3"/>
  <c r="R286" i="3" a="1"/>
  <c r="R286" i="3" s="1"/>
  <c r="Q286" i="3" a="1"/>
  <c r="Q286" i="3" s="1"/>
  <c r="P286" i="3" a="1"/>
  <c r="P286" i="3" s="1"/>
  <c r="O286" i="3" a="1"/>
  <c r="O286" i="3" s="1"/>
  <c r="N286" i="3" a="1"/>
  <c r="N286" i="3" s="1"/>
  <c r="M286" i="3" a="1"/>
  <c r="M286" i="3"/>
  <c r="L286" i="3" a="1"/>
  <c r="L286" i="3" s="1"/>
  <c r="K286" i="3" a="1"/>
  <c r="K286" i="3" s="1"/>
  <c r="J286" i="3" a="1"/>
  <c r="J286" i="3" s="1"/>
  <c r="I286" i="3" a="1"/>
  <c r="I286" i="3" s="1"/>
  <c r="H286" i="3" a="1"/>
  <c r="H286" i="3" s="1"/>
  <c r="G286" i="3" a="1"/>
  <c r="G286" i="3" s="1"/>
  <c r="F286" i="3" a="1"/>
  <c r="F286" i="3" s="1"/>
  <c r="E286" i="3" a="1"/>
  <c r="E286" i="3" s="1"/>
  <c r="D286" i="3" a="1"/>
  <c r="D286" i="3" s="1"/>
  <c r="C286" i="3" a="1"/>
  <c r="C286" i="3" s="1"/>
  <c r="A286" i="3"/>
  <c r="AD285" i="3" a="1"/>
  <c r="AD285" i="3"/>
  <c r="AC285" i="3" a="1"/>
  <c r="AC285" i="3"/>
  <c r="AB285" i="3" a="1"/>
  <c r="AB285" i="3"/>
  <c r="AA285" i="3" a="1"/>
  <c r="AA285" i="3"/>
  <c r="Z285" i="3" a="1"/>
  <c r="Z285" i="3"/>
  <c r="Y285" i="3" a="1"/>
  <c r="Y285" i="3"/>
  <c r="X285" i="3" a="1"/>
  <c r="X285" i="3"/>
  <c r="W285" i="3" a="1"/>
  <c r="W285" i="3"/>
  <c r="V285" i="3" a="1"/>
  <c r="V285" i="3"/>
  <c r="U285" i="3" a="1"/>
  <c r="U285" i="3"/>
  <c r="T285" i="3" a="1"/>
  <c r="T285" i="3"/>
  <c r="S285" i="3" a="1"/>
  <c r="S285" i="3"/>
  <c r="R285" i="3" a="1"/>
  <c r="R285" i="3"/>
  <c r="Q285" i="3" a="1"/>
  <c r="Q285" i="3"/>
  <c r="P285" i="3" a="1"/>
  <c r="P285" i="3"/>
  <c r="O285" i="3" a="1"/>
  <c r="O285" i="3"/>
  <c r="N285" i="3" a="1"/>
  <c r="N285" i="3"/>
  <c r="M285" i="3" a="1"/>
  <c r="M285" i="3"/>
  <c r="L285" i="3" a="1"/>
  <c r="L285" i="3"/>
  <c r="K285" i="3" a="1"/>
  <c r="K285" i="3"/>
  <c r="J285" i="3" a="1"/>
  <c r="J285" i="3"/>
  <c r="I285" i="3" a="1"/>
  <c r="I285" i="3"/>
  <c r="H285" i="3" a="1"/>
  <c r="H285" i="3"/>
  <c r="G285" i="3" a="1"/>
  <c r="G285" i="3"/>
  <c r="F285" i="3" a="1"/>
  <c r="F285" i="3"/>
  <c r="E285" i="3" a="1"/>
  <c r="E285" i="3"/>
  <c r="D285" i="3" a="1"/>
  <c r="D285" i="3"/>
  <c r="C285" i="3" a="1"/>
  <c r="C285" i="3"/>
  <c r="A285" i="3"/>
  <c r="AD284" i="3" a="1"/>
  <c r="AD284" i="3"/>
  <c r="AC284" i="3" a="1"/>
  <c r="AC284" i="3" s="1"/>
  <c r="AB284" i="3" a="1"/>
  <c r="AB284" i="3" s="1"/>
  <c r="AA284" i="3" a="1"/>
  <c r="AA284" i="3" s="1"/>
  <c r="Z284" i="3" a="1"/>
  <c r="Z284" i="3" s="1"/>
  <c r="Y284" i="3" a="1"/>
  <c r="Y284" i="3" s="1"/>
  <c r="X284" i="3" a="1"/>
  <c r="X284" i="3"/>
  <c r="W284" i="3" a="1"/>
  <c r="W284" i="3" s="1"/>
  <c r="V284" i="3" a="1"/>
  <c r="V284" i="3" s="1"/>
  <c r="U284" i="3" a="1"/>
  <c r="U284" i="3" s="1"/>
  <c r="T284" i="3" a="1"/>
  <c r="T284" i="3" s="1"/>
  <c r="S284" i="3" a="1"/>
  <c r="S284" i="3" s="1"/>
  <c r="R284" i="3" a="1"/>
  <c r="R284" i="3"/>
  <c r="Q284" i="3" a="1"/>
  <c r="Q284" i="3" s="1"/>
  <c r="P284" i="3" a="1"/>
  <c r="P284" i="3" s="1"/>
  <c r="O284" i="3" a="1"/>
  <c r="O284" i="3" s="1"/>
  <c r="N284" i="3" a="1"/>
  <c r="N284" i="3" s="1"/>
  <c r="M284" i="3" a="1"/>
  <c r="M284" i="3" s="1"/>
  <c r="L284" i="3" a="1"/>
  <c r="L284" i="3"/>
  <c r="K284" i="3" a="1"/>
  <c r="K284" i="3" s="1"/>
  <c r="J284" i="3" a="1"/>
  <c r="J284" i="3" s="1"/>
  <c r="I284" i="3" a="1"/>
  <c r="I284" i="3" s="1"/>
  <c r="H284" i="3" a="1"/>
  <c r="H284" i="3" s="1"/>
  <c r="G284" i="3" a="1"/>
  <c r="G284" i="3" s="1"/>
  <c r="F284" i="3" a="1"/>
  <c r="F284" i="3" s="1"/>
  <c r="E284" i="3" a="1"/>
  <c r="E284" i="3" s="1"/>
  <c r="D284" i="3" a="1"/>
  <c r="D284" i="3" s="1"/>
  <c r="C284" i="3" a="1"/>
  <c r="C284" i="3" s="1"/>
  <c r="A284" i="3"/>
  <c r="AD283" i="3" a="1"/>
  <c r="AD283" i="3"/>
  <c r="AC283" i="3" a="1"/>
  <c r="AC283" i="3"/>
  <c r="AB283" i="3" a="1"/>
  <c r="AB283" i="3"/>
  <c r="AA283" i="3" a="1"/>
  <c r="AA283" i="3"/>
  <c r="Z283" i="3" a="1"/>
  <c r="Z283" i="3"/>
  <c r="Y283" i="3" a="1"/>
  <c r="Y283" i="3"/>
  <c r="X283" i="3" a="1"/>
  <c r="X283" i="3"/>
  <c r="W283" i="3" a="1"/>
  <c r="W283" i="3"/>
  <c r="V283" i="3" a="1"/>
  <c r="V283" i="3"/>
  <c r="U283" i="3" a="1"/>
  <c r="U283" i="3"/>
  <c r="T283" i="3" a="1"/>
  <c r="T283" i="3"/>
  <c r="S283" i="3" a="1"/>
  <c r="S283" i="3"/>
  <c r="R283" i="3" a="1"/>
  <c r="R283" i="3"/>
  <c r="Q283" i="3" a="1"/>
  <c r="Q283" i="3"/>
  <c r="P283" i="3" a="1"/>
  <c r="P283" i="3"/>
  <c r="O283" i="3" a="1"/>
  <c r="O283" i="3"/>
  <c r="N283" i="3" a="1"/>
  <c r="N283" i="3"/>
  <c r="M283" i="3" a="1"/>
  <c r="M283" i="3"/>
  <c r="L283" i="3" a="1"/>
  <c r="L283" i="3"/>
  <c r="K283" i="3" a="1"/>
  <c r="K283" i="3"/>
  <c r="J283" i="3" a="1"/>
  <c r="J283" i="3"/>
  <c r="I283" i="3" a="1"/>
  <c r="I283" i="3"/>
  <c r="H283" i="3" a="1"/>
  <c r="H283" i="3"/>
  <c r="G283" i="3" a="1"/>
  <c r="G283" i="3"/>
  <c r="F283" i="3" a="1"/>
  <c r="F283" i="3"/>
  <c r="E283" i="3" a="1"/>
  <c r="E283" i="3"/>
  <c r="D283" i="3" a="1"/>
  <c r="D283" i="3"/>
  <c r="C283" i="3" a="1"/>
  <c r="C283" i="3"/>
  <c r="A283" i="3"/>
  <c r="AD282" i="3" a="1"/>
  <c r="AD282" i="3" s="1"/>
  <c r="AC282" i="3" a="1"/>
  <c r="AC282" i="3"/>
  <c r="AB282" i="3" a="1"/>
  <c r="AB282" i="3" s="1"/>
  <c r="AA282" i="3" a="1"/>
  <c r="AA282" i="3" s="1"/>
  <c r="Z282" i="3" a="1"/>
  <c r="Z282" i="3" s="1"/>
  <c r="Y282" i="3" a="1"/>
  <c r="Y282" i="3" s="1"/>
  <c r="X282" i="3" a="1"/>
  <c r="X282" i="3" s="1"/>
  <c r="W282" i="3" a="1"/>
  <c r="W282" i="3"/>
  <c r="V282" i="3" a="1"/>
  <c r="V282" i="3" s="1"/>
  <c r="U282" i="3" a="1"/>
  <c r="U282" i="3" s="1"/>
  <c r="T282" i="3" a="1"/>
  <c r="T282" i="3" s="1"/>
  <c r="S282" i="3" a="1"/>
  <c r="S282" i="3" s="1"/>
  <c r="R282" i="3" a="1"/>
  <c r="R282" i="3" s="1"/>
  <c r="Q282" i="3" a="1"/>
  <c r="Q282" i="3"/>
  <c r="P282" i="3" a="1"/>
  <c r="P282" i="3" s="1"/>
  <c r="O282" i="3" a="1"/>
  <c r="O282" i="3" s="1"/>
  <c r="N282" i="3" a="1"/>
  <c r="N282" i="3" s="1"/>
  <c r="M282" i="3" a="1"/>
  <c r="M282" i="3" s="1"/>
  <c r="L282" i="3" a="1"/>
  <c r="L282" i="3" s="1"/>
  <c r="K282" i="3" a="1"/>
  <c r="K282" i="3"/>
  <c r="J282" i="3" a="1"/>
  <c r="J282" i="3" s="1"/>
  <c r="I282" i="3" a="1"/>
  <c r="I282" i="3" s="1"/>
  <c r="H282" i="3" a="1"/>
  <c r="H282" i="3" s="1"/>
  <c r="G282" i="3" a="1"/>
  <c r="G282" i="3" s="1"/>
  <c r="F282" i="3" a="1"/>
  <c r="F282" i="3" s="1"/>
  <c r="E282" i="3" a="1"/>
  <c r="E282" i="3" s="1"/>
  <c r="D282" i="3" a="1"/>
  <c r="D282" i="3" s="1"/>
  <c r="C282" i="3" a="1"/>
  <c r="C282" i="3" s="1"/>
  <c r="A282" i="3"/>
  <c r="AD281" i="3" a="1"/>
  <c r="AD281" i="3"/>
  <c r="AC281" i="3" a="1"/>
  <c r="AC281" i="3"/>
  <c r="AB281" i="3" a="1"/>
  <c r="AB281" i="3"/>
  <c r="AA281" i="3" a="1"/>
  <c r="AA281" i="3"/>
  <c r="Z281" i="3" a="1"/>
  <c r="Z281" i="3"/>
  <c r="Y281" i="3" a="1"/>
  <c r="Y281" i="3"/>
  <c r="X281" i="3" a="1"/>
  <c r="X281" i="3"/>
  <c r="W281" i="3" a="1"/>
  <c r="W281" i="3"/>
  <c r="V281" i="3" a="1"/>
  <c r="V281" i="3"/>
  <c r="U281" i="3" a="1"/>
  <c r="U281" i="3"/>
  <c r="T281" i="3" a="1"/>
  <c r="T281" i="3"/>
  <c r="S281" i="3" a="1"/>
  <c r="S281" i="3"/>
  <c r="R281" i="3" a="1"/>
  <c r="R281" i="3"/>
  <c r="Q281" i="3" a="1"/>
  <c r="Q281" i="3"/>
  <c r="P281" i="3" a="1"/>
  <c r="P281" i="3"/>
  <c r="O281" i="3" a="1"/>
  <c r="O281" i="3"/>
  <c r="N281" i="3" a="1"/>
  <c r="N281" i="3"/>
  <c r="M281" i="3" a="1"/>
  <c r="M281" i="3"/>
  <c r="L281" i="3" a="1"/>
  <c r="L281" i="3"/>
  <c r="K281" i="3" a="1"/>
  <c r="K281" i="3"/>
  <c r="J281" i="3" a="1"/>
  <c r="J281" i="3"/>
  <c r="I281" i="3" a="1"/>
  <c r="I281" i="3" s="1"/>
  <c r="H281" i="3" a="1"/>
  <c r="H281" i="3" s="1"/>
  <c r="G281" i="3" a="1"/>
  <c r="G281" i="3" s="1"/>
  <c r="F281" i="3" a="1"/>
  <c r="F281" i="3" s="1"/>
  <c r="E281" i="3" a="1"/>
  <c r="E281" i="3" s="1"/>
  <c r="D281" i="3" a="1"/>
  <c r="D281" i="3" s="1"/>
  <c r="A281" i="3"/>
  <c r="AD280" i="3" a="1"/>
  <c r="AD280" i="3" s="1"/>
  <c r="AC280" i="3" a="1"/>
  <c r="AC280" i="3" s="1"/>
  <c r="AB280" i="3" a="1"/>
  <c r="AB280" i="3"/>
  <c r="AA280" i="3" a="1"/>
  <c r="AA280" i="3"/>
  <c r="Z280" i="3" a="1"/>
  <c r="Z280" i="3" s="1"/>
  <c r="Y280" i="3" a="1"/>
  <c r="Y280" i="3" s="1"/>
  <c r="X280" i="3" a="1"/>
  <c r="X280" i="3" s="1"/>
  <c r="W280" i="3" a="1"/>
  <c r="W280" i="3" s="1"/>
  <c r="V280" i="3" a="1"/>
  <c r="V280" i="3"/>
  <c r="U280" i="3" a="1"/>
  <c r="U280" i="3"/>
  <c r="T280" i="3" a="1"/>
  <c r="T280" i="3" s="1"/>
  <c r="S280" i="3" a="1"/>
  <c r="S280" i="3" s="1"/>
  <c r="R280" i="3" a="1"/>
  <c r="R280" i="3" s="1"/>
  <c r="Q280" i="3" a="1"/>
  <c r="Q280" i="3" s="1"/>
  <c r="P280" i="3" a="1"/>
  <c r="P280" i="3"/>
  <c r="O280" i="3" a="1"/>
  <c r="O280" i="3"/>
  <c r="N280" i="3" a="1"/>
  <c r="N280" i="3" s="1"/>
  <c r="M280" i="3" a="1"/>
  <c r="M280" i="3" s="1"/>
  <c r="L280" i="3" a="1"/>
  <c r="L280" i="3" s="1"/>
  <c r="K280" i="3" a="1"/>
  <c r="K280" i="3" s="1"/>
  <c r="J280" i="3" a="1"/>
  <c r="J280" i="3"/>
  <c r="I280" i="3" a="1"/>
  <c r="I280" i="3"/>
  <c r="H280" i="3" a="1"/>
  <c r="H280" i="3" s="1"/>
  <c r="G280" i="3" a="1"/>
  <c r="G280" i="3" s="1"/>
  <c r="F280" i="3" a="1"/>
  <c r="F280" i="3" s="1"/>
  <c r="E280" i="3" a="1"/>
  <c r="E280" i="3" s="1"/>
  <c r="D280" i="3" a="1"/>
  <c r="D280" i="3" s="1"/>
  <c r="C280" i="3" a="1"/>
  <c r="C280" i="3"/>
  <c r="A280" i="3"/>
  <c r="AD279" i="3" a="1"/>
  <c r="AD279" i="3"/>
  <c r="AC279" i="3" a="1"/>
  <c r="AC279" i="3"/>
  <c r="AB279" i="3" a="1"/>
  <c r="AB279" i="3"/>
  <c r="AA279" i="3" a="1"/>
  <c r="AA279" i="3"/>
  <c r="Z279" i="3" a="1"/>
  <c r="Z279" i="3" s="1"/>
  <c r="Y279" i="3" a="1"/>
  <c r="Y279" i="3"/>
  <c r="X279" i="3" a="1"/>
  <c r="X279" i="3"/>
  <c r="W279" i="3" a="1"/>
  <c r="W279" i="3"/>
  <c r="V279" i="3" a="1"/>
  <c r="V279" i="3"/>
  <c r="U279" i="3" a="1"/>
  <c r="U279" i="3"/>
  <c r="T279" i="3" a="1"/>
  <c r="T279" i="3" s="1"/>
  <c r="S279" i="3" a="1"/>
  <c r="S279" i="3"/>
  <c r="R279" i="3" a="1"/>
  <c r="R279" i="3"/>
  <c r="Q279" i="3" a="1"/>
  <c r="Q279" i="3"/>
  <c r="P279" i="3" a="1"/>
  <c r="P279" i="3" s="1"/>
  <c r="O279" i="3" a="1"/>
  <c r="O279" i="3"/>
  <c r="N279" i="3" a="1"/>
  <c r="N279" i="3" s="1"/>
  <c r="M279" i="3" a="1"/>
  <c r="M279" i="3"/>
  <c r="L279" i="3" a="1"/>
  <c r="L279" i="3"/>
  <c r="K279" i="3" a="1"/>
  <c r="K279" i="3"/>
  <c r="J279" i="3" a="1"/>
  <c r="J279" i="3" s="1"/>
  <c r="I279" i="3" a="1"/>
  <c r="I279" i="3"/>
  <c r="H279" i="3" a="1"/>
  <c r="H279" i="3" s="1"/>
  <c r="G279" i="3" a="1"/>
  <c r="G279" i="3"/>
  <c r="F279" i="3" a="1"/>
  <c r="F279" i="3"/>
  <c r="E279" i="3" a="1"/>
  <c r="E279" i="3"/>
  <c r="D279" i="3" a="1"/>
  <c r="D279" i="3" s="1"/>
  <c r="C279" i="3" a="1"/>
  <c r="C279" i="3"/>
  <c r="B279" i="3" a="1"/>
  <c r="B279" i="3" s="1"/>
  <c r="A279" i="3"/>
  <c r="AD278" i="3" a="1"/>
  <c r="AD278" i="3" s="1"/>
  <c r="AC278" i="3" a="1"/>
  <c r="AC278" i="3" s="1"/>
  <c r="AB278" i="3" a="1"/>
  <c r="AB278" i="3" s="1"/>
  <c r="AA278" i="3" a="1"/>
  <c r="AA278" i="3"/>
  <c r="Z278" i="3" a="1"/>
  <c r="Z278" i="3"/>
  <c r="Y278" i="3" a="1"/>
  <c r="Y278" i="3" s="1"/>
  <c r="X278" i="3" a="1"/>
  <c r="X278" i="3" s="1"/>
  <c r="W278" i="3" a="1"/>
  <c r="W278" i="3" s="1"/>
  <c r="V278" i="3" a="1"/>
  <c r="V278" i="3" s="1"/>
  <c r="U278" i="3" a="1"/>
  <c r="U278" i="3"/>
  <c r="T278" i="3" a="1"/>
  <c r="T278" i="3"/>
  <c r="S278" i="3" a="1"/>
  <c r="S278" i="3" s="1"/>
  <c r="R278" i="3" a="1"/>
  <c r="R278" i="3" s="1"/>
  <c r="Q278" i="3" a="1"/>
  <c r="Q278" i="3" s="1"/>
  <c r="P278" i="3" a="1"/>
  <c r="P278" i="3" s="1"/>
  <c r="O278" i="3" a="1"/>
  <c r="O278" i="3"/>
  <c r="N278" i="3" a="1"/>
  <c r="N278" i="3"/>
  <c r="M278" i="3" a="1"/>
  <c r="M278" i="3" s="1"/>
  <c r="L278" i="3" a="1"/>
  <c r="L278" i="3" s="1"/>
  <c r="K278" i="3" a="1"/>
  <c r="K278" i="3" s="1"/>
  <c r="J278" i="3" a="1"/>
  <c r="J278" i="3" s="1"/>
  <c r="I278" i="3" a="1"/>
  <c r="I278" i="3" s="1"/>
  <c r="H278" i="3" a="1"/>
  <c r="H278" i="3"/>
  <c r="G278" i="3" a="1"/>
  <c r="G278" i="3" s="1"/>
  <c r="F278" i="3" a="1"/>
  <c r="F278" i="3" s="1"/>
  <c r="E278" i="3" a="1"/>
  <c r="E278" i="3" s="1"/>
  <c r="D278" i="3" a="1"/>
  <c r="D278" i="3" s="1"/>
  <c r="C278" i="3" a="1"/>
  <c r="C278" i="3" s="1"/>
  <c r="B278" i="3" a="1"/>
  <c r="B278" i="3" s="1"/>
  <c r="A278" i="3"/>
  <c r="AD277" i="3" a="1"/>
  <c r="AD277" i="3"/>
  <c r="AC277" i="3" a="1"/>
  <c r="AC277" i="3"/>
  <c r="AB277" i="3" a="1"/>
  <c r="AB277" i="3"/>
  <c r="AA277" i="3" a="1"/>
  <c r="AA277" i="3"/>
  <c r="Z277" i="3" a="1"/>
  <c r="Z277" i="3"/>
  <c r="Y277" i="3" a="1"/>
  <c r="Y277" i="3" s="1"/>
  <c r="X277" i="3" a="1"/>
  <c r="X277" i="3"/>
  <c r="W277" i="3" a="1"/>
  <c r="W277" i="3"/>
  <c r="V277" i="3" a="1"/>
  <c r="V277" i="3"/>
  <c r="U277" i="3" a="1"/>
  <c r="U277" i="3"/>
  <c r="T277" i="3" a="1"/>
  <c r="T277" i="3"/>
  <c r="S277" i="3" a="1"/>
  <c r="S277" i="3" s="1"/>
  <c r="R277" i="3" a="1"/>
  <c r="R277" i="3"/>
  <c r="Q277" i="3" a="1"/>
  <c r="Q277" i="3"/>
  <c r="P277" i="3" a="1"/>
  <c r="P277" i="3"/>
  <c r="O277" i="3" a="1"/>
  <c r="O277" i="3"/>
  <c r="N277" i="3" a="1"/>
  <c r="N277" i="3"/>
  <c r="M277" i="3" a="1"/>
  <c r="M277" i="3" s="1"/>
  <c r="L277" i="3" a="1"/>
  <c r="L277" i="3"/>
  <c r="K277" i="3" a="1"/>
  <c r="K277" i="3"/>
  <c r="J277" i="3" a="1"/>
  <c r="J277" i="3"/>
  <c r="I277" i="3" a="1"/>
  <c r="I277" i="3"/>
  <c r="H277" i="3" a="1"/>
  <c r="H277" i="3"/>
  <c r="G277" i="3" a="1"/>
  <c r="G277" i="3" s="1"/>
  <c r="F277" i="3" a="1"/>
  <c r="F277" i="3"/>
  <c r="E277" i="3" a="1"/>
  <c r="E277" i="3"/>
  <c r="D277" i="3" a="1"/>
  <c r="D277" i="3"/>
  <c r="C277" i="3" a="1"/>
  <c r="C277" i="3"/>
  <c r="A277" i="3"/>
  <c r="AD276" i="3" a="1"/>
  <c r="AD276" i="3" s="1"/>
  <c r="AC276" i="3" a="1"/>
  <c r="AC276" i="3" s="1"/>
  <c r="AB276" i="3" a="1"/>
  <c r="AB276" i="3" s="1"/>
  <c r="AA276" i="3" a="1"/>
  <c r="AA276" i="3" s="1"/>
  <c r="Z276" i="3" a="1"/>
  <c r="Z276" i="3"/>
  <c r="Y276" i="3" a="1"/>
  <c r="Y276" i="3" s="1"/>
  <c r="X276" i="3" a="1"/>
  <c r="X276" i="3" s="1"/>
  <c r="W276" i="3" a="1"/>
  <c r="W276" i="3" s="1"/>
  <c r="V276" i="3" a="1"/>
  <c r="V276" i="3" s="1"/>
  <c r="U276" i="3" a="1"/>
  <c r="U276" i="3" s="1"/>
  <c r="T276" i="3" a="1"/>
  <c r="T276" i="3" s="1"/>
  <c r="S276" i="3" a="1"/>
  <c r="S276" i="3"/>
  <c r="R276" i="3" a="1"/>
  <c r="R276" i="3" s="1"/>
  <c r="Q276" i="3" a="1"/>
  <c r="Q276" i="3" s="1"/>
  <c r="P276" i="3" a="1"/>
  <c r="P276" i="3" s="1"/>
  <c r="O276" i="3" a="1"/>
  <c r="O276" i="3" s="1"/>
  <c r="N276" i="3" a="1"/>
  <c r="N276" i="3" s="1"/>
  <c r="M276" i="3" a="1"/>
  <c r="M276" i="3" s="1"/>
  <c r="L276" i="3" a="1"/>
  <c r="L276" i="3" s="1"/>
  <c r="K276" i="3" a="1"/>
  <c r="K276" i="3" s="1"/>
  <c r="J276" i="3" a="1"/>
  <c r="J276" i="3" s="1"/>
  <c r="I276" i="3" a="1"/>
  <c r="I276" i="3" s="1"/>
  <c r="H276" i="3" a="1"/>
  <c r="H276" i="3" s="1"/>
  <c r="G276" i="3" a="1"/>
  <c r="G276" i="3" s="1"/>
  <c r="F276" i="3" a="1"/>
  <c r="F276" i="3" s="1"/>
  <c r="E276" i="3" a="1"/>
  <c r="E276" i="3" s="1"/>
  <c r="D276" i="3" a="1"/>
  <c r="D276" i="3" s="1"/>
  <c r="C276" i="3" a="1"/>
  <c r="C276" i="3" s="1"/>
  <c r="A276" i="3"/>
  <c r="AD275" i="3" a="1"/>
  <c r="AD275" i="3" s="1"/>
  <c r="AC275" i="3" a="1"/>
  <c r="AC275" i="3"/>
  <c r="AB275" i="3" a="1"/>
  <c r="AB275" i="3"/>
  <c r="AA275" i="3" a="1"/>
  <c r="AA275" i="3"/>
  <c r="Z275" i="3" a="1"/>
  <c r="Z275" i="3"/>
  <c r="Y275" i="3" a="1"/>
  <c r="Y275" i="3"/>
  <c r="X275" i="3" a="1"/>
  <c r="X275" i="3" s="1"/>
  <c r="W275" i="3" a="1"/>
  <c r="W275" i="3"/>
  <c r="V275" i="3" a="1"/>
  <c r="V275" i="3"/>
  <c r="U275" i="3" a="1"/>
  <c r="U275" i="3"/>
  <c r="T275" i="3" a="1"/>
  <c r="T275" i="3"/>
  <c r="S275" i="3" a="1"/>
  <c r="S275" i="3"/>
  <c r="R275" i="3" a="1"/>
  <c r="R275" i="3" s="1"/>
  <c r="Q275" i="3" a="1"/>
  <c r="Q275" i="3"/>
  <c r="P275" i="3" a="1"/>
  <c r="P275" i="3"/>
  <c r="O275" i="3" a="1"/>
  <c r="O275" i="3"/>
  <c r="N275" i="3" a="1"/>
  <c r="N275" i="3"/>
  <c r="M275" i="3" a="1"/>
  <c r="M275" i="3"/>
  <c r="L275" i="3" a="1"/>
  <c r="L275" i="3" s="1"/>
  <c r="K275" i="3" a="1"/>
  <c r="K275" i="3"/>
  <c r="J275" i="3" a="1"/>
  <c r="J275" i="3"/>
  <c r="I275" i="3" a="1"/>
  <c r="I275" i="3"/>
  <c r="H275" i="3" a="1"/>
  <c r="H275" i="3"/>
  <c r="G275" i="3" a="1"/>
  <c r="G275" i="3"/>
  <c r="F275" i="3" a="1"/>
  <c r="F275" i="3" s="1"/>
  <c r="E275" i="3" a="1"/>
  <c r="E275" i="3"/>
  <c r="D275" i="3" a="1"/>
  <c r="D275" i="3"/>
  <c r="A275" i="3"/>
  <c r="AD274" i="3" a="1"/>
  <c r="AD274" i="3"/>
  <c r="AC274" i="3" a="1"/>
  <c r="AC274" i="3" s="1"/>
  <c r="AB274" i="3" a="1"/>
  <c r="AB274" i="3" s="1"/>
  <c r="AA274" i="3" a="1"/>
  <c r="AA274" i="3"/>
  <c r="Z274" i="3" a="1"/>
  <c r="Z274" i="3" s="1"/>
  <c r="Y274" i="3" a="1"/>
  <c r="Y274" i="3"/>
  <c r="X274" i="3" a="1"/>
  <c r="X274" i="3" s="1"/>
  <c r="W274" i="3" a="1"/>
  <c r="W274" i="3" s="1"/>
  <c r="V274" i="3" a="1"/>
  <c r="V274" i="3" s="1"/>
  <c r="U274" i="3" a="1"/>
  <c r="U274" i="3"/>
  <c r="T274" i="3" a="1"/>
  <c r="T274" i="3" s="1"/>
  <c r="S274" i="3" a="1"/>
  <c r="S274" i="3"/>
  <c r="R274" i="3" a="1"/>
  <c r="R274" i="3" s="1"/>
  <c r="Q274" i="3" a="1"/>
  <c r="Q274" i="3" s="1"/>
  <c r="P274" i="3" a="1"/>
  <c r="P274" i="3" s="1"/>
  <c r="O274" i="3" a="1"/>
  <c r="O274" i="3"/>
  <c r="N274" i="3" a="1"/>
  <c r="N274" i="3" s="1"/>
  <c r="M274" i="3" a="1"/>
  <c r="M274" i="3" s="1"/>
  <c r="L274" i="3" a="1"/>
  <c r="L274" i="3" s="1"/>
  <c r="K274" i="3" a="1"/>
  <c r="K274" i="3" s="1"/>
  <c r="J274" i="3" a="1"/>
  <c r="J274" i="3" s="1"/>
  <c r="I274" i="3" a="1"/>
  <c r="I274" i="3" s="1"/>
  <c r="A274" i="3"/>
  <c r="AD273" i="3" a="1"/>
  <c r="AD273" i="3"/>
  <c r="AC273" i="3" a="1"/>
  <c r="AC273" i="3" s="1"/>
  <c r="AB273" i="3" a="1"/>
  <c r="AB273" i="3"/>
  <c r="AA273" i="3" a="1"/>
  <c r="AA273" i="3"/>
  <c r="Z273" i="3" a="1"/>
  <c r="Z273" i="3"/>
  <c r="Y273" i="3" a="1"/>
  <c r="Y273" i="3"/>
  <c r="X273" i="3" a="1"/>
  <c r="X273" i="3"/>
  <c r="W273" i="3" a="1"/>
  <c r="W273" i="3" s="1"/>
  <c r="V273" i="3" a="1"/>
  <c r="V273" i="3"/>
  <c r="U273" i="3" a="1"/>
  <c r="U273" i="3"/>
  <c r="T273" i="3" a="1"/>
  <c r="T273" i="3"/>
  <c r="S273" i="3" a="1"/>
  <c r="S273" i="3"/>
  <c r="R273" i="3" a="1"/>
  <c r="R273" i="3"/>
  <c r="Q273" i="3" a="1"/>
  <c r="Q273" i="3" s="1"/>
  <c r="P273" i="3" a="1"/>
  <c r="P273" i="3"/>
  <c r="O273" i="3" a="1"/>
  <c r="O273" i="3"/>
  <c r="N273" i="3" a="1"/>
  <c r="N273" i="3"/>
  <c r="M273" i="3" a="1"/>
  <c r="M273" i="3"/>
  <c r="L273" i="3" a="1"/>
  <c r="L273" i="3"/>
  <c r="K273" i="3" a="1"/>
  <c r="K273" i="3" s="1"/>
  <c r="J273" i="3" a="1"/>
  <c r="J273" i="3"/>
  <c r="I273" i="3" a="1"/>
  <c r="I273" i="3"/>
  <c r="H273" i="3" a="1"/>
  <c r="H273" i="3"/>
  <c r="G273" i="3" a="1"/>
  <c r="G273" i="3"/>
  <c r="F273" i="3" a="1"/>
  <c r="F273" i="3"/>
  <c r="E273" i="3" a="1"/>
  <c r="E273" i="3" s="1"/>
  <c r="D273" i="3" a="1"/>
  <c r="D273" i="3"/>
  <c r="C273" i="3" a="1"/>
  <c r="C273" i="3"/>
  <c r="A273" i="3"/>
  <c r="AD272" i="3" a="1"/>
  <c r="AD272" i="3"/>
  <c r="AC272" i="3" a="1"/>
  <c r="AC272" i="3" s="1"/>
  <c r="AB272" i="3" a="1"/>
  <c r="AB272" i="3" s="1"/>
  <c r="AA272" i="3" a="1"/>
  <c r="AA272" i="3" s="1"/>
  <c r="Z272" i="3" a="1"/>
  <c r="Z272" i="3"/>
  <c r="Y272" i="3" a="1"/>
  <c r="Y272" i="3" s="1"/>
  <c r="X272" i="3" a="1"/>
  <c r="X272" i="3"/>
  <c r="W272" i="3" a="1"/>
  <c r="W272" i="3"/>
  <c r="V272" i="3" a="1"/>
  <c r="V272" i="3" s="1"/>
  <c r="U272" i="3" a="1"/>
  <c r="U272" i="3" s="1"/>
  <c r="T272" i="3" a="1"/>
  <c r="T272" i="3"/>
  <c r="S272" i="3" a="1"/>
  <c r="S272" i="3" s="1"/>
  <c r="R272" i="3" a="1"/>
  <c r="R272" i="3"/>
  <c r="Q272" i="3" a="1"/>
  <c r="Q272" i="3" s="1"/>
  <c r="P272" i="3" a="1"/>
  <c r="P272" i="3" s="1"/>
  <c r="O272" i="3" a="1"/>
  <c r="O272" i="3" s="1"/>
  <c r="N272" i="3" a="1"/>
  <c r="N272" i="3"/>
  <c r="M272" i="3" a="1"/>
  <c r="M272" i="3" s="1"/>
  <c r="L272" i="3" a="1"/>
  <c r="L272" i="3"/>
  <c r="K272" i="3" a="1"/>
  <c r="K272" i="3" s="1"/>
  <c r="J272" i="3" a="1"/>
  <c r="J272" i="3" s="1"/>
  <c r="I272" i="3" a="1"/>
  <c r="I272" i="3" s="1"/>
  <c r="H272" i="3" a="1"/>
  <c r="H272" i="3" s="1"/>
  <c r="G272" i="3" a="1"/>
  <c r="G272" i="3" s="1"/>
  <c r="F272" i="3" a="1"/>
  <c r="F272" i="3" s="1"/>
  <c r="E272" i="3" a="1"/>
  <c r="E272" i="3" s="1"/>
  <c r="D272" i="3" a="1"/>
  <c r="D272" i="3" s="1"/>
  <c r="B272" i="3" a="1"/>
  <c r="B272" i="3" s="1"/>
  <c r="A272" i="3"/>
  <c r="AD271" i="3" a="1"/>
  <c r="AD271" i="3"/>
  <c r="AC271" i="3" a="1"/>
  <c r="AC271" i="3" s="1"/>
  <c r="AB271" i="3" a="1"/>
  <c r="AB271" i="3"/>
  <c r="AA271" i="3" a="1"/>
  <c r="AA271" i="3"/>
  <c r="Z271" i="3" a="1"/>
  <c r="Z271" i="3"/>
  <c r="Y271" i="3" a="1"/>
  <c r="Y271" i="3"/>
  <c r="X271" i="3" a="1"/>
  <c r="X271" i="3"/>
  <c r="W271" i="3" a="1"/>
  <c r="W271" i="3" s="1"/>
  <c r="V271" i="3" a="1"/>
  <c r="V271" i="3"/>
  <c r="U271" i="3" a="1"/>
  <c r="U271" i="3"/>
  <c r="T271" i="3" a="1"/>
  <c r="T271" i="3"/>
  <c r="S271" i="3" a="1"/>
  <c r="S271" i="3"/>
  <c r="R271" i="3" a="1"/>
  <c r="R271" i="3"/>
  <c r="Q271" i="3" a="1"/>
  <c r="Q271" i="3" s="1"/>
  <c r="P271" i="3" a="1"/>
  <c r="P271" i="3"/>
  <c r="O271" i="3" a="1"/>
  <c r="O271" i="3"/>
  <c r="N271" i="3" a="1"/>
  <c r="N271" i="3"/>
  <c r="M271" i="3" a="1"/>
  <c r="M271" i="3"/>
  <c r="L271" i="3" a="1"/>
  <c r="L271" i="3"/>
  <c r="K271" i="3" a="1"/>
  <c r="K271" i="3" s="1"/>
  <c r="J271" i="3" a="1"/>
  <c r="J271" i="3"/>
  <c r="I271" i="3" a="1"/>
  <c r="I271" i="3"/>
  <c r="H271" i="3" a="1"/>
  <c r="H271" i="3"/>
  <c r="G271" i="3" a="1"/>
  <c r="G271" i="3"/>
  <c r="F271" i="3" a="1"/>
  <c r="F271" i="3" s="1"/>
  <c r="E271" i="3" a="1"/>
  <c r="E271" i="3" s="1"/>
  <c r="D271" i="3" a="1"/>
  <c r="D271" i="3"/>
  <c r="C271" i="3" a="1"/>
  <c r="C271" i="3"/>
  <c r="A271" i="3"/>
  <c r="AD270" i="3" a="1"/>
  <c r="AD270" i="3" s="1"/>
  <c r="AC270" i="3" a="1"/>
  <c r="AC270" i="3"/>
  <c r="AB270" i="3" a="1"/>
  <c r="AB270" i="3"/>
  <c r="AA270" i="3" a="1"/>
  <c r="AA270" i="3" s="1"/>
  <c r="Z270" i="3" a="1"/>
  <c r="Z270" i="3" s="1"/>
  <c r="Y270" i="3" a="1"/>
  <c r="Y270" i="3"/>
  <c r="X270" i="3" a="1"/>
  <c r="X270" i="3" s="1"/>
  <c r="W270" i="3" a="1"/>
  <c r="W270" i="3" s="1"/>
  <c r="V270" i="3" a="1"/>
  <c r="V270" i="3"/>
  <c r="U270" i="3" a="1"/>
  <c r="U270" i="3" s="1"/>
  <c r="T270" i="3" a="1"/>
  <c r="T270" i="3" s="1"/>
  <c r="S270" i="3" a="1"/>
  <c r="S270" i="3"/>
  <c r="R270" i="3" a="1"/>
  <c r="R270" i="3"/>
  <c r="Q270" i="3" a="1"/>
  <c r="Q270" i="3" s="1"/>
  <c r="P270" i="3" a="1"/>
  <c r="P270" i="3" s="1"/>
  <c r="O270" i="3" a="1"/>
  <c r="O270" i="3" s="1"/>
  <c r="N270" i="3" a="1"/>
  <c r="N270" i="3" s="1"/>
  <c r="M270" i="3" a="1"/>
  <c r="M270" i="3" s="1"/>
  <c r="L270" i="3" a="1"/>
  <c r="L270" i="3" s="1"/>
  <c r="K270" i="3" a="1"/>
  <c r="K270" i="3"/>
  <c r="J270" i="3" a="1"/>
  <c r="J270" i="3"/>
  <c r="I270" i="3" a="1"/>
  <c r="I270" i="3" s="1"/>
  <c r="H270" i="3" a="1"/>
  <c r="H270" i="3" s="1"/>
  <c r="G270" i="3" a="1"/>
  <c r="G270" i="3" s="1"/>
  <c r="F270" i="3" a="1"/>
  <c r="F270" i="3"/>
  <c r="E270" i="3" a="1"/>
  <c r="E270" i="3"/>
  <c r="D270" i="3" a="1"/>
  <c r="D270" i="3"/>
  <c r="C270" i="3" a="1"/>
  <c r="C270" i="3" s="1"/>
  <c r="A270" i="3"/>
  <c r="AD269" i="3" a="1"/>
  <c r="AD269" i="3"/>
  <c r="AC269" i="3" a="1"/>
  <c r="AC269" i="3"/>
  <c r="AB269" i="3" a="1"/>
  <c r="AB269" i="3" s="1"/>
  <c r="AA269" i="3" a="1"/>
  <c r="AA269" i="3" s="1"/>
  <c r="Z269" i="3" a="1"/>
  <c r="Z269" i="3"/>
  <c r="Y269" i="3" a="1"/>
  <c r="Y269" i="3"/>
  <c r="X269" i="3" a="1"/>
  <c r="X269" i="3"/>
  <c r="W269" i="3" a="1"/>
  <c r="W269" i="3" s="1"/>
  <c r="V269" i="3" a="1"/>
  <c r="V269" i="3" s="1"/>
  <c r="U269" i="3" a="1"/>
  <c r="U269" i="3" s="1"/>
  <c r="T269" i="3" a="1"/>
  <c r="T269" i="3"/>
  <c r="S269" i="3" a="1"/>
  <c r="S269" i="3"/>
  <c r="R269" i="3" a="1"/>
  <c r="R269" i="3"/>
  <c r="Q269" i="3" a="1"/>
  <c r="Q269" i="3" s="1"/>
  <c r="P269" i="3" a="1"/>
  <c r="P269" i="3" s="1"/>
  <c r="O269" i="3" a="1"/>
  <c r="O269" i="3" s="1"/>
  <c r="N269" i="3" a="1"/>
  <c r="N269" i="3"/>
  <c r="M269" i="3" a="1"/>
  <c r="M269" i="3"/>
  <c r="L269" i="3" a="1"/>
  <c r="L269" i="3"/>
  <c r="K269" i="3" a="1"/>
  <c r="K269" i="3" s="1"/>
  <c r="J269" i="3" a="1"/>
  <c r="J269" i="3" s="1"/>
  <c r="I269" i="3" a="1"/>
  <c r="I269" i="3" s="1"/>
  <c r="H269" i="3" a="1"/>
  <c r="H269" i="3"/>
  <c r="G269" i="3" a="1"/>
  <c r="G269" i="3"/>
  <c r="F269" i="3" a="1"/>
  <c r="F269" i="3"/>
  <c r="E269" i="3" a="1"/>
  <c r="E269" i="3" s="1"/>
  <c r="A269" i="3"/>
  <c r="AD268" i="3" a="1"/>
  <c r="AD268" i="3" s="1"/>
  <c r="AC268" i="3" a="1"/>
  <c r="AC268" i="3"/>
  <c r="AB268" i="3" a="1"/>
  <c r="AB268" i="3" s="1"/>
  <c r="AA268" i="3" a="1"/>
  <c r="AA268" i="3" s="1"/>
  <c r="Z268" i="3" a="1"/>
  <c r="Z268" i="3" s="1"/>
  <c r="Y268" i="3" a="1"/>
  <c r="Y268" i="3" s="1"/>
  <c r="X268" i="3" a="1"/>
  <c r="X268" i="3" s="1"/>
  <c r="W268" i="3" a="1"/>
  <c r="W268" i="3"/>
  <c r="V268" i="3" a="1"/>
  <c r="V268" i="3"/>
  <c r="U268" i="3" a="1"/>
  <c r="U268" i="3" s="1"/>
  <c r="T268" i="3" a="1"/>
  <c r="T268" i="3" s="1"/>
  <c r="S268" i="3" a="1"/>
  <c r="S268" i="3" s="1"/>
  <c r="R268" i="3" a="1"/>
  <c r="R268" i="3"/>
  <c r="Q268" i="3" a="1"/>
  <c r="Q268" i="3"/>
  <c r="P268" i="3" a="1"/>
  <c r="P268" i="3" s="1"/>
  <c r="O268" i="3" a="1"/>
  <c r="O268" i="3"/>
  <c r="N268" i="3" a="1"/>
  <c r="N268" i="3"/>
  <c r="M268" i="3" a="1"/>
  <c r="M268" i="3" s="1"/>
  <c r="L268" i="3" a="1"/>
  <c r="L268" i="3" s="1"/>
  <c r="K268" i="3" a="1"/>
  <c r="K268" i="3"/>
  <c r="J268" i="3" a="1"/>
  <c r="J268" i="3"/>
  <c r="I268" i="3" a="1"/>
  <c r="I268" i="3"/>
  <c r="H268" i="3" a="1"/>
  <c r="H268" i="3" s="1"/>
  <c r="G268" i="3" a="1"/>
  <c r="G268" i="3" s="1"/>
  <c r="F268" i="3" a="1"/>
  <c r="F268" i="3"/>
  <c r="E268" i="3" a="1"/>
  <c r="E268" i="3"/>
  <c r="D268" i="3" a="1"/>
  <c r="D268" i="3"/>
  <c r="C268" i="3" a="1"/>
  <c r="C268" i="3" s="1"/>
  <c r="A268" i="3"/>
  <c r="AD267" i="3" a="1"/>
  <c r="AD267" i="3"/>
  <c r="AC267" i="3" a="1"/>
  <c r="AC267" i="3" s="1"/>
  <c r="AB267" i="3" a="1"/>
  <c r="AB267" i="3"/>
  <c r="AA267" i="3" a="1"/>
  <c r="AA267" i="3"/>
  <c r="Z267" i="3" a="1"/>
  <c r="Z267" i="3"/>
  <c r="Y267" i="3" a="1"/>
  <c r="Y267" i="3" s="1"/>
  <c r="X267" i="3" a="1"/>
  <c r="X267" i="3" s="1"/>
  <c r="W267" i="3" a="1"/>
  <c r="W267" i="3" s="1"/>
  <c r="V267" i="3" a="1"/>
  <c r="V267" i="3"/>
  <c r="U267" i="3" a="1"/>
  <c r="U267" i="3"/>
  <c r="T267" i="3" a="1"/>
  <c r="T267" i="3" s="1"/>
  <c r="S267" i="3" a="1"/>
  <c r="S267" i="3" s="1"/>
  <c r="R267" i="3" a="1"/>
  <c r="R267" i="3" s="1"/>
  <c r="Q267" i="3" a="1"/>
  <c r="Q267" i="3" s="1"/>
  <c r="P267" i="3" a="1"/>
  <c r="P267" i="3"/>
  <c r="O267" i="3" a="1"/>
  <c r="O267" i="3"/>
  <c r="N267" i="3" a="1"/>
  <c r="N267" i="3" s="1"/>
  <c r="M267" i="3" a="1"/>
  <c r="M267" i="3" s="1"/>
  <c r="L267" i="3" a="1"/>
  <c r="L267" i="3" s="1"/>
  <c r="K267" i="3" a="1"/>
  <c r="K267" i="3" s="1"/>
  <c r="J267" i="3" a="1"/>
  <c r="J267" i="3"/>
  <c r="I267" i="3" a="1"/>
  <c r="I267" i="3"/>
  <c r="H267" i="3" a="1"/>
  <c r="H267" i="3" s="1"/>
  <c r="G267" i="3" a="1"/>
  <c r="G267" i="3" s="1"/>
  <c r="F267" i="3" a="1"/>
  <c r="F267" i="3" s="1"/>
  <c r="E267" i="3" a="1"/>
  <c r="E267" i="3" s="1"/>
  <c r="A267" i="3"/>
  <c r="AD266" i="3" a="1"/>
  <c r="AD266" i="3"/>
  <c r="AC266" i="3" a="1"/>
  <c r="AC266" i="3"/>
  <c r="AB266" i="3" a="1"/>
  <c r="AB266" i="3"/>
  <c r="AA266" i="3" a="1"/>
  <c r="AA266" i="3"/>
  <c r="Z266" i="3" a="1"/>
  <c r="Z266" i="3"/>
  <c r="Y266" i="3" a="1"/>
  <c r="Y266" i="3"/>
  <c r="X266" i="3" a="1"/>
  <c r="X266" i="3"/>
  <c r="W266" i="3" a="1"/>
  <c r="W266" i="3"/>
  <c r="V266" i="3" a="1"/>
  <c r="V266" i="3"/>
  <c r="U266" i="3" a="1"/>
  <c r="U266" i="3"/>
  <c r="T266" i="3" a="1"/>
  <c r="T266" i="3" s="1"/>
  <c r="S266" i="3" a="1"/>
  <c r="S266" i="3"/>
  <c r="R266" i="3" a="1"/>
  <c r="R266" i="3"/>
  <c r="Q266" i="3" a="1"/>
  <c r="Q266" i="3"/>
  <c r="P266" i="3" a="1"/>
  <c r="P266" i="3"/>
  <c r="O266" i="3" a="1"/>
  <c r="O266" i="3"/>
  <c r="N266" i="3" a="1"/>
  <c r="N266" i="3" s="1"/>
  <c r="M266" i="3" a="1"/>
  <c r="M266" i="3"/>
  <c r="L266" i="3" a="1"/>
  <c r="L266" i="3"/>
  <c r="K266" i="3" a="1"/>
  <c r="K266" i="3"/>
  <c r="J266" i="3" a="1"/>
  <c r="J266" i="3"/>
  <c r="I266" i="3" a="1"/>
  <c r="I266" i="3" s="1"/>
  <c r="H266" i="3" a="1"/>
  <c r="H266" i="3" s="1"/>
  <c r="G266" i="3" a="1"/>
  <c r="G266" i="3" s="1"/>
  <c r="F266" i="3" a="1"/>
  <c r="F266" i="3"/>
  <c r="E266" i="3" a="1"/>
  <c r="E266" i="3"/>
  <c r="A266" i="3"/>
  <c r="AD265" i="3" a="1"/>
  <c r="AD265" i="3" s="1"/>
  <c r="AC265" i="3" a="1"/>
  <c r="AC265" i="3" s="1"/>
  <c r="AB265" i="3" a="1"/>
  <c r="AB265" i="3" s="1"/>
  <c r="AA265" i="3" a="1"/>
  <c r="AA265" i="3"/>
  <c r="Z265" i="3" a="1"/>
  <c r="Z265" i="3"/>
  <c r="Y265" i="3" a="1"/>
  <c r="Y265" i="3"/>
  <c r="X265" i="3" a="1"/>
  <c r="X265" i="3" s="1"/>
  <c r="W265" i="3" a="1"/>
  <c r="W265" i="3" s="1"/>
  <c r="V265" i="3" a="1"/>
  <c r="V265" i="3" s="1"/>
  <c r="U265" i="3" a="1"/>
  <c r="U265" i="3"/>
  <c r="T265" i="3" a="1"/>
  <c r="T265" i="3"/>
  <c r="S265" i="3" a="1"/>
  <c r="S265" i="3" s="1"/>
  <c r="R265" i="3" a="1"/>
  <c r="R265" i="3" s="1"/>
  <c r="Q265" i="3" a="1"/>
  <c r="Q265" i="3" s="1"/>
  <c r="P265" i="3" a="1"/>
  <c r="P265" i="3" s="1"/>
  <c r="O265" i="3" a="1"/>
  <c r="O265" i="3"/>
  <c r="N265" i="3" a="1"/>
  <c r="N265" i="3"/>
  <c r="M265" i="3" a="1"/>
  <c r="M265" i="3" s="1"/>
  <c r="L265" i="3" a="1"/>
  <c r="L265" i="3" s="1"/>
  <c r="K265" i="3" a="1"/>
  <c r="K265" i="3" s="1"/>
  <c r="J265" i="3" a="1"/>
  <c r="J265" i="3" s="1"/>
  <c r="I265" i="3" a="1"/>
  <c r="I265" i="3"/>
  <c r="H265" i="3" a="1"/>
  <c r="H265" i="3"/>
  <c r="G265" i="3" a="1"/>
  <c r="G265" i="3" s="1"/>
  <c r="F265" i="3" a="1"/>
  <c r="F265" i="3" s="1"/>
  <c r="E265" i="3" a="1"/>
  <c r="E265" i="3" s="1"/>
  <c r="D265" i="3" a="1"/>
  <c r="D265" i="3" s="1"/>
  <c r="A265" i="3"/>
  <c r="AD264" i="3" a="1"/>
  <c r="AD264" i="3"/>
  <c r="AC264" i="3" a="1"/>
  <c r="AC264" i="3"/>
  <c r="AB264" i="3" a="1"/>
  <c r="AB264" i="3"/>
  <c r="AA264" i="3" a="1"/>
  <c r="AA264" i="3"/>
  <c r="Z264" i="3" a="1"/>
  <c r="Z264" i="3"/>
  <c r="Y264" i="3" a="1"/>
  <c r="Y264" i="3" s="1"/>
  <c r="X264" i="3" a="1"/>
  <c r="X264" i="3"/>
  <c r="W264" i="3" a="1"/>
  <c r="W264" i="3"/>
  <c r="V264" i="3" a="1"/>
  <c r="V264" i="3"/>
  <c r="U264" i="3" a="1"/>
  <c r="U264" i="3"/>
  <c r="T264" i="3" a="1"/>
  <c r="T264" i="3"/>
  <c r="S264" i="3" a="1"/>
  <c r="S264" i="3" s="1"/>
  <c r="R264" i="3" a="1"/>
  <c r="R264" i="3" s="1"/>
  <c r="Q264" i="3" a="1"/>
  <c r="Q264" i="3"/>
  <c r="P264" i="3" a="1"/>
  <c r="P264" i="3"/>
  <c r="O264" i="3" a="1"/>
  <c r="O264" i="3"/>
  <c r="N264" i="3" a="1"/>
  <c r="N264" i="3"/>
  <c r="M264" i="3" a="1"/>
  <c r="M264" i="3" s="1"/>
  <c r="L264" i="3" a="1"/>
  <c r="L264" i="3" s="1"/>
  <c r="K264" i="3" a="1"/>
  <c r="K264" i="3"/>
  <c r="J264" i="3" a="1"/>
  <c r="J264" i="3"/>
  <c r="I264" i="3" a="1"/>
  <c r="I264" i="3"/>
  <c r="H264" i="3" a="1"/>
  <c r="H264" i="3" s="1"/>
  <c r="G264" i="3" a="1"/>
  <c r="G264" i="3" s="1"/>
  <c r="F264" i="3" a="1"/>
  <c r="F264" i="3" s="1"/>
  <c r="E264" i="3" a="1"/>
  <c r="E264" i="3"/>
  <c r="A264" i="3"/>
  <c r="AD263" i="3" a="1"/>
  <c r="AD263" i="3" s="1"/>
  <c r="AC263" i="3" a="1"/>
  <c r="AC263" i="3" s="1"/>
  <c r="AB263" i="3" a="1"/>
  <c r="AB263" i="3" s="1"/>
  <c r="AA263" i="3" a="1"/>
  <c r="AA263" i="3" s="1"/>
  <c r="Z263" i="3" a="1"/>
  <c r="Z263" i="3"/>
  <c r="Y263" i="3" a="1"/>
  <c r="Y263" i="3"/>
  <c r="X263" i="3" a="1"/>
  <c r="X263" i="3" s="1"/>
  <c r="W263" i="3" a="1"/>
  <c r="W263" i="3" s="1"/>
  <c r="V263" i="3" a="1"/>
  <c r="V263" i="3" s="1"/>
  <c r="U263" i="3" a="1"/>
  <c r="U263" i="3" s="1"/>
  <c r="T263" i="3" a="1"/>
  <c r="T263" i="3"/>
  <c r="S263" i="3" a="1"/>
  <c r="S263" i="3"/>
  <c r="R263" i="3" a="1"/>
  <c r="R263" i="3" s="1"/>
  <c r="Q263" i="3" a="1"/>
  <c r="Q263" i="3" s="1"/>
  <c r="P263" i="3" a="1"/>
  <c r="P263" i="3" s="1"/>
  <c r="O263" i="3" a="1"/>
  <c r="O263" i="3" s="1"/>
  <c r="N263" i="3" a="1"/>
  <c r="N263" i="3"/>
  <c r="M263" i="3" a="1"/>
  <c r="M263" i="3"/>
  <c r="L263" i="3" a="1"/>
  <c r="L263" i="3" s="1"/>
  <c r="K263" i="3" a="1"/>
  <c r="K263" i="3" s="1"/>
  <c r="J263" i="3" a="1"/>
  <c r="J263" i="3" s="1"/>
  <c r="I263" i="3" a="1"/>
  <c r="I263" i="3" s="1"/>
  <c r="H263" i="3" a="1"/>
  <c r="H263" i="3"/>
  <c r="G263" i="3" a="1"/>
  <c r="G263" i="3"/>
  <c r="F263" i="3" a="1"/>
  <c r="F263" i="3" s="1"/>
  <c r="E263" i="3" a="1"/>
  <c r="E263" i="3" s="1"/>
  <c r="A263" i="3"/>
  <c r="AD262" i="3" a="1"/>
  <c r="AD262" i="3" s="1"/>
  <c r="AC262" i="3" a="1"/>
  <c r="AC262" i="3"/>
  <c r="AB262" i="3" a="1"/>
  <c r="AB262" i="3"/>
  <c r="AA262" i="3" a="1"/>
  <c r="AA262" i="3"/>
  <c r="Z262" i="3" a="1"/>
  <c r="Z262" i="3"/>
  <c r="Y262" i="3" a="1"/>
  <c r="Y262" i="3"/>
  <c r="X262" i="3" a="1"/>
  <c r="X262" i="3" s="1"/>
  <c r="W262" i="3" a="1"/>
  <c r="W262" i="3"/>
  <c r="V262" i="3" a="1"/>
  <c r="V262" i="3"/>
  <c r="U262" i="3" a="1"/>
  <c r="U262" i="3"/>
  <c r="T262" i="3" a="1"/>
  <c r="T262" i="3"/>
  <c r="S262" i="3" a="1"/>
  <c r="S262" i="3"/>
  <c r="R262" i="3" a="1"/>
  <c r="R262" i="3" s="1"/>
  <c r="Q262" i="3" a="1"/>
  <c r="Q262" i="3"/>
  <c r="P262" i="3" a="1"/>
  <c r="P262" i="3"/>
  <c r="O262" i="3" a="1"/>
  <c r="O262" i="3"/>
  <c r="N262" i="3" a="1"/>
  <c r="N262" i="3"/>
  <c r="M262" i="3" a="1"/>
  <c r="M262" i="3"/>
  <c r="L262" i="3" a="1"/>
  <c r="L262" i="3" s="1"/>
  <c r="K262" i="3" a="1"/>
  <c r="K262" i="3" s="1"/>
  <c r="J262" i="3" a="1"/>
  <c r="J262" i="3"/>
  <c r="I262" i="3" a="1"/>
  <c r="I262" i="3"/>
  <c r="H262" i="3" a="1"/>
  <c r="H262" i="3"/>
  <c r="G262" i="3" a="1"/>
  <c r="G262" i="3"/>
  <c r="F262" i="3" a="1"/>
  <c r="F262" i="3" s="1"/>
  <c r="E262" i="3" a="1"/>
  <c r="E262" i="3" s="1"/>
  <c r="A262" i="3"/>
  <c r="AD261" i="3" a="1"/>
  <c r="AD261" i="3"/>
  <c r="AC261" i="3" a="1"/>
  <c r="AC261" i="3" s="1"/>
  <c r="AB261" i="3" a="1"/>
  <c r="AB261" i="3" s="1"/>
  <c r="AA261" i="3" a="1"/>
  <c r="AA261" i="3" s="1"/>
  <c r="Z261" i="3" a="1"/>
  <c r="Z261" i="3" s="1"/>
  <c r="Y261" i="3" a="1"/>
  <c r="Y261" i="3"/>
  <c r="X261" i="3" a="1"/>
  <c r="X261" i="3"/>
  <c r="W261" i="3" a="1"/>
  <c r="W261" i="3" s="1"/>
  <c r="V261" i="3" a="1"/>
  <c r="V261" i="3" s="1"/>
  <c r="U261" i="3" a="1"/>
  <c r="U261" i="3" s="1"/>
  <c r="T261" i="3" a="1"/>
  <c r="T261" i="3" s="1"/>
  <c r="S261" i="3" a="1"/>
  <c r="S261" i="3"/>
  <c r="R261" i="3" a="1"/>
  <c r="R261" i="3"/>
  <c r="Q261" i="3" a="1"/>
  <c r="Q261" i="3" s="1"/>
  <c r="P261" i="3" a="1"/>
  <c r="P261" i="3" s="1"/>
  <c r="O261" i="3" a="1"/>
  <c r="O261" i="3" s="1"/>
  <c r="N261" i="3" a="1"/>
  <c r="N261" i="3" s="1"/>
  <c r="M261" i="3" a="1"/>
  <c r="M261" i="3"/>
  <c r="L261" i="3" a="1"/>
  <c r="L261" i="3"/>
  <c r="K261" i="3" a="1"/>
  <c r="K261" i="3" s="1"/>
  <c r="J261" i="3" a="1"/>
  <c r="J261" i="3" s="1"/>
  <c r="I261" i="3" a="1"/>
  <c r="I261" i="3" s="1"/>
  <c r="H261" i="3" a="1"/>
  <c r="H261" i="3" s="1"/>
  <c r="G261" i="3" a="1"/>
  <c r="G261" i="3"/>
  <c r="F261" i="3" a="1"/>
  <c r="F261" i="3"/>
  <c r="E261" i="3" a="1"/>
  <c r="E261" i="3" s="1"/>
  <c r="D261" i="3" a="1"/>
  <c r="D261" i="3" s="1"/>
  <c r="C261" i="3" a="1"/>
  <c r="C261" i="3" s="1"/>
  <c r="A261" i="3"/>
  <c r="AD260" i="3" a="1"/>
  <c r="AD260" i="3"/>
  <c r="AC260" i="3" a="1"/>
  <c r="AC260" i="3" s="1"/>
  <c r="AB260" i="3" a="1"/>
  <c r="AB260" i="3"/>
  <c r="AA260" i="3" a="1"/>
  <c r="AA260" i="3"/>
  <c r="Z260" i="3" a="1"/>
  <c r="Z260" i="3"/>
  <c r="Y260" i="3" a="1"/>
  <c r="Y260" i="3"/>
  <c r="X260" i="3" a="1"/>
  <c r="X260" i="3"/>
  <c r="W260" i="3" a="1"/>
  <c r="W260" i="3" s="1"/>
  <c r="V260" i="3" a="1"/>
  <c r="V260" i="3"/>
  <c r="U260" i="3" a="1"/>
  <c r="U260" i="3"/>
  <c r="T260" i="3" a="1"/>
  <c r="T260" i="3"/>
  <c r="S260" i="3" a="1"/>
  <c r="S260" i="3"/>
  <c r="R260" i="3" a="1"/>
  <c r="R260" i="3"/>
  <c r="Q260" i="3" a="1"/>
  <c r="Q260" i="3" s="1"/>
  <c r="P260" i="3" a="1"/>
  <c r="P260" i="3" s="1"/>
  <c r="O260" i="3" a="1"/>
  <c r="O260" i="3"/>
  <c r="N260" i="3" a="1"/>
  <c r="N260" i="3"/>
  <c r="M260" i="3" a="1"/>
  <c r="M260" i="3"/>
  <c r="L260" i="3" a="1"/>
  <c r="L260" i="3"/>
  <c r="K260" i="3" a="1"/>
  <c r="K260" i="3" s="1"/>
  <c r="J260" i="3" a="1"/>
  <c r="J260" i="3" s="1"/>
  <c r="I260" i="3" a="1"/>
  <c r="I260" i="3"/>
  <c r="H260" i="3" a="1"/>
  <c r="H260" i="3"/>
  <c r="G260" i="3" a="1"/>
  <c r="G260" i="3"/>
  <c r="F260" i="3" a="1"/>
  <c r="F260" i="3"/>
  <c r="E260" i="3" a="1"/>
  <c r="E260" i="3" s="1"/>
  <c r="D260" i="3" a="1"/>
  <c r="D260" i="3" s="1"/>
  <c r="C260" i="3" a="1"/>
  <c r="C260" i="3"/>
  <c r="A260" i="3"/>
  <c r="AD259" i="3" a="1"/>
  <c r="AD259" i="3"/>
  <c r="AC259" i="3" a="1"/>
  <c r="AC259" i="3"/>
  <c r="AB259" i="3" a="1"/>
  <c r="AB259" i="3"/>
  <c r="AA259" i="3" a="1"/>
  <c r="AA259" i="3"/>
  <c r="Z259" i="3" a="1"/>
  <c r="Z259" i="3" s="1"/>
  <c r="Y259" i="3" a="1"/>
  <c r="Y259" i="3" s="1"/>
  <c r="X259" i="3" a="1"/>
  <c r="X259" i="3"/>
  <c r="W259" i="3" a="1"/>
  <c r="W259" i="3"/>
  <c r="V259" i="3" a="1"/>
  <c r="V259" i="3" s="1"/>
  <c r="U259" i="3" a="1"/>
  <c r="U259" i="3"/>
  <c r="T259" i="3" a="1"/>
  <c r="T259" i="3" s="1"/>
  <c r="S259" i="3" a="1"/>
  <c r="S259" i="3" s="1"/>
  <c r="R259" i="3" a="1"/>
  <c r="R259" i="3"/>
  <c r="Q259" i="3" a="1"/>
  <c r="Q259" i="3"/>
  <c r="P259" i="3" a="1"/>
  <c r="P259" i="3" s="1"/>
  <c r="O259" i="3" a="1"/>
  <c r="O259" i="3"/>
  <c r="N259" i="3" a="1"/>
  <c r="N259" i="3" s="1"/>
  <c r="M259" i="3" a="1"/>
  <c r="M259" i="3" s="1"/>
  <c r="L259" i="3" a="1"/>
  <c r="L259" i="3"/>
  <c r="K259" i="3" a="1"/>
  <c r="K259" i="3"/>
  <c r="J259" i="3" a="1"/>
  <c r="J259" i="3" s="1"/>
  <c r="I259" i="3" a="1"/>
  <c r="I259" i="3" s="1"/>
  <c r="H259" i="3" a="1"/>
  <c r="H259" i="3" s="1"/>
  <c r="G259" i="3" a="1"/>
  <c r="G259" i="3" s="1"/>
  <c r="F259" i="3" a="1"/>
  <c r="F259" i="3"/>
  <c r="E259" i="3" a="1"/>
  <c r="E259" i="3"/>
  <c r="D259" i="3" a="1"/>
  <c r="D259" i="3" s="1"/>
  <c r="C259" i="3" a="1"/>
  <c r="C259" i="3" s="1"/>
  <c r="A259" i="3"/>
  <c r="AD258" i="3" a="1"/>
  <c r="AD258" i="3"/>
  <c r="AC258" i="3" a="1"/>
  <c r="AC258" i="3"/>
  <c r="AB258" i="3" a="1"/>
  <c r="AB258" i="3" s="1"/>
  <c r="AA258" i="3" a="1"/>
  <c r="AA258" i="3"/>
  <c r="Z258" i="3" a="1"/>
  <c r="Z258" i="3"/>
  <c r="Y258" i="3" a="1"/>
  <c r="Y258" i="3"/>
  <c r="X258" i="3" a="1"/>
  <c r="X258" i="3"/>
  <c r="W258" i="3" a="1"/>
  <c r="W258" i="3"/>
  <c r="V258" i="3" a="1"/>
  <c r="V258" i="3" s="1"/>
  <c r="U258" i="3" a="1"/>
  <c r="U258" i="3" s="1"/>
  <c r="T258" i="3" a="1"/>
  <c r="T258" i="3"/>
  <c r="S258" i="3" a="1"/>
  <c r="S258" i="3"/>
  <c r="R258" i="3" a="1"/>
  <c r="R258" i="3"/>
  <c r="Q258" i="3" a="1"/>
  <c r="Q258" i="3"/>
  <c r="P258" i="3" a="1"/>
  <c r="P258" i="3" s="1"/>
  <c r="O258" i="3" a="1"/>
  <c r="O258" i="3" s="1"/>
  <c r="N258" i="3" a="1"/>
  <c r="N258" i="3"/>
  <c r="M258" i="3" a="1"/>
  <c r="M258" i="3"/>
  <c r="L258" i="3" a="1"/>
  <c r="L258" i="3"/>
  <c r="K258" i="3" a="1"/>
  <c r="K258" i="3"/>
  <c r="J258" i="3" a="1"/>
  <c r="J258" i="3" s="1"/>
  <c r="I258" i="3" a="1"/>
  <c r="I258" i="3" s="1"/>
  <c r="H258" i="3" a="1"/>
  <c r="H258" i="3"/>
  <c r="G258" i="3" a="1"/>
  <c r="G258" i="3"/>
  <c r="F258" i="3" a="1"/>
  <c r="F258" i="3"/>
  <c r="E258" i="3" a="1"/>
  <c r="E258" i="3" s="1"/>
  <c r="D258" i="3" a="1"/>
  <c r="D258" i="3" s="1"/>
  <c r="C258" i="3" a="1"/>
  <c r="C258" i="3" s="1"/>
  <c r="A258" i="3"/>
  <c r="AD257" i="3" a="1"/>
  <c r="AD257" i="3" s="1"/>
  <c r="AC257" i="3" a="1"/>
  <c r="AC257" i="3"/>
  <c r="AB257" i="3" a="1"/>
  <c r="AB257" i="3"/>
  <c r="AA257" i="3" a="1"/>
  <c r="AA257" i="3"/>
  <c r="Z257" i="3" a="1"/>
  <c r="Z257" i="3"/>
  <c r="Y257" i="3" a="1"/>
  <c r="Y257" i="3" s="1"/>
  <c r="X257" i="3" a="1"/>
  <c r="X257" i="3" s="1"/>
  <c r="W257" i="3" a="1"/>
  <c r="W257" i="3"/>
  <c r="V257" i="3" a="1"/>
  <c r="V257" i="3"/>
  <c r="U257" i="3" a="1"/>
  <c r="U257" i="3"/>
  <c r="T257" i="3" a="1"/>
  <c r="T257" i="3"/>
  <c r="S257" i="3" a="1"/>
  <c r="S257" i="3" s="1"/>
  <c r="R257" i="3" a="1"/>
  <c r="R257" i="3" s="1"/>
  <c r="Q257" i="3" a="1"/>
  <c r="Q257" i="3"/>
  <c r="P257" i="3" a="1"/>
  <c r="P257" i="3"/>
  <c r="O257" i="3" a="1"/>
  <c r="O257" i="3"/>
  <c r="N257" i="3" a="1"/>
  <c r="N257" i="3"/>
  <c r="M257" i="3" a="1"/>
  <c r="M257" i="3" s="1"/>
  <c r="L257" i="3" a="1"/>
  <c r="L257" i="3" s="1"/>
  <c r="K257" i="3" a="1"/>
  <c r="K257" i="3"/>
  <c r="J257" i="3" a="1"/>
  <c r="J257" i="3"/>
  <c r="I257" i="3" a="1"/>
  <c r="I257" i="3"/>
  <c r="H257" i="3" a="1"/>
  <c r="H257" i="3" s="1"/>
  <c r="G257" i="3" a="1"/>
  <c r="G257" i="3" s="1"/>
  <c r="F257" i="3" a="1"/>
  <c r="F257" i="3" s="1"/>
  <c r="E257" i="3" a="1"/>
  <c r="E257" i="3"/>
  <c r="D257" i="3" a="1"/>
  <c r="D257" i="3" s="1"/>
  <c r="C257" i="3" a="1"/>
  <c r="C257" i="3" s="1"/>
  <c r="A257" i="3"/>
  <c r="AD256" i="3" a="1"/>
  <c r="AD256" i="3"/>
  <c r="AC256" i="3" a="1"/>
  <c r="AC256" i="3"/>
  <c r="AB256" i="3" a="1"/>
  <c r="AB256" i="3"/>
  <c r="AA256" i="3" a="1"/>
  <c r="AA256" i="3" s="1"/>
  <c r="Z256" i="3" a="1"/>
  <c r="Z256" i="3" s="1"/>
  <c r="Y256" i="3" a="1"/>
  <c r="Y256" i="3"/>
  <c r="X256" i="3" a="1"/>
  <c r="X256" i="3"/>
  <c r="W256" i="3" a="1"/>
  <c r="W256" i="3"/>
  <c r="V256" i="3" a="1"/>
  <c r="V256" i="3"/>
  <c r="U256" i="3" a="1"/>
  <c r="U256" i="3" s="1"/>
  <c r="T256" i="3" a="1"/>
  <c r="T256" i="3" s="1"/>
  <c r="S256" i="3" a="1"/>
  <c r="S256" i="3"/>
  <c r="R256" i="3" a="1"/>
  <c r="R256" i="3"/>
  <c r="Q256" i="3" a="1"/>
  <c r="Q256" i="3"/>
  <c r="P256" i="3" a="1"/>
  <c r="P256" i="3"/>
  <c r="O256" i="3" a="1"/>
  <c r="O256" i="3" s="1"/>
  <c r="N256" i="3" a="1"/>
  <c r="N256" i="3" s="1"/>
  <c r="M256" i="3" a="1"/>
  <c r="M256" i="3"/>
  <c r="L256" i="3" a="1"/>
  <c r="L256" i="3"/>
  <c r="K256" i="3" a="1"/>
  <c r="K256" i="3"/>
  <c r="J256" i="3" a="1"/>
  <c r="J256" i="3"/>
  <c r="I256" i="3" a="1"/>
  <c r="I256" i="3" s="1"/>
  <c r="H256" i="3" a="1"/>
  <c r="H256" i="3" s="1"/>
  <c r="G256" i="3" a="1"/>
  <c r="G256" i="3"/>
  <c r="F256" i="3" a="1"/>
  <c r="F256" i="3"/>
  <c r="E256" i="3" a="1"/>
  <c r="E256" i="3"/>
  <c r="D256" i="3" a="1"/>
  <c r="D256" i="3"/>
  <c r="C256" i="3" a="1"/>
  <c r="C256" i="3" s="1"/>
  <c r="A256" i="3"/>
  <c r="AD255" i="3" a="1"/>
  <c r="AD255" i="3" s="1"/>
  <c r="AC255" i="3" a="1"/>
  <c r="AC255" i="3" s="1"/>
  <c r="AB255" i="3" a="1"/>
  <c r="AB255" i="3"/>
  <c r="AA255" i="3" a="1"/>
  <c r="AA255" i="3"/>
  <c r="Z255" i="3" a="1"/>
  <c r="Z255" i="3" s="1"/>
  <c r="Y255" i="3" a="1"/>
  <c r="Y255" i="3"/>
  <c r="X255" i="3" a="1"/>
  <c r="X255" i="3" s="1"/>
  <c r="W255" i="3" a="1"/>
  <c r="W255" i="3" s="1"/>
  <c r="V255" i="3" a="1"/>
  <c r="V255" i="3"/>
  <c r="U255" i="3" a="1"/>
  <c r="U255" i="3"/>
  <c r="T255" i="3" a="1"/>
  <c r="T255" i="3" s="1"/>
  <c r="S255" i="3" a="1"/>
  <c r="S255" i="3"/>
  <c r="R255" i="3" a="1"/>
  <c r="R255" i="3" s="1"/>
  <c r="Q255" i="3" a="1"/>
  <c r="Q255" i="3" s="1"/>
  <c r="P255" i="3" a="1"/>
  <c r="P255" i="3"/>
  <c r="O255" i="3" a="1"/>
  <c r="O255" i="3"/>
  <c r="N255" i="3" a="1"/>
  <c r="N255" i="3" s="1"/>
  <c r="M255" i="3" a="1"/>
  <c r="M255" i="3"/>
  <c r="L255" i="3" a="1"/>
  <c r="L255" i="3" s="1"/>
  <c r="K255" i="3" a="1"/>
  <c r="K255" i="3" s="1"/>
  <c r="J255" i="3" a="1"/>
  <c r="J255" i="3"/>
  <c r="I255" i="3" a="1"/>
  <c r="I255" i="3"/>
  <c r="H255" i="3" a="1"/>
  <c r="H255" i="3" s="1"/>
  <c r="G255" i="3" a="1"/>
  <c r="G255" i="3" s="1"/>
  <c r="F255" i="3" a="1"/>
  <c r="F255" i="3" s="1"/>
  <c r="E255" i="3" a="1"/>
  <c r="E255" i="3" s="1"/>
  <c r="A255" i="3"/>
  <c r="AD254" i="3" a="1"/>
  <c r="AD254" i="3"/>
  <c r="AC254" i="3" a="1"/>
  <c r="AC254" i="3"/>
  <c r="AB254" i="3" a="1"/>
  <c r="AB254" i="3"/>
  <c r="AA254" i="3" a="1"/>
  <c r="AA254" i="3"/>
  <c r="Z254" i="3" a="1"/>
  <c r="Z254" i="3" s="1"/>
  <c r="Y254" i="3" a="1"/>
  <c r="Y254" i="3" s="1"/>
  <c r="X254" i="3" a="1"/>
  <c r="X254" i="3"/>
  <c r="W254" i="3" a="1"/>
  <c r="W254" i="3"/>
  <c r="V254" i="3" a="1"/>
  <c r="V254" i="3"/>
  <c r="U254" i="3" a="1"/>
  <c r="U254" i="3"/>
  <c r="T254" i="3" a="1"/>
  <c r="T254" i="3" s="1"/>
  <c r="S254" i="3" a="1"/>
  <c r="S254" i="3" s="1"/>
  <c r="R254" i="3" a="1"/>
  <c r="R254" i="3"/>
  <c r="Q254" i="3" a="1"/>
  <c r="Q254" i="3"/>
  <c r="P254" i="3" a="1"/>
  <c r="P254" i="3"/>
  <c r="O254" i="3" a="1"/>
  <c r="O254" i="3"/>
  <c r="N254" i="3" a="1"/>
  <c r="N254" i="3" s="1"/>
  <c r="M254" i="3" a="1"/>
  <c r="M254" i="3" s="1"/>
  <c r="L254" i="3" a="1"/>
  <c r="L254" i="3"/>
  <c r="K254" i="3" a="1"/>
  <c r="K254" i="3"/>
  <c r="J254" i="3" a="1"/>
  <c r="J254" i="3"/>
  <c r="I254" i="3" a="1"/>
  <c r="I254" i="3" s="1"/>
  <c r="H254" i="3" a="1"/>
  <c r="H254" i="3" s="1"/>
  <c r="G254" i="3" a="1"/>
  <c r="G254" i="3" s="1"/>
  <c r="F254" i="3" a="1"/>
  <c r="F254" i="3"/>
  <c r="E254" i="3" a="1"/>
  <c r="E254" i="3"/>
  <c r="D254" i="3" a="1"/>
  <c r="D254" i="3"/>
  <c r="C254" i="3" a="1"/>
  <c r="C254" i="3" s="1"/>
  <c r="A254" i="3"/>
  <c r="AD253" i="3" a="1"/>
  <c r="AD253" i="3"/>
  <c r="AC253" i="3" a="1"/>
  <c r="AC253" i="3" s="1"/>
  <c r="AB253" i="3" a="1"/>
  <c r="AB253" i="3" s="1"/>
  <c r="AA253" i="3" a="1"/>
  <c r="AA253" i="3"/>
  <c r="Z253" i="3" a="1"/>
  <c r="Z253" i="3"/>
  <c r="Y253" i="3" a="1"/>
  <c r="Y253" i="3"/>
  <c r="X253" i="3" a="1"/>
  <c r="X253" i="3"/>
  <c r="W253" i="3" a="1"/>
  <c r="W253" i="3" s="1"/>
  <c r="V253" i="3" a="1"/>
  <c r="V253" i="3" s="1"/>
  <c r="U253" i="3" a="1"/>
  <c r="U253" i="3"/>
  <c r="T253" i="3" a="1"/>
  <c r="T253" i="3"/>
  <c r="S253" i="3" a="1"/>
  <c r="S253" i="3"/>
  <c r="R253" i="3" a="1"/>
  <c r="R253" i="3"/>
  <c r="Q253" i="3" a="1"/>
  <c r="Q253" i="3" s="1"/>
  <c r="P253" i="3" a="1"/>
  <c r="P253" i="3" s="1"/>
  <c r="O253" i="3" a="1"/>
  <c r="O253" i="3"/>
  <c r="N253" i="3" a="1"/>
  <c r="N253" i="3"/>
  <c r="M253" i="3" a="1"/>
  <c r="M253" i="3" s="1"/>
  <c r="L253" i="3" a="1"/>
  <c r="L253" i="3"/>
  <c r="K253" i="3" a="1"/>
  <c r="K253" i="3" s="1"/>
  <c r="J253" i="3" a="1"/>
  <c r="J253" i="3" s="1"/>
  <c r="I253" i="3" a="1"/>
  <c r="I253" i="3"/>
  <c r="H253" i="3" a="1"/>
  <c r="H253" i="3"/>
  <c r="G253" i="3" a="1"/>
  <c r="G253" i="3" s="1"/>
  <c r="A253" i="3"/>
  <c r="AD252" i="3" a="1"/>
  <c r="AD252" i="3"/>
  <c r="AC252" i="3" a="1"/>
  <c r="AC252" i="3"/>
  <c r="AB252" i="3" a="1"/>
  <c r="AB252" i="3"/>
  <c r="AA252" i="3" a="1"/>
  <c r="AA252" i="3"/>
  <c r="Z252" i="3" a="1"/>
  <c r="Z252" i="3"/>
  <c r="Y252" i="3" a="1"/>
  <c r="Y252" i="3" s="1"/>
  <c r="X252" i="3" a="1"/>
  <c r="X252" i="3" s="1"/>
  <c r="W252" i="3" a="1"/>
  <c r="W252" i="3"/>
  <c r="V252" i="3" a="1"/>
  <c r="V252" i="3"/>
  <c r="U252" i="3" a="1"/>
  <c r="U252" i="3"/>
  <c r="T252" i="3" a="1"/>
  <c r="T252" i="3"/>
  <c r="S252" i="3" a="1"/>
  <c r="S252" i="3" s="1"/>
  <c r="R252" i="3" a="1"/>
  <c r="R252" i="3" s="1"/>
  <c r="Q252" i="3" a="1"/>
  <c r="Q252" i="3"/>
  <c r="P252" i="3" a="1"/>
  <c r="P252" i="3"/>
  <c r="O252" i="3" a="1"/>
  <c r="O252" i="3"/>
  <c r="N252" i="3" a="1"/>
  <c r="N252" i="3"/>
  <c r="M252" i="3" a="1"/>
  <c r="M252" i="3" s="1"/>
  <c r="L252" i="3" a="1"/>
  <c r="L252" i="3" s="1"/>
  <c r="K252" i="3" a="1"/>
  <c r="K252" i="3"/>
  <c r="J252" i="3" a="1"/>
  <c r="J252" i="3"/>
  <c r="I252" i="3" a="1"/>
  <c r="I252" i="3" s="1"/>
  <c r="H252" i="3" a="1"/>
  <c r="H252" i="3" s="1"/>
  <c r="G252" i="3" a="1"/>
  <c r="G252" i="3" s="1"/>
  <c r="F252" i="3" a="1"/>
  <c r="F252" i="3" s="1"/>
  <c r="A252" i="3"/>
  <c r="AD251" i="3" a="1"/>
  <c r="AD251" i="3" s="1"/>
  <c r="AC251" i="3" a="1"/>
  <c r="AC251" i="3"/>
  <c r="AB251" i="3" a="1"/>
  <c r="AB251" i="3" s="1"/>
  <c r="AA251" i="3" a="1"/>
  <c r="AA251" i="3" s="1"/>
  <c r="Z251" i="3" a="1"/>
  <c r="Z251" i="3"/>
  <c r="Y251" i="3" a="1"/>
  <c r="Y251" i="3"/>
  <c r="X251" i="3" a="1"/>
  <c r="X251" i="3" s="1"/>
  <c r="W251" i="3" a="1"/>
  <c r="W251" i="3" s="1"/>
  <c r="V251" i="3" a="1"/>
  <c r="V251" i="3" s="1"/>
  <c r="U251" i="3" a="1"/>
  <c r="U251" i="3" s="1"/>
  <c r="T251" i="3" a="1"/>
  <c r="T251" i="3"/>
  <c r="S251" i="3" a="1"/>
  <c r="S251" i="3"/>
  <c r="R251" i="3" a="1"/>
  <c r="R251" i="3" s="1"/>
  <c r="Q251" i="3" a="1"/>
  <c r="Q251" i="3" s="1"/>
  <c r="P251" i="3" a="1"/>
  <c r="P251" i="3" s="1"/>
  <c r="O251" i="3" a="1"/>
  <c r="O251" i="3" s="1"/>
  <c r="N251" i="3" a="1"/>
  <c r="N251" i="3"/>
  <c r="M251" i="3" a="1"/>
  <c r="M251" i="3"/>
  <c r="L251" i="3" a="1"/>
  <c r="L251" i="3" s="1"/>
  <c r="K251" i="3" a="1"/>
  <c r="K251" i="3" s="1"/>
  <c r="J251" i="3" a="1"/>
  <c r="J251" i="3" s="1"/>
  <c r="I251" i="3" a="1"/>
  <c r="I251" i="3" s="1"/>
  <c r="H251" i="3" a="1"/>
  <c r="H251" i="3"/>
  <c r="G251" i="3" a="1"/>
  <c r="G251" i="3"/>
  <c r="F251" i="3" a="1"/>
  <c r="F251" i="3" s="1"/>
  <c r="E251" i="3" a="1"/>
  <c r="E251" i="3" s="1"/>
  <c r="D251" i="3" a="1"/>
  <c r="D251" i="3" s="1"/>
  <c r="C251" i="3" a="1"/>
  <c r="C251" i="3" s="1"/>
  <c r="A251" i="3"/>
  <c r="AD250" i="3" a="1"/>
  <c r="AD250" i="3" s="1"/>
  <c r="AC250" i="3" a="1"/>
  <c r="AC250" i="3"/>
  <c r="AB250" i="3" a="1"/>
  <c r="AB250" i="3"/>
  <c r="AA250" i="3" a="1"/>
  <c r="AA250" i="3"/>
  <c r="Z250" i="3" a="1"/>
  <c r="Z250" i="3"/>
  <c r="Y250" i="3" a="1"/>
  <c r="Y250" i="3"/>
  <c r="X250" i="3" a="1"/>
  <c r="X250" i="3" s="1"/>
  <c r="W250" i="3" a="1"/>
  <c r="W250" i="3"/>
  <c r="V250" i="3" a="1"/>
  <c r="V250" i="3"/>
  <c r="U250" i="3" a="1"/>
  <c r="U250" i="3"/>
  <c r="T250" i="3" a="1"/>
  <c r="T250" i="3" s="1"/>
  <c r="S250" i="3" a="1"/>
  <c r="S250" i="3"/>
  <c r="R250" i="3" a="1"/>
  <c r="R250" i="3" s="1"/>
  <c r="Q250" i="3" a="1"/>
  <c r="Q250" i="3"/>
  <c r="P250" i="3" a="1"/>
  <c r="P250" i="3"/>
  <c r="O250" i="3" a="1"/>
  <c r="O250" i="3"/>
  <c r="N250" i="3" a="1"/>
  <c r="N250" i="3" s="1"/>
  <c r="M250" i="3" a="1"/>
  <c r="M250" i="3"/>
  <c r="L250" i="3" a="1"/>
  <c r="L250" i="3" s="1"/>
  <c r="K250" i="3" a="1"/>
  <c r="K250" i="3"/>
  <c r="J250" i="3" a="1"/>
  <c r="J250" i="3"/>
  <c r="I250" i="3" a="1"/>
  <c r="I250" i="3"/>
  <c r="H250" i="3" a="1"/>
  <c r="H250" i="3" s="1"/>
  <c r="G250" i="3" a="1"/>
  <c r="G250" i="3"/>
  <c r="F250" i="3" a="1"/>
  <c r="F250" i="3" s="1"/>
  <c r="E250" i="3" a="1"/>
  <c r="E250" i="3"/>
  <c r="D250" i="3" a="1"/>
  <c r="D250" i="3"/>
  <c r="C250" i="3" a="1"/>
  <c r="C250" i="3"/>
  <c r="A250" i="3"/>
  <c r="AD249" i="3" a="1"/>
  <c r="AD249" i="3"/>
  <c r="AC249" i="3" a="1"/>
  <c r="AC249" i="3" s="1"/>
  <c r="AB249" i="3" a="1"/>
  <c r="AB249" i="3" s="1"/>
  <c r="AA249" i="3" a="1"/>
  <c r="AA249" i="3" s="1"/>
  <c r="Z249" i="3" a="1"/>
  <c r="Z249" i="3" s="1"/>
  <c r="Y249" i="3" a="1"/>
  <c r="Y249" i="3"/>
  <c r="X249" i="3" a="1"/>
  <c r="X249" i="3"/>
  <c r="W249" i="3" a="1"/>
  <c r="W249" i="3" s="1"/>
  <c r="V249" i="3" a="1"/>
  <c r="V249" i="3" s="1"/>
  <c r="U249" i="3" a="1"/>
  <c r="U249" i="3" s="1"/>
  <c r="T249" i="3" a="1"/>
  <c r="T249" i="3" s="1"/>
  <c r="S249" i="3" a="1"/>
  <c r="S249" i="3"/>
  <c r="R249" i="3" a="1"/>
  <c r="R249" i="3"/>
  <c r="Q249" i="3" a="1"/>
  <c r="Q249" i="3" s="1"/>
  <c r="P249" i="3" a="1"/>
  <c r="P249" i="3" s="1"/>
  <c r="O249" i="3" a="1"/>
  <c r="O249" i="3" s="1"/>
  <c r="N249" i="3" a="1"/>
  <c r="N249" i="3" s="1"/>
  <c r="M249" i="3" a="1"/>
  <c r="M249" i="3"/>
  <c r="L249" i="3" a="1"/>
  <c r="L249" i="3"/>
  <c r="K249" i="3" a="1"/>
  <c r="K249" i="3" s="1"/>
  <c r="J249" i="3" a="1"/>
  <c r="J249" i="3" s="1"/>
  <c r="I249" i="3" a="1"/>
  <c r="I249" i="3" s="1"/>
  <c r="H249" i="3" a="1"/>
  <c r="H249" i="3" s="1"/>
  <c r="G249" i="3" a="1"/>
  <c r="G249" i="3"/>
  <c r="F249" i="3" a="1"/>
  <c r="F249" i="3"/>
  <c r="E249" i="3" a="1"/>
  <c r="E249" i="3" s="1"/>
  <c r="D249" i="3" a="1"/>
  <c r="D249" i="3" s="1"/>
  <c r="C249" i="3" a="1"/>
  <c r="C249" i="3" s="1"/>
  <c r="A249" i="3"/>
  <c r="AD248" i="3" a="1"/>
  <c r="AD248" i="3"/>
  <c r="AC248" i="3" a="1"/>
  <c r="AC248" i="3" s="1"/>
  <c r="AB248" i="3" a="1"/>
  <c r="AB248" i="3"/>
  <c r="AA248" i="3" a="1"/>
  <c r="AA248" i="3"/>
  <c r="Z248" i="3" a="1"/>
  <c r="Z248" i="3"/>
  <c r="Y248" i="3" a="1"/>
  <c r="Y248" i="3"/>
  <c r="X248" i="3" a="1"/>
  <c r="X248" i="3"/>
  <c r="W248" i="3" a="1"/>
  <c r="W248" i="3" s="1"/>
  <c r="V248" i="3" a="1"/>
  <c r="V248" i="3"/>
  <c r="U248" i="3" a="1"/>
  <c r="U248" i="3"/>
  <c r="T248" i="3" a="1"/>
  <c r="T248" i="3"/>
  <c r="S248" i="3" a="1"/>
  <c r="S248" i="3"/>
  <c r="R248" i="3" a="1"/>
  <c r="R248" i="3"/>
  <c r="Q248" i="3" a="1"/>
  <c r="Q248" i="3" s="1"/>
  <c r="P248" i="3" a="1"/>
  <c r="P248" i="3"/>
  <c r="O248" i="3" a="1"/>
  <c r="O248" i="3" s="1"/>
  <c r="N248" i="3" a="1"/>
  <c r="N248" i="3"/>
  <c r="M248" i="3" a="1"/>
  <c r="M248" i="3" s="1"/>
  <c r="L248" i="3" a="1"/>
  <c r="L248" i="3"/>
  <c r="K248" i="3" a="1"/>
  <c r="K248" i="3" s="1"/>
  <c r="J248" i="3" a="1"/>
  <c r="J248" i="3"/>
  <c r="I248" i="3" a="1"/>
  <c r="I248" i="3" s="1"/>
  <c r="H248" i="3" a="1"/>
  <c r="H248" i="3"/>
  <c r="G248" i="3" a="1"/>
  <c r="G248" i="3" s="1"/>
  <c r="F248" i="3" a="1"/>
  <c r="F248" i="3"/>
  <c r="E248" i="3" a="1"/>
  <c r="E248" i="3" s="1"/>
  <c r="D248" i="3" a="1"/>
  <c r="D248" i="3" s="1"/>
  <c r="C248" i="3" a="1"/>
  <c r="C248" i="3" s="1"/>
  <c r="A248" i="3"/>
  <c r="AD247" i="3" a="1"/>
  <c r="AD247" i="3"/>
  <c r="AC247" i="3" a="1"/>
  <c r="AC247" i="3"/>
  <c r="AB247" i="3" a="1"/>
  <c r="AB247" i="3" s="1"/>
  <c r="AA247" i="3" a="1"/>
  <c r="AA247" i="3"/>
  <c r="Z247" i="3" a="1"/>
  <c r="Z247" i="3" s="1"/>
  <c r="Y247" i="3" a="1"/>
  <c r="Y247" i="3" s="1"/>
  <c r="X247" i="3" a="1"/>
  <c r="X247" i="3"/>
  <c r="W247" i="3" a="1"/>
  <c r="W247" i="3"/>
  <c r="V247" i="3" a="1"/>
  <c r="V247" i="3" s="1"/>
  <c r="U247" i="3" a="1"/>
  <c r="U247" i="3"/>
  <c r="T247" i="3" a="1"/>
  <c r="T247" i="3" s="1"/>
  <c r="S247" i="3" a="1"/>
  <c r="S247" i="3" s="1"/>
  <c r="R247" i="3" a="1"/>
  <c r="R247" i="3"/>
  <c r="Q247" i="3" a="1"/>
  <c r="Q247" i="3"/>
  <c r="P247" i="3" a="1"/>
  <c r="P247" i="3" s="1"/>
  <c r="O247" i="3" a="1"/>
  <c r="O247" i="3"/>
  <c r="N247" i="3" a="1"/>
  <c r="N247" i="3" s="1"/>
  <c r="M247" i="3" a="1"/>
  <c r="M247" i="3" s="1"/>
  <c r="L247" i="3" a="1"/>
  <c r="L247" i="3"/>
  <c r="K247" i="3" a="1"/>
  <c r="K247" i="3"/>
  <c r="J247" i="3" a="1"/>
  <c r="J247" i="3" s="1"/>
  <c r="I247" i="3" a="1"/>
  <c r="I247" i="3"/>
  <c r="H247" i="3" a="1"/>
  <c r="H247" i="3" s="1"/>
  <c r="G247" i="3" a="1"/>
  <c r="G247" i="3" s="1"/>
  <c r="F247" i="3" a="1"/>
  <c r="F247" i="3"/>
  <c r="E247" i="3" a="1"/>
  <c r="E247" i="3"/>
  <c r="D247" i="3" a="1"/>
  <c r="D247" i="3" s="1"/>
  <c r="C247" i="3" a="1"/>
  <c r="C247" i="3" s="1"/>
  <c r="A247" i="3"/>
  <c r="AD246" i="3" a="1"/>
  <c r="AD246" i="3" s="1"/>
  <c r="AC246" i="3" a="1"/>
  <c r="AC246" i="3"/>
  <c r="AB246" i="3" a="1"/>
  <c r="AB246" i="3" s="1"/>
  <c r="AA246" i="3" a="1"/>
  <c r="AA246" i="3"/>
  <c r="Z246" i="3" a="1"/>
  <c r="Z246" i="3"/>
  <c r="Y246" i="3" a="1"/>
  <c r="Y246" i="3"/>
  <c r="X246" i="3" a="1"/>
  <c r="X246" i="3" s="1"/>
  <c r="W246" i="3" a="1"/>
  <c r="W246" i="3"/>
  <c r="V246" i="3" a="1"/>
  <c r="V246" i="3" s="1"/>
  <c r="U246" i="3" a="1"/>
  <c r="U246" i="3"/>
  <c r="T246" i="3" a="1"/>
  <c r="T246" i="3"/>
  <c r="S246" i="3" a="1"/>
  <c r="S246" i="3"/>
  <c r="R246" i="3" a="1"/>
  <c r="R246" i="3" s="1"/>
  <c r="Q246" i="3" a="1"/>
  <c r="Q246" i="3"/>
  <c r="P246" i="3" a="1"/>
  <c r="P246" i="3" s="1"/>
  <c r="O246" i="3" a="1"/>
  <c r="O246" i="3"/>
  <c r="N246" i="3" a="1"/>
  <c r="N246" i="3"/>
  <c r="M246" i="3" a="1"/>
  <c r="M246" i="3"/>
  <c r="L246" i="3" a="1"/>
  <c r="L246" i="3" s="1"/>
  <c r="K246" i="3" a="1"/>
  <c r="K246" i="3"/>
  <c r="J246" i="3" a="1"/>
  <c r="J246" i="3" s="1"/>
  <c r="I246" i="3" a="1"/>
  <c r="I246" i="3"/>
  <c r="H246" i="3" a="1"/>
  <c r="H246" i="3"/>
  <c r="G246" i="3" a="1"/>
  <c r="G246" i="3"/>
  <c r="F246" i="3" a="1"/>
  <c r="F246" i="3" s="1"/>
  <c r="E246" i="3" a="1"/>
  <c r="E246" i="3"/>
  <c r="D246" i="3" a="1"/>
  <c r="D246" i="3" s="1"/>
  <c r="C246" i="3" a="1"/>
  <c r="C246" i="3" s="1"/>
  <c r="B246" i="3" a="1"/>
  <c r="B246" i="3" s="1"/>
  <c r="A246" i="3"/>
  <c r="AD245" i="3" a="1"/>
  <c r="AD245" i="3" s="1"/>
  <c r="AC245" i="3" a="1"/>
  <c r="AC245" i="3"/>
  <c r="AB245" i="3" a="1"/>
  <c r="AB245" i="3"/>
  <c r="AA245" i="3" a="1"/>
  <c r="AA245" i="3" s="1"/>
  <c r="Z245" i="3" a="1"/>
  <c r="Z245" i="3"/>
  <c r="Y245" i="3" a="1"/>
  <c r="Y245" i="3" s="1"/>
  <c r="X245" i="3" a="1"/>
  <c r="X245" i="3" s="1"/>
  <c r="W245" i="3" a="1"/>
  <c r="W245" i="3"/>
  <c r="V245" i="3" a="1"/>
  <c r="V245" i="3"/>
  <c r="U245" i="3" a="1"/>
  <c r="U245" i="3" s="1"/>
  <c r="T245" i="3" a="1"/>
  <c r="T245" i="3"/>
  <c r="S245" i="3" a="1"/>
  <c r="S245" i="3" s="1"/>
  <c r="R245" i="3" a="1"/>
  <c r="R245" i="3" s="1"/>
  <c r="Q245" i="3" a="1"/>
  <c r="Q245" i="3"/>
  <c r="P245" i="3" a="1"/>
  <c r="P245" i="3"/>
  <c r="O245" i="3" a="1"/>
  <c r="O245" i="3" s="1"/>
  <c r="N245" i="3" a="1"/>
  <c r="N245" i="3"/>
  <c r="M245" i="3" a="1"/>
  <c r="M245" i="3" s="1"/>
  <c r="L245" i="3" a="1"/>
  <c r="L245" i="3" s="1"/>
  <c r="K245" i="3" a="1"/>
  <c r="K245" i="3"/>
  <c r="J245" i="3" a="1"/>
  <c r="J245" i="3"/>
  <c r="I245" i="3" a="1"/>
  <c r="I245" i="3" s="1"/>
  <c r="H245" i="3" a="1"/>
  <c r="H245" i="3"/>
  <c r="G245" i="3" a="1"/>
  <c r="G245" i="3" s="1"/>
  <c r="F245" i="3" a="1"/>
  <c r="F245" i="3" s="1"/>
  <c r="E245" i="3" a="1"/>
  <c r="E245" i="3"/>
  <c r="D245" i="3" a="1"/>
  <c r="D245" i="3"/>
  <c r="C245" i="3" a="1"/>
  <c r="C245" i="3" s="1"/>
  <c r="B245" i="3" a="1"/>
  <c r="B245" i="3" s="1"/>
  <c r="A245" i="3"/>
  <c r="AD244" i="3" a="1"/>
  <c r="AD244" i="3"/>
  <c r="AC244" i="3" a="1"/>
  <c r="AC244" i="3" s="1"/>
  <c r="AB244" i="3" a="1"/>
  <c r="AB244" i="3"/>
  <c r="AA244" i="3" a="1"/>
  <c r="AA244" i="3" s="1"/>
  <c r="Z244" i="3" a="1"/>
  <c r="Z244" i="3"/>
  <c r="Y244" i="3" a="1"/>
  <c r="Y244" i="3"/>
  <c r="X244" i="3" a="1"/>
  <c r="X244" i="3"/>
  <c r="W244" i="3" a="1"/>
  <c r="W244" i="3" s="1"/>
  <c r="V244" i="3" a="1"/>
  <c r="V244" i="3"/>
  <c r="U244" i="3" a="1"/>
  <c r="U244" i="3" s="1"/>
  <c r="T244" i="3" a="1"/>
  <c r="T244" i="3"/>
  <c r="S244" i="3" a="1"/>
  <c r="S244" i="3"/>
  <c r="R244" i="3" a="1"/>
  <c r="R244" i="3"/>
  <c r="Q244" i="3" a="1"/>
  <c r="Q244" i="3" s="1"/>
  <c r="P244" i="3" a="1"/>
  <c r="P244" i="3"/>
  <c r="O244" i="3" a="1"/>
  <c r="O244" i="3" s="1"/>
  <c r="N244" i="3" a="1"/>
  <c r="N244" i="3"/>
  <c r="M244" i="3" a="1"/>
  <c r="M244" i="3"/>
  <c r="L244" i="3" a="1"/>
  <c r="L244" i="3"/>
  <c r="K244" i="3" a="1"/>
  <c r="K244" i="3" s="1"/>
  <c r="J244" i="3" a="1"/>
  <c r="J244" i="3"/>
  <c r="I244" i="3" a="1"/>
  <c r="I244" i="3" s="1"/>
  <c r="H244" i="3" a="1"/>
  <c r="H244" i="3"/>
  <c r="G244" i="3" a="1"/>
  <c r="G244" i="3"/>
  <c r="F244" i="3" a="1"/>
  <c r="F244" i="3"/>
  <c r="E244" i="3" a="1"/>
  <c r="E244" i="3" s="1"/>
  <c r="D244" i="3" a="1"/>
  <c r="D244" i="3"/>
  <c r="C244" i="3" a="1"/>
  <c r="C244" i="3" s="1"/>
  <c r="A244" i="3"/>
  <c r="AD243" i="3" a="1"/>
  <c r="AD243" i="3" s="1"/>
  <c r="AC243" i="3" a="1"/>
  <c r="AC243" i="3" s="1"/>
  <c r="AB243" i="3" a="1"/>
  <c r="AB243" i="3"/>
  <c r="AA243" i="3" a="1"/>
  <c r="AA243" i="3"/>
  <c r="Z243" i="3" a="1"/>
  <c r="Z243" i="3" s="1"/>
  <c r="Y243" i="3" a="1"/>
  <c r="Y243" i="3"/>
  <c r="X243" i="3" a="1"/>
  <c r="X243" i="3" s="1"/>
  <c r="W243" i="3" a="1"/>
  <c r="W243" i="3" s="1"/>
  <c r="V243" i="3" a="1"/>
  <c r="V243" i="3"/>
  <c r="U243" i="3" a="1"/>
  <c r="U243" i="3"/>
  <c r="T243" i="3" a="1"/>
  <c r="T243" i="3" s="1"/>
  <c r="S243" i="3" a="1"/>
  <c r="S243" i="3"/>
  <c r="R243" i="3" a="1"/>
  <c r="R243" i="3" s="1"/>
  <c r="Q243" i="3" a="1"/>
  <c r="Q243" i="3" s="1"/>
  <c r="P243" i="3" a="1"/>
  <c r="P243" i="3"/>
  <c r="O243" i="3" a="1"/>
  <c r="O243" i="3"/>
  <c r="N243" i="3" a="1"/>
  <c r="N243" i="3" s="1"/>
  <c r="M243" i="3" a="1"/>
  <c r="M243" i="3" s="1"/>
  <c r="L243" i="3" a="1"/>
  <c r="L243" i="3" s="1"/>
  <c r="K243" i="3" a="1"/>
  <c r="K243" i="3" s="1"/>
  <c r="J243" i="3" a="1"/>
  <c r="J243" i="3"/>
  <c r="I243" i="3" a="1"/>
  <c r="I243" i="3"/>
  <c r="H243" i="3" a="1"/>
  <c r="H243" i="3" s="1"/>
  <c r="G243" i="3" a="1"/>
  <c r="G243" i="3" s="1"/>
  <c r="F243" i="3" a="1"/>
  <c r="F243" i="3" s="1"/>
  <c r="E243" i="3" a="1"/>
  <c r="E243" i="3" s="1"/>
  <c r="D243" i="3" a="1"/>
  <c r="D243" i="3"/>
  <c r="A243" i="3"/>
  <c r="AD242" i="3" a="1"/>
  <c r="AD242" i="3"/>
  <c r="AC242" i="3" a="1"/>
  <c r="AC242" i="3"/>
  <c r="AB242" i="3" a="1"/>
  <c r="AB242" i="3" s="1"/>
  <c r="AA242" i="3" a="1"/>
  <c r="AA242" i="3"/>
  <c r="Z242" i="3" a="1"/>
  <c r="Z242" i="3" s="1"/>
  <c r="Y242" i="3" a="1"/>
  <c r="Y242" i="3"/>
  <c r="X242" i="3" a="1"/>
  <c r="X242" i="3"/>
  <c r="W242" i="3" a="1"/>
  <c r="W242" i="3"/>
  <c r="V242" i="3" a="1"/>
  <c r="V242" i="3" s="1"/>
  <c r="U242" i="3" a="1"/>
  <c r="U242" i="3"/>
  <c r="T242" i="3" a="1"/>
  <c r="T242" i="3" s="1"/>
  <c r="S242" i="3" a="1"/>
  <c r="S242" i="3"/>
  <c r="R242" i="3" a="1"/>
  <c r="R242" i="3"/>
  <c r="Q242" i="3" a="1"/>
  <c r="Q242" i="3"/>
  <c r="P242" i="3" a="1"/>
  <c r="P242" i="3" s="1"/>
  <c r="O242" i="3" a="1"/>
  <c r="O242" i="3"/>
  <c r="N242" i="3" a="1"/>
  <c r="N242" i="3" s="1"/>
  <c r="M242" i="3" a="1"/>
  <c r="M242" i="3"/>
  <c r="L242" i="3" a="1"/>
  <c r="L242" i="3"/>
  <c r="K242" i="3" a="1"/>
  <c r="K242" i="3"/>
  <c r="J242" i="3" a="1"/>
  <c r="J242" i="3" s="1"/>
  <c r="I242" i="3" a="1"/>
  <c r="I242" i="3"/>
  <c r="H242" i="3" a="1"/>
  <c r="H242" i="3" s="1"/>
  <c r="G242" i="3" a="1"/>
  <c r="G242" i="3"/>
  <c r="A242" i="3"/>
  <c r="AD241" i="3" a="1"/>
  <c r="AD241" i="3"/>
  <c r="AC241" i="3" a="1"/>
  <c r="AC241" i="3" s="1"/>
  <c r="AB241" i="3" a="1"/>
  <c r="AB241" i="3" s="1"/>
  <c r="AA241" i="3" a="1"/>
  <c r="AA241" i="3"/>
  <c r="Z241" i="3" a="1"/>
  <c r="Z241" i="3"/>
  <c r="Y241" i="3" a="1"/>
  <c r="Y241" i="3" s="1"/>
  <c r="X241" i="3" a="1"/>
  <c r="X241" i="3" s="1"/>
  <c r="W241" i="3" a="1"/>
  <c r="W241" i="3" s="1"/>
  <c r="V241" i="3" a="1"/>
  <c r="V241" i="3" s="1"/>
  <c r="U241" i="3" a="1"/>
  <c r="U241" i="3"/>
  <c r="T241" i="3" a="1"/>
  <c r="T241" i="3"/>
  <c r="S241" i="3" a="1"/>
  <c r="S241" i="3" s="1"/>
  <c r="R241" i="3" a="1"/>
  <c r="R241" i="3" s="1"/>
  <c r="Q241" i="3" a="1"/>
  <c r="Q241" i="3" s="1"/>
  <c r="P241" i="3" a="1"/>
  <c r="P241" i="3" s="1"/>
  <c r="O241" i="3" a="1"/>
  <c r="O241" i="3"/>
  <c r="N241" i="3" a="1"/>
  <c r="N241" i="3"/>
  <c r="M241" i="3" a="1"/>
  <c r="M241" i="3" s="1"/>
  <c r="L241" i="3" a="1"/>
  <c r="L241" i="3" s="1"/>
  <c r="K241" i="3" a="1"/>
  <c r="K241" i="3" s="1"/>
  <c r="J241" i="3" a="1"/>
  <c r="J241" i="3" s="1"/>
  <c r="I241" i="3" a="1"/>
  <c r="I241" i="3"/>
  <c r="H241" i="3" a="1"/>
  <c r="H241" i="3"/>
  <c r="G241" i="3" a="1"/>
  <c r="G241" i="3" s="1"/>
  <c r="F241" i="3" a="1"/>
  <c r="F241" i="3" s="1"/>
  <c r="A241" i="3"/>
  <c r="AD240" i="3" a="1"/>
  <c r="AD240" i="3"/>
  <c r="AC240" i="3" a="1"/>
  <c r="AC240" i="3"/>
  <c r="AB240" i="3" a="1"/>
  <c r="AB240" i="3"/>
  <c r="AA240" i="3" a="1"/>
  <c r="AA240" i="3" s="1"/>
  <c r="Z240" i="3" a="1"/>
  <c r="Z240" i="3"/>
  <c r="Y240" i="3" a="1"/>
  <c r="Y240" i="3" s="1"/>
  <c r="X240" i="3" a="1"/>
  <c r="X240" i="3"/>
  <c r="W240" i="3" a="1"/>
  <c r="W240" i="3"/>
  <c r="V240" i="3" a="1"/>
  <c r="V240" i="3"/>
  <c r="U240" i="3" a="1"/>
  <c r="U240" i="3" s="1"/>
  <c r="T240" i="3" a="1"/>
  <c r="T240" i="3"/>
  <c r="S240" i="3" a="1"/>
  <c r="S240" i="3" s="1"/>
  <c r="R240" i="3" a="1"/>
  <c r="R240" i="3"/>
  <c r="Q240" i="3" a="1"/>
  <c r="Q240" i="3"/>
  <c r="P240" i="3" a="1"/>
  <c r="P240" i="3"/>
  <c r="O240" i="3" a="1"/>
  <c r="O240" i="3" s="1"/>
  <c r="N240" i="3" a="1"/>
  <c r="N240" i="3"/>
  <c r="M240" i="3" a="1"/>
  <c r="M240" i="3" s="1"/>
  <c r="L240" i="3" a="1"/>
  <c r="L240" i="3"/>
  <c r="K240" i="3" a="1"/>
  <c r="K240" i="3"/>
  <c r="J240" i="3" a="1"/>
  <c r="J240" i="3"/>
  <c r="I240" i="3" a="1"/>
  <c r="I240" i="3" s="1"/>
  <c r="H240" i="3" a="1"/>
  <c r="H240" i="3"/>
  <c r="G240" i="3" a="1"/>
  <c r="G240" i="3" s="1"/>
  <c r="F240" i="3" a="1"/>
  <c r="F240" i="3"/>
  <c r="A240" i="3"/>
  <c r="AD239" i="3" a="1"/>
  <c r="AD239" i="3" s="1"/>
  <c r="AC239" i="3" a="1"/>
  <c r="AC239" i="3" s="1"/>
  <c r="AB239" i="3" a="1"/>
  <c r="AB239" i="3" s="1"/>
  <c r="AA239" i="3" a="1"/>
  <c r="AA239" i="3" s="1"/>
  <c r="Z239" i="3" a="1"/>
  <c r="Z239" i="3"/>
  <c r="Y239" i="3" a="1"/>
  <c r="Y239" i="3"/>
  <c r="X239" i="3" a="1"/>
  <c r="X239" i="3" s="1"/>
  <c r="W239" i="3" a="1"/>
  <c r="W239" i="3" s="1"/>
  <c r="V239" i="3" a="1"/>
  <c r="V239" i="3" s="1"/>
  <c r="U239" i="3" a="1"/>
  <c r="U239" i="3" s="1"/>
  <c r="T239" i="3" a="1"/>
  <c r="T239" i="3"/>
  <c r="S239" i="3" a="1"/>
  <c r="S239" i="3"/>
  <c r="R239" i="3" a="1"/>
  <c r="R239" i="3" s="1"/>
  <c r="Q239" i="3" a="1"/>
  <c r="Q239" i="3" s="1"/>
  <c r="P239" i="3" a="1"/>
  <c r="P239" i="3" s="1"/>
  <c r="O239" i="3" a="1"/>
  <c r="O239" i="3" s="1"/>
  <c r="N239" i="3" a="1"/>
  <c r="N239" i="3"/>
  <c r="M239" i="3" a="1"/>
  <c r="M239" i="3"/>
  <c r="L239" i="3" a="1"/>
  <c r="L239" i="3" s="1"/>
  <c r="K239" i="3" a="1"/>
  <c r="K239" i="3" s="1"/>
  <c r="J239" i="3" a="1"/>
  <c r="J239" i="3" s="1"/>
  <c r="I239" i="3" a="1"/>
  <c r="I239" i="3" s="1"/>
  <c r="H239" i="3" a="1"/>
  <c r="H239" i="3"/>
  <c r="G239" i="3" a="1"/>
  <c r="G239" i="3"/>
  <c r="F239" i="3" a="1"/>
  <c r="F239" i="3" s="1"/>
  <c r="E239" i="3" a="1"/>
  <c r="E239" i="3" s="1"/>
  <c r="A239" i="3"/>
  <c r="AD238" i="3" a="1"/>
  <c r="AD238" i="3" s="1"/>
  <c r="AC238" i="3" a="1"/>
  <c r="AC238" i="3"/>
  <c r="AB238" i="3" a="1"/>
  <c r="AB238" i="3"/>
  <c r="AA238" i="3" a="1"/>
  <c r="AA238" i="3"/>
  <c r="Z238" i="3" a="1"/>
  <c r="Z238" i="3"/>
  <c r="Y238" i="3" a="1"/>
  <c r="Y238" i="3"/>
  <c r="X238" i="3" a="1"/>
  <c r="X238" i="3" s="1"/>
  <c r="W238" i="3" a="1"/>
  <c r="W238" i="3"/>
  <c r="V238" i="3" a="1"/>
  <c r="V238" i="3"/>
  <c r="U238" i="3" a="1"/>
  <c r="U238" i="3" s="1"/>
  <c r="T238" i="3" a="1"/>
  <c r="T238" i="3" s="1"/>
  <c r="S238" i="3" a="1"/>
  <c r="S238" i="3"/>
  <c r="R238" i="3" a="1"/>
  <c r="R238" i="3" s="1"/>
  <c r="Q238" i="3" a="1"/>
  <c r="Q238" i="3"/>
  <c r="P238" i="3" a="1"/>
  <c r="P238" i="3" s="1"/>
  <c r="O238" i="3" a="1"/>
  <c r="O238" i="3"/>
  <c r="N238" i="3" a="1"/>
  <c r="N238" i="3" s="1"/>
  <c r="M238" i="3" a="1"/>
  <c r="M238" i="3"/>
  <c r="L238" i="3" a="1"/>
  <c r="L238" i="3" s="1"/>
  <c r="K238" i="3" a="1"/>
  <c r="K238" i="3"/>
  <c r="J238" i="3" a="1"/>
  <c r="J238" i="3" s="1"/>
  <c r="I238" i="3" a="1"/>
  <c r="I238" i="3" s="1"/>
  <c r="H238" i="3" a="1"/>
  <c r="H238" i="3" s="1"/>
  <c r="G238" i="3" a="1"/>
  <c r="G238" i="3"/>
  <c r="F238" i="3" a="1"/>
  <c r="F238" i="3" s="1"/>
  <c r="A238" i="3"/>
  <c r="AD237" i="3" a="1"/>
  <c r="AD237" i="3"/>
  <c r="AC237" i="3" a="1"/>
  <c r="AC237" i="3" s="1"/>
  <c r="AB237" i="3" a="1"/>
  <c r="AB237" i="3"/>
  <c r="AA237" i="3" a="1"/>
  <c r="AA237" i="3" s="1"/>
  <c r="Z237" i="3" a="1"/>
  <c r="Z237" i="3" s="1"/>
  <c r="Y237" i="3" a="1"/>
  <c r="Y237" i="3"/>
  <c r="X237" i="3" a="1"/>
  <c r="X237" i="3"/>
  <c r="W237" i="3" a="1"/>
  <c r="W237" i="3" s="1"/>
  <c r="V237" i="3" a="1"/>
  <c r="V237" i="3" s="1"/>
  <c r="U237" i="3" a="1"/>
  <c r="U237" i="3"/>
  <c r="T237" i="3" a="1"/>
  <c r="T237" i="3" s="1"/>
  <c r="S237" i="3" a="1"/>
  <c r="S237" i="3"/>
  <c r="R237" i="3" a="1"/>
  <c r="R237" i="3" s="1"/>
  <c r="Q237" i="3" a="1"/>
  <c r="Q237" i="3" s="1"/>
  <c r="P237" i="3" a="1"/>
  <c r="P237" i="3" s="1"/>
  <c r="O237" i="3" a="1"/>
  <c r="O237" i="3" s="1"/>
  <c r="N237" i="3" a="1"/>
  <c r="N237" i="3" s="1"/>
  <c r="M237" i="3" a="1"/>
  <c r="M237" i="3"/>
  <c r="L237" i="3" a="1"/>
  <c r="L237" i="3"/>
  <c r="K237" i="3" a="1"/>
  <c r="K237" i="3" s="1"/>
  <c r="J237" i="3" a="1"/>
  <c r="J237" i="3"/>
  <c r="I237" i="3" a="1"/>
  <c r="I237" i="3" s="1"/>
  <c r="H237" i="3" a="1"/>
  <c r="H237" i="3" s="1"/>
  <c r="G237" i="3" a="1"/>
  <c r="G237" i="3"/>
  <c r="F237" i="3" a="1"/>
  <c r="F237" i="3"/>
  <c r="A237" i="3"/>
  <c r="AD236" i="3" a="1"/>
  <c r="AD236" i="3"/>
  <c r="AC236" i="3" a="1"/>
  <c r="AC236" i="3"/>
  <c r="AB236" i="3" a="1"/>
  <c r="AB236" i="3"/>
  <c r="AA236" i="3" a="1"/>
  <c r="AA236" i="3" s="1"/>
  <c r="Z236" i="3" a="1"/>
  <c r="Z236" i="3"/>
  <c r="Y236" i="3" a="1"/>
  <c r="Y236" i="3"/>
  <c r="X236" i="3" a="1"/>
  <c r="X236" i="3"/>
  <c r="W236" i="3" a="1"/>
  <c r="W236" i="3"/>
  <c r="V236" i="3" a="1"/>
  <c r="V236" i="3"/>
  <c r="U236" i="3" a="1"/>
  <c r="U236" i="3" s="1"/>
  <c r="T236" i="3" a="1"/>
  <c r="T236" i="3"/>
  <c r="S236" i="3" a="1"/>
  <c r="S236" i="3"/>
  <c r="R236" i="3" a="1"/>
  <c r="R236" i="3"/>
  <c r="Q236" i="3" a="1"/>
  <c r="Q236" i="3"/>
  <c r="P236" i="3" a="1"/>
  <c r="P236" i="3"/>
  <c r="O236" i="3" a="1"/>
  <c r="O236" i="3" s="1"/>
  <c r="N236" i="3" a="1"/>
  <c r="N236" i="3"/>
  <c r="M236" i="3" a="1"/>
  <c r="M236" i="3" s="1"/>
  <c r="L236" i="3" a="1"/>
  <c r="L236" i="3" s="1"/>
  <c r="K236" i="3" a="1"/>
  <c r="K236" i="3"/>
  <c r="J236" i="3" a="1"/>
  <c r="J236" i="3" s="1"/>
  <c r="I236" i="3" a="1"/>
  <c r="I236" i="3" s="1"/>
  <c r="A236" i="3"/>
  <c r="AD235" i="3" a="1"/>
  <c r="AD235" i="3"/>
  <c r="AC235" i="3" a="1"/>
  <c r="AC235" i="3" s="1"/>
  <c r="AB235" i="3" a="1"/>
  <c r="AB235" i="3" s="1"/>
  <c r="AA235" i="3" a="1"/>
  <c r="AA235" i="3"/>
  <c r="Z235" i="3" a="1"/>
  <c r="Z235" i="3"/>
  <c r="Y235" i="3" a="1"/>
  <c r="Y235" i="3" s="1"/>
  <c r="X235" i="3" a="1"/>
  <c r="X235" i="3"/>
  <c r="W235" i="3" a="1"/>
  <c r="W235" i="3" s="1"/>
  <c r="V235" i="3" a="1"/>
  <c r="V235" i="3" s="1"/>
  <c r="U235" i="3" a="1"/>
  <c r="U235" i="3"/>
  <c r="T235" i="3" a="1"/>
  <c r="T235" i="3" s="1"/>
  <c r="S235" i="3" a="1"/>
  <c r="S235" i="3" s="1"/>
  <c r="R235" i="3" a="1"/>
  <c r="R235" i="3"/>
  <c r="Q235" i="3" a="1"/>
  <c r="Q235" i="3"/>
  <c r="P235" i="3" a="1"/>
  <c r="P235" i="3" s="1"/>
  <c r="O235" i="3" a="1"/>
  <c r="O235" i="3" s="1"/>
  <c r="N235" i="3" a="1"/>
  <c r="N235" i="3"/>
  <c r="M235" i="3" a="1"/>
  <c r="M235" i="3" s="1"/>
  <c r="L235" i="3" a="1"/>
  <c r="L235" i="3"/>
  <c r="K235" i="3" a="1"/>
  <c r="K235" i="3" s="1"/>
  <c r="J235" i="3" a="1"/>
  <c r="J235" i="3" s="1"/>
  <c r="I235" i="3" a="1"/>
  <c r="I235" i="3" s="1"/>
  <c r="H235" i="3" a="1"/>
  <c r="H235" i="3" s="1"/>
  <c r="G235" i="3" a="1"/>
  <c r="G235" i="3" s="1"/>
  <c r="F235" i="3" a="1"/>
  <c r="F235" i="3"/>
  <c r="E235" i="3" a="1"/>
  <c r="E235" i="3" s="1"/>
  <c r="D235" i="3" a="1"/>
  <c r="D235" i="3"/>
  <c r="A235" i="3"/>
  <c r="AD234" i="3" a="1"/>
  <c r="AD234" i="3"/>
  <c r="AC234" i="3" a="1"/>
  <c r="AC234" i="3" s="1"/>
  <c r="AB234" i="3" a="1"/>
  <c r="AB234" i="3" s="1"/>
  <c r="AA234" i="3" a="1"/>
  <c r="AA234" i="3" s="1"/>
  <c r="Z234" i="3" a="1"/>
  <c r="Z234" i="3" s="1"/>
  <c r="Y234" i="3" a="1"/>
  <c r="Y234" i="3" s="1"/>
  <c r="X234" i="3" a="1"/>
  <c r="X234" i="3"/>
  <c r="W234" i="3" a="1"/>
  <c r="W234" i="3" s="1"/>
  <c r="V234" i="3" a="1"/>
  <c r="V234" i="3" s="1"/>
  <c r="U234" i="3" a="1"/>
  <c r="U234" i="3" s="1"/>
  <c r="T234" i="3" a="1"/>
  <c r="T234" i="3" s="1"/>
  <c r="S234" i="3" a="1"/>
  <c r="S234" i="3" s="1"/>
  <c r="R234" i="3" a="1"/>
  <c r="R234" i="3"/>
  <c r="Q234" i="3" a="1"/>
  <c r="Q234" i="3" s="1"/>
  <c r="P234" i="3" a="1"/>
  <c r="P234" i="3" s="1"/>
  <c r="O234" i="3" a="1"/>
  <c r="O234" i="3" s="1"/>
  <c r="N234" i="3" a="1"/>
  <c r="N234" i="3" s="1"/>
  <c r="M234" i="3" a="1"/>
  <c r="M234" i="3" s="1"/>
  <c r="L234" i="3" a="1"/>
  <c r="L234" i="3"/>
  <c r="K234" i="3" a="1"/>
  <c r="K234" i="3" s="1"/>
  <c r="J234" i="3" a="1"/>
  <c r="J234" i="3" s="1"/>
  <c r="I234" i="3" a="1"/>
  <c r="I234" i="3" s="1"/>
  <c r="H234" i="3" a="1"/>
  <c r="H234" i="3" s="1"/>
  <c r="G234" i="3" a="1"/>
  <c r="G234" i="3" s="1"/>
  <c r="F234" i="3" a="1"/>
  <c r="F234" i="3"/>
  <c r="E234" i="3" a="1"/>
  <c r="E234" i="3" s="1"/>
  <c r="D234" i="3" a="1"/>
  <c r="D234" i="3" s="1"/>
  <c r="A234" i="3"/>
  <c r="AD233" i="3" a="1"/>
  <c r="AD233" i="3" s="1"/>
  <c r="AC233" i="3" a="1"/>
  <c r="AC233" i="3" s="1"/>
  <c r="AB233" i="3" a="1"/>
  <c r="AB233" i="3" s="1"/>
  <c r="AA233" i="3" a="1"/>
  <c r="AA233" i="3" s="1"/>
  <c r="Z233" i="3" a="1"/>
  <c r="Z233" i="3" s="1"/>
  <c r="Y233" i="3" a="1"/>
  <c r="Y233" i="3" s="1"/>
  <c r="X233" i="3" a="1"/>
  <c r="X233" i="3" s="1"/>
  <c r="W233" i="3" a="1"/>
  <c r="W233" i="3"/>
  <c r="V233" i="3" a="1"/>
  <c r="V233" i="3"/>
  <c r="U233" i="3" a="1"/>
  <c r="U233" i="3"/>
  <c r="T233" i="3" a="1"/>
  <c r="T233" i="3"/>
  <c r="S233" i="3" a="1"/>
  <c r="S233" i="3"/>
  <c r="R233" i="3" a="1"/>
  <c r="R233" i="3" s="1"/>
  <c r="Q233" i="3" a="1"/>
  <c r="Q233" i="3" s="1"/>
  <c r="P233" i="3" a="1"/>
  <c r="P233" i="3" s="1"/>
  <c r="O233" i="3" a="1"/>
  <c r="O233" i="3" s="1"/>
  <c r="N233" i="3" a="1"/>
  <c r="N233" i="3" s="1"/>
  <c r="M233" i="3" a="1"/>
  <c r="M233" i="3" s="1"/>
  <c r="L233" i="3" a="1"/>
  <c r="L233" i="3" s="1"/>
  <c r="K233" i="3" a="1"/>
  <c r="K233" i="3" s="1"/>
  <c r="J233" i="3" a="1"/>
  <c r="J233" i="3"/>
  <c r="I233" i="3" a="1"/>
  <c r="I233" i="3"/>
  <c r="H233" i="3" a="1"/>
  <c r="H233" i="3"/>
  <c r="G233" i="3" a="1"/>
  <c r="G233" i="3"/>
  <c r="F233" i="3" a="1"/>
  <c r="F233" i="3" s="1"/>
  <c r="A233" i="3"/>
  <c r="AD232" i="3" a="1"/>
  <c r="AD232" i="3"/>
  <c r="AC232" i="3" a="1"/>
  <c r="AC232" i="3"/>
  <c r="AB232" i="3" a="1"/>
  <c r="AB232" i="3" s="1"/>
  <c r="AA232" i="3" a="1"/>
  <c r="AA232" i="3"/>
  <c r="Z232" i="3" a="1"/>
  <c r="Z232" i="3"/>
  <c r="Y232" i="3" a="1"/>
  <c r="Y232" i="3"/>
  <c r="X232" i="3" a="1"/>
  <c r="X232" i="3"/>
  <c r="W232" i="3" a="1"/>
  <c r="W232" i="3"/>
  <c r="V232" i="3" a="1"/>
  <c r="V232" i="3" s="1"/>
  <c r="U232" i="3" a="1"/>
  <c r="U232" i="3"/>
  <c r="T232" i="3" a="1"/>
  <c r="T232" i="3"/>
  <c r="S232" i="3" a="1"/>
  <c r="S232" i="3"/>
  <c r="R232" i="3" a="1"/>
  <c r="R232" i="3"/>
  <c r="Q232" i="3" a="1"/>
  <c r="Q232" i="3"/>
  <c r="P232" i="3" a="1"/>
  <c r="P232" i="3" s="1"/>
  <c r="O232" i="3" a="1"/>
  <c r="O232" i="3"/>
  <c r="N232" i="3" a="1"/>
  <c r="N232" i="3"/>
  <c r="M232" i="3" a="1"/>
  <c r="M232" i="3"/>
  <c r="L232" i="3" a="1"/>
  <c r="L232" i="3"/>
  <c r="K232" i="3" a="1"/>
  <c r="K232" i="3"/>
  <c r="J232" i="3" a="1"/>
  <c r="J232" i="3" s="1"/>
  <c r="I232" i="3" a="1"/>
  <c r="I232" i="3"/>
  <c r="H232" i="3" a="1"/>
  <c r="H232" i="3"/>
  <c r="G232" i="3" a="1"/>
  <c r="G232" i="3" s="1"/>
  <c r="F232" i="3" a="1"/>
  <c r="F232" i="3"/>
  <c r="E232" i="3" a="1"/>
  <c r="E232" i="3"/>
  <c r="D232" i="3" a="1"/>
  <c r="D232" i="3" s="1"/>
  <c r="A232" i="3"/>
  <c r="AD231" i="3" a="1"/>
  <c r="AD231" i="3" s="1"/>
  <c r="AC231" i="3" a="1"/>
  <c r="AC231" i="3" s="1"/>
  <c r="AB231" i="3" a="1"/>
  <c r="AB231" i="3"/>
  <c r="AA231" i="3" a="1"/>
  <c r="AA231" i="3"/>
  <c r="Z231" i="3" a="1"/>
  <c r="Z231" i="3"/>
  <c r="Y231" i="3" a="1"/>
  <c r="Y231" i="3" s="1"/>
  <c r="X231" i="3" a="1"/>
  <c r="X231" i="3" s="1"/>
  <c r="W231" i="3" a="1"/>
  <c r="W231" i="3" s="1"/>
  <c r="V231" i="3" a="1"/>
  <c r="V231" i="3"/>
  <c r="U231" i="3" a="1"/>
  <c r="U231" i="3"/>
  <c r="T231" i="3" a="1"/>
  <c r="T231" i="3"/>
  <c r="S231" i="3" a="1"/>
  <c r="S231" i="3" s="1"/>
  <c r="R231" i="3" a="1"/>
  <c r="R231" i="3" s="1"/>
  <c r="Q231" i="3" a="1"/>
  <c r="Q231" i="3" s="1"/>
  <c r="P231" i="3" a="1"/>
  <c r="P231" i="3"/>
  <c r="O231" i="3" a="1"/>
  <c r="O231" i="3" s="1"/>
  <c r="N231" i="3" a="1"/>
  <c r="N231" i="3" s="1"/>
  <c r="M231" i="3" a="1"/>
  <c r="M231" i="3" s="1"/>
  <c r="L231" i="3" a="1"/>
  <c r="L231" i="3" s="1"/>
  <c r="K231" i="3" a="1"/>
  <c r="K231" i="3" s="1"/>
  <c r="J231" i="3" a="1"/>
  <c r="J231" i="3"/>
  <c r="I231" i="3" a="1"/>
  <c r="I231" i="3" s="1"/>
  <c r="H231" i="3" a="1"/>
  <c r="H231" i="3" s="1"/>
  <c r="G231" i="3" a="1"/>
  <c r="G231" i="3" s="1"/>
  <c r="F231" i="3" a="1"/>
  <c r="F231" i="3" s="1"/>
  <c r="A231" i="3"/>
  <c r="AD230" i="3" a="1"/>
  <c r="AD230" i="3"/>
  <c r="AC230" i="3" a="1"/>
  <c r="AC230" i="3"/>
  <c r="AB230" i="3" a="1"/>
  <c r="AB230" i="3"/>
  <c r="AA230" i="3" a="1"/>
  <c r="AA230" i="3" s="1"/>
  <c r="Z230" i="3" a="1"/>
  <c r="Z230" i="3"/>
  <c r="Y230" i="3" a="1"/>
  <c r="Y230" i="3"/>
  <c r="X230" i="3" a="1"/>
  <c r="X230" i="3"/>
  <c r="W230" i="3" a="1"/>
  <c r="W230" i="3"/>
  <c r="V230" i="3" a="1"/>
  <c r="V230" i="3"/>
  <c r="U230" i="3" a="1"/>
  <c r="U230" i="3" s="1"/>
  <c r="T230" i="3" a="1"/>
  <c r="T230" i="3"/>
  <c r="S230" i="3" a="1"/>
  <c r="S230" i="3"/>
  <c r="R230" i="3" a="1"/>
  <c r="R230" i="3"/>
  <c r="Q230" i="3" a="1"/>
  <c r="Q230" i="3"/>
  <c r="P230" i="3" a="1"/>
  <c r="P230" i="3"/>
  <c r="O230" i="3" a="1"/>
  <c r="O230" i="3" s="1"/>
  <c r="N230" i="3" a="1"/>
  <c r="N230" i="3"/>
  <c r="M230" i="3" a="1"/>
  <c r="M230" i="3"/>
  <c r="L230" i="3" a="1"/>
  <c r="L230" i="3"/>
  <c r="K230" i="3" a="1"/>
  <c r="K230" i="3"/>
  <c r="J230" i="3" a="1"/>
  <c r="J230" i="3"/>
  <c r="I230" i="3" a="1"/>
  <c r="I230" i="3" s="1"/>
  <c r="H230" i="3" a="1"/>
  <c r="H230" i="3"/>
  <c r="G230" i="3" a="1"/>
  <c r="G230" i="3"/>
  <c r="F230" i="3" a="1"/>
  <c r="F230" i="3"/>
  <c r="E230" i="3" a="1"/>
  <c r="E230" i="3"/>
  <c r="A230" i="3"/>
  <c r="AD229" i="3" a="1"/>
  <c r="AD229" i="3" s="1"/>
  <c r="AC229" i="3" a="1"/>
  <c r="AC229" i="3" s="1"/>
  <c r="AB229" i="3" a="1"/>
  <c r="AB229" i="3" s="1"/>
  <c r="AA229" i="3" a="1"/>
  <c r="AA229" i="3"/>
  <c r="Z229" i="3" a="1"/>
  <c r="Z229" i="3"/>
  <c r="Y229" i="3" a="1"/>
  <c r="Y229" i="3"/>
  <c r="X229" i="3" a="1"/>
  <c r="X229" i="3" s="1"/>
  <c r="W229" i="3" a="1"/>
  <c r="W229" i="3" s="1"/>
  <c r="V229" i="3" a="1"/>
  <c r="V229" i="3" s="1"/>
  <c r="U229" i="3" a="1"/>
  <c r="U229" i="3"/>
  <c r="A229" i="3"/>
  <c r="AD228" i="3" a="1"/>
  <c r="AD228" i="3"/>
  <c r="AC228" i="3" a="1"/>
  <c r="AC228" i="3"/>
  <c r="AB228" i="3" a="1"/>
  <c r="AB228" i="3"/>
  <c r="AA228" i="3" a="1"/>
  <c r="AA228" i="3"/>
  <c r="Z228" i="3" a="1"/>
  <c r="Z228" i="3" s="1"/>
  <c r="Y228" i="3" a="1"/>
  <c r="Y228" i="3"/>
  <c r="X228" i="3" a="1"/>
  <c r="X228" i="3"/>
  <c r="W228" i="3" a="1"/>
  <c r="W228" i="3"/>
  <c r="V228" i="3" a="1"/>
  <c r="V228" i="3"/>
  <c r="U228" i="3" a="1"/>
  <c r="U228" i="3"/>
  <c r="T228" i="3" a="1"/>
  <c r="T228" i="3" s="1"/>
  <c r="S228" i="3" a="1"/>
  <c r="S228" i="3"/>
  <c r="R228" i="3" a="1"/>
  <c r="R228" i="3"/>
  <c r="Q228" i="3" a="1"/>
  <c r="Q228" i="3"/>
  <c r="P228" i="3" a="1"/>
  <c r="P228" i="3"/>
  <c r="O228" i="3" a="1"/>
  <c r="O228" i="3"/>
  <c r="N228" i="3" a="1"/>
  <c r="N228" i="3" s="1"/>
  <c r="M228" i="3" a="1"/>
  <c r="M228" i="3"/>
  <c r="L228" i="3" a="1"/>
  <c r="L228" i="3"/>
  <c r="K228" i="3" a="1"/>
  <c r="K228" i="3"/>
  <c r="J228" i="3" a="1"/>
  <c r="J228" i="3"/>
  <c r="I228" i="3" a="1"/>
  <c r="I228" i="3"/>
  <c r="H228" i="3" a="1"/>
  <c r="H228" i="3" s="1"/>
  <c r="G228" i="3" a="1"/>
  <c r="G228" i="3"/>
  <c r="F228" i="3" a="1"/>
  <c r="F228" i="3"/>
  <c r="A228" i="3"/>
  <c r="AD227" i="3" a="1"/>
  <c r="AD227" i="3"/>
  <c r="AC227" i="3" a="1"/>
  <c r="AC227" i="3" s="1"/>
  <c r="AB227" i="3" a="1"/>
  <c r="AB227" i="3" s="1"/>
  <c r="AA227" i="3" a="1"/>
  <c r="AA227" i="3" s="1"/>
  <c r="Z227" i="3" a="1"/>
  <c r="Z227" i="3"/>
  <c r="Y227" i="3" a="1"/>
  <c r="Y227" i="3"/>
  <c r="X227" i="3" a="1"/>
  <c r="X227" i="3"/>
  <c r="W227" i="3" a="1"/>
  <c r="W227" i="3" s="1"/>
  <c r="V227" i="3" a="1"/>
  <c r="V227" i="3" s="1"/>
  <c r="U227" i="3" a="1"/>
  <c r="U227" i="3" s="1"/>
  <c r="T227" i="3" a="1"/>
  <c r="T227" i="3"/>
  <c r="S227" i="3" a="1"/>
  <c r="S227" i="3"/>
  <c r="R227" i="3" a="1"/>
  <c r="R227" i="3"/>
  <c r="Q227" i="3" a="1"/>
  <c r="Q227" i="3" s="1"/>
  <c r="P227" i="3" a="1"/>
  <c r="P227" i="3" s="1"/>
  <c r="O227" i="3" a="1"/>
  <c r="O227" i="3" s="1"/>
  <c r="N227" i="3" a="1"/>
  <c r="N227" i="3"/>
  <c r="M227" i="3" a="1"/>
  <c r="M227" i="3" s="1"/>
  <c r="L227" i="3" a="1"/>
  <c r="L227" i="3"/>
  <c r="K227" i="3" a="1"/>
  <c r="K227" i="3" s="1"/>
  <c r="J227" i="3" a="1"/>
  <c r="J227" i="3" s="1"/>
  <c r="I227" i="3" a="1"/>
  <c r="I227" i="3" s="1"/>
  <c r="H227" i="3" a="1"/>
  <c r="H227" i="3"/>
  <c r="G227" i="3" a="1"/>
  <c r="G227" i="3" s="1"/>
  <c r="F227" i="3" a="1"/>
  <c r="F227" i="3"/>
  <c r="E227" i="3" a="1"/>
  <c r="E227" i="3" s="1"/>
  <c r="D227" i="3" a="1"/>
  <c r="D227" i="3" s="1"/>
  <c r="C227" i="3" a="1"/>
  <c r="C227" i="3" s="1"/>
  <c r="A227" i="3"/>
  <c r="AD226" i="3" a="1"/>
  <c r="AD226" i="3"/>
  <c r="AC226" i="3" a="1"/>
  <c r="AC226" i="3"/>
  <c r="AB226" i="3" a="1"/>
  <c r="AB226" i="3"/>
  <c r="AA226" i="3" a="1"/>
  <c r="AA226" i="3"/>
  <c r="Z226" i="3" a="1"/>
  <c r="Z226" i="3"/>
  <c r="Y226" i="3" a="1"/>
  <c r="Y226" i="3" s="1"/>
  <c r="X226" i="3" a="1"/>
  <c r="X226" i="3"/>
  <c r="W226" i="3" a="1"/>
  <c r="W226" i="3"/>
  <c r="V226" i="3" a="1"/>
  <c r="V226" i="3"/>
  <c r="U226" i="3" a="1"/>
  <c r="U226" i="3"/>
  <c r="T226" i="3" a="1"/>
  <c r="T226" i="3"/>
  <c r="S226" i="3" a="1"/>
  <c r="S226" i="3" s="1"/>
  <c r="R226" i="3" a="1"/>
  <c r="R226" i="3"/>
  <c r="Q226" i="3" a="1"/>
  <c r="Q226" i="3"/>
  <c r="P226" i="3" a="1"/>
  <c r="P226" i="3"/>
  <c r="O226" i="3" a="1"/>
  <c r="O226" i="3"/>
  <c r="N226" i="3" a="1"/>
  <c r="N226" i="3"/>
  <c r="M226" i="3" a="1"/>
  <c r="M226" i="3" s="1"/>
  <c r="L226" i="3" a="1"/>
  <c r="L226" i="3"/>
  <c r="K226" i="3" a="1"/>
  <c r="K226" i="3"/>
  <c r="J226" i="3" a="1"/>
  <c r="J226" i="3"/>
  <c r="I226" i="3" a="1"/>
  <c r="I226" i="3"/>
  <c r="H226" i="3" a="1"/>
  <c r="H226" i="3"/>
  <c r="G226" i="3" a="1"/>
  <c r="G226" i="3" s="1"/>
  <c r="F226" i="3" a="1"/>
  <c r="F226" i="3"/>
  <c r="E226" i="3" a="1"/>
  <c r="E226" i="3"/>
  <c r="D226" i="3" a="1"/>
  <c r="D226" i="3" s="1"/>
  <c r="C226" i="3" a="1"/>
  <c r="C226" i="3"/>
  <c r="A226" i="3"/>
  <c r="AD225" i="3" a="1"/>
  <c r="AD225" i="3"/>
  <c r="AC225" i="3" a="1"/>
  <c r="AC225" i="3"/>
  <c r="AB225" i="3" a="1"/>
  <c r="AB225" i="3" s="1"/>
  <c r="AA225" i="3" a="1"/>
  <c r="AA225" i="3" s="1"/>
  <c r="Z225" i="3" a="1"/>
  <c r="Z225" i="3" s="1"/>
  <c r="Y225" i="3" a="1"/>
  <c r="Y225" i="3"/>
  <c r="X225" i="3" a="1"/>
  <c r="X225" i="3"/>
  <c r="W225" i="3" a="1"/>
  <c r="W225" i="3"/>
  <c r="V225" i="3" a="1"/>
  <c r="V225" i="3" s="1"/>
  <c r="U225" i="3" a="1"/>
  <c r="U225" i="3" s="1"/>
  <c r="T225" i="3" a="1"/>
  <c r="T225" i="3" s="1"/>
  <c r="S225" i="3" a="1"/>
  <c r="S225" i="3"/>
  <c r="R225" i="3" a="1"/>
  <c r="R225" i="3" s="1"/>
  <c r="Q225" i="3" a="1"/>
  <c r="Q225" i="3"/>
  <c r="P225" i="3" a="1"/>
  <c r="P225" i="3" s="1"/>
  <c r="O225" i="3" a="1"/>
  <c r="O225" i="3" s="1"/>
  <c r="N225" i="3" a="1"/>
  <c r="N225" i="3" s="1"/>
  <c r="M225" i="3" a="1"/>
  <c r="M225" i="3"/>
  <c r="L225" i="3" a="1"/>
  <c r="L225" i="3" s="1"/>
  <c r="K225" i="3" a="1"/>
  <c r="K225" i="3"/>
  <c r="J225" i="3" a="1"/>
  <c r="J225" i="3" s="1"/>
  <c r="I225" i="3" a="1"/>
  <c r="I225" i="3" s="1"/>
  <c r="H225" i="3" a="1"/>
  <c r="H225" i="3" s="1"/>
  <c r="G225" i="3" a="1"/>
  <c r="G225" i="3"/>
  <c r="F225" i="3" a="1"/>
  <c r="F225" i="3" s="1"/>
  <c r="E225" i="3" a="1"/>
  <c r="E225" i="3"/>
  <c r="D225" i="3" a="1"/>
  <c r="D225" i="3" s="1"/>
  <c r="C225" i="3" a="1"/>
  <c r="C225" i="3" s="1"/>
  <c r="A225" i="3"/>
  <c r="AD224" i="3" a="1"/>
  <c r="AD224" i="3" s="1"/>
  <c r="AC224" i="3" a="1"/>
  <c r="AC224" i="3"/>
  <c r="AB224" i="3" a="1"/>
  <c r="AB224" i="3"/>
  <c r="AA224" i="3" a="1"/>
  <c r="AA224" i="3"/>
  <c r="Z224" i="3" a="1"/>
  <c r="Z224" i="3"/>
  <c r="Y224" i="3" a="1"/>
  <c r="Y224" i="3"/>
  <c r="X224" i="3" a="1"/>
  <c r="X224" i="3" s="1"/>
  <c r="W224" i="3" a="1"/>
  <c r="W224" i="3"/>
  <c r="V224" i="3" a="1"/>
  <c r="V224" i="3"/>
  <c r="U224" i="3" a="1"/>
  <c r="U224" i="3"/>
  <c r="T224" i="3" a="1"/>
  <c r="T224" i="3"/>
  <c r="S224" i="3" a="1"/>
  <c r="S224" i="3"/>
  <c r="R224" i="3" a="1"/>
  <c r="R224" i="3" s="1"/>
  <c r="Q224" i="3" a="1"/>
  <c r="Q224" i="3"/>
  <c r="P224" i="3" a="1"/>
  <c r="P224" i="3"/>
  <c r="O224" i="3" a="1"/>
  <c r="O224" i="3"/>
  <c r="N224" i="3" a="1"/>
  <c r="N224" i="3"/>
  <c r="M224" i="3" a="1"/>
  <c r="M224" i="3" s="1"/>
  <c r="L224" i="3" a="1"/>
  <c r="L224" i="3" s="1"/>
  <c r="K224" i="3" a="1"/>
  <c r="K224" i="3"/>
  <c r="J224" i="3" a="1"/>
  <c r="J224" i="3"/>
  <c r="I224" i="3" a="1"/>
  <c r="I224" i="3"/>
  <c r="H224" i="3" a="1"/>
  <c r="H224" i="3"/>
  <c r="G224" i="3" a="1"/>
  <c r="G224" i="3" s="1"/>
  <c r="F224" i="3" a="1"/>
  <c r="F224" i="3" s="1"/>
  <c r="E224" i="3" a="1"/>
  <c r="E224" i="3"/>
  <c r="D224" i="3" a="1"/>
  <c r="D224" i="3"/>
  <c r="C224" i="3" a="1"/>
  <c r="C224" i="3" s="1"/>
  <c r="A224" i="3"/>
  <c r="AD223" i="3" a="1"/>
  <c r="AD223" i="3"/>
  <c r="AC223" i="3" a="1"/>
  <c r="AC223" i="3"/>
  <c r="AB223" i="3" a="1"/>
  <c r="AB223" i="3"/>
  <c r="AA223" i="3" a="1"/>
  <c r="AA223" i="3" s="1"/>
  <c r="Z223" i="3" a="1"/>
  <c r="Z223" i="3" s="1"/>
  <c r="Y223" i="3" a="1"/>
  <c r="Y223" i="3" s="1"/>
  <c r="X223" i="3" a="1"/>
  <c r="X223" i="3"/>
  <c r="W223" i="3" a="1"/>
  <c r="W223" i="3"/>
  <c r="V223" i="3" a="1"/>
  <c r="V223" i="3"/>
  <c r="U223" i="3" a="1"/>
  <c r="U223" i="3" s="1"/>
  <c r="T223" i="3" a="1"/>
  <c r="T223" i="3" s="1"/>
  <c r="S223" i="3" a="1"/>
  <c r="S223" i="3" s="1"/>
  <c r="R223" i="3" a="1"/>
  <c r="R223" i="3"/>
  <c r="Q223" i="3" a="1"/>
  <c r="Q223" i="3"/>
  <c r="P223" i="3" a="1"/>
  <c r="P223" i="3"/>
  <c r="O223" i="3" a="1"/>
  <c r="O223" i="3" s="1"/>
  <c r="N223" i="3" a="1"/>
  <c r="N223" i="3" s="1"/>
  <c r="M223" i="3" a="1"/>
  <c r="M223" i="3" s="1"/>
  <c r="L223" i="3" a="1"/>
  <c r="L223" i="3"/>
  <c r="K223" i="3" a="1"/>
  <c r="K223" i="3"/>
  <c r="J223" i="3" a="1"/>
  <c r="J223" i="3"/>
  <c r="I223" i="3" a="1"/>
  <c r="I223" i="3" s="1"/>
  <c r="H223" i="3" a="1"/>
  <c r="H223" i="3" s="1"/>
  <c r="G223" i="3" a="1"/>
  <c r="G223" i="3" s="1"/>
  <c r="F223" i="3" a="1"/>
  <c r="F223" i="3"/>
  <c r="E223" i="3" a="1"/>
  <c r="E223" i="3"/>
  <c r="D223" i="3" a="1"/>
  <c r="D223" i="3"/>
  <c r="A223" i="3"/>
  <c r="AD222" i="3" a="1"/>
  <c r="AD222" i="3" s="1"/>
  <c r="AC222" i="3" a="1"/>
  <c r="AC222" i="3" s="1"/>
  <c r="AB222" i="3" a="1"/>
  <c r="AB222" i="3"/>
  <c r="AA222" i="3" a="1"/>
  <c r="AA222" i="3"/>
  <c r="Z222" i="3" a="1"/>
  <c r="Z222" i="3"/>
  <c r="Y222" i="3" a="1"/>
  <c r="Y222" i="3"/>
  <c r="X222" i="3" a="1"/>
  <c r="X222" i="3" s="1"/>
  <c r="W222" i="3" a="1"/>
  <c r="W222" i="3" s="1"/>
  <c r="V222" i="3" a="1"/>
  <c r="V222" i="3"/>
  <c r="U222" i="3" a="1"/>
  <c r="U222" i="3"/>
  <c r="T222" i="3" a="1"/>
  <c r="T222" i="3"/>
  <c r="S222" i="3" a="1"/>
  <c r="S222" i="3"/>
  <c r="R222" i="3" a="1"/>
  <c r="R222" i="3" s="1"/>
  <c r="Q222" i="3" a="1"/>
  <c r="Q222" i="3" s="1"/>
  <c r="P222" i="3" a="1"/>
  <c r="P222" i="3"/>
  <c r="O222" i="3" a="1"/>
  <c r="O222" i="3"/>
  <c r="N222" i="3" a="1"/>
  <c r="N222" i="3"/>
  <c r="M222" i="3" a="1"/>
  <c r="M222" i="3" s="1"/>
  <c r="L222" i="3" a="1"/>
  <c r="L222" i="3" s="1"/>
  <c r="K222" i="3" a="1"/>
  <c r="K222" i="3" s="1"/>
  <c r="J222" i="3" a="1"/>
  <c r="J222" i="3"/>
  <c r="I222" i="3" a="1"/>
  <c r="I222" i="3"/>
  <c r="H222" i="3" a="1"/>
  <c r="H222" i="3"/>
  <c r="G222" i="3" a="1"/>
  <c r="G222" i="3" s="1"/>
  <c r="F222" i="3" a="1"/>
  <c r="F222" i="3" s="1"/>
  <c r="E222" i="3" a="1"/>
  <c r="E222" i="3" s="1"/>
  <c r="D222" i="3" a="1"/>
  <c r="D222" i="3"/>
  <c r="C222" i="3" a="1"/>
  <c r="C222" i="3" s="1"/>
  <c r="A222" i="3"/>
  <c r="AD221" i="3" a="1"/>
  <c r="AD221" i="3" s="1"/>
  <c r="AC221" i="3" a="1"/>
  <c r="AC221" i="3"/>
  <c r="AB221" i="3" a="1"/>
  <c r="AB221" i="3"/>
  <c r="AA221" i="3" a="1"/>
  <c r="AA221" i="3"/>
  <c r="Z221" i="3" a="1"/>
  <c r="Z221" i="3" s="1"/>
  <c r="Y221" i="3" a="1"/>
  <c r="Y221" i="3" s="1"/>
  <c r="X221" i="3" a="1"/>
  <c r="X221" i="3" s="1"/>
  <c r="W221" i="3" a="1"/>
  <c r="W221" i="3"/>
  <c r="V221" i="3" a="1"/>
  <c r="V221" i="3"/>
  <c r="U221" i="3" a="1"/>
  <c r="U221" i="3"/>
  <c r="T221" i="3" a="1"/>
  <c r="T221" i="3" s="1"/>
  <c r="S221" i="3" a="1"/>
  <c r="S221" i="3" s="1"/>
  <c r="R221" i="3" a="1"/>
  <c r="R221" i="3" s="1"/>
  <c r="Q221" i="3" a="1"/>
  <c r="Q221" i="3"/>
  <c r="P221" i="3" a="1"/>
  <c r="P221" i="3"/>
  <c r="O221" i="3" a="1"/>
  <c r="O221" i="3"/>
  <c r="N221" i="3" a="1"/>
  <c r="N221" i="3" s="1"/>
  <c r="M221" i="3" a="1"/>
  <c r="M221" i="3" s="1"/>
  <c r="L221" i="3" a="1"/>
  <c r="L221" i="3" s="1"/>
  <c r="K221" i="3" a="1"/>
  <c r="K221" i="3"/>
  <c r="J221" i="3" a="1"/>
  <c r="J221" i="3"/>
  <c r="I221" i="3" a="1"/>
  <c r="I221" i="3"/>
  <c r="H221" i="3" a="1"/>
  <c r="H221" i="3" s="1"/>
  <c r="G221" i="3" a="1"/>
  <c r="G221" i="3" s="1"/>
  <c r="F221" i="3" a="1"/>
  <c r="F221" i="3" s="1"/>
  <c r="E221" i="3" a="1"/>
  <c r="E221" i="3"/>
  <c r="D221" i="3" a="1"/>
  <c r="D221" i="3"/>
  <c r="C221" i="3" a="1"/>
  <c r="C221" i="3"/>
  <c r="A221" i="3"/>
  <c r="AD220" i="3" a="1"/>
  <c r="AD220" i="3" s="1"/>
  <c r="AC220" i="3" a="1"/>
  <c r="AC220" i="3"/>
  <c r="AB220" i="3" a="1"/>
  <c r="AB220" i="3" s="1"/>
  <c r="AA220" i="3" a="1"/>
  <c r="AA220" i="3"/>
  <c r="Z220" i="3" a="1"/>
  <c r="Z220" i="3"/>
  <c r="Y220" i="3" a="1"/>
  <c r="Y220" i="3"/>
  <c r="X220" i="3" a="1"/>
  <c r="X220" i="3" s="1"/>
  <c r="W220" i="3" a="1"/>
  <c r="W220" i="3"/>
  <c r="V220" i="3" a="1"/>
  <c r="V220" i="3" s="1"/>
  <c r="U220" i="3" a="1"/>
  <c r="U220" i="3"/>
  <c r="T220" i="3" a="1"/>
  <c r="T220" i="3"/>
  <c r="S220" i="3" a="1"/>
  <c r="S220" i="3"/>
  <c r="R220" i="3" a="1"/>
  <c r="R220" i="3" s="1"/>
  <c r="Q220" i="3" a="1"/>
  <c r="Q220" i="3"/>
  <c r="P220" i="3" a="1"/>
  <c r="P220" i="3" s="1"/>
  <c r="O220" i="3" a="1"/>
  <c r="O220" i="3"/>
  <c r="N220" i="3" a="1"/>
  <c r="N220" i="3"/>
  <c r="M220" i="3" a="1"/>
  <c r="M220" i="3"/>
  <c r="L220" i="3" a="1"/>
  <c r="L220" i="3" s="1"/>
  <c r="K220" i="3" a="1"/>
  <c r="K220" i="3"/>
  <c r="J220" i="3" a="1"/>
  <c r="J220" i="3" s="1"/>
  <c r="I220" i="3" a="1"/>
  <c r="I220" i="3"/>
  <c r="H220" i="3" a="1"/>
  <c r="H220" i="3"/>
  <c r="G220" i="3" a="1"/>
  <c r="G220" i="3"/>
  <c r="F220" i="3" a="1"/>
  <c r="F220" i="3" s="1"/>
  <c r="E220" i="3" a="1"/>
  <c r="E220" i="3"/>
  <c r="D220" i="3" a="1"/>
  <c r="D220" i="3" s="1"/>
  <c r="C220" i="3" a="1"/>
  <c r="C220" i="3"/>
  <c r="A220" i="3"/>
  <c r="AD219" i="3" a="1"/>
  <c r="AD219" i="3" s="1"/>
  <c r="AC219" i="3" a="1"/>
  <c r="AC219" i="3" s="1"/>
  <c r="AB219" i="3" a="1"/>
  <c r="AB219" i="3"/>
  <c r="AA219" i="3" a="1"/>
  <c r="AA219" i="3"/>
  <c r="Z219" i="3" a="1"/>
  <c r="Z219" i="3"/>
  <c r="Y219" i="3" a="1"/>
  <c r="Y219" i="3" s="1"/>
  <c r="X219" i="3" a="1"/>
  <c r="X219" i="3" s="1"/>
  <c r="W219" i="3" a="1"/>
  <c r="W219" i="3" s="1"/>
  <c r="V219" i="3" a="1"/>
  <c r="V219" i="3"/>
  <c r="U219" i="3" a="1"/>
  <c r="U219" i="3"/>
  <c r="T219" i="3" a="1"/>
  <c r="T219" i="3"/>
  <c r="S219" i="3" a="1"/>
  <c r="S219" i="3" s="1"/>
  <c r="R219" i="3" a="1"/>
  <c r="R219" i="3" s="1"/>
  <c r="Q219" i="3" a="1"/>
  <c r="Q219" i="3" s="1"/>
  <c r="P219" i="3" a="1"/>
  <c r="P219" i="3"/>
  <c r="O219" i="3" a="1"/>
  <c r="O219" i="3"/>
  <c r="N219" i="3" a="1"/>
  <c r="N219" i="3"/>
  <c r="M219" i="3" a="1"/>
  <c r="M219" i="3" s="1"/>
  <c r="L219" i="3" a="1"/>
  <c r="L219" i="3" s="1"/>
  <c r="K219" i="3" a="1"/>
  <c r="K219" i="3" s="1"/>
  <c r="J219" i="3" a="1"/>
  <c r="J219" i="3"/>
  <c r="I219" i="3" a="1"/>
  <c r="I219" i="3" s="1"/>
  <c r="H219" i="3" a="1"/>
  <c r="H219" i="3"/>
  <c r="G219" i="3" a="1"/>
  <c r="G219" i="3" s="1"/>
  <c r="F219" i="3" a="1"/>
  <c r="F219" i="3" s="1"/>
  <c r="E219" i="3" a="1"/>
  <c r="E219" i="3" s="1"/>
  <c r="D219" i="3" a="1"/>
  <c r="D219" i="3"/>
  <c r="C219" i="3" a="1"/>
  <c r="C219" i="3" s="1"/>
  <c r="A219" i="3"/>
  <c r="AD218" i="3" a="1"/>
  <c r="AD218" i="3"/>
  <c r="AC218" i="3" a="1"/>
  <c r="AC218" i="3"/>
  <c r="AB218" i="3" a="1"/>
  <c r="AB218" i="3"/>
  <c r="AA218" i="3" a="1"/>
  <c r="AA218" i="3" s="1"/>
  <c r="Z218" i="3" a="1"/>
  <c r="Z218" i="3"/>
  <c r="Y218" i="3" a="1"/>
  <c r="Y218" i="3"/>
  <c r="X218" i="3" a="1"/>
  <c r="X218" i="3" s="1"/>
  <c r="W218" i="3" a="1"/>
  <c r="W218" i="3"/>
  <c r="V218" i="3" a="1"/>
  <c r="V218" i="3"/>
  <c r="U218" i="3" a="1"/>
  <c r="U218" i="3" s="1"/>
  <c r="T218" i="3" a="1"/>
  <c r="T218" i="3"/>
  <c r="S218" i="3" a="1"/>
  <c r="S218" i="3"/>
  <c r="R218" i="3" a="1"/>
  <c r="R218" i="3" s="1"/>
  <c r="Q218" i="3" a="1"/>
  <c r="Q218" i="3"/>
  <c r="P218" i="3" a="1"/>
  <c r="P218" i="3"/>
  <c r="O218" i="3" a="1"/>
  <c r="O218" i="3" s="1"/>
  <c r="N218" i="3" a="1"/>
  <c r="N218" i="3"/>
  <c r="M218" i="3" a="1"/>
  <c r="M218" i="3"/>
  <c r="L218" i="3" a="1"/>
  <c r="L218" i="3" s="1"/>
  <c r="K218" i="3" a="1"/>
  <c r="K218" i="3" s="1"/>
  <c r="J218" i="3" a="1"/>
  <c r="J218" i="3"/>
  <c r="I218" i="3" a="1"/>
  <c r="I218" i="3" s="1"/>
  <c r="H218" i="3" a="1"/>
  <c r="H218" i="3"/>
  <c r="G218" i="3" a="1"/>
  <c r="G218" i="3"/>
  <c r="F218" i="3" a="1"/>
  <c r="F218" i="3" s="1"/>
  <c r="A218" i="3"/>
  <c r="AD217" i="3" a="1"/>
  <c r="AD217" i="3" s="1"/>
  <c r="AC217" i="3" a="1"/>
  <c r="AC217" i="3" s="1"/>
  <c r="AB217" i="3" a="1"/>
  <c r="AB217" i="3" s="1"/>
  <c r="AA217" i="3" a="1"/>
  <c r="AA217" i="3"/>
  <c r="Z217" i="3" a="1"/>
  <c r="Z217" i="3" s="1"/>
  <c r="Y217" i="3" a="1"/>
  <c r="Y217" i="3"/>
  <c r="X217" i="3" a="1"/>
  <c r="X217" i="3" s="1"/>
  <c r="W217" i="3" a="1"/>
  <c r="W217" i="3" s="1"/>
  <c r="V217" i="3" a="1"/>
  <c r="V217" i="3" s="1"/>
  <c r="U217" i="3" a="1"/>
  <c r="U217" i="3"/>
  <c r="T217" i="3" a="1"/>
  <c r="T217" i="3" s="1"/>
  <c r="S217" i="3" a="1"/>
  <c r="S217" i="3"/>
  <c r="R217" i="3" a="1"/>
  <c r="R217" i="3" s="1"/>
  <c r="Q217" i="3" a="1"/>
  <c r="Q217" i="3" s="1"/>
  <c r="P217" i="3" a="1"/>
  <c r="P217" i="3" s="1"/>
  <c r="O217" i="3" a="1"/>
  <c r="O217" i="3"/>
  <c r="N217" i="3" a="1"/>
  <c r="N217" i="3" s="1"/>
  <c r="M217" i="3" a="1"/>
  <c r="M217" i="3"/>
  <c r="L217" i="3" a="1"/>
  <c r="L217" i="3" s="1"/>
  <c r="K217" i="3" a="1"/>
  <c r="K217" i="3" s="1"/>
  <c r="J217" i="3" a="1"/>
  <c r="J217" i="3" s="1"/>
  <c r="I217" i="3" a="1"/>
  <c r="I217" i="3"/>
  <c r="H217" i="3" a="1"/>
  <c r="H217" i="3" s="1"/>
  <c r="G217" i="3" a="1"/>
  <c r="G217" i="3"/>
  <c r="F217" i="3" a="1"/>
  <c r="F217" i="3" s="1"/>
  <c r="E217" i="3" a="1"/>
  <c r="E217" i="3" s="1"/>
  <c r="D217" i="3" a="1"/>
  <c r="D217" i="3" s="1"/>
  <c r="A217" i="3"/>
  <c r="AD216" i="3" a="1"/>
  <c r="AD216" i="3"/>
  <c r="AC216" i="3" a="1"/>
  <c r="AC216" i="3" s="1"/>
  <c r="AB216" i="3" a="1"/>
  <c r="AB216" i="3"/>
  <c r="AA216" i="3" a="1"/>
  <c r="AA216" i="3"/>
  <c r="Z216" i="3" a="1"/>
  <c r="Z216" i="3" s="1"/>
  <c r="Y216" i="3" a="1"/>
  <c r="Y216" i="3"/>
  <c r="X216" i="3" a="1"/>
  <c r="X216" i="3"/>
  <c r="W216" i="3" a="1"/>
  <c r="W216" i="3" s="1"/>
  <c r="V216" i="3" a="1"/>
  <c r="V216" i="3"/>
  <c r="U216" i="3" a="1"/>
  <c r="U216" i="3"/>
  <c r="T216" i="3" a="1"/>
  <c r="T216" i="3" s="1"/>
  <c r="S216" i="3" a="1"/>
  <c r="S216" i="3"/>
  <c r="R216" i="3" a="1"/>
  <c r="R216" i="3"/>
  <c r="Q216" i="3" a="1"/>
  <c r="Q216" i="3" s="1"/>
  <c r="P216" i="3" a="1"/>
  <c r="P216" i="3"/>
  <c r="O216" i="3" a="1"/>
  <c r="O216" i="3" s="1"/>
  <c r="N216" i="3" a="1"/>
  <c r="N216" i="3" s="1"/>
  <c r="M216" i="3" a="1"/>
  <c r="M216" i="3"/>
  <c r="L216" i="3" a="1"/>
  <c r="L216" i="3"/>
  <c r="K216" i="3" a="1"/>
  <c r="K216" i="3" s="1"/>
  <c r="J216" i="3" a="1"/>
  <c r="J216" i="3"/>
  <c r="I216" i="3" a="1"/>
  <c r="I216" i="3" s="1"/>
  <c r="H216" i="3" a="1"/>
  <c r="H216" i="3" s="1"/>
  <c r="G216" i="3" a="1"/>
  <c r="G216" i="3"/>
  <c r="F216" i="3" a="1"/>
  <c r="F216" i="3"/>
  <c r="E216" i="3" a="1"/>
  <c r="E216" i="3" s="1"/>
  <c r="D216" i="3" a="1"/>
  <c r="D216" i="3"/>
  <c r="C216" i="3" a="1"/>
  <c r="C216" i="3" s="1"/>
  <c r="A216" i="3"/>
  <c r="AD215" i="3" a="1"/>
  <c r="AD215" i="3"/>
  <c r="AC215" i="3" a="1"/>
  <c r="AC215" i="3" s="1"/>
  <c r="AB215" i="3" a="1"/>
  <c r="AB215" i="3" s="1"/>
  <c r="AA215" i="3" a="1"/>
  <c r="AA215" i="3"/>
  <c r="Z215" i="3" a="1"/>
  <c r="Z215" i="3"/>
  <c r="Y215" i="3" a="1"/>
  <c r="Y215" i="3" s="1"/>
  <c r="X215" i="3" a="1"/>
  <c r="X215" i="3"/>
  <c r="W215" i="3" a="1"/>
  <c r="W215" i="3" s="1"/>
  <c r="V215" i="3" a="1"/>
  <c r="V215" i="3" s="1"/>
  <c r="U215" i="3" a="1"/>
  <c r="U215" i="3"/>
  <c r="T215" i="3" a="1"/>
  <c r="T215" i="3"/>
  <c r="S215" i="3" a="1"/>
  <c r="S215" i="3" s="1"/>
  <c r="R215" i="3" a="1"/>
  <c r="R215" i="3"/>
  <c r="Q215" i="3" a="1"/>
  <c r="Q215" i="3" s="1"/>
  <c r="P215" i="3" a="1"/>
  <c r="P215" i="3" s="1"/>
  <c r="O215" i="3" a="1"/>
  <c r="O215" i="3"/>
  <c r="N215" i="3" a="1"/>
  <c r="N215" i="3"/>
  <c r="M215" i="3" a="1"/>
  <c r="M215" i="3" s="1"/>
  <c r="L215" i="3" a="1"/>
  <c r="L215" i="3"/>
  <c r="K215" i="3" a="1"/>
  <c r="K215" i="3" s="1"/>
  <c r="J215" i="3" a="1"/>
  <c r="J215" i="3" s="1"/>
  <c r="I215" i="3" a="1"/>
  <c r="I215" i="3" s="1"/>
  <c r="H215" i="3" a="1"/>
  <c r="H215" i="3"/>
  <c r="G215" i="3" a="1"/>
  <c r="G215" i="3" s="1"/>
  <c r="F215" i="3" a="1"/>
  <c r="F215" i="3"/>
  <c r="E215" i="3" a="1"/>
  <c r="E215" i="3" s="1"/>
  <c r="D215" i="3" a="1"/>
  <c r="D215" i="3" s="1"/>
  <c r="C215" i="3" a="1"/>
  <c r="C215" i="3" s="1"/>
  <c r="A215" i="3"/>
  <c r="AD214" i="3" a="1"/>
  <c r="AD214" i="3"/>
  <c r="AC214" i="3" a="1"/>
  <c r="AC214" i="3"/>
  <c r="AB214" i="3" a="1"/>
  <c r="AB214" i="3" s="1"/>
  <c r="AA214" i="3" a="1"/>
  <c r="AA214" i="3"/>
  <c r="Z214" i="3" a="1"/>
  <c r="Z214" i="3"/>
  <c r="Y214" i="3" a="1"/>
  <c r="Y214" i="3" s="1"/>
  <c r="X214" i="3" a="1"/>
  <c r="X214" i="3"/>
  <c r="W214" i="3" a="1"/>
  <c r="W214" i="3"/>
  <c r="V214" i="3" a="1"/>
  <c r="V214" i="3" s="1"/>
  <c r="U214" i="3" a="1"/>
  <c r="U214" i="3"/>
  <c r="T214" i="3" a="1"/>
  <c r="T214" i="3"/>
  <c r="S214" i="3" a="1"/>
  <c r="S214" i="3" s="1"/>
  <c r="R214" i="3" a="1"/>
  <c r="R214" i="3"/>
  <c r="Q214" i="3" a="1"/>
  <c r="Q214" i="3"/>
  <c r="P214" i="3" a="1"/>
  <c r="P214" i="3" s="1"/>
  <c r="O214" i="3" a="1"/>
  <c r="O214" i="3" s="1"/>
  <c r="N214" i="3" a="1"/>
  <c r="N214" i="3" s="1"/>
  <c r="M214" i="3" a="1"/>
  <c r="M214" i="3" s="1"/>
  <c r="L214" i="3" a="1"/>
  <c r="L214" i="3"/>
  <c r="K214" i="3" a="1"/>
  <c r="K214" i="3"/>
  <c r="J214" i="3" a="1"/>
  <c r="J214" i="3" s="1"/>
  <c r="I214" i="3" a="1"/>
  <c r="I214" i="3" s="1"/>
  <c r="H214" i="3" a="1"/>
  <c r="H214" i="3" s="1"/>
  <c r="G214" i="3" a="1"/>
  <c r="G214" i="3" s="1"/>
  <c r="F214" i="3" a="1"/>
  <c r="F214" i="3"/>
  <c r="E214" i="3" a="1"/>
  <c r="E214" i="3"/>
  <c r="D214" i="3" a="1"/>
  <c r="D214" i="3" s="1"/>
  <c r="C214" i="3" a="1"/>
  <c r="C214" i="3" s="1"/>
  <c r="A214" i="3"/>
  <c r="AD213" i="3" a="1"/>
  <c r="AD213" i="3" s="1"/>
  <c r="AC213" i="3" a="1"/>
  <c r="AC213" i="3"/>
  <c r="AB213" i="3" a="1"/>
  <c r="AB213" i="3" s="1"/>
  <c r="AA213" i="3" a="1"/>
  <c r="AA213" i="3" s="1"/>
  <c r="Z213" i="3" a="1"/>
  <c r="Z213" i="3"/>
  <c r="Y213" i="3" a="1"/>
  <c r="Y213" i="3"/>
  <c r="X213" i="3" a="1"/>
  <c r="X213" i="3" s="1"/>
  <c r="W213" i="3" a="1"/>
  <c r="W213" i="3"/>
  <c r="V213" i="3" a="1"/>
  <c r="V213" i="3" s="1"/>
  <c r="U213" i="3" a="1"/>
  <c r="U213" i="3" s="1"/>
  <c r="T213" i="3" a="1"/>
  <c r="T213" i="3"/>
  <c r="S213" i="3" a="1"/>
  <c r="S213" i="3"/>
  <c r="R213" i="3" a="1"/>
  <c r="R213" i="3" s="1"/>
  <c r="Q213" i="3" a="1"/>
  <c r="Q213" i="3"/>
  <c r="P213" i="3" a="1"/>
  <c r="P213" i="3" s="1"/>
  <c r="O213" i="3" a="1"/>
  <c r="O213" i="3" s="1"/>
  <c r="N213" i="3" a="1"/>
  <c r="N213" i="3"/>
  <c r="M213" i="3" a="1"/>
  <c r="M213" i="3"/>
  <c r="L213" i="3" a="1"/>
  <c r="L213" i="3" s="1"/>
  <c r="K213" i="3" a="1"/>
  <c r="K213" i="3"/>
  <c r="J213" i="3" a="1"/>
  <c r="J213" i="3" s="1"/>
  <c r="I213" i="3" a="1"/>
  <c r="I213" i="3" s="1"/>
  <c r="H213" i="3" a="1"/>
  <c r="H213" i="3"/>
  <c r="G213" i="3" a="1"/>
  <c r="G213" i="3"/>
  <c r="F213" i="3" a="1"/>
  <c r="F213" i="3" s="1"/>
  <c r="E213" i="3" a="1"/>
  <c r="E213" i="3"/>
  <c r="D213" i="3" a="1"/>
  <c r="D213" i="3" s="1"/>
  <c r="C213" i="3" a="1"/>
  <c r="C213" i="3" s="1"/>
  <c r="A213" i="3"/>
  <c r="AD212" i="3" a="1"/>
  <c r="AD212" i="3" s="1"/>
  <c r="AC212" i="3" a="1"/>
  <c r="AC212" i="3"/>
  <c r="AB212" i="3" a="1"/>
  <c r="AB212" i="3"/>
  <c r="AA212" i="3" a="1"/>
  <c r="AA212" i="3" s="1"/>
  <c r="Z212" i="3" a="1"/>
  <c r="Z212" i="3" s="1"/>
  <c r="Y212" i="3" a="1"/>
  <c r="Y212" i="3" s="1"/>
  <c r="X212" i="3" a="1"/>
  <c r="X212" i="3" s="1"/>
  <c r="W212" i="3" a="1"/>
  <c r="W212" i="3"/>
  <c r="V212" i="3" a="1"/>
  <c r="V212" i="3"/>
  <c r="U212" i="3" a="1"/>
  <c r="U212" i="3" s="1"/>
  <c r="T212" i="3" a="1"/>
  <c r="T212" i="3" s="1"/>
  <c r="S212" i="3" a="1"/>
  <c r="S212" i="3" s="1"/>
  <c r="R212" i="3" a="1"/>
  <c r="R212" i="3" s="1"/>
  <c r="Q212" i="3" a="1"/>
  <c r="Q212" i="3"/>
  <c r="P212" i="3" a="1"/>
  <c r="P212" i="3"/>
  <c r="O212" i="3" a="1"/>
  <c r="O212" i="3" s="1"/>
  <c r="N212" i="3" a="1"/>
  <c r="N212" i="3" s="1"/>
  <c r="M212" i="3" a="1"/>
  <c r="M212" i="3" s="1"/>
  <c r="L212" i="3" a="1"/>
  <c r="L212" i="3" s="1"/>
  <c r="K212" i="3" a="1"/>
  <c r="K212" i="3"/>
  <c r="J212" i="3" a="1"/>
  <c r="J212" i="3"/>
  <c r="I212" i="3" a="1"/>
  <c r="I212" i="3" s="1"/>
  <c r="H212" i="3" a="1"/>
  <c r="H212" i="3" s="1"/>
  <c r="G212" i="3" a="1"/>
  <c r="G212" i="3" s="1"/>
  <c r="F212" i="3" a="1"/>
  <c r="F212" i="3" s="1"/>
  <c r="E212" i="3" a="1"/>
  <c r="E212" i="3"/>
  <c r="D212" i="3" a="1"/>
  <c r="D212" i="3"/>
  <c r="C212" i="3" a="1"/>
  <c r="C212" i="3" s="1"/>
  <c r="A212" i="3"/>
  <c r="AD211" i="3" a="1"/>
  <c r="AD211" i="3"/>
  <c r="AC211" i="3" a="1"/>
  <c r="AC211" i="3" s="1"/>
  <c r="AB211" i="3" a="1"/>
  <c r="AB211" i="3"/>
  <c r="AA211" i="3" a="1"/>
  <c r="AA211" i="3" s="1"/>
  <c r="Z211" i="3" a="1"/>
  <c r="Z211" i="3" s="1"/>
  <c r="Y211" i="3" a="1"/>
  <c r="Y211" i="3"/>
  <c r="X211" i="3" a="1"/>
  <c r="X211" i="3"/>
  <c r="W211" i="3" a="1"/>
  <c r="W211" i="3" s="1"/>
  <c r="V211" i="3" a="1"/>
  <c r="V211" i="3"/>
  <c r="U211" i="3" a="1"/>
  <c r="U211" i="3" s="1"/>
  <c r="T211" i="3" a="1"/>
  <c r="T211" i="3" s="1"/>
  <c r="S211" i="3" a="1"/>
  <c r="S211" i="3"/>
  <c r="R211" i="3" a="1"/>
  <c r="R211" i="3"/>
  <c r="Q211" i="3" a="1"/>
  <c r="Q211" i="3" s="1"/>
  <c r="P211" i="3" a="1"/>
  <c r="P211" i="3"/>
  <c r="O211" i="3" a="1"/>
  <c r="O211" i="3" s="1"/>
  <c r="N211" i="3" a="1"/>
  <c r="N211" i="3" s="1"/>
  <c r="M211" i="3" a="1"/>
  <c r="M211" i="3"/>
  <c r="L211" i="3" a="1"/>
  <c r="L211" i="3"/>
  <c r="K211" i="3" a="1"/>
  <c r="K211" i="3" s="1"/>
  <c r="J211" i="3" a="1"/>
  <c r="J211" i="3"/>
  <c r="I211" i="3" a="1"/>
  <c r="I211" i="3" s="1"/>
  <c r="H211" i="3" a="1"/>
  <c r="H211" i="3" s="1"/>
  <c r="G211" i="3" a="1"/>
  <c r="G211" i="3"/>
  <c r="F211" i="3" a="1"/>
  <c r="F211" i="3"/>
  <c r="E211" i="3" a="1"/>
  <c r="E211" i="3" s="1"/>
  <c r="A211" i="3"/>
  <c r="AD210" i="3" a="1"/>
  <c r="AD210" i="3" s="1"/>
  <c r="AC210" i="3" a="1"/>
  <c r="AC210" i="3" s="1"/>
  <c r="AB210" i="3" a="1"/>
  <c r="AB210" i="3"/>
  <c r="AA210" i="3" a="1"/>
  <c r="AA210" i="3"/>
  <c r="Z210" i="3" a="1"/>
  <c r="Z210" i="3" s="1"/>
  <c r="Y210" i="3" a="1"/>
  <c r="Y210" i="3" s="1"/>
  <c r="X210" i="3" a="1"/>
  <c r="X210" i="3" s="1"/>
  <c r="W210" i="3" a="1"/>
  <c r="W210" i="3" s="1"/>
  <c r="V210" i="3" a="1"/>
  <c r="V210" i="3"/>
  <c r="U210" i="3" a="1"/>
  <c r="U210" i="3"/>
  <c r="T210" i="3" a="1"/>
  <c r="T210" i="3" s="1"/>
  <c r="S210" i="3" a="1"/>
  <c r="S210" i="3" s="1"/>
  <c r="R210" i="3" a="1"/>
  <c r="R210" i="3" s="1"/>
  <c r="Q210" i="3" a="1"/>
  <c r="Q210" i="3" s="1"/>
  <c r="P210" i="3" a="1"/>
  <c r="P210" i="3"/>
  <c r="O210" i="3" a="1"/>
  <c r="O210" i="3"/>
  <c r="N210" i="3" a="1"/>
  <c r="N210" i="3" s="1"/>
  <c r="M210" i="3" a="1"/>
  <c r="M210" i="3" s="1"/>
  <c r="L210" i="3" a="1"/>
  <c r="L210" i="3" s="1"/>
  <c r="K210" i="3" a="1"/>
  <c r="K210" i="3" s="1"/>
  <c r="J210" i="3" a="1"/>
  <c r="J210" i="3"/>
  <c r="I210" i="3" a="1"/>
  <c r="I210" i="3"/>
  <c r="H210" i="3" a="1"/>
  <c r="H210" i="3" s="1"/>
  <c r="G210" i="3" a="1"/>
  <c r="G210" i="3" s="1"/>
  <c r="F210" i="3" a="1"/>
  <c r="F210" i="3" s="1"/>
  <c r="E210" i="3" a="1"/>
  <c r="E210" i="3" s="1"/>
  <c r="D210" i="3" a="1"/>
  <c r="D210" i="3"/>
  <c r="C210" i="3" a="1"/>
  <c r="C210" i="3"/>
  <c r="A210" i="3"/>
  <c r="AD209" i="3" a="1"/>
  <c r="AD209" i="3"/>
  <c r="AC209" i="3" a="1"/>
  <c r="AC209" i="3"/>
  <c r="AB209" i="3" a="1"/>
  <c r="AB209" i="3"/>
  <c r="AA209" i="3" a="1"/>
  <c r="AA209" i="3"/>
  <c r="Z209" i="3" a="1"/>
  <c r="Z209" i="3" s="1"/>
  <c r="Y209" i="3" a="1"/>
  <c r="Y209" i="3" s="1"/>
  <c r="X209" i="3" a="1"/>
  <c r="X209" i="3"/>
  <c r="W209" i="3" a="1"/>
  <c r="W209" i="3"/>
  <c r="V209" i="3" a="1"/>
  <c r="V209" i="3"/>
  <c r="U209" i="3" a="1"/>
  <c r="U209" i="3"/>
  <c r="T209" i="3" a="1"/>
  <c r="T209" i="3" s="1"/>
  <c r="S209" i="3" a="1"/>
  <c r="S209" i="3" s="1"/>
  <c r="R209" i="3" a="1"/>
  <c r="R209" i="3"/>
  <c r="Q209" i="3" a="1"/>
  <c r="Q209" i="3"/>
  <c r="P209" i="3" a="1"/>
  <c r="P209" i="3"/>
  <c r="O209" i="3" a="1"/>
  <c r="O209" i="3"/>
  <c r="N209" i="3" a="1"/>
  <c r="N209" i="3" s="1"/>
  <c r="M209" i="3" a="1"/>
  <c r="M209" i="3" s="1"/>
  <c r="L209" i="3" a="1"/>
  <c r="L209" i="3"/>
  <c r="K209" i="3" a="1"/>
  <c r="K209" i="3"/>
  <c r="J209" i="3" a="1"/>
  <c r="J209" i="3"/>
  <c r="I209" i="3" a="1"/>
  <c r="I209" i="3"/>
  <c r="H209" i="3" a="1"/>
  <c r="H209" i="3" s="1"/>
  <c r="G209" i="3" a="1"/>
  <c r="G209" i="3" s="1"/>
  <c r="F209" i="3" a="1"/>
  <c r="F209" i="3"/>
  <c r="E209" i="3" a="1"/>
  <c r="E209" i="3"/>
  <c r="D209" i="3" a="1"/>
  <c r="D209" i="3"/>
  <c r="A209" i="3"/>
  <c r="AD208" i="3" a="1"/>
  <c r="AD208" i="3" s="1"/>
  <c r="AC208" i="3" a="1"/>
  <c r="AC208" i="3" s="1"/>
  <c r="AB208" i="3" a="1"/>
  <c r="AB208" i="3" s="1"/>
  <c r="AA208" i="3" a="1"/>
  <c r="AA208" i="3"/>
  <c r="Z208" i="3" a="1"/>
  <c r="Z208" i="3"/>
  <c r="Y208" i="3" a="1"/>
  <c r="Y208" i="3" s="1"/>
  <c r="X208" i="3" a="1"/>
  <c r="X208" i="3" s="1"/>
  <c r="W208" i="3" a="1"/>
  <c r="W208" i="3" s="1"/>
  <c r="V208" i="3" a="1"/>
  <c r="V208" i="3" s="1"/>
  <c r="U208" i="3" a="1"/>
  <c r="U208" i="3"/>
  <c r="T208" i="3" a="1"/>
  <c r="T208" i="3"/>
  <c r="S208" i="3" a="1"/>
  <c r="S208" i="3" s="1"/>
  <c r="R208" i="3" a="1"/>
  <c r="R208" i="3" s="1"/>
  <c r="Q208" i="3" a="1"/>
  <c r="Q208" i="3" s="1"/>
  <c r="P208" i="3" a="1"/>
  <c r="P208" i="3" s="1"/>
  <c r="O208" i="3" a="1"/>
  <c r="O208" i="3"/>
  <c r="N208" i="3" a="1"/>
  <c r="N208" i="3"/>
  <c r="M208" i="3" a="1"/>
  <c r="M208" i="3" s="1"/>
  <c r="L208" i="3" a="1"/>
  <c r="L208" i="3" s="1"/>
  <c r="K208" i="3" a="1"/>
  <c r="K208" i="3" s="1"/>
  <c r="J208" i="3" a="1"/>
  <c r="J208" i="3" s="1"/>
  <c r="I208" i="3" a="1"/>
  <c r="I208" i="3"/>
  <c r="H208" i="3" a="1"/>
  <c r="H208" i="3"/>
  <c r="G208" i="3" a="1"/>
  <c r="G208" i="3" s="1"/>
  <c r="F208" i="3" a="1"/>
  <c r="F208" i="3" s="1"/>
  <c r="E208" i="3" a="1"/>
  <c r="E208" i="3" s="1"/>
  <c r="D208" i="3" a="1"/>
  <c r="D208" i="3" s="1"/>
  <c r="C208" i="3" a="1"/>
  <c r="C208" i="3"/>
  <c r="A208" i="3"/>
  <c r="AD207" i="3" a="1"/>
  <c r="AD207" i="3" s="1"/>
  <c r="AC207" i="3" a="1"/>
  <c r="AC207" i="3"/>
  <c r="AB207" i="3" a="1"/>
  <c r="AB207" i="3"/>
  <c r="AA207" i="3" a="1"/>
  <c r="AA207" i="3"/>
  <c r="Z207" i="3" a="1"/>
  <c r="Z207" i="3"/>
  <c r="Y207" i="3" a="1"/>
  <c r="Y207" i="3" s="1"/>
  <c r="X207" i="3" a="1"/>
  <c r="X207" i="3" s="1"/>
  <c r="W207" i="3" a="1"/>
  <c r="W207" i="3"/>
  <c r="V207" i="3" a="1"/>
  <c r="V207" i="3"/>
  <c r="U207" i="3" a="1"/>
  <c r="U207" i="3"/>
  <c r="T207" i="3" a="1"/>
  <c r="T207" i="3"/>
  <c r="S207" i="3" a="1"/>
  <c r="S207" i="3" s="1"/>
  <c r="R207" i="3" a="1"/>
  <c r="R207" i="3" s="1"/>
  <c r="Q207" i="3" a="1"/>
  <c r="Q207" i="3"/>
  <c r="P207" i="3" a="1"/>
  <c r="P207" i="3"/>
  <c r="O207" i="3" a="1"/>
  <c r="O207" i="3" s="1"/>
  <c r="N207" i="3" a="1"/>
  <c r="N207" i="3"/>
  <c r="M207" i="3" a="1"/>
  <c r="M207" i="3" s="1"/>
  <c r="L207" i="3" a="1"/>
  <c r="L207" i="3" s="1"/>
  <c r="K207" i="3" a="1"/>
  <c r="K207" i="3"/>
  <c r="J207" i="3" a="1"/>
  <c r="J207" i="3"/>
  <c r="I207" i="3" a="1"/>
  <c r="I207" i="3" s="1"/>
  <c r="H207" i="3" a="1"/>
  <c r="H207" i="3"/>
  <c r="G207" i="3" a="1"/>
  <c r="G207" i="3" s="1"/>
  <c r="F207" i="3" a="1"/>
  <c r="F207" i="3" s="1"/>
  <c r="E207" i="3" a="1"/>
  <c r="E207" i="3"/>
  <c r="D207" i="3" a="1"/>
  <c r="D207" i="3"/>
  <c r="C207" i="3" a="1"/>
  <c r="C207" i="3" s="1"/>
  <c r="A207" i="3"/>
  <c r="AD206" i="3" a="1"/>
  <c r="AD206" i="3" s="1"/>
  <c r="AC206" i="3" a="1"/>
  <c r="AC206" i="3" s="1"/>
  <c r="AB206" i="3" a="1"/>
  <c r="AB206" i="3" s="1"/>
  <c r="AA206" i="3" a="1"/>
  <c r="AA206" i="3" s="1"/>
  <c r="Z206" i="3" a="1"/>
  <c r="Z206" i="3"/>
  <c r="Y206" i="3" a="1"/>
  <c r="Y206" i="3"/>
  <c r="X206" i="3" a="1"/>
  <c r="X206" i="3" s="1"/>
  <c r="W206" i="3" a="1"/>
  <c r="W206" i="3" s="1"/>
  <c r="V206" i="3" a="1"/>
  <c r="V206" i="3" s="1"/>
  <c r="U206" i="3" a="1"/>
  <c r="U206" i="3" s="1"/>
  <c r="T206" i="3" a="1"/>
  <c r="T206" i="3"/>
  <c r="S206" i="3" a="1"/>
  <c r="S206" i="3"/>
  <c r="R206" i="3" a="1"/>
  <c r="R206" i="3" s="1"/>
  <c r="Q206" i="3" a="1"/>
  <c r="Q206" i="3" s="1"/>
  <c r="P206" i="3" a="1"/>
  <c r="P206" i="3" s="1"/>
  <c r="O206" i="3" a="1"/>
  <c r="O206" i="3" s="1"/>
  <c r="N206" i="3" a="1"/>
  <c r="N206" i="3"/>
  <c r="M206" i="3" a="1"/>
  <c r="M206" i="3"/>
  <c r="L206" i="3" a="1"/>
  <c r="L206" i="3" s="1"/>
  <c r="K206" i="3" a="1"/>
  <c r="K206" i="3" s="1"/>
  <c r="J206" i="3" a="1"/>
  <c r="J206" i="3" s="1"/>
  <c r="I206" i="3" a="1"/>
  <c r="I206" i="3" s="1"/>
  <c r="H206" i="3" a="1"/>
  <c r="H206" i="3"/>
  <c r="G206" i="3" a="1"/>
  <c r="G206" i="3"/>
  <c r="F206" i="3" a="1"/>
  <c r="F206" i="3" s="1"/>
  <c r="E206" i="3" a="1"/>
  <c r="E206" i="3" s="1"/>
  <c r="D206" i="3" a="1"/>
  <c r="D206" i="3" s="1"/>
  <c r="A206" i="3"/>
  <c r="AD205" i="3" a="1"/>
  <c r="AD205" i="3" s="1"/>
  <c r="AC205" i="3" a="1"/>
  <c r="AC205" i="3" s="1"/>
  <c r="AB205" i="3" a="1"/>
  <c r="AB205" i="3"/>
  <c r="AA205" i="3" a="1"/>
  <c r="AA205" i="3"/>
  <c r="Z205" i="3" a="1"/>
  <c r="Z205" i="3"/>
  <c r="Y205" i="3" a="1"/>
  <c r="Y205" i="3"/>
  <c r="X205" i="3" a="1"/>
  <c r="X205" i="3" s="1"/>
  <c r="W205" i="3" a="1"/>
  <c r="W205" i="3" s="1"/>
  <c r="V205" i="3" a="1"/>
  <c r="V205" i="3"/>
  <c r="U205" i="3" a="1"/>
  <c r="U205" i="3"/>
  <c r="T205" i="3" a="1"/>
  <c r="T205" i="3"/>
  <c r="S205" i="3" a="1"/>
  <c r="S205" i="3"/>
  <c r="R205" i="3" a="1"/>
  <c r="R205" i="3" s="1"/>
  <c r="Q205" i="3" a="1"/>
  <c r="Q205" i="3" s="1"/>
  <c r="P205" i="3" a="1"/>
  <c r="P205" i="3"/>
  <c r="O205" i="3" a="1"/>
  <c r="O205" i="3"/>
  <c r="N205" i="3" a="1"/>
  <c r="N205" i="3" s="1"/>
  <c r="M205" i="3" a="1"/>
  <c r="M205" i="3"/>
  <c r="L205" i="3" a="1"/>
  <c r="L205" i="3" s="1"/>
  <c r="K205" i="3" a="1"/>
  <c r="K205" i="3" s="1"/>
  <c r="J205" i="3" a="1"/>
  <c r="J205" i="3"/>
  <c r="I205" i="3" a="1"/>
  <c r="I205" i="3"/>
  <c r="H205" i="3" a="1"/>
  <c r="H205" i="3" s="1"/>
  <c r="G205" i="3" a="1"/>
  <c r="G205" i="3"/>
  <c r="F205" i="3" a="1"/>
  <c r="F205" i="3" s="1"/>
  <c r="E205" i="3" a="1"/>
  <c r="E205" i="3" s="1"/>
  <c r="D205" i="3" a="1"/>
  <c r="D205" i="3"/>
  <c r="A205" i="3"/>
  <c r="AD204" i="3" a="1"/>
  <c r="AD204" i="3"/>
  <c r="AC204" i="3" a="1"/>
  <c r="AC204" i="3" s="1"/>
  <c r="AB204" i="3" a="1"/>
  <c r="AB204" i="3" s="1"/>
  <c r="AA204" i="3" a="1"/>
  <c r="AA204" i="3" s="1"/>
  <c r="Z204" i="3" a="1"/>
  <c r="Z204" i="3" s="1"/>
  <c r="Y204" i="3" a="1"/>
  <c r="Y204" i="3"/>
  <c r="X204" i="3" a="1"/>
  <c r="X204" i="3"/>
  <c r="W204" i="3" a="1"/>
  <c r="W204" i="3" s="1"/>
  <c r="V204" i="3" a="1"/>
  <c r="V204" i="3" s="1"/>
  <c r="U204" i="3" a="1"/>
  <c r="U204" i="3" s="1"/>
  <c r="T204" i="3" a="1"/>
  <c r="T204" i="3" s="1"/>
  <c r="S204" i="3" a="1"/>
  <c r="S204" i="3"/>
  <c r="R204" i="3" a="1"/>
  <c r="R204" i="3"/>
  <c r="Q204" i="3" a="1"/>
  <c r="Q204" i="3" s="1"/>
  <c r="P204" i="3" a="1"/>
  <c r="P204" i="3" s="1"/>
  <c r="O204" i="3" a="1"/>
  <c r="O204" i="3" s="1"/>
  <c r="N204" i="3" a="1"/>
  <c r="N204" i="3" s="1"/>
  <c r="M204" i="3" a="1"/>
  <c r="M204" i="3"/>
  <c r="L204" i="3" a="1"/>
  <c r="L204" i="3"/>
  <c r="K204" i="3" a="1"/>
  <c r="K204" i="3" s="1"/>
  <c r="J204" i="3" a="1"/>
  <c r="J204" i="3" s="1"/>
  <c r="I204" i="3" a="1"/>
  <c r="I204" i="3" s="1"/>
  <c r="H204" i="3" a="1"/>
  <c r="H204" i="3" s="1"/>
  <c r="G204" i="3" a="1"/>
  <c r="G204" i="3"/>
  <c r="F204" i="3" a="1"/>
  <c r="F204" i="3"/>
  <c r="E204" i="3" a="1"/>
  <c r="E204" i="3" s="1"/>
  <c r="D204" i="3" a="1"/>
  <c r="D204" i="3" s="1"/>
  <c r="A204" i="3"/>
  <c r="AD203" i="3" a="1"/>
  <c r="AD203" i="3"/>
  <c r="AC203" i="3" a="1"/>
  <c r="AC203" i="3" s="1"/>
  <c r="AB203" i="3" a="1"/>
  <c r="AB203" i="3" s="1"/>
  <c r="AA203" i="3" a="1"/>
  <c r="AA203" i="3"/>
  <c r="Z203" i="3" a="1"/>
  <c r="Z203" i="3"/>
  <c r="Y203" i="3" a="1"/>
  <c r="Y203" i="3"/>
  <c r="X203" i="3" a="1"/>
  <c r="X203" i="3"/>
  <c r="W203" i="3" a="1"/>
  <c r="W203" i="3" s="1"/>
  <c r="V203" i="3" a="1"/>
  <c r="V203" i="3" s="1"/>
  <c r="U203" i="3" a="1"/>
  <c r="U203" i="3"/>
  <c r="T203" i="3" a="1"/>
  <c r="T203" i="3"/>
  <c r="S203" i="3" a="1"/>
  <c r="S203" i="3" s="1"/>
  <c r="R203" i="3" a="1"/>
  <c r="R203" i="3"/>
  <c r="Q203" i="3" a="1"/>
  <c r="Q203" i="3"/>
  <c r="P203" i="3" a="1"/>
  <c r="P203" i="3" s="1"/>
  <c r="O203" i="3" a="1"/>
  <c r="O203" i="3"/>
  <c r="N203" i="3" a="1"/>
  <c r="N203" i="3"/>
  <c r="M203" i="3" a="1"/>
  <c r="M203" i="3" s="1"/>
  <c r="L203" i="3" a="1"/>
  <c r="L203" i="3"/>
  <c r="K203" i="3" a="1"/>
  <c r="K203" i="3" s="1"/>
  <c r="J203" i="3" a="1"/>
  <c r="J203" i="3" s="1"/>
  <c r="I203" i="3" a="1"/>
  <c r="I203" i="3"/>
  <c r="H203" i="3" a="1"/>
  <c r="H203" i="3"/>
  <c r="G203" i="3" a="1"/>
  <c r="G203" i="3" s="1"/>
  <c r="F203" i="3" a="1"/>
  <c r="F203" i="3"/>
  <c r="E203" i="3" a="1"/>
  <c r="E203" i="3"/>
  <c r="D203" i="3" a="1"/>
  <c r="D203" i="3" s="1"/>
  <c r="A203" i="3"/>
  <c r="AD202" i="3" a="1"/>
  <c r="AD202" i="3"/>
  <c r="AC202" i="3" a="1"/>
  <c r="AC202" i="3"/>
  <c r="AB202" i="3" a="1"/>
  <c r="AB202" i="3" s="1"/>
  <c r="AA202" i="3" a="1"/>
  <c r="AA202" i="3" s="1"/>
  <c r="Z202" i="3" a="1"/>
  <c r="Z202" i="3" s="1"/>
  <c r="Y202" i="3" a="1"/>
  <c r="Y202" i="3" s="1"/>
  <c r="X202" i="3" a="1"/>
  <c r="X202" i="3"/>
  <c r="W202" i="3" a="1"/>
  <c r="W202" i="3"/>
  <c r="V202" i="3" a="1"/>
  <c r="V202" i="3" s="1"/>
  <c r="U202" i="3" a="1"/>
  <c r="U202" i="3" s="1"/>
  <c r="T202" i="3" a="1"/>
  <c r="T202" i="3" s="1"/>
  <c r="S202" i="3" a="1"/>
  <c r="S202" i="3" s="1"/>
  <c r="R202" i="3" a="1"/>
  <c r="R202" i="3"/>
  <c r="Q202" i="3" a="1"/>
  <c r="Q202" i="3"/>
  <c r="P202" i="3" a="1"/>
  <c r="P202" i="3" s="1"/>
  <c r="O202" i="3" a="1"/>
  <c r="O202" i="3" s="1"/>
  <c r="N202" i="3" a="1"/>
  <c r="N202" i="3" s="1"/>
  <c r="M202" i="3" a="1"/>
  <c r="M202" i="3" s="1"/>
  <c r="L202" i="3" a="1"/>
  <c r="L202" i="3"/>
  <c r="K202" i="3" a="1"/>
  <c r="K202" i="3"/>
  <c r="J202" i="3" a="1"/>
  <c r="J202" i="3" s="1"/>
  <c r="I202" i="3" a="1"/>
  <c r="I202" i="3" s="1"/>
  <c r="H202" i="3" a="1"/>
  <c r="H202" i="3" s="1"/>
  <c r="G202" i="3" a="1"/>
  <c r="G202" i="3" s="1"/>
  <c r="F202" i="3" a="1"/>
  <c r="F202" i="3" s="1"/>
  <c r="E202" i="3" a="1"/>
  <c r="E202" i="3"/>
  <c r="D202" i="3" a="1"/>
  <c r="D202" i="3" s="1"/>
  <c r="C202" i="3" a="1"/>
  <c r="C202" i="3" s="1"/>
  <c r="A202" i="3"/>
  <c r="AD201" i="3" a="1"/>
  <c r="AD201" i="3"/>
  <c r="AC201" i="3" a="1"/>
  <c r="AC201" i="3"/>
  <c r="AB201" i="3" a="1"/>
  <c r="AB201" i="3"/>
  <c r="AA201" i="3" a="1"/>
  <c r="AA201" i="3" s="1"/>
  <c r="Z201" i="3" a="1"/>
  <c r="Z201" i="3"/>
  <c r="Y201" i="3" a="1"/>
  <c r="Y201" i="3"/>
  <c r="X201" i="3" a="1"/>
  <c r="X201" i="3"/>
  <c r="W201" i="3" a="1"/>
  <c r="W201" i="3"/>
  <c r="V201" i="3" a="1"/>
  <c r="V201" i="3" s="1"/>
  <c r="U201" i="3" a="1"/>
  <c r="U201" i="3" s="1"/>
  <c r="T201" i="3" a="1"/>
  <c r="T201" i="3"/>
  <c r="S201" i="3" a="1"/>
  <c r="S201" i="3"/>
  <c r="R201" i="3" a="1"/>
  <c r="R201" i="3" s="1"/>
  <c r="Q201" i="3" a="1"/>
  <c r="Q201" i="3"/>
  <c r="P201" i="3" a="1"/>
  <c r="P201" i="3" s="1"/>
  <c r="O201" i="3" a="1"/>
  <c r="O201" i="3" s="1"/>
  <c r="N201" i="3" a="1"/>
  <c r="N201" i="3"/>
  <c r="M201" i="3" a="1"/>
  <c r="M201" i="3"/>
  <c r="L201" i="3" a="1"/>
  <c r="L201" i="3" s="1"/>
  <c r="K201" i="3" a="1"/>
  <c r="K201" i="3"/>
  <c r="J201" i="3" a="1"/>
  <c r="J201" i="3" s="1"/>
  <c r="I201" i="3" a="1"/>
  <c r="I201" i="3" s="1"/>
  <c r="H201" i="3" a="1"/>
  <c r="H201" i="3"/>
  <c r="G201" i="3" a="1"/>
  <c r="G201" i="3"/>
  <c r="F201" i="3" a="1"/>
  <c r="F201" i="3" s="1"/>
  <c r="E201" i="3" a="1"/>
  <c r="E201" i="3"/>
  <c r="D201" i="3" a="1"/>
  <c r="D201" i="3" s="1"/>
  <c r="A201" i="3"/>
  <c r="AD200" i="3" a="1"/>
  <c r="AD200" i="3" s="1"/>
  <c r="AC200" i="3" a="1"/>
  <c r="AC200" i="3"/>
  <c r="AB200" i="3" a="1"/>
  <c r="AB200" i="3"/>
  <c r="AA200" i="3" a="1"/>
  <c r="AA200" i="3" s="1"/>
  <c r="Z200" i="3" a="1"/>
  <c r="Z200" i="3" s="1"/>
  <c r="Y200" i="3" a="1"/>
  <c r="Y200" i="3" s="1"/>
  <c r="X200" i="3" a="1"/>
  <c r="X200" i="3" s="1"/>
  <c r="W200" i="3" a="1"/>
  <c r="W200" i="3"/>
  <c r="V200" i="3" a="1"/>
  <c r="V200" i="3"/>
  <c r="U200" i="3" a="1"/>
  <c r="U200" i="3" s="1"/>
  <c r="T200" i="3" a="1"/>
  <c r="T200" i="3" s="1"/>
  <c r="S200" i="3" a="1"/>
  <c r="S200" i="3" s="1"/>
  <c r="R200" i="3" a="1"/>
  <c r="R200" i="3" s="1"/>
  <c r="Q200" i="3" a="1"/>
  <c r="Q200" i="3"/>
  <c r="P200" i="3" a="1"/>
  <c r="P200" i="3" s="1"/>
  <c r="O200" i="3" a="1"/>
  <c r="O200" i="3" s="1"/>
  <c r="N200" i="3" a="1"/>
  <c r="N200" i="3" s="1"/>
  <c r="M200" i="3" a="1"/>
  <c r="M200" i="3" s="1"/>
  <c r="L200" i="3" a="1"/>
  <c r="L200" i="3" s="1"/>
  <c r="K200" i="3" a="1"/>
  <c r="K200" i="3"/>
  <c r="J200" i="3" a="1"/>
  <c r="J200" i="3" s="1"/>
  <c r="I200" i="3" a="1"/>
  <c r="I200" i="3" s="1"/>
  <c r="H200" i="3" a="1"/>
  <c r="H200" i="3" s="1"/>
  <c r="G200" i="3" a="1"/>
  <c r="G200" i="3" s="1"/>
  <c r="F200" i="3" a="1"/>
  <c r="F200" i="3" s="1"/>
  <c r="E200" i="3" a="1"/>
  <c r="E200" i="3" s="1"/>
  <c r="D200" i="3" a="1"/>
  <c r="D200" i="3" s="1"/>
  <c r="A200" i="3"/>
  <c r="AD199" i="3" a="1"/>
  <c r="AD199" i="3"/>
  <c r="AC199" i="3" a="1"/>
  <c r="AC199" i="3"/>
  <c r="AB199" i="3" a="1"/>
  <c r="AB199" i="3"/>
  <c r="AA199" i="3" a="1"/>
  <c r="AA199" i="3" s="1"/>
  <c r="Z199" i="3" a="1"/>
  <c r="Z199" i="3" s="1"/>
  <c r="Y199" i="3" a="1"/>
  <c r="Y199" i="3"/>
  <c r="X199" i="3" a="1"/>
  <c r="X199" i="3"/>
  <c r="W199" i="3" a="1"/>
  <c r="W199" i="3"/>
  <c r="V199" i="3" a="1"/>
  <c r="V199" i="3"/>
  <c r="U199" i="3" a="1"/>
  <c r="U199" i="3" s="1"/>
  <c r="T199" i="3" a="1"/>
  <c r="T199" i="3" s="1"/>
  <c r="S199" i="3" a="1"/>
  <c r="S199" i="3"/>
  <c r="R199" i="3" a="1"/>
  <c r="R199" i="3"/>
  <c r="Q199" i="3" a="1"/>
  <c r="Q199" i="3"/>
  <c r="P199" i="3" a="1"/>
  <c r="P199" i="3"/>
  <c r="O199" i="3" a="1"/>
  <c r="O199" i="3"/>
  <c r="N199" i="3" a="1"/>
  <c r="N199" i="3" s="1"/>
  <c r="M199" i="3" a="1"/>
  <c r="M199" i="3"/>
  <c r="L199" i="3" a="1"/>
  <c r="L199" i="3"/>
  <c r="K199" i="3" a="1"/>
  <c r="K199" i="3" s="1"/>
  <c r="J199" i="3" a="1"/>
  <c r="J199" i="3"/>
  <c r="I199" i="3" a="1"/>
  <c r="I199" i="3"/>
  <c r="H199" i="3" a="1"/>
  <c r="H199" i="3" s="1"/>
  <c r="G199" i="3" a="1"/>
  <c r="G199" i="3"/>
  <c r="F199" i="3" a="1"/>
  <c r="F199" i="3"/>
  <c r="E199" i="3" a="1"/>
  <c r="E199" i="3" s="1"/>
  <c r="D199" i="3" a="1"/>
  <c r="D199" i="3"/>
  <c r="C199" i="3" a="1"/>
  <c r="C199" i="3"/>
  <c r="A199" i="3"/>
  <c r="AD198" i="3" a="1"/>
  <c r="AD198" i="3" s="1"/>
  <c r="AC198" i="3" a="1"/>
  <c r="AC198" i="3" s="1"/>
  <c r="AB198" i="3" a="1"/>
  <c r="AB198" i="3"/>
  <c r="AA198" i="3" a="1"/>
  <c r="AA198" i="3"/>
  <c r="Z198" i="3" a="1"/>
  <c r="Z198" i="3"/>
  <c r="Y198" i="3" a="1"/>
  <c r="Y198" i="3" s="1"/>
  <c r="X198" i="3" a="1"/>
  <c r="X198" i="3" s="1"/>
  <c r="W198" i="3" a="1"/>
  <c r="W198" i="3" s="1"/>
  <c r="V198" i="3" a="1"/>
  <c r="V198" i="3"/>
  <c r="U198" i="3" a="1"/>
  <c r="U198" i="3" s="1"/>
  <c r="T198" i="3" a="1"/>
  <c r="T198" i="3"/>
  <c r="S198" i="3" a="1"/>
  <c r="S198" i="3" s="1"/>
  <c r="R198" i="3" a="1"/>
  <c r="R198" i="3" s="1"/>
  <c r="Q198" i="3" a="1"/>
  <c r="Q198" i="3" s="1"/>
  <c r="P198" i="3" a="1"/>
  <c r="P198" i="3" s="1"/>
  <c r="O198" i="3" a="1"/>
  <c r="O198" i="3" s="1"/>
  <c r="N198" i="3" a="1"/>
  <c r="N198" i="3" s="1"/>
  <c r="M198" i="3" a="1"/>
  <c r="M198" i="3" s="1"/>
  <c r="L198" i="3" a="1"/>
  <c r="L198" i="3" s="1"/>
  <c r="K198" i="3" a="1"/>
  <c r="K198" i="3"/>
  <c r="J198" i="3" a="1"/>
  <c r="J198" i="3" s="1"/>
  <c r="I198" i="3" a="1"/>
  <c r="I198" i="3" s="1"/>
  <c r="H198" i="3" a="1"/>
  <c r="H198" i="3" s="1"/>
  <c r="G198" i="3" a="1"/>
  <c r="G198" i="3" s="1"/>
  <c r="F198" i="3" a="1"/>
  <c r="F198" i="3" s="1"/>
  <c r="E198" i="3" a="1"/>
  <c r="E198" i="3"/>
  <c r="D198" i="3" a="1"/>
  <c r="D198" i="3"/>
  <c r="C198" i="3" a="1"/>
  <c r="C198" i="3" s="1"/>
  <c r="A198" i="3"/>
  <c r="AD197" i="3" a="1"/>
  <c r="AD197" i="3"/>
  <c r="AC197" i="3" a="1"/>
  <c r="AC197" i="3"/>
  <c r="AB197" i="3" a="1"/>
  <c r="AB197" i="3" s="1"/>
  <c r="AA197" i="3" a="1"/>
  <c r="AA197" i="3"/>
  <c r="Z197" i="3" a="1"/>
  <c r="Z197" i="3"/>
  <c r="Y197" i="3" a="1"/>
  <c r="Y197" i="3" s="1"/>
  <c r="X197" i="3" a="1"/>
  <c r="X197" i="3"/>
  <c r="W197" i="3" a="1"/>
  <c r="W197" i="3"/>
  <c r="V197" i="3" a="1"/>
  <c r="V197" i="3"/>
  <c r="U197" i="3" a="1"/>
  <c r="U197" i="3"/>
  <c r="T197" i="3" a="1"/>
  <c r="T197" i="3" s="1"/>
  <c r="S197" i="3" a="1"/>
  <c r="S197" i="3" s="1"/>
  <c r="R197" i="3" a="1"/>
  <c r="R197" i="3"/>
  <c r="Q197" i="3" a="1"/>
  <c r="Q197" i="3" s="1"/>
  <c r="P197" i="3" a="1"/>
  <c r="P197" i="3"/>
  <c r="O197" i="3" a="1"/>
  <c r="O197" i="3" s="1"/>
  <c r="N197" i="3" a="1"/>
  <c r="N197" i="3"/>
  <c r="M197" i="3" a="1"/>
  <c r="M197" i="3" s="1"/>
  <c r="L197" i="3" a="1"/>
  <c r="L197" i="3"/>
  <c r="K197" i="3" a="1"/>
  <c r="K197" i="3" s="1"/>
  <c r="J197" i="3" a="1"/>
  <c r="J197" i="3" s="1"/>
  <c r="I197" i="3" a="1"/>
  <c r="I197" i="3"/>
  <c r="H197" i="3" a="1"/>
  <c r="H197" i="3"/>
  <c r="G197" i="3" a="1"/>
  <c r="G197" i="3" s="1"/>
  <c r="F197" i="3" a="1"/>
  <c r="F197" i="3"/>
  <c r="E197" i="3" a="1"/>
  <c r="E197" i="3"/>
  <c r="D197" i="3" a="1"/>
  <c r="D197" i="3" s="1"/>
  <c r="C197" i="3" a="1"/>
  <c r="C197" i="3"/>
  <c r="A197" i="3"/>
  <c r="AD196" i="3" a="1"/>
  <c r="AD196" i="3" s="1"/>
  <c r="AC196" i="3" a="1"/>
  <c r="AC196" i="3"/>
  <c r="AB196" i="3" a="1"/>
  <c r="AB196" i="3"/>
  <c r="AA196" i="3" a="1"/>
  <c r="AA196" i="3" s="1"/>
  <c r="Z196" i="3" a="1"/>
  <c r="Z196" i="3" s="1"/>
  <c r="Y196" i="3" a="1"/>
  <c r="Y196" i="3" s="1"/>
  <c r="X196" i="3" a="1"/>
  <c r="X196" i="3" s="1"/>
  <c r="W196" i="3" a="1"/>
  <c r="W196" i="3" s="1"/>
  <c r="V196" i="3" a="1"/>
  <c r="V196" i="3" s="1"/>
  <c r="U196" i="3" a="1"/>
  <c r="U196" i="3" s="1"/>
  <c r="T196" i="3" a="1"/>
  <c r="T196" i="3" s="1"/>
  <c r="S196" i="3" a="1"/>
  <c r="S196" i="3"/>
  <c r="R196" i="3" a="1"/>
  <c r="R196" i="3" s="1"/>
  <c r="Q196" i="3" a="1"/>
  <c r="Q196" i="3"/>
  <c r="P196" i="3" a="1"/>
  <c r="P196" i="3"/>
  <c r="O196" i="3" a="1"/>
  <c r="O196" i="3"/>
  <c r="N196" i="3" a="1"/>
  <c r="N196" i="3" s="1"/>
  <c r="M196" i="3" a="1"/>
  <c r="M196" i="3" s="1"/>
  <c r="L196" i="3" a="1"/>
  <c r="L196" i="3" s="1"/>
  <c r="K196" i="3" a="1"/>
  <c r="K196" i="3"/>
  <c r="J196" i="3" a="1"/>
  <c r="J196" i="3" s="1"/>
  <c r="I196" i="3" a="1"/>
  <c r="I196" i="3" s="1"/>
  <c r="H196" i="3" a="1"/>
  <c r="H196" i="3" s="1"/>
  <c r="G196" i="3" a="1"/>
  <c r="G196" i="3"/>
  <c r="F196" i="3" a="1"/>
  <c r="F196" i="3" s="1"/>
  <c r="E196" i="3" a="1"/>
  <c r="E196" i="3" s="1"/>
  <c r="D196" i="3" a="1"/>
  <c r="D196" i="3"/>
  <c r="C196" i="3" a="1"/>
  <c r="C196" i="3"/>
  <c r="A196" i="3"/>
  <c r="AD195" i="3" a="1"/>
  <c r="AD195" i="3"/>
  <c r="AC195" i="3" a="1"/>
  <c r="AC195" i="3"/>
  <c r="AB195" i="3" a="1"/>
  <c r="AB195" i="3"/>
  <c r="AA195" i="3" a="1"/>
  <c r="AA195" i="3" s="1"/>
  <c r="Z195" i="3" a="1"/>
  <c r="Z195" i="3" s="1"/>
  <c r="Y195" i="3" a="1"/>
  <c r="Y195" i="3" s="1"/>
  <c r="X195" i="3" a="1"/>
  <c r="X195" i="3"/>
  <c r="W195" i="3" a="1"/>
  <c r="W195" i="3"/>
  <c r="V195" i="3" a="1"/>
  <c r="V195" i="3"/>
  <c r="U195" i="3" a="1"/>
  <c r="U195" i="3" s="1"/>
  <c r="T195" i="3" a="1"/>
  <c r="T195" i="3" s="1"/>
  <c r="S195" i="3" a="1"/>
  <c r="S195" i="3" s="1"/>
  <c r="R195" i="3" a="1"/>
  <c r="R195" i="3" s="1"/>
  <c r="Q195" i="3" a="1"/>
  <c r="Q195" i="3"/>
  <c r="P195" i="3" a="1"/>
  <c r="P195" i="3"/>
  <c r="O195" i="3" a="1"/>
  <c r="O195" i="3" s="1"/>
  <c r="N195" i="3" a="1"/>
  <c r="N195" i="3" s="1"/>
  <c r="M195" i="3" a="1"/>
  <c r="M195" i="3" s="1"/>
  <c r="L195" i="3" a="1"/>
  <c r="L195" i="3" s="1"/>
  <c r="K195" i="3" a="1"/>
  <c r="K195" i="3"/>
  <c r="J195" i="3" a="1"/>
  <c r="J195" i="3"/>
  <c r="I195" i="3" a="1"/>
  <c r="I195" i="3" s="1"/>
  <c r="H195" i="3" a="1"/>
  <c r="H195" i="3" s="1"/>
  <c r="G195" i="3" a="1"/>
  <c r="G195" i="3" s="1"/>
  <c r="F195" i="3" a="1"/>
  <c r="F195" i="3" s="1"/>
  <c r="E195" i="3" a="1"/>
  <c r="E195" i="3"/>
  <c r="D195" i="3" a="1"/>
  <c r="D195" i="3"/>
  <c r="C195" i="3" a="1"/>
  <c r="C195" i="3" s="1"/>
  <c r="A195" i="3"/>
  <c r="AD194" i="3" a="1"/>
  <c r="AD194" i="3" s="1"/>
  <c r="AC194" i="3" a="1"/>
  <c r="AC194" i="3"/>
  <c r="AB194" i="3" a="1"/>
  <c r="AB194" i="3"/>
  <c r="AA194" i="3" a="1"/>
  <c r="AA194" i="3" s="1"/>
  <c r="Z194" i="3" a="1"/>
  <c r="Z194" i="3"/>
  <c r="Y194" i="3" a="1"/>
  <c r="Y194" i="3"/>
  <c r="X194" i="3" a="1"/>
  <c r="X194" i="3" s="1"/>
  <c r="W194" i="3" a="1"/>
  <c r="W194" i="3"/>
  <c r="V194" i="3" a="1"/>
  <c r="V194" i="3"/>
  <c r="U194" i="3" a="1"/>
  <c r="U194" i="3" s="1"/>
  <c r="T194" i="3" a="1"/>
  <c r="T194" i="3"/>
  <c r="S194" i="3" a="1"/>
  <c r="S194" i="3"/>
  <c r="R194" i="3" a="1"/>
  <c r="R194" i="3" s="1"/>
  <c r="Q194" i="3" a="1"/>
  <c r="Q194" i="3" s="1"/>
  <c r="P194" i="3" a="1"/>
  <c r="P194" i="3"/>
  <c r="O194" i="3" a="1"/>
  <c r="O194" i="3" s="1"/>
  <c r="N194" i="3" a="1"/>
  <c r="N194" i="3"/>
  <c r="M194" i="3" a="1"/>
  <c r="M194" i="3"/>
  <c r="L194" i="3" a="1"/>
  <c r="L194" i="3" s="1"/>
  <c r="K194" i="3" a="1"/>
  <c r="K194" i="3" s="1"/>
  <c r="J194" i="3" a="1"/>
  <c r="J194" i="3"/>
  <c r="I194" i="3" a="1"/>
  <c r="I194" i="3" s="1"/>
  <c r="H194" i="3" a="1"/>
  <c r="H194" i="3"/>
  <c r="G194" i="3" a="1"/>
  <c r="G194" i="3"/>
  <c r="F194" i="3" a="1"/>
  <c r="F194" i="3" s="1"/>
  <c r="E194" i="3" a="1"/>
  <c r="E194" i="3" s="1"/>
  <c r="D194" i="3" a="1"/>
  <c r="D194" i="3"/>
  <c r="C194" i="3" a="1"/>
  <c r="C194" i="3" s="1"/>
  <c r="A194" i="3"/>
  <c r="AD193" i="3" a="1"/>
  <c r="AD193" i="3"/>
  <c r="AC193" i="3" a="1"/>
  <c r="AC193" i="3"/>
  <c r="AB193" i="3" a="1"/>
  <c r="AB193" i="3"/>
  <c r="AA193" i="3" a="1"/>
  <c r="AA193" i="3"/>
  <c r="Z193" i="3" a="1"/>
  <c r="Z193" i="3" s="1"/>
  <c r="Y193" i="3" a="1"/>
  <c r="Y193" i="3" s="1"/>
  <c r="X193" i="3" a="1"/>
  <c r="X193" i="3" s="1"/>
  <c r="W193" i="3" a="1"/>
  <c r="W193" i="3" s="1"/>
  <c r="V193" i="3" a="1"/>
  <c r="V193" i="3"/>
  <c r="U193" i="3" a="1"/>
  <c r="U193" i="3"/>
  <c r="T193" i="3" a="1"/>
  <c r="T193" i="3" s="1"/>
  <c r="S193" i="3" a="1"/>
  <c r="S193" i="3" s="1"/>
  <c r="R193" i="3" a="1"/>
  <c r="R193" i="3" s="1"/>
  <c r="Q193" i="3" a="1"/>
  <c r="Q193" i="3" s="1"/>
  <c r="P193" i="3" a="1"/>
  <c r="P193" i="3"/>
  <c r="O193" i="3" a="1"/>
  <c r="O193" i="3"/>
  <c r="N193" i="3" a="1"/>
  <c r="N193" i="3" s="1"/>
  <c r="M193" i="3" a="1"/>
  <c r="M193" i="3" s="1"/>
  <c r="L193" i="3" a="1"/>
  <c r="L193" i="3" s="1"/>
  <c r="K193" i="3" a="1"/>
  <c r="K193" i="3" s="1"/>
  <c r="J193" i="3" a="1"/>
  <c r="J193" i="3"/>
  <c r="I193" i="3" a="1"/>
  <c r="I193" i="3"/>
  <c r="H193" i="3" a="1"/>
  <c r="H193" i="3" s="1"/>
  <c r="G193" i="3" a="1"/>
  <c r="G193" i="3" s="1"/>
  <c r="F193" i="3" a="1"/>
  <c r="F193" i="3" s="1"/>
  <c r="E193" i="3" a="1"/>
  <c r="E193" i="3" s="1"/>
  <c r="D193" i="3" a="1"/>
  <c r="D193" i="3"/>
  <c r="C193" i="3" a="1"/>
  <c r="C193" i="3"/>
  <c r="A193" i="3"/>
  <c r="AD192" i="3" a="1"/>
  <c r="AD192" i="3"/>
  <c r="AC192" i="3" a="1"/>
  <c r="AC192" i="3" s="1"/>
  <c r="AB192" i="3" a="1"/>
  <c r="AB192" i="3"/>
  <c r="AA192" i="3" a="1"/>
  <c r="AA192" i="3"/>
  <c r="Z192" i="3" a="1"/>
  <c r="Z192" i="3" s="1"/>
  <c r="Y192" i="3" a="1"/>
  <c r="Y192" i="3"/>
  <c r="X192" i="3" a="1"/>
  <c r="X192" i="3"/>
  <c r="W192" i="3" a="1"/>
  <c r="W192" i="3" s="1"/>
  <c r="V192" i="3" a="1"/>
  <c r="V192" i="3"/>
  <c r="U192" i="3" a="1"/>
  <c r="U192" i="3"/>
  <c r="T192" i="3" a="1"/>
  <c r="T192" i="3" s="1"/>
  <c r="S192" i="3" a="1"/>
  <c r="S192" i="3"/>
  <c r="R192" i="3" a="1"/>
  <c r="R192" i="3" s="1"/>
  <c r="Q192" i="3" a="1"/>
  <c r="Q192" i="3" s="1"/>
  <c r="P192" i="3" a="1"/>
  <c r="P192" i="3"/>
  <c r="O192" i="3" a="1"/>
  <c r="O192" i="3"/>
  <c r="N192" i="3" a="1"/>
  <c r="N192" i="3" s="1"/>
  <c r="M192" i="3" a="1"/>
  <c r="M192" i="3"/>
  <c r="L192" i="3" a="1"/>
  <c r="L192" i="3" s="1"/>
  <c r="K192" i="3" a="1"/>
  <c r="K192" i="3" s="1"/>
  <c r="J192" i="3" a="1"/>
  <c r="J192" i="3"/>
  <c r="I192" i="3" a="1"/>
  <c r="I192" i="3"/>
  <c r="H192" i="3" a="1"/>
  <c r="H192" i="3" s="1"/>
  <c r="G192" i="3" a="1"/>
  <c r="G192" i="3"/>
  <c r="F192" i="3" a="1"/>
  <c r="F192" i="3" s="1"/>
  <c r="E192" i="3" a="1"/>
  <c r="E192" i="3" s="1"/>
  <c r="D192" i="3" a="1"/>
  <c r="D192" i="3"/>
  <c r="C192" i="3" a="1"/>
  <c r="C192" i="3"/>
  <c r="A192" i="3"/>
  <c r="AD191" i="3" a="1"/>
  <c r="AD191" i="3" s="1"/>
  <c r="AC191" i="3" a="1"/>
  <c r="AC191" i="3" s="1"/>
  <c r="AB191" i="3" a="1"/>
  <c r="AB191" i="3" s="1"/>
  <c r="AA191" i="3" a="1"/>
  <c r="AA191" i="3"/>
  <c r="Z191" i="3" a="1"/>
  <c r="Z191" i="3"/>
  <c r="Y191" i="3" a="1"/>
  <c r="Y191" i="3" s="1"/>
  <c r="X191" i="3" a="1"/>
  <c r="X191" i="3" s="1"/>
  <c r="W191" i="3" a="1"/>
  <c r="W191" i="3" s="1"/>
  <c r="V191" i="3" a="1"/>
  <c r="V191" i="3" s="1"/>
  <c r="U191" i="3" a="1"/>
  <c r="U191" i="3"/>
  <c r="T191" i="3" a="1"/>
  <c r="T191" i="3"/>
  <c r="S191" i="3" a="1"/>
  <c r="S191" i="3" s="1"/>
  <c r="R191" i="3" a="1"/>
  <c r="R191" i="3" s="1"/>
  <c r="Q191" i="3" a="1"/>
  <c r="Q191" i="3" s="1"/>
  <c r="P191" i="3" a="1"/>
  <c r="P191" i="3" s="1"/>
  <c r="O191" i="3" a="1"/>
  <c r="O191" i="3"/>
  <c r="N191" i="3" a="1"/>
  <c r="N191" i="3"/>
  <c r="M191" i="3" a="1"/>
  <c r="M191" i="3" s="1"/>
  <c r="L191" i="3" a="1"/>
  <c r="L191" i="3" s="1"/>
  <c r="K191" i="3" a="1"/>
  <c r="K191" i="3" s="1"/>
  <c r="J191" i="3" a="1"/>
  <c r="J191" i="3" s="1"/>
  <c r="I191" i="3" a="1"/>
  <c r="I191" i="3"/>
  <c r="H191" i="3" a="1"/>
  <c r="H191" i="3"/>
  <c r="G191" i="3" a="1"/>
  <c r="G191" i="3" s="1"/>
  <c r="F191" i="3" a="1"/>
  <c r="F191" i="3" s="1"/>
  <c r="E191" i="3" a="1"/>
  <c r="E191" i="3" s="1"/>
  <c r="D191" i="3" a="1"/>
  <c r="D191" i="3" s="1"/>
  <c r="A191" i="3"/>
  <c r="AD190" i="3" a="1"/>
  <c r="AD190" i="3"/>
  <c r="AC190" i="3" a="1"/>
  <c r="AC190" i="3" s="1"/>
  <c r="AB190" i="3" a="1"/>
  <c r="AB190" i="3" s="1"/>
  <c r="AA190" i="3" a="1"/>
  <c r="AA190" i="3"/>
  <c r="Z190" i="3" a="1"/>
  <c r="Z190" i="3"/>
  <c r="Y190" i="3" a="1"/>
  <c r="Y190" i="3" s="1"/>
  <c r="X190" i="3" a="1"/>
  <c r="X190" i="3"/>
  <c r="W190" i="3" a="1"/>
  <c r="W190" i="3" s="1"/>
  <c r="V190" i="3" a="1"/>
  <c r="V190" i="3" s="1"/>
  <c r="U190" i="3" a="1"/>
  <c r="U190" i="3"/>
  <c r="T190" i="3" a="1"/>
  <c r="T190" i="3"/>
  <c r="S190" i="3" a="1"/>
  <c r="S190" i="3" s="1"/>
  <c r="R190" i="3" a="1"/>
  <c r="R190" i="3"/>
  <c r="Q190" i="3" a="1"/>
  <c r="Q190" i="3" s="1"/>
  <c r="P190" i="3" a="1"/>
  <c r="P190" i="3" s="1"/>
  <c r="O190" i="3" a="1"/>
  <c r="O190" i="3"/>
  <c r="N190" i="3" a="1"/>
  <c r="N190" i="3"/>
  <c r="M190" i="3" a="1"/>
  <c r="M190" i="3" s="1"/>
  <c r="L190" i="3" a="1"/>
  <c r="L190" i="3"/>
  <c r="K190" i="3" a="1"/>
  <c r="K190" i="3" s="1"/>
  <c r="J190" i="3" a="1"/>
  <c r="J190" i="3" s="1"/>
  <c r="I190" i="3" a="1"/>
  <c r="I190" i="3"/>
  <c r="H190" i="3" a="1"/>
  <c r="H190" i="3"/>
  <c r="G190" i="3" a="1"/>
  <c r="G190" i="3" s="1"/>
  <c r="F190" i="3" a="1"/>
  <c r="F190" i="3"/>
  <c r="E190" i="3" a="1"/>
  <c r="E190" i="3" s="1"/>
  <c r="D190" i="3" a="1"/>
  <c r="D190" i="3" s="1"/>
  <c r="A190" i="3"/>
  <c r="AD189" i="3" a="1"/>
  <c r="AD189" i="3" s="1"/>
  <c r="AC189" i="3" a="1"/>
  <c r="AC189" i="3" s="1"/>
  <c r="AB189" i="3" a="1"/>
  <c r="AB189" i="3" s="1"/>
  <c r="AA189" i="3" a="1"/>
  <c r="AA189" i="3" s="1"/>
  <c r="Z189" i="3" a="1"/>
  <c r="Z189" i="3"/>
  <c r="Y189" i="3" a="1"/>
  <c r="Y189" i="3"/>
  <c r="X189" i="3" a="1"/>
  <c r="X189" i="3" s="1"/>
  <c r="W189" i="3" a="1"/>
  <c r="W189" i="3" s="1"/>
  <c r="V189" i="3" a="1"/>
  <c r="V189" i="3" s="1"/>
  <c r="U189" i="3" a="1"/>
  <c r="U189" i="3" s="1"/>
  <c r="T189" i="3" a="1"/>
  <c r="T189" i="3"/>
  <c r="S189" i="3" a="1"/>
  <c r="S189" i="3"/>
  <c r="R189" i="3" a="1"/>
  <c r="R189" i="3" s="1"/>
  <c r="Q189" i="3" a="1"/>
  <c r="Q189" i="3" s="1"/>
  <c r="P189" i="3" a="1"/>
  <c r="P189" i="3" s="1"/>
  <c r="O189" i="3" a="1"/>
  <c r="O189" i="3" s="1"/>
  <c r="N189" i="3" a="1"/>
  <c r="N189" i="3"/>
  <c r="M189" i="3" a="1"/>
  <c r="M189" i="3"/>
  <c r="L189" i="3" a="1"/>
  <c r="L189" i="3" s="1"/>
  <c r="K189" i="3" a="1"/>
  <c r="K189" i="3" s="1"/>
  <c r="J189" i="3" a="1"/>
  <c r="J189" i="3" s="1"/>
  <c r="I189" i="3" a="1"/>
  <c r="I189" i="3" s="1"/>
  <c r="H189" i="3" a="1"/>
  <c r="H189" i="3" s="1"/>
  <c r="G189" i="3" a="1"/>
  <c r="G189" i="3"/>
  <c r="F189" i="3" a="1"/>
  <c r="F189" i="3" s="1"/>
  <c r="E189" i="3" a="1"/>
  <c r="E189" i="3" s="1"/>
  <c r="D189" i="3" a="1"/>
  <c r="D189" i="3" s="1"/>
  <c r="C189" i="3" a="1"/>
  <c r="C189" i="3" s="1"/>
  <c r="A189" i="3"/>
  <c r="AD188" i="3" a="1"/>
  <c r="AD188" i="3" s="1"/>
  <c r="AC188" i="3" a="1"/>
  <c r="AC188" i="3"/>
  <c r="AB188" i="3" a="1"/>
  <c r="AB188" i="3" s="1"/>
  <c r="AA188" i="3" a="1"/>
  <c r="AA188" i="3"/>
  <c r="Z188" i="3" a="1"/>
  <c r="Z188" i="3"/>
  <c r="Y188" i="3" a="1"/>
  <c r="Y188" i="3"/>
  <c r="X188" i="3" a="1"/>
  <c r="X188" i="3" s="1"/>
  <c r="W188" i="3" a="1"/>
  <c r="W188" i="3"/>
  <c r="V188" i="3" a="1"/>
  <c r="V188" i="3" s="1"/>
  <c r="U188" i="3" a="1"/>
  <c r="U188" i="3" s="1"/>
  <c r="T188" i="3" a="1"/>
  <c r="T188" i="3"/>
  <c r="S188" i="3" a="1"/>
  <c r="S188" i="3"/>
  <c r="R188" i="3" a="1"/>
  <c r="R188" i="3" s="1"/>
  <c r="Q188" i="3" a="1"/>
  <c r="Q188" i="3"/>
  <c r="P188" i="3" a="1"/>
  <c r="P188" i="3" s="1"/>
  <c r="O188" i="3" a="1"/>
  <c r="O188" i="3" s="1"/>
  <c r="N188" i="3" a="1"/>
  <c r="N188" i="3"/>
  <c r="M188" i="3" a="1"/>
  <c r="M188" i="3"/>
  <c r="L188" i="3" a="1"/>
  <c r="L188" i="3" s="1"/>
  <c r="K188" i="3" a="1"/>
  <c r="K188" i="3"/>
  <c r="J188" i="3" a="1"/>
  <c r="J188" i="3" s="1"/>
  <c r="I188" i="3" a="1"/>
  <c r="I188" i="3" s="1"/>
  <c r="H188" i="3" a="1"/>
  <c r="H188" i="3"/>
  <c r="G188" i="3" a="1"/>
  <c r="G188" i="3"/>
  <c r="F188" i="3" a="1"/>
  <c r="F188" i="3" s="1"/>
  <c r="E188" i="3" a="1"/>
  <c r="E188" i="3"/>
  <c r="D188" i="3" a="1"/>
  <c r="D188" i="3" s="1"/>
  <c r="C188" i="3" a="1"/>
  <c r="C188" i="3" s="1"/>
  <c r="A188" i="3"/>
  <c r="AD187" i="3" a="1"/>
  <c r="AD187" i="3"/>
  <c r="AC187" i="3" a="1"/>
  <c r="AC187" i="3" s="1"/>
  <c r="AB187" i="3" a="1"/>
  <c r="AB187" i="3" s="1"/>
  <c r="AA187" i="3" a="1"/>
  <c r="AA187" i="3"/>
  <c r="Z187" i="3" a="1"/>
  <c r="Z187" i="3" s="1"/>
  <c r="Y187" i="3" a="1"/>
  <c r="Y187" i="3"/>
  <c r="X187" i="3" a="1"/>
  <c r="X187" i="3"/>
  <c r="W187" i="3" a="1"/>
  <c r="W187" i="3" s="1"/>
  <c r="V187" i="3" a="1"/>
  <c r="V187" i="3" s="1"/>
  <c r="U187" i="3" a="1"/>
  <c r="U187" i="3" s="1"/>
  <c r="T187" i="3" a="1"/>
  <c r="T187" i="3" s="1"/>
  <c r="S187" i="3" a="1"/>
  <c r="S187" i="3"/>
  <c r="R187" i="3" a="1"/>
  <c r="R187" i="3"/>
  <c r="Q187" i="3" a="1"/>
  <c r="Q187" i="3" s="1"/>
  <c r="P187" i="3" a="1"/>
  <c r="P187" i="3" s="1"/>
  <c r="O187" i="3" a="1"/>
  <c r="O187" i="3" s="1"/>
  <c r="N187" i="3" a="1"/>
  <c r="N187" i="3" s="1"/>
  <c r="M187" i="3" a="1"/>
  <c r="M187" i="3" s="1"/>
  <c r="L187" i="3" a="1"/>
  <c r="L187" i="3"/>
  <c r="K187" i="3" a="1"/>
  <c r="K187" i="3" s="1"/>
  <c r="J187" i="3" a="1"/>
  <c r="J187" i="3" s="1"/>
  <c r="I187" i="3" a="1"/>
  <c r="I187" i="3" s="1"/>
  <c r="H187" i="3" a="1"/>
  <c r="H187" i="3" s="1"/>
  <c r="G187" i="3" a="1"/>
  <c r="G187" i="3" s="1"/>
  <c r="F187" i="3" a="1"/>
  <c r="F187" i="3"/>
  <c r="E187" i="3" a="1"/>
  <c r="E187" i="3" s="1"/>
  <c r="D187" i="3" a="1"/>
  <c r="D187" i="3" s="1"/>
  <c r="C187" i="3" a="1"/>
  <c r="C187" i="3" s="1"/>
  <c r="A187" i="3"/>
  <c r="AD186" i="3" a="1"/>
  <c r="AD186" i="3"/>
  <c r="AC186" i="3" a="1"/>
  <c r="AC186" i="3" s="1"/>
  <c r="AB186" i="3" a="1"/>
  <c r="AB186" i="3"/>
  <c r="AA186" i="3" a="1"/>
  <c r="AA186" i="3" s="1"/>
  <c r="Z186" i="3" a="1"/>
  <c r="Z186" i="3" s="1"/>
  <c r="Y186" i="3" a="1"/>
  <c r="Y186" i="3"/>
  <c r="X186" i="3" a="1"/>
  <c r="X186" i="3"/>
  <c r="W186" i="3" a="1"/>
  <c r="W186" i="3" s="1"/>
  <c r="V186" i="3" a="1"/>
  <c r="V186" i="3"/>
  <c r="U186" i="3" a="1"/>
  <c r="U186" i="3" s="1"/>
  <c r="T186" i="3" a="1"/>
  <c r="T186" i="3" s="1"/>
  <c r="S186" i="3" a="1"/>
  <c r="S186" i="3"/>
  <c r="R186" i="3" a="1"/>
  <c r="R186" i="3"/>
  <c r="Q186" i="3" a="1"/>
  <c r="Q186" i="3" s="1"/>
  <c r="P186" i="3" a="1"/>
  <c r="P186" i="3"/>
  <c r="O186" i="3" a="1"/>
  <c r="O186" i="3" s="1"/>
  <c r="N186" i="3" a="1"/>
  <c r="N186" i="3" s="1"/>
  <c r="M186" i="3" a="1"/>
  <c r="M186" i="3"/>
  <c r="L186" i="3" a="1"/>
  <c r="L186" i="3"/>
  <c r="K186" i="3" a="1"/>
  <c r="K186" i="3" s="1"/>
  <c r="J186" i="3" a="1"/>
  <c r="J186" i="3"/>
  <c r="I186" i="3" a="1"/>
  <c r="I186" i="3" s="1"/>
  <c r="H186" i="3" a="1"/>
  <c r="H186" i="3" s="1"/>
  <c r="G186" i="3" a="1"/>
  <c r="G186" i="3"/>
  <c r="F186" i="3" a="1"/>
  <c r="F186" i="3" s="1"/>
  <c r="E186" i="3" a="1"/>
  <c r="E186" i="3" s="1"/>
  <c r="D186" i="3" a="1"/>
  <c r="D186" i="3"/>
  <c r="C186" i="3" a="1"/>
  <c r="C186" i="3" s="1"/>
  <c r="A186" i="3"/>
  <c r="AD185" i="3" a="1"/>
  <c r="AD185" i="3"/>
  <c r="AC185" i="3" a="1"/>
  <c r="AC185" i="3"/>
  <c r="AB185" i="3" a="1"/>
  <c r="AB185" i="3" s="1"/>
  <c r="AA185" i="3" a="1"/>
  <c r="AA185" i="3" s="1"/>
  <c r="Z185" i="3" a="1"/>
  <c r="Z185" i="3"/>
  <c r="Y185" i="3" a="1"/>
  <c r="Y185" i="3" s="1"/>
  <c r="X185" i="3" a="1"/>
  <c r="X185" i="3"/>
  <c r="W185" i="3" a="1"/>
  <c r="W185" i="3"/>
  <c r="V185" i="3" a="1"/>
  <c r="V185" i="3" s="1"/>
  <c r="U185" i="3" a="1"/>
  <c r="U185" i="3" s="1"/>
  <c r="T185" i="3" a="1"/>
  <c r="T185" i="3"/>
  <c r="S185" i="3" a="1"/>
  <c r="S185" i="3" s="1"/>
  <c r="R185" i="3" a="1"/>
  <c r="R185" i="3"/>
  <c r="Q185" i="3" a="1"/>
  <c r="Q185" i="3"/>
  <c r="P185" i="3" a="1"/>
  <c r="P185" i="3" s="1"/>
  <c r="O185" i="3" a="1"/>
  <c r="O185" i="3" s="1"/>
  <c r="N185" i="3" a="1"/>
  <c r="N185" i="3"/>
  <c r="M185" i="3" a="1"/>
  <c r="M185" i="3" s="1"/>
  <c r="L185" i="3" a="1"/>
  <c r="L185" i="3"/>
  <c r="K185" i="3" a="1"/>
  <c r="K185" i="3"/>
  <c r="J185" i="3" a="1"/>
  <c r="J185" i="3" s="1"/>
  <c r="I185" i="3" a="1"/>
  <c r="I185" i="3" s="1"/>
  <c r="H185" i="3" a="1"/>
  <c r="H185" i="3"/>
  <c r="G185" i="3" a="1"/>
  <c r="G185" i="3" s="1"/>
  <c r="F185" i="3" a="1"/>
  <c r="F185" i="3"/>
  <c r="E185" i="3" a="1"/>
  <c r="E185" i="3"/>
  <c r="D185" i="3" a="1"/>
  <c r="D185" i="3" s="1"/>
  <c r="C185" i="3" a="1"/>
  <c r="C185" i="3" s="1"/>
  <c r="A185" i="3"/>
  <c r="AD184" i="3" a="1"/>
  <c r="AD184" i="3"/>
  <c r="AC184" i="3" a="1"/>
  <c r="AC184" i="3"/>
  <c r="AB184" i="3" a="1"/>
  <c r="AB184" i="3" s="1"/>
  <c r="AA184" i="3" a="1"/>
  <c r="AA184" i="3"/>
  <c r="Z184" i="3" a="1"/>
  <c r="Z184" i="3" s="1"/>
  <c r="Y184" i="3" a="1"/>
  <c r="Y184" i="3"/>
  <c r="X184" i="3" a="1"/>
  <c r="X184" i="3"/>
  <c r="W184" i="3" a="1"/>
  <c r="W184" i="3"/>
  <c r="V184" i="3" a="1"/>
  <c r="V184" i="3" s="1"/>
  <c r="U184" i="3" a="1"/>
  <c r="U184" i="3"/>
  <c r="T184" i="3" a="1"/>
  <c r="T184" i="3" s="1"/>
  <c r="S184" i="3" a="1"/>
  <c r="S184" i="3"/>
  <c r="R184" i="3" a="1"/>
  <c r="R184" i="3"/>
  <c r="Q184" i="3" a="1"/>
  <c r="Q184" i="3" s="1"/>
  <c r="P184" i="3" a="1"/>
  <c r="P184" i="3" s="1"/>
  <c r="O184" i="3" a="1"/>
  <c r="O184" i="3"/>
  <c r="N184" i="3" a="1"/>
  <c r="N184" i="3" s="1"/>
  <c r="M184" i="3" a="1"/>
  <c r="M184" i="3"/>
  <c r="L184" i="3" a="1"/>
  <c r="L184" i="3"/>
  <c r="K184" i="3" a="1"/>
  <c r="K184" i="3" s="1"/>
  <c r="J184" i="3" a="1"/>
  <c r="J184" i="3" s="1"/>
  <c r="I184" i="3" a="1"/>
  <c r="I184" i="3"/>
  <c r="H184" i="3" a="1"/>
  <c r="H184" i="3" s="1"/>
  <c r="G184" i="3" a="1"/>
  <c r="G184" i="3"/>
  <c r="F184" i="3" a="1"/>
  <c r="F184" i="3"/>
  <c r="E184" i="3" a="1"/>
  <c r="E184" i="3" s="1"/>
  <c r="D184" i="3" a="1"/>
  <c r="D184" i="3" s="1"/>
  <c r="A184" i="3"/>
  <c r="AD183" i="3" a="1"/>
  <c r="AD183" i="3" s="1"/>
  <c r="AC183" i="3" a="1"/>
  <c r="AC183" i="3"/>
  <c r="AB183" i="3" a="1"/>
  <c r="AB183" i="3"/>
  <c r="AA183" i="3" a="1"/>
  <c r="AA183" i="3" s="1"/>
  <c r="Z183" i="3" a="1"/>
  <c r="Z183" i="3" s="1"/>
  <c r="Y183" i="3" a="1"/>
  <c r="Y183" i="3"/>
  <c r="X183" i="3" a="1"/>
  <c r="X183" i="3" s="1"/>
  <c r="W183" i="3" a="1"/>
  <c r="W183" i="3"/>
  <c r="V183" i="3" a="1"/>
  <c r="V183" i="3"/>
  <c r="U183" i="3" a="1"/>
  <c r="U183" i="3" s="1"/>
  <c r="T183" i="3" a="1"/>
  <c r="T183" i="3" s="1"/>
  <c r="S183" i="3" a="1"/>
  <c r="S183" i="3"/>
  <c r="R183" i="3" a="1"/>
  <c r="R183" i="3" s="1"/>
  <c r="Q183" i="3" a="1"/>
  <c r="Q183" i="3" s="1"/>
  <c r="P183" i="3" a="1"/>
  <c r="P183" i="3"/>
  <c r="O183" i="3" a="1"/>
  <c r="O183" i="3" s="1"/>
  <c r="N183" i="3" a="1"/>
  <c r="N183" i="3" s="1"/>
  <c r="M183" i="3" a="1"/>
  <c r="M183" i="3"/>
  <c r="L183" i="3" a="1"/>
  <c r="L183" i="3" s="1"/>
  <c r="K183" i="3" a="1"/>
  <c r="K183" i="3" s="1"/>
  <c r="J183" i="3" a="1"/>
  <c r="J183" i="3"/>
  <c r="I183" i="3" a="1"/>
  <c r="I183" i="3" s="1"/>
  <c r="H183" i="3" a="1"/>
  <c r="H183" i="3" s="1"/>
  <c r="G183" i="3" a="1"/>
  <c r="G183" i="3"/>
  <c r="F183" i="3" a="1"/>
  <c r="F183" i="3" s="1"/>
  <c r="E183" i="3" a="1"/>
  <c r="E183" i="3" s="1"/>
  <c r="D183" i="3" a="1"/>
  <c r="D183" i="3"/>
  <c r="C183" i="3" a="1"/>
  <c r="C183" i="3" s="1"/>
  <c r="A183" i="3"/>
  <c r="AD182" i="3" a="1"/>
  <c r="AD182" i="3"/>
  <c r="AC182" i="3" a="1"/>
  <c r="AC182" i="3"/>
  <c r="AB182" i="3" a="1"/>
  <c r="AB182" i="3" s="1"/>
  <c r="AA182" i="3" a="1"/>
  <c r="AA182" i="3" s="1"/>
  <c r="Z182" i="3" a="1"/>
  <c r="Z182" i="3"/>
  <c r="Y182" i="3" a="1"/>
  <c r="Y182" i="3" s="1"/>
  <c r="X182" i="3" a="1"/>
  <c r="X182" i="3" s="1"/>
  <c r="W182" i="3" a="1"/>
  <c r="W182" i="3"/>
  <c r="V182" i="3" a="1"/>
  <c r="V182" i="3" s="1"/>
  <c r="U182" i="3" a="1"/>
  <c r="U182" i="3" s="1"/>
  <c r="T182" i="3" a="1"/>
  <c r="T182" i="3"/>
  <c r="S182" i="3" a="1"/>
  <c r="S182" i="3" s="1"/>
  <c r="R182" i="3" a="1"/>
  <c r="R182" i="3" s="1"/>
  <c r="Q182" i="3" a="1"/>
  <c r="Q182" i="3"/>
  <c r="P182" i="3" a="1"/>
  <c r="P182" i="3" s="1"/>
  <c r="O182" i="3" a="1"/>
  <c r="O182" i="3" s="1"/>
  <c r="N182" i="3" a="1"/>
  <c r="N182" i="3"/>
  <c r="M182" i="3" a="1"/>
  <c r="M182" i="3" s="1"/>
  <c r="L182" i="3" a="1"/>
  <c r="L182" i="3" s="1"/>
  <c r="K182" i="3" a="1"/>
  <c r="K182" i="3"/>
  <c r="J182" i="3" a="1"/>
  <c r="J182" i="3" s="1"/>
  <c r="I182" i="3" a="1"/>
  <c r="I182" i="3" s="1"/>
  <c r="H182" i="3" a="1"/>
  <c r="H182" i="3"/>
  <c r="G182" i="3" a="1"/>
  <c r="G182" i="3" s="1"/>
  <c r="F182" i="3" a="1"/>
  <c r="F182" i="3" s="1"/>
  <c r="E182" i="3" a="1"/>
  <c r="E182" i="3"/>
  <c r="D182" i="3" a="1"/>
  <c r="D182" i="3" s="1"/>
  <c r="C182" i="3" a="1"/>
  <c r="C182" i="3" s="1"/>
  <c r="A182" i="3"/>
  <c r="AD181" i="3" a="1"/>
  <c r="AD181" i="3"/>
  <c r="AC181" i="3" a="1"/>
  <c r="AC181" i="3" s="1"/>
  <c r="AB181" i="3" a="1"/>
  <c r="AB181" i="3" s="1"/>
  <c r="AA181" i="3" a="1"/>
  <c r="AA181" i="3"/>
  <c r="Z181" i="3" a="1"/>
  <c r="Z181" i="3" s="1"/>
  <c r="Y181" i="3" a="1"/>
  <c r="Y181" i="3" s="1"/>
  <c r="X181" i="3" a="1"/>
  <c r="X181" i="3"/>
  <c r="W181" i="3" a="1"/>
  <c r="W181" i="3" s="1"/>
  <c r="V181" i="3" a="1"/>
  <c r="V181" i="3" s="1"/>
  <c r="U181" i="3" a="1"/>
  <c r="U181" i="3"/>
  <c r="T181" i="3" a="1"/>
  <c r="T181" i="3" s="1"/>
  <c r="S181" i="3" a="1"/>
  <c r="S181" i="3" s="1"/>
  <c r="R181" i="3" a="1"/>
  <c r="R181" i="3"/>
  <c r="Q181" i="3" a="1"/>
  <c r="Q181" i="3" s="1"/>
  <c r="P181" i="3" a="1"/>
  <c r="P181" i="3" s="1"/>
  <c r="O181" i="3" a="1"/>
  <c r="O181" i="3"/>
  <c r="N181" i="3" a="1"/>
  <c r="N181" i="3" s="1"/>
  <c r="M181" i="3" a="1"/>
  <c r="M181" i="3" s="1"/>
  <c r="L181" i="3" a="1"/>
  <c r="L181" i="3"/>
  <c r="K181" i="3" a="1"/>
  <c r="K181" i="3" s="1"/>
  <c r="J181" i="3" a="1"/>
  <c r="J181" i="3" s="1"/>
  <c r="I181" i="3" a="1"/>
  <c r="I181" i="3"/>
  <c r="H181" i="3" a="1"/>
  <c r="H181" i="3" s="1"/>
  <c r="G181" i="3" a="1"/>
  <c r="G181" i="3" s="1"/>
  <c r="F181" i="3" a="1"/>
  <c r="F181" i="3"/>
  <c r="E181" i="3" a="1"/>
  <c r="E181" i="3" s="1"/>
  <c r="D181" i="3" a="1"/>
  <c r="D181" i="3" s="1"/>
  <c r="C181" i="3" a="1"/>
  <c r="C181" i="3"/>
  <c r="A181" i="3"/>
  <c r="AD180" i="3" a="1"/>
  <c r="AD180" i="3" s="1"/>
  <c r="AC180" i="3" a="1"/>
  <c r="AC180" i="3"/>
  <c r="AB180" i="3" a="1"/>
  <c r="AB180" i="3"/>
  <c r="AA180" i="3" a="1"/>
  <c r="AA180" i="3" s="1"/>
  <c r="Z180" i="3" a="1"/>
  <c r="Z180" i="3" s="1"/>
  <c r="Y180" i="3" a="1"/>
  <c r="Y180" i="3"/>
  <c r="X180" i="3" a="1"/>
  <c r="X180" i="3" s="1"/>
  <c r="W180" i="3" a="1"/>
  <c r="W180" i="3" s="1"/>
  <c r="V180" i="3" a="1"/>
  <c r="V180" i="3"/>
  <c r="U180" i="3" a="1"/>
  <c r="U180" i="3" s="1"/>
  <c r="T180" i="3" a="1"/>
  <c r="T180" i="3" s="1"/>
  <c r="S180" i="3" a="1"/>
  <c r="S180" i="3"/>
  <c r="R180" i="3" a="1"/>
  <c r="R180" i="3" s="1"/>
  <c r="Q180" i="3" a="1"/>
  <c r="Q180" i="3" s="1"/>
  <c r="P180" i="3" a="1"/>
  <c r="P180" i="3"/>
  <c r="O180" i="3" a="1"/>
  <c r="O180" i="3" s="1"/>
  <c r="N180" i="3" a="1"/>
  <c r="N180" i="3" s="1"/>
  <c r="M180" i="3" a="1"/>
  <c r="M180" i="3"/>
  <c r="L180" i="3" a="1"/>
  <c r="L180" i="3" s="1"/>
  <c r="K180" i="3" a="1"/>
  <c r="K180" i="3" s="1"/>
  <c r="J180" i="3" a="1"/>
  <c r="J180" i="3"/>
  <c r="I180" i="3" a="1"/>
  <c r="I180" i="3" s="1"/>
  <c r="H180" i="3" a="1"/>
  <c r="H180" i="3" s="1"/>
  <c r="G180" i="3" a="1"/>
  <c r="G180" i="3"/>
  <c r="F180" i="3" a="1"/>
  <c r="F180" i="3" s="1"/>
  <c r="E180" i="3" a="1"/>
  <c r="E180" i="3" s="1"/>
  <c r="D180" i="3" a="1"/>
  <c r="D180" i="3"/>
  <c r="C180" i="3" a="1"/>
  <c r="C180" i="3" s="1"/>
  <c r="A180" i="3"/>
  <c r="AD179" i="3" a="1"/>
  <c r="AD179" i="3" s="1"/>
  <c r="AC179" i="3" a="1"/>
  <c r="AC179" i="3"/>
  <c r="AB179" i="3" a="1"/>
  <c r="AB179" i="3" s="1"/>
  <c r="AA179" i="3" a="1"/>
  <c r="AA179" i="3" s="1"/>
  <c r="Z179" i="3" a="1"/>
  <c r="Z179" i="3"/>
  <c r="Y179" i="3" a="1"/>
  <c r="Y179" i="3" s="1"/>
  <c r="X179" i="3" a="1"/>
  <c r="X179" i="3" s="1"/>
  <c r="W179" i="3" a="1"/>
  <c r="W179" i="3"/>
  <c r="V179" i="3" a="1"/>
  <c r="V179" i="3" s="1"/>
  <c r="U179" i="3" a="1"/>
  <c r="U179" i="3" s="1"/>
  <c r="T179" i="3" a="1"/>
  <c r="T179" i="3"/>
  <c r="S179" i="3" a="1"/>
  <c r="S179" i="3" s="1"/>
  <c r="R179" i="3" a="1"/>
  <c r="R179" i="3" s="1"/>
  <c r="Q179" i="3" a="1"/>
  <c r="Q179" i="3"/>
  <c r="P179" i="3" a="1"/>
  <c r="P179" i="3" s="1"/>
  <c r="O179" i="3" a="1"/>
  <c r="O179" i="3" s="1"/>
  <c r="N179" i="3" a="1"/>
  <c r="N179" i="3"/>
  <c r="M179" i="3" a="1"/>
  <c r="M179" i="3" s="1"/>
  <c r="L179" i="3" a="1"/>
  <c r="L179" i="3" s="1"/>
  <c r="K179" i="3" a="1"/>
  <c r="K179" i="3"/>
  <c r="J179" i="3" a="1"/>
  <c r="J179" i="3" s="1"/>
  <c r="I179" i="3" a="1"/>
  <c r="I179" i="3" s="1"/>
  <c r="H179" i="3" a="1"/>
  <c r="H179" i="3"/>
  <c r="G179" i="3" a="1"/>
  <c r="G179" i="3" s="1"/>
  <c r="F179" i="3" a="1"/>
  <c r="F179" i="3" s="1"/>
  <c r="E179" i="3" a="1"/>
  <c r="E179" i="3"/>
  <c r="D179" i="3" a="1"/>
  <c r="D179" i="3" s="1"/>
  <c r="C179" i="3" a="1"/>
  <c r="C179" i="3" s="1"/>
  <c r="A179" i="3"/>
  <c r="AD178" i="3" a="1"/>
  <c r="AD178" i="3"/>
  <c r="AC178" i="3" a="1"/>
  <c r="AC178" i="3" s="1"/>
  <c r="AB178" i="3" a="1"/>
  <c r="AB178" i="3" s="1"/>
  <c r="AA178" i="3" a="1"/>
  <c r="AA178" i="3"/>
  <c r="Z178" i="3" a="1"/>
  <c r="Z178" i="3"/>
  <c r="Y178" i="3" a="1"/>
  <c r="Y178" i="3" s="1"/>
  <c r="X178" i="3" a="1"/>
  <c r="X178" i="3"/>
  <c r="W178" i="3" a="1"/>
  <c r="W178" i="3" s="1"/>
  <c r="V178" i="3" a="1"/>
  <c r="V178" i="3" s="1"/>
  <c r="U178" i="3" a="1"/>
  <c r="U178" i="3"/>
  <c r="T178" i="3" a="1"/>
  <c r="T178" i="3" s="1"/>
  <c r="S178" i="3" a="1"/>
  <c r="S178" i="3" s="1"/>
  <c r="R178" i="3" a="1"/>
  <c r="R178" i="3"/>
  <c r="Q178" i="3" a="1"/>
  <c r="Q178" i="3" s="1"/>
  <c r="P178" i="3" a="1"/>
  <c r="P178" i="3" s="1"/>
  <c r="O178" i="3" a="1"/>
  <c r="O178" i="3"/>
  <c r="N178" i="3" a="1"/>
  <c r="N178" i="3" s="1"/>
  <c r="M178" i="3" a="1"/>
  <c r="M178" i="3" s="1"/>
  <c r="L178" i="3" a="1"/>
  <c r="L178" i="3"/>
  <c r="K178" i="3" a="1"/>
  <c r="K178" i="3" s="1"/>
  <c r="A178" i="3"/>
  <c r="AD177" i="3" a="1"/>
  <c r="AD177" i="3" s="1"/>
  <c r="AC177" i="3" a="1"/>
  <c r="AC177" i="3" s="1"/>
  <c r="AB177" i="3" a="1"/>
  <c r="AB177" i="3"/>
  <c r="AA177" i="3" a="1"/>
  <c r="AA177" i="3" s="1"/>
  <c r="Z177" i="3" a="1"/>
  <c r="Z177" i="3" s="1"/>
  <c r="Y177" i="3" a="1"/>
  <c r="Y177" i="3"/>
  <c r="X177" i="3" a="1"/>
  <c r="X177" i="3" s="1"/>
  <c r="W177" i="3" a="1"/>
  <c r="W177" i="3" s="1"/>
  <c r="V177" i="3" a="1"/>
  <c r="V177" i="3"/>
  <c r="U177" i="3" a="1"/>
  <c r="U177" i="3" s="1"/>
  <c r="T177" i="3" a="1"/>
  <c r="T177" i="3" s="1"/>
  <c r="S177" i="3" a="1"/>
  <c r="S177" i="3"/>
  <c r="R177" i="3" a="1"/>
  <c r="R177" i="3" s="1"/>
  <c r="Q177" i="3" a="1"/>
  <c r="Q177" i="3" s="1"/>
  <c r="P177" i="3" a="1"/>
  <c r="P177" i="3"/>
  <c r="O177" i="3" a="1"/>
  <c r="O177" i="3" s="1"/>
  <c r="N177" i="3" a="1"/>
  <c r="N177" i="3" s="1"/>
  <c r="M177" i="3" a="1"/>
  <c r="M177" i="3"/>
  <c r="L177" i="3" a="1"/>
  <c r="L177" i="3" s="1"/>
  <c r="K177" i="3" a="1"/>
  <c r="K177" i="3" s="1"/>
  <c r="J177" i="3" a="1"/>
  <c r="J177" i="3"/>
  <c r="I177" i="3" a="1"/>
  <c r="I177" i="3" s="1"/>
  <c r="H177" i="3" a="1"/>
  <c r="H177" i="3" s="1"/>
  <c r="G177" i="3" a="1"/>
  <c r="G177" i="3"/>
  <c r="F177" i="3" a="1"/>
  <c r="F177" i="3" s="1"/>
  <c r="A177" i="3"/>
  <c r="AD176" i="3" a="1"/>
  <c r="AD176" i="3" s="1"/>
  <c r="AC176" i="3" a="1"/>
  <c r="AC176" i="3" s="1"/>
  <c r="AB176" i="3" a="1"/>
  <c r="AB176" i="3"/>
  <c r="AA176" i="3" a="1"/>
  <c r="AA176" i="3" s="1"/>
  <c r="Z176" i="3" a="1"/>
  <c r="Z176" i="3"/>
  <c r="Y176" i="3" a="1"/>
  <c r="Y176" i="3"/>
  <c r="X176" i="3" a="1"/>
  <c r="X176" i="3" s="1"/>
  <c r="W176" i="3" a="1"/>
  <c r="W176" i="3" s="1"/>
  <c r="V176" i="3" a="1"/>
  <c r="V176" i="3"/>
  <c r="U176" i="3" a="1"/>
  <c r="U176" i="3" s="1"/>
  <c r="T176" i="3" a="1"/>
  <c r="T176" i="3"/>
  <c r="S176" i="3" a="1"/>
  <c r="S176" i="3"/>
  <c r="R176" i="3" a="1"/>
  <c r="R176" i="3" s="1"/>
  <c r="Q176" i="3" a="1"/>
  <c r="Q176" i="3" s="1"/>
  <c r="P176" i="3" a="1"/>
  <c r="P176" i="3"/>
  <c r="O176" i="3" a="1"/>
  <c r="O176" i="3" s="1"/>
  <c r="N176" i="3" a="1"/>
  <c r="N176" i="3" s="1"/>
  <c r="M176" i="3" a="1"/>
  <c r="M176" i="3"/>
  <c r="L176" i="3" a="1"/>
  <c r="L176" i="3" s="1"/>
  <c r="K176" i="3" a="1"/>
  <c r="K176" i="3" s="1"/>
  <c r="J176" i="3" a="1"/>
  <c r="J176" i="3"/>
  <c r="I176" i="3" a="1"/>
  <c r="I176" i="3" s="1"/>
  <c r="H176" i="3" a="1"/>
  <c r="H176" i="3" s="1"/>
  <c r="G176" i="3" a="1"/>
  <c r="G176" i="3"/>
  <c r="F176" i="3" a="1"/>
  <c r="F176" i="3" s="1"/>
  <c r="E176" i="3" a="1"/>
  <c r="E176" i="3" s="1"/>
  <c r="D176" i="3" a="1"/>
  <c r="D176" i="3"/>
  <c r="C176" i="3" a="1"/>
  <c r="C176" i="3" s="1"/>
  <c r="A176" i="3"/>
  <c r="AD175" i="3" a="1"/>
  <c r="AD175" i="3" s="1"/>
  <c r="AC175" i="3" a="1"/>
  <c r="AC175" i="3"/>
  <c r="AB175" i="3" a="1"/>
  <c r="AB175" i="3" s="1"/>
  <c r="AA175" i="3" a="1"/>
  <c r="AA175" i="3" s="1"/>
  <c r="Z175" i="3" a="1"/>
  <c r="Z175" i="3"/>
  <c r="Y175" i="3" a="1"/>
  <c r="Y175" i="3" s="1"/>
  <c r="X175" i="3" a="1"/>
  <c r="X175" i="3" s="1"/>
  <c r="W175" i="3" a="1"/>
  <c r="W175" i="3"/>
  <c r="V175" i="3" a="1"/>
  <c r="V175" i="3" s="1"/>
  <c r="U175" i="3" a="1"/>
  <c r="U175" i="3" s="1"/>
  <c r="T175" i="3" a="1"/>
  <c r="T175" i="3"/>
  <c r="S175" i="3" a="1"/>
  <c r="S175" i="3" s="1"/>
  <c r="R175" i="3" a="1"/>
  <c r="R175" i="3" s="1"/>
  <c r="Q175" i="3" a="1"/>
  <c r="Q175" i="3"/>
  <c r="P175" i="3" a="1"/>
  <c r="P175" i="3" s="1"/>
  <c r="O175" i="3" a="1"/>
  <c r="O175" i="3" s="1"/>
  <c r="N175" i="3" a="1"/>
  <c r="N175" i="3"/>
  <c r="M175" i="3" a="1"/>
  <c r="M175" i="3" s="1"/>
  <c r="L175" i="3" a="1"/>
  <c r="L175" i="3" s="1"/>
  <c r="K175" i="3" a="1"/>
  <c r="K175" i="3"/>
  <c r="J175" i="3" a="1"/>
  <c r="J175" i="3" s="1"/>
  <c r="I175" i="3" a="1"/>
  <c r="I175" i="3" s="1"/>
  <c r="H175" i="3" a="1"/>
  <c r="H175" i="3"/>
  <c r="G175" i="3" a="1"/>
  <c r="G175" i="3" s="1"/>
  <c r="F175" i="3" a="1"/>
  <c r="F175" i="3" s="1"/>
  <c r="E175" i="3" a="1"/>
  <c r="E175" i="3"/>
  <c r="D175" i="3" a="1"/>
  <c r="D175" i="3" s="1"/>
  <c r="C175" i="3" a="1"/>
  <c r="C175" i="3" s="1"/>
  <c r="A175" i="3"/>
  <c r="AD174" i="3" a="1"/>
  <c r="AD174" i="3"/>
  <c r="AC174" i="3" a="1"/>
  <c r="AC174" i="3" s="1"/>
  <c r="AB174" i="3" a="1"/>
  <c r="AB174" i="3" s="1"/>
  <c r="AA174" i="3" a="1"/>
  <c r="AA174" i="3"/>
  <c r="Z174" i="3" a="1"/>
  <c r="Z174" i="3"/>
  <c r="Y174" i="3" a="1"/>
  <c r="Y174" i="3"/>
  <c r="X174" i="3" a="1"/>
  <c r="X174" i="3"/>
  <c r="W174" i="3" a="1"/>
  <c r="W174" i="3" s="1"/>
  <c r="V174" i="3" a="1"/>
  <c r="V174" i="3" s="1"/>
  <c r="U174" i="3" a="1"/>
  <c r="U174" i="3"/>
  <c r="T174" i="3" a="1"/>
  <c r="T174" i="3"/>
  <c r="S174" i="3" a="1"/>
  <c r="S174" i="3"/>
  <c r="R174" i="3" a="1"/>
  <c r="R174" i="3"/>
  <c r="Q174" i="3" a="1"/>
  <c r="Q174" i="3" s="1"/>
  <c r="P174" i="3" a="1"/>
  <c r="P174" i="3" s="1"/>
  <c r="O174" i="3" a="1"/>
  <c r="O174" i="3"/>
  <c r="N174" i="3" a="1"/>
  <c r="N174" i="3"/>
  <c r="M174" i="3" a="1"/>
  <c r="M174" i="3"/>
  <c r="L174" i="3" a="1"/>
  <c r="L174" i="3"/>
  <c r="K174" i="3" a="1"/>
  <c r="K174" i="3" s="1"/>
  <c r="J174" i="3" a="1"/>
  <c r="J174" i="3" s="1"/>
  <c r="I174" i="3" a="1"/>
  <c r="I174" i="3"/>
  <c r="H174" i="3" a="1"/>
  <c r="H174" i="3" s="1"/>
  <c r="G174" i="3" a="1"/>
  <c r="G174" i="3"/>
  <c r="F174" i="3" a="1"/>
  <c r="F174" i="3"/>
  <c r="E174" i="3" a="1"/>
  <c r="E174" i="3" s="1"/>
  <c r="D174" i="3" a="1"/>
  <c r="D174" i="3" s="1"/>
  <c r="C174" i="3" a="1"/>
  <c r="C174" i="3"/>
  <c r="A174" i="3"/>
  <c r="AD173" i="3" a="1"/>
  <c r="AD173" i="3" s="1"/>
  <c r="AC173" i="3" a="1"/>
  <c r="AC173" i="3" s="1"/>
  <c r="AB173" i="3" a="1"/>
  <c r="AB173" i="3"/>
  <c r="AA173" i="3" a="1"/>
  <c r="AA173" i="3" s="1"/>
  <c r="Z173" i="3" a="1"/>
  <c r="Z173" i="3" s="1"/>
  <c r="Y173" i="3" a="1"/>
  <c r="Y173" i="3"/>
  <c r="X173" i="3" a="1"/>
  <c r="X173" i="3" s="1"/>
  <c r="W173" i="3" a="1"/>
  <c r="W173" i="3" s="1"/>
  <c r="V173" i="3" a="1"/>
  <c r="V173" i="3"/>
  <c r="U173" i="3" a="1"/>
  <c r="U173" i="3" s="1"/>
  <c r="T173" i="3" a="1"/>
  <c r="T173" i="3" s="1"/>
  <c r="S173" i="3" a="1"/>
  <c r="S173" i="3"/>
  <c r="R173" i="3" a="1"/>
  <c r="R173" i="3" s="1"/>
  <c r="Q173" i="3" a="1"/>
  <c r="Q173" i="3" s="1"/>
  <c r="P173" i="3" a="1"/>
  <c r="P173" i="3"/>
  <c r="O173" i="3" a="1"/>
  <c r="O173" i="3" s="1"/>
  <c r="N173" i="3" a="1"/>
  <c r="N173" i="3" s="1"/>
  <c r="M173" i="3" a="1"/>
  <c r="M173" i="3"/>
  <c r="L173" i="3" a="1"/>
  <c r="L173" i="3" s="1"/>
  <c r="K173" i="3" a="1"/>
  <c r="K173" i="3" s="1"/>
  <c r="J173" i="3" a="1"/>
  <c r="J173" i="3"/>
  <c r="I173" i="3" a="1"/>
  <c r="I173" i="3" s="1"/>
  <c r="H173" i="3" a="1"/>
  <c r="H173" i="3" s="1"/>
  <c r="G173" i="3" a="1"/>
  <c r="G173" i="3" s="1"/>
  <c r="F173" i="3" a="1"/>
  <c r="F173" i="3" s="1"/>
  <c r="E173" i="3" a="1"/>
  <c r="E173" i="3" s="1"/>
  <c r="D173" i="3" a="1"/>
  <c r="D173" i="3"/>
  <c r="C173" i="3" a="1"/>
  <c r="C173" i="3" s="1"/>
  <c r="A173" i="3"/>
  <c r="AD172" i="3" a="1"/>
  <c r="AD172" i="3"/>
  <c r="AC172" i="3" a="1"/>
  <c r="AC172" i="3"/>
  <c r="AB172" i="3" a="1"/>
  <c r="AB172" i="3" s="1"/>
  <c r="AA172" i="3" a="1"/>
  <c r="AA172" i="3" s="1"/>
  <c r="Z172" i="3" a="1"/>
  <c r="Z172" i="3"/>
  <c r="Y172" i="3" a="1"/>
  <c r="Y172" i="3"/>
  <c r="X172" i="3" a="1"/>
  <c r="X172" i="3" s="1"/>
  <c r="W172" i="3" a="1"/>
  <c r="W172" i="3"/>
  <c r="V172" i="3" a="1"/>
  <c r="V172" i="3" s="1"/>
  <c r="U172" i="3" a="1"/>
  <c r="U172" i="3" s="1"/>
  <c r="T172" i="3" a="1"/>
  <c r="T172" i="3"/>
  <c r="S172" i="3" a="1"/>
  <c r="S172" i="3"/>
  <c r="R172" i="3" a="1"/>
  <c r="R172" i="3" s="1"/>
  <c r="Q172" i="3" a="1"/>
  <c r="Q172" i="3"/>
  <c r="P172" i="3" a="1"/>
  <c r="P172" i="3" s="1"/>
  <c r="O172" i="3" a="1"/>
  <c r="O172" i="3" s="1"/>
  <c r="N172" i="3" a="1"/>
  <c r="N172" i="3"/>
  <c r="M172" i="3" a="1"/>
  <c r="M172" i="3"/>
  <c r="L172" i="3" a="1"/>
  <c r="L172" i="3" s="1"/>
  <c r="K172" i="3" a="1"/>
  <c r="K172" i="3"/>
  <c r="J172" i="3" a="1"/>
  <c r="J172" i="3" s="1"/>
  <c r="I172" i="3" a="1"/>
  <c r="I172" i="3" s="1"/>
  <c r="H172" i="3" a="1"/>
  <c r="H172" i="3"/>
  <c r="G172" i="3" a="1"/>
  <c r="G172" i="3" s="1"/>
  <c r="F172" i="3" a="1"/>
  <c r="F172" i="3" s="1"/>
  <c r="E172" i="3" a="1"/>
  <c r="E172" i="3"/>
  <c r="D172" i="3" a="1"/>
  <c r="D172" i="3" s="1"/>
  <c r="C172" i="3" a="1"/>
  <c r="C172" i="3" s="1"/>
  <c r="A172" i="3"/>
  <c r="AD171" i="3" a="1"/>
  <c r="AD171" i="3"/>
  <c r="AC171" i="3" a="1"/>
  <c r="AC171" i="3" s="1"/>
  <c r="AB171" i="3" a="1"/>
  <c r="AB171" i="3" s="1"/>
  <c r="AA171" i="3" a="1"/>
  <c r="AA171" i="3"/>
  <c r="Z171" i="3" a="1"/>
  <c r="Z171" i="3" s="1"/>
  <c r="Y171" i="3" a="1"/>
  <c r="Y171" i="3" s="1"/>
  <c r="X171" i="3" a="1"/>
  <c r="X171" i="3" s="1"/>
  <c r="W171" i="3" a="1"/>
  <c r="W171" i="3" s="1"/>
  <c r="V171" i="3" a="1"/>
  <c r="V171" i="3" s="1"/>
  <c r="U171" i="3" a="1"/>
  <c r="U171" i="3"/>
  <c r="T171" i="3" a="1"/>
  <c r="T171" i="3" s="1"/>
  <c r="S171" i="3" a="1"/>
  <c r="S171" i="3" s="1"/>
  <c r="R171" i="3" a="1"/>
  <c r="R171" i="3" s="1"/>
  <c r="Q171" i="3" a="1"/>
  <c r="Q171" i="3" s="1"/>
  <c r="P171" i="3" a="1"/>
  <c r="P171" i="3" s="1"/>
  <c r="O171" i="3" a="1"/>
  <c r="O171" i="3"/>
  <c r="N171" i="3" a="1"/>
  <c r="N171" i="3" s="1"/>
  <c r="M171" i="3" a="1"/>
  <c r="M171" i="3" s="1"/>
  <c r="L171" i="3" a="1"/>
  <c r="L171" i="3" s="1"/>
  <c r="K171" i="3" a="1"/>
  <c r="K171" i="3" s="1"/>
  <c r="J171" i="3" a="1"/>
  <c r="J171" i="3" s="1"/>
  <c r="I171" i="3" a="1"/>
  <c r="I171" i="3"/>
  <c r="H171" i="3" a="1"/>
  <c r="H171" i="3" s="1"/>
  <c r="G171" i="3" a="1"/>
  <c r="G171" i="3" s="1"/>
  <c r="F171" i="3" a="1"/>
  <c r="F171" i="3" s="1"/>
  <c r="E171" i="3" a="1"/>
  <c r="E171" i="3" s="1"/>
  <c r="D171" i="3" a="1"/>
  <c r="D171" i="3" s="1"/>
  <c r="A171" i="3"/>
  <c r="AD170" i="3" a="1"/>
  <c r="AD170" i="3"/>
  <c r="AC170" i="3" a="1"/>
  <c r="AC170" i="3"/>
  <c r="AB170" i="3" a="1"/>
  <c r="AB170" i="3"/>
  <c r="AA170" i="3" a="1"/>
  <c r="AA170" i="3"/>
  <c r="Z170" i="3" a="1"/>
  <c r="Z170" i="3" s="1"/>
  <c r="Y170" i="3" a="1"/>
  <c r="Y170" i="3"/>
  <c r="X170" i="3" a="1"/>
  <c r="X170" i="3"/>
  <c r="W170" i="3" a="1"/>
  <c r="W170" i="3"/>
  <c r="V170" i="3" a="1"/>
  <c r="V170" i="3"/>
  <c r="U170" i="3" a="1"/>
  <c r="U170" i="3"/>
  <c r="T170" i="3" a="1"/>
  <c r="T170" i="3" s="1"/>
  <c r="S170" i="3" a="1"/>
  <c r="S170" i="3"/>
  <c r="R170" i="3" a="1"/>
  <c r="R170" i="3"/>
  <c r="Q170" i="3" a="1"/>
  <c r="Q170" i="3" s="1"/>
  <c r="P170" i="3" a="1"/>
  <c r="P170" i="3"/>
  <c r="O170" i="3" a="1"/>
  <c r="O170" i="3"/>
  <c r="N170" i="3" a="1"/>
  <c r="N170" i="3" s="1"/>
  <c r="M170" i="3" a="1"/>
  <c r="M170" i="3"/>
  <c r="L170" i="3" a="1"/>
  <c r="L170" i="3"/>
  <c r="K170" i="3" a="1"/>
  <c r="K170" i="3" s="1"/>
  <c r="J170" i="3" a="1"/>
  <c r="J170" i="3"/>
  <c r="I170" i="3" a="1"/>
  <c r="I170" i="3" s="1"/>
  <c r="H170" i="3" a="1"/>
  <c r="H170" i="3" s="1"/>
  <c r="G170" i="3" a="1"/>
  <c r="G170" i="3"/>
  <c r="F170" i="3" a="1"/>
  <c r="F170" i="3"/>
  <c r="E170" i="3" a="1"/>
  <c r="E170" i="3" s="1"/>
  <c r="D170" i="3" a="1"/>
  <c r="D170" i="3"/>
  <c r="C170" i="3" a="1"/>
  <c r="C170" i="3" s="1"/>
  <c r="A170" i="3"/>
  <c r="AD169" i="3" a="1"/>
  <c r="AD169" i="3" s="1"/>
  <c r="AC169" i="3" a="1"/>
  <c r="AC169" i="3" s="1"/>
  <c r="AB169" i="3" a="1"/>
  <c r="AB169" i="3" s="1"/>
  <c r="AA169" i="3" a="1"/>
  <c r="AA169" i="3" s="1"/>
  <c r="Z169" i="3" a="1"/>
  <c r="Z169" i="3"/>
  <c r="Y169" i="3" a="1"/>
  <c r="Y169" i="3" s="1"/>
  <c r="X169" i="3" a="1"/>
  <c r="X169" i="3" s="1"/>
  <c r="W169" i="3" a="1"/>
  <c r="W169" i="3" s="1"/>
  <c r="V169" i="3" a="1"/>
  <c r="V169" i="3" s="1"/>
  <c r="U169" i="3" a="1"/>
  <c r="U169" i="3" s="1"/>
  <c r="T169" i="3" a="1"/>
  <c r="T169" i="3"/>
  <c r="S169" i="3" a="1"/>
  <c r="S169" i="3" s="1"/>
  <c r="R169" i="3" a="1"/>
  <c r="R169" i="3" s="1"/>
  <c r="Q169" i="3" a="1"/>
  <c r="Q169" i="3" s="1"/>
  <c r="P169" i="3" a="1"/>
  <c r="P169" i="3" s="1"/>
  <c r="O169" i="3" a="1"/>
  <c r="O169" i="3" s="1"/>
  <c r="N169" i="3" a="1"/>
  <c r="N169" i="3"/>
  <c r="M169" i="3" a="1"/>
  <c r="M169" i="3" s="1"/>
  <c r="L169" i="3" a="1"/>
  <c r="L169" i="3" s="1"/>
  <c r="K169" i="3" a="1"/>
  <c r="K169" i="3" s="1"/>
  <c r="J169" i="3" a="1"/>
  <c r="J169" i="3" s="1"/>
  <c r="I169" i="3" a="1"/>
  <c r="I169" i="3" s="1"/>
  <c r="H169" i="3" a="1"/>
  <c r="H169" i="3"/>
  <c r="G169" i="3" a="1"/>
  <c r="G169" i="3" s="1"/>
  <c r="F169" i="3" a="1"/>
  <c r="F169" i="3" s="1"/>
  <c r="E169" i="3" a="1"/>
  <c r="E169" i="3" s="1"/>
  <c r="D169" i="3" a="1"/>
  <c r="D169" i="3" s="1"/>
  <c r="C169" i="3" a="1"/>
  <c r="C169" i="3" s="1"/>
  <c r="A169" i="3"/>
  <c r="AD168" i="3" a="1"/>
  <c r="AD168" i="3"/>
  <c r="AC168" i="3" a="1"/>
  <c r="AC168" i="3"/>
  <c r="AB168" i="3" a="1"/>
  <c r="AB168" i="3"/>
  <c r="AA168" i="3" a="1"/>
  <c r="AA168" i="3"/>
  <c r="Z168" i="3" a="1"/>
  <c r="Z168" i="3" s="1"/>
  <c r="Y168" i="3" a="1"/>
  <c r="Y168" i="3" s="1"/>
  <c r="X168" i="3" a="1"/>
  <c r="X168" i="3"/>
  <c r="W168" i="3" a="1"/>
  <c r="W168" i="3"/>
  <c r="V168" i="3" a="1"/>
  <c r="V168" i="3"/>
  <c r="U168" i="3" a="1"/>
  <c r="U168" i="3"/>
  <c r="T168" i="3" a="1"/>
  <c r="T168" i="3" s="1"/>
  <c r="S168" i="3" a="1"/>
  <c r="S168" i="3" s="1"/>
  <c r="R168" i="3" a="1"/>
  <c r="R168" i="3"/>
  <c r="Q168" i="3" a="1"/>
  <c r="Q168" i="3"/>
  <c r="P168" i="3" a="1"/>
  <c r="P168" i="3"/>
  <c r="O168" i="3" a="1"/>
  <c r="O168" i="3"/>
  <c r="N168" i="3" a="1"/>
  <c r="N168" i="3" s="1"/>
  <c r="M168" i="3" a="1"/>
  <c r="M168" i="3" s="1"/>
  <c r="L168" i="3" a="1"/>
  <c r="L168" i="3"/>
  <c r="K168" i="3" a="1"/>
  <c r="K168" i="3"/>
  <c r="J168" i="3" a="1"/>
  <c r="J168" i="3"/>
  <c r="I168" i="3" a="1"/>
  <c r="I168" i="3"/>
  <c r="H168" i="3" a="1"/>
  <c r="H168" i="3" s="1"/>
  <c r="G168" i="3" a="1"/>
  <c r="G168" i="3" s="1"/>
  <c r="F168" i="3" a="1"/>
  <c r="F168" i="3"/>
  <c r="E168" i="3" a="1"/>
  <c r="E168" i="3"/>
  <c r="D168" i="3" a="1"/>
  <c r="D168" i="3"/>
  <c r="C168" i="3" a="1"/>
  <c r="C168" i="3"/>
  <c r="A168" i="3"/>
  <c r="AD167" i="3" a="1"/>
  <c r="AD167" i="3" s="1"/>
  <c r="AC167" i="3" a="1"/>
  <c r="AC167" i="3" s="1"/>
  <c r="AB167" i="3" a="1"/>
  <c r="AB167" i="3" s="1"/>
  <c r="AA167" i="3" a="1"/>
  <c r="AA167" i="3" s="1"/>
  <c r="Z167" i="3" a="1"/>
  <c r="Z167" i="3" s="1"/>
  <c r="Y167" i="3" a="1"/>
  <c r="Y167" i="3"/>
  <c r="X167" i="3" a="1"/>
  <c r="X167" i="3" s="1"/>
  <c r="W167" i="3" a="1"/>
  <c r="W167" i="3" s="1"/>
  <c r="V167" i="3" a="1"/>
  <c r="V167" i="3" s="1"/>
  <c r="U167" i="3" a="1"/>
  <c r="U167" i="3" s="1"/>
  <c r="T167" i="3" a="1"/>
  <c r="T167" i="3" s="1"/>
  <c r="S167" i="3" a="1"/>
  <c r="S167" i="3"/>
  <c r="R167" i="3" a="1"/>
  <c r="R167" i="3" s="1"/>
  <c r="Q167" i="3" a="1"/>
  <c r="Q167" i="3" s="1"/>
  <c r="P167" i="3" a="1"/>
  <c r="P167" i="3" s="1"/>
  <c r="O167" i="3" a="1"/>
  <c r="O167" i="3" s="1"/>
  <c r="N167" i="3" a="1"/>
  <c r="N167" i="3" s="1"/>
  <c r="M167" i="3" a="1"/>
  <c r="M167" i="3"/>
  <c r="L167" i="3" a="1"/>
  <c r="L167" i="3" s="1"/>
  <c r="K167" i="3" a="1"/>
  <c r="K167" i="3" s="1"/>
  <c r="J167" i="3" a="1"/>
  <c r="J167" i="3" s="1"/>
  <c r="I167" i="3" a="1"/>
  <c r="I167" i="3" s="1"/>
  <c r="H167" i="3" a="1"/>
  <c r="H167" i="3" s="1"/>
  <c r="G167" i="3" a="1"/>
  <c r="G167" i="3"/>
  <c r="F167" i="3" a="1"/>
  <c r="F167" i="3" s="1"/>
  <c r="E167" i="3" a="1"/>
  <c r="E167" i="3" s="1"/>
  <c r="D167" i="3" a="1"/>
  <c r="D167" i="3" s="1"/>
  <c r="C167" i="3" a="1"/>
  <c r="C167" i="3" s="1"/>
  <c r="A167" i="3"/>
  <c r="AD166" i="3" a="1"/>
  <c r="AD166" i="3" s="1"/>
  <c r="AC166" i="3" a="1"/>
  <c r="AC166" i="3"/>
  <c r="AB166" i="3" a="1"/>
  <c r="AB166" i="3"/>
  <c r="AA166" i="3" a="1"/>
  <c r="AA166" i="3"/>
  <c r="Z166" i="3" a="1"/>
  <c r="Z166" i="3"/>
  <c r="Y166" i="3" a="1"/>
  <c r="Y166" i="3" s="1"/>
  <c r="X166" i="3" a="1"/>
  <c r="X166" i="3" s="1"/>
  <c r="W166" i="3" a="1"/>
  <c r="W166" i="3"/>
  <c r="V166" i="3" a="1"/>
  <c r="V166" i="3"/>
  <c r="U166" i="3" a="1"/>
  <c r="U166" i="3"/>
  <c r="T166" i="3" a="1"/>
  <c r="T166" i="3"/>
  <c r="S166" i="3" a="1"/>
  <c r="S166" i="3" s="1"/>
  <c r="R166" i="3" a="1"/>
  <c r="R166" i="3" s="1"/>
  <c r="Q166" i="3" a="1"/>
  <c r="Q166" i="3"/>
  <c r="P166" i="3" a="1"/>
  <c r="P166" i="3"/>
  <c r="O166" i="3" a="1"/>
  <c r="O166" i="3" s="1"/>
  <c r="N166" i="3" a="1"/>
  <c r="N166" i="3"/>
  <c r="M166" i="3" a="1"/>
  <c r="M166" i="3" s="1"/>
  <c r="L166" i="3" a="1"/>
  <c r="L166" i="3" s="1"/>
  <c r="K166" i="3" a="1"/>
  <c r="K166" i="3"/>
  <c r="J166" i="3" a="1"/>
  <c r="J166" i="3"/>
  <c r="I166" i="3" a="1"/>
  <c r="I166" i="3" s="1"/>
  <c r="H166" i="3" a="1"/>
  <c r="H166" i="3"/>
  <c r="G166" i="3" a="1"/>
  <c r="G166" i="3" s="1"/>
  <c r="F166" i="3" a="1"/>
  <c r="F166" i="3" s="1"/>
  <c r="E166" i="3" a="1"/>
  <c r="E166" i="3"/>
  <c r="D166" i="3" a="1"/>
  <c r="D166" i="3"/>
  <c r="C166" i="3" a="1"/>
  <c r="C166" i="3" s="1"/>
  <c r="A166" i="3"/>
  <c r="AD165" i="3" a="1"/>
  <c r="AD165" i="3"/>
  <c r="AC165" i="3" a="1"/>
  <c r="AC165" i="3" s="1"/>
  <c r="AB165" i="3" a="1"/>
  <c r="AB165" i="3" s="1"/>
  <c r="AA165" i="3" a="1"/>
  <c r="AA165" i="3" s="1"/>
  <c r="Z165" i="3" a="1"/>
  <c r="Z165" i="3" s="1"/>
  <c r="Y165" i="3" a="1"/>
  <c r="Y165" i="3"/>
  <c r="X165" i="3" a="1"/>
  <c r="X165" i="3"/>
  <c r="W165" i="3" a="1"/>
  <c r="W165" i="3" s="1"/>
  <c r="V165" i="3" a="1"/>
  <c r="V165" i="3" s="1"/>
  <c r="U165" i="3" a="1"/>
  <c r="U165" i="3" s="1"/>
  <c r="T165" i="3" a="1"/>
  <c r="T165" i="3" s="1"/>
  <c r="S165" i="3" a="1"/>
  <c r="S165" i="3"/>
  <c r="R165" i="3" a="1"/>
  <c r="R165" i="3"/>
  <c r="Q165" i="3" a="1"/>
  <c r="Q165" i="3" s="1"/>
  <c r="P165" i="3" a="1"/>
  <c r="P165" i="3" s="1"/>
  <c r="O165" i="3" a="1"/>
  <c r="O165" i="3" s="1"/>
  <c r="N165" i="3" a="1"/>
  <c r="N165" i="3" s="1"/>
  <c r="M165" i="3" a="1"/>
  <c r="M165" i="3"/>
  <c r="L165" i="3" a="1"/>
  <c r="L165" i="3"/>
  <c r="K165" i="3" a="1"/>
  <c r="K165" i="3" s="1"/>
  <c r="J165" i="3" a="1"/>
  <c r="J165" i="3" s="1"/>
  <c r="I165" i="3" a="1"/>
  <c r="I165" i="3" s="1"/>
  <c r="H165" i="3" a="1"/>
  <c r="H165" i="3" s="1"/>
  <c r="G165" i="3" a="1"/>
  <c r="G165" i="3"/>
  <c r="F165" i="3" a="1"/>
  <c r="F165" i="3"/>
  <c r="E165" i="3" a="1"/>
  <c r="E165" i="3" s="1"/>
  <c r="D165" i="3" a="1"/>
  <c r="D165" i="3" s="1"/>
  <c r="C165" i="3" a="1"/>
  <c r="C165" i="3" s="1"/>
  <c r="B165" i="3" a="1"/>
  <c r="B165" i="3" s="1"/>
  <c r="A165" i="3"/>
  <c r="AD164" i="3" a="1"/>
  <c r="AD164" i="3" s="1"/>
  <c r="AC164" i="3" a="1"/>
  <c r="AC164" i="3" s="1"/>
  <c r="AB164" i="3" a="1"/>
  <c r="AB164" i="3"/>
  <c r="AA164" i="3" a="1"/>
  <c r="AA164" i="3"/>
  <c r="Z164" i="3" a="1"/>
  <c r="Z164" i="3"/>
  <c r="Y164" i="3" a="1"/>
  <c r="Y164" i="3"/>
  <c r="X164" i="3" a="1"/>
  <c r="X164" i="3" s="1"/>
  <c r="W164" i="3" a="1"/>
  <c r="W164" i="3" s="1"/>
  <c r="V164" i="3" a="1"/>
  <c r="V164" i="3"/>
  <c r="U164" i="3" a="1"/>
  <c r="U164" i="3"/>
  <c r="T164" i="3" a="1"/>
  <c r="T164" i="3"/>
  <c r="S164" i="3" a="1"/>
  <c r="S164" i="3"/>
  <c r="R164" i="3" a="1"/>
  <c r="R164" i="3" s="1"/>
  <c r="Q164" i="3" a="1"/>
  <c r="Q164" i="3" s="1"/>
  <c r="P164" i="3" a="1"/>
  <c r="P164" i="3"/>
  <c r="O164" i="3" a="1"/>
  <c r="O164" i="3"/>
  <c r="N164" i="3" a="1"/>
  <c r="N164" i="3"/>
  <c r="M164" i="3" a="1"/>
  <c r="M164" i="3"/>
  <c r="L164" i="3" a="1"/>
  <c r="L164" i="3" s="1"/>
  <c r="K164" i="3" a="1"/>
  <c r="K164" i="3" s="1"/>
  <c r="J164" i="3" a="1"/>
  <c r="J164" i="3"/>
  <c r="I164" i="3" a="1"/>
  <c r="I164" i="3"/>
  <c r="H164" i="3" a="1"/>
  <c r="H164" i="3"/>
  <c r="G164" i="3" a="1"/>
  <c r="G164" i="3"/>
  <c r="F164" i="3" a="1"/>
  <c r="F164" i="3" s="1"/>
  <c r="E164" i="3" a="1"/>
  <c r="E164" i="3" s="1"/>
  <c r="D164" i="3" a="1"/>
  <c r="D164" i="3"/>
  <c r="B164" i="3" a="1"/>
  <c r="B164" i="3" s="1"/>
  <c r="A164" i="3"/>
  <c r="AD163" i="3" a="1"/>
  <c r="AD163" i="3"/>
  <c r="AC163" i="3" a="1"/>
  <c r="AC163" i="3"/>
  <c r="AB163" i="3" a="1"/>
  <c r="AB163" i="3" s="1"/>
  <c r="AA163" i="3" a="1"/>
  <c r="AA163" i="3" s="1"/>
  <c r="Z163" i="3" a="1"/>
  <c r="Z163" i="3" s="1"/>
  <c r="Y163" i="3" a="1"/>
  <c r="Y163" i="3" s="1"/>
  <c r="X163" i="3" a="1"/>
  <c r="X163" i="3" s="1"/>
  <c r="W163" i="3" a="1"/>
  <c r="W163" i="3"/>
  <c r="V163" i="3" a="1"/>
  <c r="V163" i="3" s="1"/>
  <c r="U163" i="3" a="1"/>
  <c r="U163" i="3" s="1"/>
  <c r="T163" i="3" a="1"/>
  <c r="T163" i="3" s="1"/>
  <c r="S163" i="3" a="1"/>
  <c r="S163" i="3" s="1"/>
  <c r="R163" i="3" a="1"/>
  <c r="R163" i="3" s="1"/>
  <c r="Q163" i="3" a="1"/>
  <c r="Q163" i="3"/>
  <c r="P163" i="3" a="1"/>
  <c r="P163" i="3" s="1"/>
  <c r="O163" i="3" a="1"/>
  <c r="O163" i="3" s="1"/>
  <c r="N163" i="3" a="1"/>
  <c r="N163" i="3" s="1"/>
  <c r="M163" i="3" a="1"/>
  <c r="M163" i="3" s="1"/>
  <c r="L163" i="3" a="1"/>
  <c r="L163" i="3" s="1"/>
  <c r="K163" i="3" a="1"/>
  <c r="K163" i="3"/>
  <c r="B163" i="3" a="1"/>
  <c r="B163" i="3" s="1"/>
  <c r="A163" i="3"/>
  <c r="AD162" i="3" a="1"/>
  <c r="AD162" i="3"/>
  <c r="AC162" i="3" a="1"/>
  <c r="AC162" i="3" s="1"/>
  <c r="AB162" i="3" a="1"/>
  <c r="AB162" i="3" s="1"/>
  <c r="AA162" i="3" a="1"/>
  <c r="AA162" i="3"/>
  <c r="Z162" i="3" a="1"/>
  <c r="Z162" i="3"/>
  <c r="Y162" i="3" a="1"/>
  <c r="Y162" i="3"/>
  <c r="X162" i="3" a="1"/>
  <c r="X162" i="3"/>
  <c r="W162" i="3" a="1"/>
  <c r="W162" i="3" s="1"/>
  <c r="V162" i="3" a="1"/>
  <c r="V162" i="3" s="1"/>
  <c r="U162" i="3" a="1"/>
  <c r="U162" i="3"/>
  <c r="T162" i="3" a="1"/>
  <c r="T162" i="3"/>
  <c r="S162" i="3" a="1"/>
  <c r="S162" i="3"/>
  <c r="R162" i="3" a="1"/>
  <c r="R162" i="3"/>
  <c r="Q162" i="3" a="1"/>
  <c r="Q162" i="3" s="1"/>
  <c r="P162" i="3" a="1"/>
  <c r="P162" i="3" s="1"/>
  <c r="O162" i="3" a="1"/>
  <c r="O162" i="3"/>
  <c r="N162" i="3" a="1"/>
  <c r="N162" i="3"/>
  <c r="M162" i="3" a="1"/>
  <c r="M162" i="3"/>
  <c r="L162" i="3" a="1"/>
  <c r="L162" i="3"/>
  <c r="K162" i="3" a="1"/>
  <c r="K162" i="3" s="1"/>
  <c r="J162" i="3" a="1"/>
  <c r="J162" i="3" s="1"/>
  <c r="I162" i="3" a="1"/>
  <c r="I162" i="3"/>
  <c r="H162" i="3" a="1"/>
  <c r="H162" i="3"/>
  <c r="G162" i="3" a="1"/>
  <c r="G162" i="3"/>
  <c r="F162" i="3" a="1"/>
  <c r="F162" i="3"/>
  <c r="E162" i="3" a="1"/>
  <c r="E162" i="3" s="1"/>
  <c r="D162" i="3" a="1"/>
  <c r="D162" i="3" s="1"/>
  <c r="C162" i="3" a="1"/>
  <c r="C162" i="3"/>
  <c r="A162" i="3"/>
  <c r="AD161" i="3" a="1"/>
  <c r="AD161" i="3" s="1"/>
  <c r="AC161" i="3" a="1"/>
  <c r="AC161" i="3"/>
  <c r="AB161" i="3" a="1"/>
  <c r="AB161" i="3"/>
  <c r="AA161" i="3" a="1"/>
  <c r="AA161" i="3" s="1"/>
  <c r="Z161" i="3" a="1"/>
  <c r="Z161" i="3" s="1"/>
  <c r="Y161" i="3" a="1"/>
  <c r="Y161" i="3" s="1"/>
  <c r="X161" i="3" a="1"/>
  <c r="X161" i="3" s="1"/>
  <c r="W161" i="3" a="1"/>
  <c r="W161" i="3"/>
  <c r="V161" i="3" a="1"/>
  <c r="V161" i="3"/>
  <c r="U161" i="3" a="1"/>
  <c r="U161" i="3" s="1"/>
  <c r="T161" i="3" a="1"/>
  <c r="T161" i="3" s="1"/>
  <c r="S161" i="3" a="1"/>
  <c r="S161" i="3" s="1"/>
  <c r="R161" i="3" a="1"/>
  <c r="R161" i="3" s="1"/>
  <c r="Q161" i="3" a="1"/>
  <c r="Q161" i="3"/>
  <c r="P161" i="3" a="1"/>
  <c r="P161" i="3"/>
  <c r="O161" i="3" a="1"/>
  <c r="O161" i="3" s="1"/>
  <c r="N161" i="3" a="1"/>
  <c r="N161" i="3" s="1"/>
  <c r="M161" i="3" a="1"/>
  <c r="M161" i="3" s="1"/>
  <c r="L161" i="3" a="1"/>
  <c r="L161" i="3" s="1"/>
  <c r="K161" i="3" a="1"/>
  <c r="K161" i="3"/>
  <c r="J161" i="3" a="1"/>
  <c r="J161" i="3"/>
  <c r="I161" i="3" a="1"/>
  <c r="I161" i="3" s="1"/>
  <c r="H161" i="3" a="1"/>
  <c r="H161" i="3" s="1"/>
  <c r="G161" i="3" a="1"/>
  <c r="G161" i="3" s="1"/>
  <c r="F161" i="3" a="1"/>
  <c r="F161" i="3" s="1"/>
  <c r="E161" i="3" a="1"/>
  <c r="E161" i="3"/>
  <c r="D161" i="3" a="1"/>
  <c r="D161" i="3"/>
  <c r="C161" i="3" a="1"/>
  <c r="C161" i="3" s="1"/>
  <c r="A161" i="3"/>
  <c r="AD160" i="3" a="1"/>
  <c r="AD160" i="3"/>
  <c r="AC160" i="3" a="1"/>
  <c r="AC160" i="3"/>
  <c r="AB160" i="3" a="1"/>
  <c r="AB160" i="3" s="1"/>
  <c r="AA160" i="3" a="1"/>
  <c r="AA160" i="3" s="1"/>
  <c r="Z160" i="3" a="1"/>
  <c r="Z160" i="3"/>
  <c r="Y160" i="3" a="1"/>
  <c r="Y160" i="3"/>
  <c r="X160" i="3" a="1"/>
  <c r="X160" i="3"/>
  <c r="W160" i="3" a="1"/>
  <c r="W160" i="3"/>
  <c r="V160" i="3" a="1"/>
  <c r="V160" i="3" s="1"/>
  <c r="U160" i="3" a="1"/>
  <c r="U160" i="3"/>
  <c r="T160" i="3" a="1"/>
  <c r="T160" i="3"/>
  <c r="S160" i="3" a="1"/>
  <c r="S160" i="3"/>
  <c r="R160" i="3" a="1"/>
  <c r="R160" i="3"/>
  <c r="Q160" i="3" a="1"/>
  <c r="Q160" i="3"/>
  <c r="P160" i="3" a="1"/>
  <c r="P160" i="3" s="1"/>
  <c r="O160" i="3" a="1"/>
  <c r="O160" i="3"/>
  <c r="N160" i="3" a="1"/>
  <c r="N160" i="3"/>
  <c r="M160" i="3" a="1"/>
  <c r="M160" i="3"/>
  <c r="L160" i="3" a="1"/>
  <c r="L160" i="3"/>
  <c r="K160" i="3" a="1"/>
  <c r="K160" i="3"/>
  <c r="J160" i="3" a="1"/>
  <c r="J160" i="3" s="1"/>
  <c r="I160" i="3" a="1"/>
  <c r="I160" i="3"/>
  <c r="H160" i="3" a="1"/>
  <c r="H160" i="3"/>
  <c r="G160" i="3" a="1"/>
  <c r="G160" i="3"/>
  <c r="F160" i="3" a="1"/>
  <c r="F160" i="3"/>
  <c r="E160" i="3" a="1"/>
  <c r="E160" i="3"/>
  <c r="D160" i="3" a="1"/>
  <c r="D160" i="3" s="1"/>
  <c r="C160" i="3" a="1"/>
  <c r="C160" i="3" s="1"/>
  <c r="A160" i="3"/>
  <c r="AD159" i="3" a="1"/>
  <c r="AD159" i="3" s="1"/>
  <c r="AC159" i="3" a="1"/>
  <c r="AC159" i="3" s="1"/>
  <c r="AB159" i="3" a="1"/>
  <c r="AB159" i="3"/>
  <c r="AA159" i="3" a="1"/>
  <c r="AA159" i="3"/>
  <c r="Z159" i="3" a="1"/>
  <c r="Z159" i="3" s="1"/>
  <c r="Y159" i="3" a="1"/>
  <c r="Y159" i="3" s="1"/>
  <c r="X159" i="3" a="1"/>
  <c r="X159" i="3" s="1"/>
  <c r="W159" i="3" a="1"/>
  <c r="W159" i="3" s="1"/>
  <c r="A159" i="3"/>
  <c r="AD158" i="3" a="1"/>
  <c r="AD158" i="3"/>
  <c r="AC158" i="3" a="1"/>
  <c r="AC158" i="3"/>
  <c r="AB158" i="3" a="1"/>
  <c r="AB158" i="3"/>
  <c r="AA158" i="3" a="1"/>
  <c r="AA158" i="3" s="1"/>
  <c r="Z158" i="3" a="1"/>
  <c r="Z158" i="3" s="1"/>
  <c r="Y158" i="3" a="1"/>
  <c r="Y158" i="3"/>
  <c r="X158" i="3" a="1"/>
  <c r="X158" i="3"/>
  <c r="W158" i="3" a="1"/>
  <c r="W158" i="3"/>
  <c r="V158" i="3" a="1"/>
  <c r="V158" i="3"/>
  <c r="U158" i="3" a="1"/>
  <c r="U158" i="3" s="1"/>
  <c r="T158" i="3" a="1"/>
  <c r="T158" i="3" s="1"/>
  <c r="S158" i="3" a="1"/>
  <c r="S158" i="3"/>
  <c r="R158" i="3" a="1"/>
  <c r="R158" i="3"/>
  <c r="Q158" i="3" a="1"/>
  <c r="Q158" i="3"/>
  <c r="P158" i="3" a="1"/>
  <c r="P158" i="3"/>
  <c r="O158" i="3" a="1"/>
  <c r="O158" i="3" s="1"/>
  <c r="N158" i="3" a="1"/>
  <c r="N158" i="3"/>
  <c r="M158" i="3" a="1"/>
  <c r="M158" i="3"/>
  <c r="L158" i="3" a="1"/>
  <c r="L158" i="3"/>
  <c r="K158" i="3" a="1"/>
  <c r="K158" i="3"/>
  <c r="J158" i="3" a="1"/>
  <c r="J158" i="3"/>
  <c r="I158" i="3" a="1"/>
  <c r="I158" i="3" s="1"/>
  <c r="H158" i="3" a="1"/>
  <c r="H158" i="3"/>
  <c r="G158" i="3" a="1"/>
  <c r="G158" i="3"/>
  <c r="F158" i="3" a="1"/>
  <c r="F158" i="3"/>
  <c r="E158" i="3" a="1"/>
  <c r="E158" i="3"/>
  <c r="D158" i="3" a="1"/>
  <c r="D158" i="3"/>
  <c r="C158" i="3" a="1"/>
  <c r="C158" i="3" s="1"/>
  <c r="A158" i="3"/>
  <c r="AD157" i="3" a="1"/>
  <c r="AD157" i="3" s="1"/>
  <c r="AC157" i="3" a="1"/>
  <c r="AC157" i="3" s="1"/>
  <c r="AB157" i="3" a="1"/>
  <c r="AB157" i="3" s="1"/>
  <c r="AA157" i="3" a="1"/>
  <c r="AA157" i="3"/>
  <c r="Z157" i="3" a="1"/>
  <c r="Z157" i="3"/>
  <c r="Y157" i="3" a="1"/>
  <c r="Y157" i="3" s="1"/>
  <c r="X157" i="3" a="1"/>
  <c r="X157" i="3" s="1"/>
  <c r="W157" i="3" a="1"/>
  <c r="W157" i="3" s="1"/>
  <c r="V157" i="3" a="1"/>
  <c r="V157" i="3" s="1"/>
  <c r="U157" i="3" a="1"/>
  <c r="U157" i="3"/>
  <c r="T157" i="3" a="1"/>
  <c r="T157" i="3"/>
  <c r="S157" i="3" a="1"/>
  <c r="S157" i="3" s="1"/>
  <c r="R157" i="3" a="1"/>
  <c r="R157" i="3" s="1"/>
  <c r="Q157" i="3" a="1"/>
  <c r="Q157" i="3" s="1"/>
  <c r="P157" i="3" a="1"/>
  <c r="P157" i="3" s="1"/>
  <c r="O157" i="3" a="1"/>
  <c r="O157" i="3"/>
  <c r="N157" i="3" a="1"/>
  <c r="N157" i="3"/>
  <c r="M157" i="3" a="1"/>
  <c r="M157" i="3" s="1"/>
  <c r="L157" i="3" a="1"/>
  <c r="L157" i="3" s="1"/>
  <c r="K157" i="3" a="1"/>
  <c r="K157" i="3" s="1"/>
  <c r="J157" i="3" a="1"/>
  <c r="J157" i="3" s="1"/>
  <c r="I157" i="3" a="1"/>
  <c r="I157" i="3" s="1"/>
  <c r="H157" i="3" a="1"/>
  <c r="H157" i="3"/>
  <c r="G157" i="3" a="1"/>
  <c r="G157" i="3" s="1"/>
  <c r="F157" i="3" a="1"/>
  <c r="F157" i="3" s="1"/>
  <c r="A157" i="3"/>
  <c r="AD156" i="3" a="1"/>
  <c r="AD156" i="3"/>
  <c r="AC156" i="3" a="1"/>
  <c r="AC156" i="3"/>
  <c r="AB156" i="3" a="1"/>
  <c r="AB156" i="3"/>
  <c r="AA156" i="3" a="1"/>
  <c r="AA156" i="3"/>
  <c r="Z156" i="3" a="1"/>
  <c r="Z156" i="3" s="1"/>
  <c r="Y156" i="3" a="1"/>
  <c r="Y156" i="3" s="1"/>
  <c r="X156" i="3" a="1"/>
  <c r="X156" i="3"/>
  <c r="W156" i="3" a="1"/>
  <c r="W156" i="3"/>
  <c r="V156" i="3" a="1"/>
  <c r="V156" i="3"/>
  <c r="U156" i="3" a="1"/>
  <c r="U156" i="3"/>
  <c r="T156" i="3" a="1"/>
  <c r="T156" i="3" s="1"/>
  <c r="S156" i="3" a="1"/>
  <c r="S156" i="3"/>
  <c r="R156" i="3" a="1"/>
  <c r="R156" i="3"/>
  <c r="Q156" i="3" a="1"/>
  <c r="Q156" i="3"/>
  <c r="P156" i="3" a="1"/>
  <c r="P156" i="3"/>
  <c r="O156" i="3" a="1"/>
  <c r="O156" i="3"/>
  <c r="N156" i="3" a="1"/>
  <c r="N156" i="3" s="1"/>
  <c r="M156" i="3" a="1"/>
  <c r="M156" i="3" s="1"/>
  <c r="L156" i="3" a="1"/>
  <c r="L156" i="3"/>
  <c r="K156" i="3" a="1"/>
  <c r="K156" i="3"/>
  <c r="J156" i="3" a="1"/>
  <c r="J156" i="3"/>
  <c r="I156" i="3" a="1"/>
  <c r="I156" i="3"/>
  <c r="H156" i="3" a="1"/>
  <c r="H156" i="3" s="1"/>
  <c r="G156" i="3" a="1"/>
  <c r="G156" i="3" s="1"/>
  <c r="F156" i="3" a="1"/>
  <c r="F156" i="3"/>
  <c r="E156" i="3" a="1"/>
  <c r="E156" i="3"/>
  <c r="D156" i="3" a="1"/>
  <c r="D156" i="3" s="1"/>
  <c r="C156" i="3" a="1"/>
  <c r="C156" i="3"/>
  <c r="A156" i="3"/>
  <c r="AD155" i="3" a="1"/>
  <c r="AD155" i="3" s="1"/>
  <c r="AC155" i="3" a="1"/>
  <c r="AC155" i="3" s="1"/>
  <c r="AB155" i="3" a="1"/>
  <c r="AB155" i="3"/>
  <c r="AA155" i="3" a="1"/>
  <c r="AA155" i="3" s="1"/>
  <c r="Z155" i="3" a="1"/>
  <c r="Z155" i="3" s="1"/>
  <c r="Y155" i="3" a="1"/>
  <c r="Y155" i="3"/>
  <c r="X155" i="3" a="1"/>
  <c r="X155" i="3" s="1"/>
  <c r="W155" i="3" a="1"/>
  <c r="W155" i="3" s="1"/>
  <c r="V155" i="3" a="1"/>
  <c r="V155" i="3"/>
  <c r="U155" i="3" a="1"/>
  <c r="U155" i="3" s="1"/>
  <c r="T155" i="3" a="1"/>
  <c r="T155" i="3"/>
  <c r="S155" i="3" a="1"/>
  <c r="S155" i="3" s="1"/>
  <c r="R155" i="3" a="1"/>
  <c r="R155" i="3" s="1"/>
  <c r="Q155" i="3" a="1"/>
  <c r="Q155" i="3" s="1"/>
  <c r="P155" i="3" a="1"/>
  <c r="P155" i="3"/>
  <c r="O155" i="3" a="1"/>
  <c r="O155" i="3" s="1"/>
  <c r="N155" i="3" a="1"/>
  <c r="N155" i="3" s="1"/>
  <c r="M155" i="3" a="1"/>
  <c r="M155" i="3" s="1"/>
  <c r="L155" i="3" a="1"/>
  <c r="L155" i="3" s="1"/>
  <c r="K155" i="3" a="1"/>
  <c r="K155" i="3" s="1"/>
  <c r="J155" i="3" a="1"/>
  <c r="J155" i="3" s="1"/>
  <c r="I155" i="3" a="1"/>
  <c r="I155" i="3" s="1"/>
  <c r="H155" i="3" a="1"/>
  <c r="H155" i="3"/>
  <c r="G155" i="3" a="1"/>
  <c r="G155" i="3"/>
  <c r="F155" i="3" a="1"/>
  <c r="F155" i="3" s="1"/>
  <c r="A155" i="3"/>
  <c r="AD154" i="3" a="1"/>
  <c r="AD154" i="3"/>
  <c r="AC154" i="3" a="1"/>
  <c r="AC154" i="3"/>
  <c r="AB154" i="3" a="1"/>
  <c r="AB154" i="3"/>
  <c r="AA154" i="3" a="1"/>
  <c r="AA154" i="3"/>
  <c r="Z154" i="3" a="1"/>
  <c r="Z154" i="3"/>
  <c r="Y154" i="3" a="1"/>
  <c r="Y154" i="3" s="1"/>
  <c r="X154" i="3" a="1"/>
  <c r="X154" i="3" s="1"/>
  <c r="W154" i="3" a="1"/>
  <c r="W154" i="3"/>
  <c r="V154" i="3" a="1"/>
  <c r="V154" i="3"/>
  <c r="U154" i="3" a="1"/>
  <c r="U154" i="3" s="1"/>
  <c r="T154" i="3" a="1"/>
  <c r="T154" i="3"/>
  <c r="S154" i="3" a="1"/>
  <c r="S154" i="3" s="1"/>
  <c r="R154" i="3" a="1"/>
  <c r="R154" i="3" s="1"/>
  <c r="Q154" i="3" a="1"/>
  <c r="Q154" i="3"/>
  <c r="P154" i="3" a="1"/>
  <c r="P154" i="3"/>
  <c r="O154" i="3" a="1"/>
  <c r="O154" i="3" s="1"/>
  <c r="N154" i="3" a="1"/>
  <c r="N154" i="3" s="1"/>
  <c r="M154" i="3" a="1"/>
  <c r="M154" i="3" s="1"/>
  <c r="L154" i="3" a="1"/>
  <c r="L154" i="3" s="1"/>
  <c r="K154" i="3" a="1"/>
  <c r="K154" i="3"/>
  <c r="J154" i="3" a="1"/>
  <c r="J154" i="3"/>
  <c r="I154" i="3" a="1"/>
  <c r="I154" i="3" s="1"/>
  <c r="H154" i="3" a="1"/>
  <c r="H154" i="3" s="1"/>
  <c r="G154" i="3" a="1"/>
  <c r="G154" i="3" s="1"/>
  <c r="F154" i="3" a="1"/>
  <c r="F154" i="3" s="1"/>
  <c r="E154" i="3" a="1"/>
  <c r="E154" i="3"/>
  <c r="D154" i="3" a="1"/>
  <c r="D154" i="3"/>
  <c r="A154" i="3"/>
  <c r="AD153" i="3" a="1"/>
  <c r="AD153" i="3"/>
  <c r="AC153" i="3" a="1"/>
  <c r="AC153" i="3"/>
  <c r="AB153" i="3" a="1"/>
  <c r="AB153" i="3"/>
  <c r="AA153" i="3" a="1"/>
  <c r="AA153" i="3" s="1"/>
  <c r="Z153" i="3" a="1"/>
  <c r="Z153" i="3" s="1"/>
  <c r="Y153" i="3" a="1"/>
  <c r="Y153" i="3" s="1"/>
  <c r="X153" i="3" a="1"/>
  <c r="X153" i="3"/>
  <c r="W153" i="3" a="1"/>
  <c r="W153" i="3"/>
  <c r="V153" i="3" a="1"/>
  <c r="V153" i="3"/>
  <c r="U153" i="3" a="1"/>
  <c r="U153" i="3" s="1"/>
  <c r="T153" i="3" a="1"/>
  <c r="T153" i="3" s="1"/>
  <c r="S153" i="3" a="1"/>
  <c r="S153" i="3" s="1"/>
  <c r="R153" i="3" a="1"/>
  <c r="R153" i="3"/>
  <c r="Q153" i="3" a="1"/>
  <c r="Q153" i="3"/>
  <c r="P153" i="3" a="1"/>
  <c r="P153" i="3"/>
  <c r="O153" i="3" a="1"/>
  <c r="O153" i="3" s="1"/>
  <c r="N153" i="3" a="1"/>
  <c r="N153" i="3" s="1"/>
  <c r="M153" i="3" a="1"/>
  <c r="M153" i="3" s="1"/>
  <c r="L153" i="3" a="1"/>
  <c r="L153" i="3"/>
  <c r="K153" i="3" a="1"/>
  <c r="K153" i="3" s="1"/>
  <c r="J153" i="3" a="1"/>
  <c r="J153" i="3" s="1"/>
  <c r="I153" i="3" a="1"/>
  <c r="I153" i="3" s="1"/>
  <c r="A153" i="3"/>
  <c r="AD152" i="3" a="1"/>
  <c r="AD152" i="3"/>
  <c r="AC152" i="3" a="1"/>
  <c r="AC152" i="3"/>
  <c r="AB152" i="3" a="1"/>
  <c r="AB152" i="3"/>
  <c r="AA152" i="3" a="1"/>
  <c r="AA152" i="3"/>
  <c r="Z152" i="3" a="1"/>
  <c r="Z152" i="3" s="1"/>
  <c r="Y152" i="3" a="1"/>
  <c r="Y152" i="3" s="1"/>
  <c r="X152" i="3" a="1"/>
  <c r="X152" i="3"/>
  <c r="W152" i="3" a="1"/>
  <c r="W152" i="3"/>
  <c r="V152" i="3" a="1"/>
  <c r="V152" i="3"/>
  <c r="U152" i="3" a="1"/>
  <c r="U152" i="3"/>
  <c r="T152" i="3" a="1"/>
  <c r="T152" i="3" s="1"/>
  <c r="S152" i="3" a="1"/>
  <c r="S152" i="3" s="1"/>
  <c r="R152" i="3" a="1"/>
  <c r="R152" i="3" s="1"/>
  <c r="Q152" i="3" a="1"/>
  <c r="Q152" i="3" s="1"/>
  <c r="P152" i="3" a="1"/>
  <c r="P152" i="3"/>
  <c r="O152" i="3" a="1"/>
  <c r="O152" i="3"/>
  <c r="N152" i="3" a="1"/>
  <c r="N152" i="3" s="1"/>
  <c r="M152" i="3" a="1"/>
  <c r="M152" i="3" s="1"/>
  <c r="L152" i="3" a="1"/>
  <c r="L152" i="3" s="1"/>
  <c r="K152" i="3" a="1"/>
  <c r="K152" i="3" s="1"/>
  <c r="J152" i="3" a="1"/>
  <c r="J152" i="3"/>
  <c r="I152" i="3" a="1"/>
  <c r="I152" i="3" s="1"/>
  <c r="H152" i="3" a="1"/>
  <c r="H152" i="3" s="1"/>
  <c r="A152" i="3"/>
  <c r="AD151" i="3" a="1"/>
  <c r="AD151" i="3" s="1"/>
  <c r="AC151" i="3" a="1"/>
  <c r="AC151" i="3"/>
  <c r="AB151" i="3" a="1"/>
  <c r="AB151" i="3"/>
  <c r="AA151" i="3" a="1"/>
  <c r="AA151" i="3"/>
  <c r="Z151" i="3" a="1"/>
  <c r="Z151" i="3"/>
  <c r="Y151" i="3" a="1"/>
  <c r="Y151" i="3"/>
  <c r="X151" i="3" a="1"/>
  <c r="X151" i="3" s="1"/>
  <c r="W151" i="3" a="1"/>
  <c r="W151" i="3"/>
  <c r="V151" i="3" a="1"/>
  <c r="V151" i="3"/>
  <c r="U151" i="3" a="1"/>
  <c r="U151" i="3"/>
  <c r="T151" i="3" a="1"/>
  <c r="T151" i="3"/>
  <c r="S151" i="3" a="1"/>
  <c r="S151" i="3" s="1"/>
  <c r="R151" i="3" a="1"/>
  <c r="R151" i="3" s="1"/>
  <c r="Q151" i="3" a="1"/>
  <c r="Q151" i="3"/>
  <c r="P151" i="3" a="1"/>
  <c r="P151" i="3"/>
  <c r="O151" i="3" a="1"/>
  <c r="O151" i="3"/>
  <c r="N151" i="3" a="1"/>
  <c r="N151" i="3" s="1"/>
  <c r="M151" i="3" a="1"/>
  <c r="M151" i="3" s="1"/>
  <c r="L151" i="3" a="1"/>
  <c r="L151" i="3" s="1"/>
  <c r="K151" i="3" a="1"/>
  <c r="K151" i="3"/>
  <c r="J151" i="3" a="1"/>
  <c r="J151" i="3"/>
  <c r="I151" i="3" a="1"/>
  <c r="I151" i="3" s="1"/>
  <c r="H151" i="3" a="1"/>
  <c r="H151" i="3" s="1"/>
  <c r="G151" i="3" a="1"/>
  <c r="G151" i="3" s="1"/>
  <c r="A151" i="3"/>
  <c r="AD150" i="3" a="1"/>
  <c r="AD150" i="3" s="1"/>
  <c r="AC150" i="3" a="1"/>
  <c r="AC150" i="3" s="1"/>
  <c r="AB150" i="3" a="1"/>
  <c r="AB150" i="3"/>
  <c r="AA150" i="3" a="1"/>
  <c r="AA150" i="3"/>
  <c r="Z150" i="3" a="1"/>
  <c r="Z150" i="3"/>
  <c r="Y150" i="3" a="1"/>
  <c r="Y150" i="3"/>
  <c r="X150" i="3" a="1"/>
  <c r="X150" i="3" s="1"/>
  <c r="W150" i="3" a="1"/>
  <c r="W150" i="3" s="1"/>
  <c r="V150" i="3" a="1"/>
  <c r="V150" i="3"/>
  <c r="U150" i="3" a="1"/>
  <c r="U150" i="3"/>
  <c r="T150" i="3" a="1"/>
  <c r="T150" i="3" s="1"/>
  <c r="S150" i="3" a="1"/>
  <c r="S150" i="3" s="1"/>
  <c r="R150" i="3" a="1"/>
  <c r="R150" i="3" s="1"/>
  <c r="Q150" i="3" a="1"/>
  <c r="Q150" i="3" s="1"/>
  <c r="P150" i="3" a="1"/>
  <c r="P150" i="3" s="1"/>
  <c r="O150" i="3" a="1"/>
  <c r="O150" i="3"/>
  <c r="N150" i="3" a="1"/>
  <c r="N150" i="3" s="1"/>
  <c r="M150" i="3" a="1"/>
  <c r="M150" i="3" s="1"/>
  <c r="L150" i="3" a="1"/>
  <c r="L150" i="3" s="1"/>
  <c r="K150" i="3" a="1"/>
  <c r="K150" i="3" s="1"/>
  <c r="J150" i="3" a="1"/>
  <c r="J150" i="3" s="1"/>
  <c r="I150" i="3" a="1"/>
  <c r="I150" i="3" s="1"/>
  <c r="H150" i="3" a="1"/>
  <c r="H150" i="3" s="1"/>
  <c r="G150" i="3" a="1"/>
  <c r="G150" i="3" s="1"/>
  <c r="F150" i="3" a="1"/>
  <c r="F150" i="3" s="1"/>
  <c r="E150" i="3" a="1"/>
  <c r="E150" i="3" s="1"/>
  <c r="D150" i="3" a="1"/>
  <c r="D150" i="3" s="1"/>
  <c r="C150" i="3" a="1"/>
  <c r="C150" i="3" s="1"/>
  <c r="B150" i="3" a="1"/>
  <c r="B150" i="3" s="1"/>
  <c r="A150" i="3"/>
  <c r="AD149" i="3" a="1"/>
  <c r="AD149" i="3"/>
  <c r="AC149" i="3" a="1"/>
  <c r="AC149" i="3" s="1"/>
  <c r="AB149" i="3" a="1"/>
  <c r="AB149" i="3"/>
  <c r="AA149" i="3" a="1"/>
  <c r="AA149" i="3"/>
  <c r="Z149" i="3" a="1"/>
  <c r="Z149" i="3"/>
  <c r="Y149" i="3" a="1"/>
  <c r="Y149" i="3" s="1"/>
  <c r="X149" i="3" a="1"/>
  <c r="X149" i="3" s="1"/>
  <c r="W149" i="3" a="1"/>
  <c r="W149" i="3" s="1"/>
  <c r="V149" i="3" a="1"/>
  <c r="V149" i="3"/>
  <c r="U149" i="3" a="1"/>
  <c r="U149" i="3"/>
  <c r="T149" i="3" a="1"/>
  <c r="T149" i="3"/>
  <c r="S149" i="3" a="1"/>
  <c r="S149" i="3" s="1"/>
  <c r="R149" i="3" a="1"/>
  <c r="R149" i="3" s="1"/>
  <c r="Q149" i="3" a="1"/>
  <c r="Q149" i="3" s="1"/>
  <c r="P149" i="3" a="1"/>
  <c r="P149" i="3"/>
  <c r="O149" i="3" a="1"/>
  <c r="O149" i="3"/>
  <c r="N149" i="3" a="1"/>
  <c r="N149" i="3"/>
  <c r="M149" i="3" a="1"/>
  <c r="M149" i="3" s="1"/>
  <c r="L149" i="3" a="1"/>
  <c r="L149" i="3" s="1"/>
  <c r="K149" i="3" a="1"/>
  <c r="K149" i="3" s="1"/>
  <c r="J149" i="3" a="1"/>
  <c r="J149" i="3"/>
  <c r="I149" i="3" a="1"/>
  <c r="I149" i="3"/>
  <c r="H149" i="3" a="1"/>
  <c r="H149" i="3"/>
  <c r="G149" i="3" a="1"/>
  <c r="G149" i="3" s="1"/>
  <c r="F149" i="3" a="1"/>
  <c r="F149" i="3" s="1"/>
  <c r="E149" i="3" a="1"/>
  <c r="E149" i="3" s="1"/>
  <c r="D149" i="3" a="1"/>
  <c r="D149" i="3"/>
  <c r="C149" i="3" a="1"/>
  <c r="C149" i="3"/>
  <c r="B149" i="3" a="1"/>
  <c r="B149" i="3" s="1"/>
  <c r="A149" i="3"/>
  <c r="AD148" i="3" a="1"/>
  <c r="AD148" i="3"/>
  <c r="AC148" i="3" a="1"/>
  <c r="AC148" i="3" s="1"/>
  <c r="AB148" i="3" a="1"/>
  <c r="AB148" i="3" s="1"/>
  <c r="AA148" i="3" a="1"/>
  <c r="AA148" i="3"/>
  <c r="Z148" i="3" a="1"/>
  <c r="Z148" i="3"/>
  <c r="Y148" i="3" a="1"/>
  <c r="Y148" i="3" s="1"/>
  <c r="X148" i="3" a="1"/>
  <c r="X148" i="3"/>
  <c r="W148" i="3" a="1"/>
  <c r="W148" i="3" s="1"/>
  <c r="V148" i="3" a="1"/>
  <c r="V148" i="3" s="1"/>
  <c r="U148" i="3" a="1"/>
  <c r="U148" i="3"/>
  <c r="T148" i="3" a="1"/>
  <c r="T148" i="3"/>
  <c r="S148" i="3" a="1"/>
  <c r="S148" i="3" s="1"/>
  <c r="R148" i="3" a="1"/>
  <c r="R148" i="3" s="1"/>
  <c r="Q148" i="3" a="1"/>
  <c r="Q148" i="3" s="1"/>
  <c r="P148" i="3" a="1"/>
  <c r="P148" i="3" s="1"/>
  <c r="O148" i="3" a="1"/>
  <c r="O148" i="3"/>
  <c r="N148" i="3" a="1"/>
  <c r="N148" i="3"/>
  <c r="M148" i="3" a="1"/>
  <c r="M148" i="3" s="1"/>
  <c r="L148" i="3" a="1"/>
  <c r="L148" i="3" s="1"/>
  <c r="K148" i="3" a="1"/>
  <c r="K148" i="3" s="1"/>
  <c r="J148" i="3" a="1"/>
  <c r="J148" i="3" s="1"/>
  <c r="I148" i="3" a="1"/>
  <c r="I148" i="3"/>
  <c r="H148" i="3" a="1"/>
  <c r="H148" i="3"/>
  <c r="G148" i="3" a="1"/>
  <c r="G148" i="3" s="1"/>
  <c r="F148" i="3" a="1"/>
  <c r="F148" i="3" s="1"/>
  <c r="E148" i="3" a="1"/>
  <c r="E148" i="3" s="1"/>
  <c r="D148" i="3" a="1"/>
  <c r="D148" i="3" s="1"/>
  <c r="C148" i="3" a="1"/>
  <c r="C148" i="3" s="1"/>
  <c r="A148" i="3"/>
  <c r="AD147" i="3" a="1"/>
  <c r="AD147" i="3"/>
  <c r="AC147" i="3" a="1"/>
  <c r="AC147" i="3"/>
  <c r="AB147" i="3" a="1"/>
  <c r="AB147" i="3" s="1"/>
  <c r="AA147" i="3" a="1"/>
  <c r="AA147" i="3"/>
  <c r="Z147" i="3" a="1"/>
  <c r="Z147" i="3"/>
  <c r="Y147" i="3" a="1"/>
  <c r="Y147" i="3"/>
  <c r="X147" i="3" a="1"/>
  <c r="X147" i="3" s="1"/>
  <c r="W147" i="3" a="1"/>
  <c r="W147" i="3"/>
  <c r="V147" i="3" a="1"/>
  <c r="V147" i="3" s="1"/>
  <c r="U147" i="3" a="1"/>
  <c r="U147" i="3"/>
  <c r="T147" i="3" a="1"/>
  <c r="T147" i="3"/>
  <c r="S147" i="3" a="1"/>
  <c r="S147" i="3" s="1"/>
  <c r="R147" i="3" a="1"/>
  <c r="R147" i="3" s="1"/>
  <c r="Q147" i="3" a="1"/>
  <c r="Q147" i="3"/>
  <c r="P147" i="3" a="1"/>
  <c r="P147" i="3" s="1"/>
  <c r="O147" i="3" a="1"/>
  <c r="O147" i="3"/>
  <c r="N147" i="3" a="1"/>
  <c r="N147" i="3"/>
  <c r="M147" i="3" a="1"/>
  <c r="M147" i="3" s="1"/>
  <c r="L147" i="3" a="1"/>
  <c r="L147" i="3" s="1"/>
  <c r="K147" i="3" a="1"/>
  <c r="K147" i="3" s="1"/>
  <c r="J147" i="3" a="1"/>
  <c r="J147" i="3" s="1"/>
  <c r="I147" i="3" a="1"/>
  <c r="I147" i="3"/>
  <c r="H147" i="3" a="1"/>
  <c r="H147" i="3"/>
  <c r="G147" i="3" a="1"/>
  <c r="G147" i="3" s="1"/>
  <c r="F147" i="3" a="1"/>
  <c r="F147" i="3" s="1"/>
  <c r="E147" i="3" a="1"/>
  <c r="E147" i="3" s="1"/>
  <c r="D147" i="3" a="1"/>
  <c r="D147" i="3" s="1"/>
  <c r="C147" i="3" a="1"/>
  <c r="C147" i="3"/>
  <c r="A147" i="3"/>
  <c r="AD146" i="3" a="1"/>
  <c r="AD146" i="3" s="1"/>
  <c r="AC146" i="3" a="1"/>
  <c r="AC146" i="3" s="1"/>
  <c r="AB146" i="3" a="1"/>
  <c r="AB146" i="3" s="1"/>
  <c r="AA146" i="3" a="1"/>
  <c r="AA146" i="3" s="1"/>
  <c r="Z146" i="3" a="1"/>
  <c r="Z146" i="3"/>
  <c r="Y146" i="3" a="1"/>
  <c r="Y146" i="3"/>
  <c r="X146" i="3" a="1"/>
  <c r="X146" i="3" s="1"/>
  <c r="W146" i="3" a="1"/>
  <c r="W146" i="3" s="1"/>
  <c r="V146" i="3" a="1"/>
  <c r="V146" i="3" s="1"/>
  <c r="U146" i="3" a="1"/>
  <c r="U146" i="3" s="1"/>
  <c r="T146" i="3" a="1"/>
  <c r="T146" i="3"/>
  <c r="S146" i="3" a="1"/>
  <c r="S146" i="3"/>
  <c r="R146" i="3" a="1"/>
  <c r="R146" i="3" s="1"/>
  <c r="Q146" i="3" a="1"/>
  <c r="Q146" i="3" s="1"/>
  <c r="P146" i="3" a="1"/>
  <c r="P146" i="3" s="1"/>
  <c r="O146" i="3" a="1"/>
  <c r="O146" i="3" s="1"/>
  <c r="N146" i="3" a="1"/>
  <c r="N146" i="3"/>
  <c r="M146" i="3" a="1"/>
  <c r="M146" i="3"/>
  <c r="L146" i="3" a="1"/>
  <c r="L146" i="3" s="1"/>
  <c r="K146" i="3" a="1"/>
  <c r="K146" i="3" s="1"/>
  <c r="J146" i="3" a="1"/>
  <c r="J146" i="3" s="1"/>
  <c r="I146" i="3" a="1"/>
  <c r="I146" i="3" s="1"/>
  <c r="H146" i="3" a="1"/>
  <c r="H146" i="3" s="1"/>
  <c r="G146" i="3" a="1"/>
  <c r="G146" i="3"/>
  <c r="F146" i="3" a="1"/>
  <c r="F146" i="3" s="1"/>
  <c r="E146" i="3" a="1"/>
  <c r="E146" i="3" s="1"/>
  <c r="D146" i="3" a="1"/>
  <c r="D146" i="3" s="1"/>
  <c r="A146" i="3"/>
  <c r="AD145" i="3" a="1"/>
  <c r="AD145" i="3" s="1"/>
  <c r="AC145" i="3" a="1"/>
  <c r="AC145" i="3"/>
  <c r="AB145" i="3" a="1"/>
  <c r="AB145" i="3" s="1"/>
  <c r="AA145" i="3" a="1"/>
  <c r="AA145" i="3" s="1"/>
  <c r="Z145" i="3" a="1"/>
  <c r="Z145" i="3"/>
  <c r="Y145" i="3" a="1"/>
  <c r="Y145" i="3"/>
  <c r="X145" i="3" a="1"/>
  <c r="X145" i="3" s="1"/>
  <c r="W145" i="3" a="1"/>
  <c r="W145" i="3"/>
  <c r="V145" i="3" a="1"/>
  <c r="V145" i="3" s="1"/>
  <c r="U145" i="3" a="1"/>
  <c r="U145" i="3" s="1"/>
  <c r="T145" i="3" a="1"/>
  <c r="T145" i="3"/>
  <c r="S145" i="3" a="1"/>
  <c r="S145" i="3"/>
  <c r="R145" i="3" a="1"/>
  <c r="R145" i="3" s="1"/>
  <c r="Q145" i="3" a="1"/>
  <c r="Q145" i="3"/>
  <c r="P145" i="3" a="1"/>
  <c r="P145" i="3" s="1"/>
  <c r="O145" i="3" a="1"/>
  <c r="O145" i="3" s="1"/>
  <c r="N145" i="3" a="1"/>
  <c r="N145" i="3"/>
  <c r="M145" i="3" a="1"/>
  <c r="M145" i="3"/>
  <c r="L145" i="3" a="1"/>
  <c r="L145" i="3" s="1"/>
  <c r="K145" i="3" a="1"/>
  <c r="K145" i="3" s="1"/>
  <c r="J145" i="3" a="1"/>
  <c r="J145" i="3" s="1"/>
  <c r="I145" i="3" a="1"/>
  <c r="I145" i="3" s="1"/>
  <c r="H145" i="3" a="1"/>
  <c r="H145" i="3"/>
  <c r="G145" i="3" a="1"/>
  <c r="G145" i="3" s="1"/>
  <c r="F145" i="3" a="1"/>
  <c r="F145" i="3" s="1"/>
  <c r="E145" i="3" a="1"/>
  <c r="E145" i="3" s="1"/>
  <c r="D145" i="3" a="1"/>
  <c r="D145" i="3" s="1"/>
  <c r="C145" i="3" a="1"/>
  <c r="C145" i="3" s="1"/>
  <c r="A145" i="3"/>
  <c r="AD144" i="3" a="1"/>
  <c r="AD144" i="3"/>
  <c r="AC144" i="3" a="1"/>
  <c r="AC144" i="3"/>
  <c r="AB144" i="3" a="1"/>
  <c r="AB144" i="3"/>
  <c r="AA144" i="3" a="1"/>
  <c r="AA144" i="3" s="1"/>
  <c r="Z144" i="3" a="1"/>
  <c r="Z144" i="3"/>
  <c r="Y144" i="3" a="1"/>
  <c r="Y144" i="3"/>
  <c r="X144" i="3" a="1"/>
  <c r="X144" i="3"/>
  <c r="W144" i="3" a="1"/>
  <c r="W144" i="3"/>
  <c r="V144" i="3" a="1"/>
  <c r="V144" i="3"/>
  <c r="U144" i="3" a="1"/>
  <c r="U144" i="3" s="1"/>
  <c r="T144" i="3" a="1"/>
  <c r="T144" i="3" s="1"/>
  <c r="S144" i="3" a="1"/>
  <c r="S144" i="3"/>
  <c r="R144" i="3" a="1"/>
  <c r="R144" i="3"/>
  <c r="Q144" i="3" a="1"/>
  <c r="Q144" i="3"/>
  <c r="P144" i="3" a="1"/>
  <c r="P144" i="3"/>
  <c r="O144" i="3" a="1"/>
  <c r="O144" i="3" s="1"/>
  <c r="N144" i="3" a="1"/>
  <c r="N144" i="3" s="1"/>
  <c r="M144" i="3" a="1"/>
  <c r="M144" i="3"/>
  <c r="L144" i="3" a="1"/>
  <c r="L144" i="3"/>
  <c r="K144" i="3" a="1"/>
  <c r="K144" i="3"/>
  <c r="J144" i="3" a="1"/>
  <c r="J144" i="3"/>
  <c r="I144" i="3" a="1"/>
  <c r="I144" i="3" s="1"/>
  <c r="H144" i="3" a="1"/>
  <c r="H144" i="3" s="1"/>
  <c r="G144" i="3" a="1"/>
  <c r="G144" i="3" s="1"/>
  <c r="F144" i="3" a="1"/>
  <c r="F144" i="3"/>
  <c r="E144" i="3" a="1"/>
  <c r="E144" i="3"/>
  <c r="D144" i="3" a="1"/>
  <c r="D144" i="3"/>
  <c r="A144" i="3"/>
  <c r="AD143" i="3" a="1"/>
  <c r="AD143" i="3" s="1"/>
  <c r="AC143" i="3" a="1"/>
  <c r="AC143" i="3" s="1"/>
  <c r="AB143" i="3" a="1"/>
  <c r="AB143" i="3"/>
  <c r="AA143" i="3" a="1"/>
  <c r="AA143" i="3" s="1"/>
  <c r="Z143" i="3" a="1"/>
  <c r="Z143" i="3" s="1"/>
  <c r="Y143" i="3" a="1"/>
  <c r="Y143" i="3"/>
  <c r="X143" i="3" a="1"/>
  <c r="X143" i="3" s="1"/>
  <c r="W143" i="3" a="1"/>
  <c r="W143" i="3" s="1"/>
  <c r="V143" i="3" a="1"/>
  <c r="V143" i="3" s="1"/>
  <c r="U143" i="3" a="1"/>
  <c r="U143" i="3" s="1"/>
  <c r="T143" i="3" a="1"/>
  <c r="T143" i="3" s="1"/>
  <c r="S143" i="3" a="1"/>
  <c r="S143" i="3"/>
  <c r="R143" i="3" a="1"/>
  <c r="R143" i="3" s="1"/>
  <c r="Q143" i="3" a="1"/>
  <c r="Q143" i="3" s="1"/>
  <c r="P143" i="3" a="1"/>
  <c r="P143" i="3" s="1"/>
  <c r="O143" i="3" a="1"/>
  <c r="O143" i="3" s="1"/>
  <c r="N143" i="3" a="1"/>
  <c r="N143" i="3" s="1"/>
  <c r="M143" i="3" a="1"/>
  <c r="M143" i="3"/>
  <c r="L143" i="3" a="1"/>
  <c r="L143" i="3" s="1"/>
  <c r="K143" i="3" a="1"/>
  <c r="K143" i="3" s="1"/>
  <c r="J143" i="3" a="1"/>
  <c r="J143" i="3" s="1"/>
  <c r="I143" i="3" a="1"/>
  <c r="I143" i="3" s="1"/>
  <c r="H143" i="3" a="1"/>
  <c r="H143" i="3" s="1"/>
  <c r="G143" i="3" a="1"/>
  <c r="G143" i="3"/>
  <c r="F143" i="3" a="1"/>
  <c r="F143" i="3" s="1"/>
  <c r="E143" i="3" a="1"/>
  <c r="E143" i="3" s="1"/>
  <c r="D143" i="3" a="1"/>
  <c r="D143" i="3" s="1"/>
  <c r="C143" i="3" a="1"/>
  <c r="C143" i="3" s="1"/>
  <c r="A143" i="3"/>
  <c r="AD142" i="3" a="1"/>
  <c r="AD142" i="3"/>
  <c r="AC142" i="3" a="1"/>
  <c r="AC142" i="3"/>
  <c r="AB142" i="3" a="1"/>
  <c r="AB142" i="3"/>
  <c r="AA142" i="3" a="1"/>
  <c r="AA142" i="3"/>
  <c r="Z142" i="3" a="1"/>
  <c r="Z142" i="3"/>
  <c r="Y142" i="3" a="1"/>
  <c r="Y142" i="3"/>
  <c r="X142" i="3" a="1"/>
  <c r="X142" i="3"/>
  <c r="W142" i="3" a="1"/>
  <c r="W142" i="3"/>
  <c r="V142" i="3" a="1"/>
  <c r="V142" i="3"/>
  <c r="U142" i="3" a="1"/>
  <c r="U142" i="3"/>
  <c r="T142" i="3" a="1"/>
  <c r="T142" i="3"/>
  <c r="S142" i="3" a="1"/>
  <c r="S142" i="3" s="1"/>
  <c r="R142" i="3" a="1"/>
  <c r="R142" i="3"/>
  <c r="Q142" i="3" a="1"/>
  <c r="Q142" i="3"/>
  <c r="P142" i="3" a="1"/>
  <c r="P142" i="3"/>
  <c r="O142" i="3" a="1"/>
  <c r="O142" i="3"/>
  <c r="N142" i="3" a="1"/>
  <c r="N142" i="3"/>
  <c r="M142" i="3" a="1"/>
  <c r="M142" i="3" s="1"/>
  <c r="L142" i="3" a="1"/>
  <c r="L142" i="3"/>
  <c r="A142" i="3"/>
  <c r="AD141" i="3" a="1"/>
  <c r="AD141" i="3"/>
  <c r="AC141" i="3" a="1"/>
  <c r="AC141" i="3" s="1"/>
  <c r="AB141" i="3" a="1"/>
  <c r="AB141" i="3" s="1"/>
  <c r="AA141" i="3" a="1"/>
  <c r="AA141" i="3"/>
  <c r="Z141" i="3" a="1"/>
  <c r="Z141" i="3" s="1"/>
  <c r="Y141" i="3" a="1"/>
  <c r="Y141" i="3" s="1"/>
  <c r="X141" i="3" a="1"/>
  <c r="X141" i="3"/>
  <c r="W141" i="3" a="1"/>
  <c r="W141" i="3" s="1"/>
  <c r="V141" i="3" a="1"/>
  <c r="V141" i="3" s="1"/>
  <c r="U141" i="3" a="1"/>
  <c r="U141" i="3"/>
  <c r="T141" i="3" a="1"/>
  <c r="T141" i="3" s="1"/>
  <c r="S141" i="3" a="1"/>
  <c r="S141" i="3" s="1"/>
  <c r="R141" i="3" a="1"/>
  <c r="R141" i="3"/>
  <c r="Q141" i="3" a="1"/>
  <c r="Q141" i="3" s="1"/>
  <c r="P141" i="3" a="1"/>
  <c r="P141" i="3" s="1"/>
  <c r="O141" i="3" a="1"/>
  <c r="O141" i="3" s="1"/>
  <c r="N141" i="3" a="1"/>
  <c r="N141" i="3" s="1"/>
  <c r="M141" i="3" a="1"/>
  <c r="M141" i="3" s="1"/>
  <c r="L141" i="3" a="1"/>
  <c r="L141" i="3"/>
  <c r="K141" i="3" a="1"/>
  <c r="K141" i="3" s="1"/>
  <c r="J141" i="3" a="1"/>
  <c r="J141" i="3" s="1"/>
  <c r="I141" i="3" a="1"/>
  <c r="I141" i="3" s="1"/>
  <c r="H141" i="3" a="1"/>
  <c r="H141" i="3" s="1"/>
  <c r="G141" i="3" a="1"/>
  <c r="G141" i="3" s="1"/>
  <c r="F141" i="3" a="1"/>
  <c r="F141" i="3"/>
  <c r="E141" i="3" a="1"/>
  <c r="E141" i="3" s="1"/>
  <c r="D141" i="3" a="1"/>
  <c r="D141" i="3" s="1"/>
  <c r="C141" i="3" a="1"/>
  <c r="C141" i="3" s="1"/>
  <c r="B141" i="3" a="1"/>
  <c r="B141" i="3" s="1"/>
  <c r="A141" i="3"/>
  <c r="AD140" i="3" a="1"/>
  <c r="AD140" i="3"/>
  <c r="AC140" i="3" a="1"/>
  <c r="AC140" i="3"/>
  <c r="AB140" i="3" a="1"/>
  <c r="AB140" i="3"/>
  <c r="AA140" i="3" a="1"/>
  <c r="AA140" i="3"/>
  <c r="Z140" i="3" a="1"/>
  <c r="Z140" i="3"/>
  <c r="Y140" i="3" a="1"/>
  <c r="Y140" i="3"/>
  <c r="X140" i="3" a="1"/>
  <c r="X140" i="3" s="1"/>
  <c r="W140" i="3" a="1"/>
  <c r="W140" i="3"/>
  <c r="V140" i="3" a="1"/>
  <c r="V140" i="3"/>
  <c r="U140" i="3" a="1"/>
  <c r="U140" i="3"/>
  <c r="T140" i="3" a="1"/>
  <c r="T140" i="3"/>
  <c r="S140" i="3" a="1"/>
  <c r="S140" i="3"/>
  <c r="R140" i="3" a="1"/>
  <c r="R140" i="3" s="1"/>
  <c r="Q140" i="3" a="1"/>
  <c r="Q140" i="3"/>
  <c r="P140" i="3" a="1"/>
  <c r="P140" i="3"/>
  <c r="O140" i="3" a="1"/>
  <c r="O140" i="3" s="1"/>
  <c r="N140" i="3" a="1"/>
  <c r="N140" i="3"/>
  <c r="M140" i="3" a="1"/>
  <c r="M140" i="3" s="1"/>
  <c r="L140" i="3" a="1"/>
  <c r="L140" i="3" s="1"/>
  <c r="K140" i="3" a="1"/>
  <c r="K140" i="3"/>
  <c r="J140" i="3" a="1"/>
  <c r="J140" i="3"/>
  <c r="I140" i="3" a="1"/>
  <c r="I140" i="3" s="1"/>
  <c r="H140" i="3" a="1"/>
  <c r="H140" i="3"/>
  <c r="G140" i="3" a="1"/>
  <c r="G140" i="3" s="1"/>
  <c r="F140" i="3" a="1"/>
  <c r="F140" i="3" s="1"/>
  <c r="E140" i="3" a="1"/>
  <c r="E140" i="3"/>
  <c r="D140" i="3" a="1"/>
  <c r="D140" i="3"/>
  <c r="C140" i="3" a="1"/>
  <c r="C140" i="3" s="1"/>
  <c r="B140" i="3" a="1"/>
  <c r="B140" i="3" s="1"/>
  <c r="A140" i="3"/>
  <c r="AD139" i="3" a="1"/>
  <c r="AD139" i="3" s="1"/>
  <c r="AC139" i="3" a="1"/>
  <c r="AC139" i="3"/>
  <c r="AB139" i="3" a="1"/>
  <c r="AB139" i="3" s="1"/>
  <c r="AA139" i="3" a="1"/>
  <c r="AA139" i="3" s="1"/>
  <c r="Z139" i="3" a="1"/>
  <c r="Z139" i="3"/>
  <c r="Y139" i="3" a="1"/>
  <c r="Y139" i="3" s="1"/>
  <c r="X139" i="3" a="1"/>
  <c r="X139" i="3" s="1"/>
  <c r="W139" i="3" a="1"/>
  <c r="W139" i="3"/>
  <c r="V139" i="3" a="1"/>
  <c r="V139" i="3" s="1"/>
  <c r="U139" i="3" a="1"/>
  <c r="U139" i="3" s="1"/>
  <c r="T139" i="3" a="1"/>
  <c r="T139" i="3"/>
  <c r="S139" i="3" a="1"/>
  <c r="S139" i="3" s="1"/>
  <c r="R139" i="3" a="1"/>
  <c r="R139" i="3" s="1"/>
  <c r="Q139" i="3" a="1"/>
  <c r="Q139" i="3"/>
  <c r="P139" i="3" a="1"/>
  <c r="P139" i="3" s="1"/>
  <c r="O139" i="3" a="1"/>
  <c r="O139" i="3" s="1"/>
  <c r="N139" i="3" a="1"/>
  <c r="N139" i="3"/>
  <c r="M139" i="3" a="1"/>
  <c r="M139" i="3" s="1"/>
  <c r="L139" i="3" a="1"/>
  <c r="L139" i="3" s="1"/>
  <c r="K139" i="3" a="1"/>
  <c r="K139" i="3"/>
  <c r="J139" i="3" a="1"/>
  <c r="J139" i="3" s="1"/>
  <c r="I139" i="3" a="1"/>
  <c r="I139" i="3" s="1"/>
  <c r="H139" i="3" a="1"/>
  <c r="H139" i="3"/>
  <c r="G139" i="3" a="1"/>
  <c r="G139" i="3" s="1"/>
  <c r="A139" i="3"/>
  <c r="AD138" i="3" a="1"/>
  <c r="AD138" i="3"/>
  <c r="AC138" i="3" a="1"/>
  <c r="AC138" i="3"/>
  <c r="AB138" i="3" a="1"/>
  <c r="AB138" i="3"/>
  <c r="AA138" i="3" a="1"/>
  <c r="AA138" i="3"/>
  <c r="Z138" i="3" a="1"/>
  <c r="Z138" i="3"/>
  <c r="Y138" i="3" a="1"/>
  <c r="Y138" i="3"/>
  <c r="X138" i="3" a="1"/>
  <c r="X138" i="3"/>
  <c r="W138" i="3" a="1"/>
  <c r="W138" i="3"/>
  <c r="V138" i="3" a="1"/>
  <c r="V138" i="3"/>
  <c r="U138" i="3" a="1"/>
  <c r="U138" i="3"/>
  <c r="T138" i="3" a="1"/>
  <c r="T138" i="3" s="1"/>
  <c r="S138" i="3" a="1"/>
  <c r="S138" i="3"/>
  <c r="R138" i="3" a="1"/>
  <c r="R138" i="3"/>
  <c r="Q138" i="3" a="1"/>
  <c r="Q138" i="3"/>
  <c r="P138" i="3" a="1"/>
  <c r="P138" i="3"/>
  <c r="O138" i="3" a="1"/>
  <c r="O138" i="3"/>
  <c r="N138" i="3" a="1"/>
  <c r="N138" i="3" s="1"/>
  <c r="M138" i="3" a="1"/>
  <c r="M138" i="3"/>
  <c r="L138" i="3" a="1"/>
  <c r="L138" i="3"/>
  <c r="K138" i="3" a="1"/>
  <c r="K138" i="3" s="1"/>
  <c r="J138" i="3" a="1"/>
  <c r="J138" i="3"/>
  <c r="I138" i="3" a="1"/>
  <c r="I138" i="3"/>
  <c r="H138" i="3" a="1"/>
  <c r="H138" i="3" s="1"/>
  <c r="G138" i="3" a="1"/>
  <c r="G138" i="3"/>
  <c r="F138" i="3" a="1"/>
  <c r="F138" i="3"/>
  <c r="E138" i="3" a="1"/>
  <c r="E138" i="3" s="1"/>
  <c r="D138" i="3" a="1"/>
  <c r="D138" i="3"/>
  <c r="C138" i="3" a="1"/>
  <c r="C138" i="3"/>
  <c r="A138" i="3"/>
  <c r="AD137" i="3" a="1"/>
  <c r="AD137" i="3" s="1"/>
  <c r="AC137" i="3" a="1"/>
  <c r="AC137" i="3" s="1"/>
  <c r="AB137" i="3" a="1"/>
  <c r="AB137" i="3"/>
  <c r="AA137" i="3" a="1"/>
  <c r="AA137" i="3" s="1"/>
  <c r="Z137" i="3" a="1"/>
  <c r="Z137" i="3" s="1"/>
  <c r="Y137" i="3" a="1"/>
  <c r="Y137" i="3"/>
  <c r="X137" i="3" a="1"/>
  <c r="X137" i="3" s="1"/>
  <c r="W137" i="3" a="1"/>
  <c r="W137" i="3" s="1"/>
  <c r="V137" i="3" a="1"/>
  <c r="V137" i="3"/>
  <c r="U137" i="3" a="1"/>
  <c r="U137" i="3" s="1"/>
  <c r="T137" i="3" a="1"/>
  <c r="T137" i="3" s="1"/>
  <c r="S137" i="3" a="1"/>
  <c r="S137" i="3"/>
  <c r="R137" i="3" a="1"/>
  <c r="R137" i="3" s="1"/>
  <c r="Q137" i="3" a="1"/>
  <c r="Q137" i="3" s="1"/>
  <c r="P137" i="3" a="1"/>
  <c r="P137" i="3"/>
  <c r="O137" i="3" a="1"/>
  <c r="O137" i="3" s="1"/>
  <c r="N137" i="3" a="1"/>
  <c r="N137" i="3" s="1"/>
  <c r="M137" i="3" a="1"/>
  <c r="M137" i="3"/>
  <c r="L137" i="3" a="1"/>
  <c r="L137" i="3" s="1"/>
  <c r="K137" i="3" a="1"/>
  <c r="K137" i="3" s="1"/>
  <c r="J137" i="3" a="1"/>
  <c r="J137" i="3"/>
  <c r="I137" i="3" a="1"/>
  <c r="I137" i="3" s="1"/>
  <c r="H137" i="3" a="1"/>
  <c r="H137" i="3" s="1"/>
  <c r="G137" i="3" a="1"/>
  <c r="G137" i="3"/>
  <c r="F137" i="3" a="1"/>
  <c r="F137" i="3" s="1"/>
  <c r="E137" i="3" a="1"/>
  <c r="E137" i="3" s="1"/>
  <c r="D137" i="3" a="1"/>
  <c r="D137" i="3"/>
  <c r="C137" i="3" a="1"/>
  <c r="C137" i="3" s="1"/>
  <c r="A137" i="3"/>
  <c r="AD136" i="3" a="1"/>
  <c r="AD136" i="3"/>
  <c r="AC136" i="3" a="1"/>
  <c r="AC136" i="3"/>
  <c r="AB136" i="3" a="1"/>
  <c r="AB136" i="3" s="1"/>
  <c r="AA136" i="3" a="1"/>
  <c r="AA136" i="3"/>
  <c r="Z136" i="3" a="1"/>
  <c r="Z136" i="3"/>
  <c r="Y136" i="3" a="1"/>
  <c r="Y136" i="3" s="1"/>
  <c r="X136" i="3" a="1"/>
  <c r="X136" i="3"/>
  <c r="W136" i="3" a="1"/>
  <c r="W136" i="3"/>
  <c r="V136" i="3" a="1"/>
  <c r="V136" i="3" s="1"/>
  <c r="U136" i="3" a="1"/>
  <c r="U136" i="3"/>
  <c r="T136" i="3" a="1"/>
  <c r="T136" i="3"/>
  <c r="S136" i="3" a="1"/>
  <c r="S136" i="3" s="1"/>
  <c r="R136" i="3" a="1"/>
  <c r="R136" i="3"/>
  <c r="Q136" i="3" a="1"/>
  <c r="Q136" i="3"/>
  <c r="P136" i="3" a="1"/>
  <c r="P136" i="3" s="1"/>
  <c r="O136" i="3" a="1"/>
  <c r="O136" i="3"/>
  <c r="N136" i="3" a="1"/>
  <c r="N136" i="3"/>
  <c r="M136" i="3" a="1"/>
  <c r="M136" i="3" s="1"/>
  <c r="L136" i="3" a="1"/>
  <c r="L136" i="3"/>
  <c r="K136" i="3" a="1"/>
  <c r="K136" i="3" s="1"/>
  <c r="J136" i="3" a="1"/>
  <c r="J136" i="3" s="1"/>
  <c r="I136" i="3" a="1"/>
  <c r="I136" i="3"/>
  <c r="H136" i="3" a="1"/>
  <c r="H136" i="3"/>
  <c r="G136" i="3" a="1"/>
  <c r="G136" i="3" s="1"/>
  <c r="A136" i="3"/>
  <c r="AD135" i="3" a="1"/>
  <c r="AD135" i="3"/>
  <c r="AC135" i="3" a="1"/>
  <c r="AC135" i="3" s="1"/>
  <c r="AB135" i="3" a="1"/>
  <c r="AB135" i="3" s="1"/>
  <c r="AA135" i="3" a="1"/>
  <c r="AA135" i="3"/>
  <c r="Z135" i="3" a="1"/>
  <c r="Z135" i="3" s="1"/>
  <c r="Y135" i="3" a="1"/>
  <c r="Y135" i="3" s="1"/>
  <c r="X135" i="3" a="1"/>
  <c r="X135" i="3"/>
  <c r="W135" i="3" a="1"/>
  <c r="W135" i="3" s="1"/>
  <c r="V135" i="3" a="1"/>
  <c r="V135" i="3" s="1"/>
  <c r="U135" i="3" a="1"/>
  <c r="U135" i="3"/>
  <c r="T135" i="3" a="1"/>
  <c r="T135" i="3" s="1"/>
  <c r="S135" i="3" a="1"/>
  <c r="S135" i="3" s="1"/>
  <c r="R135" i="3" a="1"/>
  <c r="R135" i="3"/>
  <c r="Q135" i="3" a="1"/>
  <c r="Q135" i="3" s="1"/>
  <c r="P135" i="3" a="1"/>
  <c r="P135" i="3" s="1"/>
  <c r="O135" i="3" a="1"/>
  <c r="O135" i="3"/>
  <c r="N135" i="3" a="1"/>
  <c r="N135" i="3" s="1"/>
  <c r="M135" i="3" a="1"/>
  <c r="M135" i="3" s="1"/>
  <c r="L135" i="3" a="1"/>
  <c r="L135" i="3"/>
  <c r="K135" i="3" a="1"/>
  <c r="K135" i="3" s="1"/>
  <c r="J135" i="3" a="1"/>
  <c r="J135" i="3" s="1"/>
  <c r="I135" i="3" a="1"/>
  <c r="I135" i="3"/>
  <c r="H135" i="3" a="1"/>
  <c r="H135" i="3" s="1"/>
  <c r="G135" i="3" a="1"/>
  <c r="G135" i="3" s="1"/>
  <c r="F135" i="3" a="1"/>
  <c r="F135" i="3"/>
  <c r="E135" i="3" a="1"/>
  <c r="E135" i="3" s="1"/>
  <c r="D135" i="3" a="1"/>
  <c r="D135" i="3" s="1"/>
  <c r="C135" i="3" a="1"/>
  <c r="C135" i="3"/>
  <c r="A135" i="3"/>
  <c r="AD134" i="3" a="1"/>
  <c r="AD134" i="3" s="1"/>
  <c r="AC134" i="3" a="1"/>
  <c r="AC134" i="3"/>
  <c r="AB134" i="3" a="1"/>
  <c r="AB134" i="3"/>
  <c r="AA134" i="3" a="1"/>
  <c r="AA134" i="3" s="1"/>
  <c r="Z134" i="3" a="1"/>
  <c r="Z134" i="3"/>
  <c r="Y134" i="3" a="1"/>
  <c r="Y134" i="3"/>
  <c r="X134" i="3" a="1"/>
  <c r="X134" i="3" s="1"/>
  <c r="W134" i="3" a="1"/>
  <c r="W134" i="3"/>
  <c r="V134" i="3" a="1"/>
  <c r="V134" i="3" s="1"/>
  <c r="U134" i="3" a="1"/>
  <c r="U134" i="3" s="1"/>
  <c r="T134" i="3" a="1"/>
  <c r="T134" i="3"/>
  <c r="S134" i="3" a="1"/>
  <c r="S134" i="3"/>
  <c r="R134" i="3" a="1"/>
  <c r="R134" i="3" s="1"/>
  <c r="Q134" i="3" a="1"/>
  <c r="Q134" i="3"/>
  <c r="P134" i="3" a="1"/>
  <c r="P134" i="3" s="1"/>
  <c r="O134" i="3" a="1"/>
  <c r="O134" i="3" s="1"/>
  <c r="N134" i="3" a="1"/>
  <c r="N134" i="3"/>
  <c r="M134" i="3" a="1"/>
  <c r="M134" i="3"/>
  <c r="L134" i="3" a="1"/>
  <c r="L134" i="3" s="1"/>
  <c r="K134" i="3" a="1"/>
  <c r="K134" i="3"/>
  <c r="J134" i="3" a="1"/>
  <c r="J134" i="3" s="1"/>
  <c r="I134" i="3" a="1"/>
  <c r="I134" i="3" s="1"/>
  <c r="H134" i="3" a="1"/>
  <c r="H134" i="3"/>
  <c r="G134" i="3" a="1"/>
  <c r="G134" i="3"/>
  <c r="F134" i="3" a="1"/>
  <c r="F134" i="3" s="1"/>
  <c r="E134" i="3" a="1"/>
  <c r="E134" i="3"/>
  <c r="D134" i="3" a="1"/>
  <c r="D134" i="3" s="1"/>
  <c r="C134" i="3" a="1"/>
  <c r="C134" i="3" s="1"/>
  <c r="A134" i="3"/>
  <c r="AD133" i="3" a="1"/>
  <c r="AD133" i="3" s="1"/>
  <c r="AC133" i="3" a="1"/>
  <c r="AC133" i="3"/>
  <c r="AB133" i="3" a="1"/>
  <c r="AB133" i="3" s="1"/>
  <c r="AA133" i="3" a="1"/>
  <c r="AA133" i="3" s="1"/>
  <c r="Z133" i="3" a="1"/>
  <c r="Z133" i="3"/>
  <c r="Y133" i="3" a="1"/>
  <c r="Y133" i="3" s="1"/>
  <c r="X133" i="3" a="1"/>
  <c r="X133" i="3" s="1"/>
  <c r="W133" i="3" a="1"/>
  <c r="W133" i="3"/>
  <c r="V133" i="3" a="1"/>
  <c r="V133" i="3" s="1"/>
  <c r="U133" i="3" a="1"/>
  <c r="U133" i="3" s="1"/>
  <c r="T133" i="3" a="1"/>
  <c r="T133" i="3"/>
  <c r="S133" i="3" a="1"/>
  <c r="S133" i="3" s="1"/>
  <c r="R133" i="3" a="1"/>
  <c r="R133" i="3" s="1"/>
  <c r="Q133" i="3" a="1"/>
  <c r="Q133" i="3"/>
  <c r="P133" i="3" a="1"/>
  <c r="P133" i="3" s="1"/>
  <c r="O133" i="3" a="1"/>
  <c r="O133" i="3" s="1"/>
  <c r="N133" i="3" a="1"/>
  <c r="N133" i="3"/>
  <c r="M133" i="3" a="1"/>
  <c r="M133" i="3" s="1"/>
  <c r="L133" i="3" a="1"/>
  <c r="L133" i="3" s="1"/>
  <c r="K133" i="3" a="1"/>
  <c r="K133" i="3"/>
  <c r="J133" i="3" a="1"/>
  <c r="J133" i="3" s="1"/>
  <c r="I133" i="3" a="1"/>
  <c r="I133" i="3" s="1"/>
  <c r="H133" i="3" a="1"/>
  <c r="H133" i="3"/>
  <c r="G133" i="3" a="1"/>
  <c r="G133" i="3" s="1"/>
  <c r="F133" i="3" a="1"/>
  <c r="F133" i="3" s="1"/>
  <c r="E133" i="3" a="1"/>
  <c r="E133" i="3"/>
  <c r="D133" i="3" a="1"/>
  <c r="D133" i="3" s="1"/>
  <c r="C133" i="3" a="1"/>
  <c r="C133" i="3" s="1"/>
  <c r="A133" i="3"/>
  <c r="AD132" i="3" a="1"/>
  <c r="AD132" i="3"/>
  <c r="AC132" i="3" a="1"/>
  <c r="AC132" i="3" s="1"/>
  <c r="AB132" i="3" a="1"/>
  <c r="AB132" i="3"/>
  <c r="AA132" i="3" a="1"/>
  <c r="AA132" i="3"/>
  <c r="Z132" i="3" a="1"/>
  <c r="Z132" i="3" s="1"/>
  <c r="Y132" i="3" a="1"/>
  <c r="Y132" i="3"/>
  <c r="X132" i="3" a="1"/>
  <c r="X132" i="3"/>
  <c r="W132" i="3" a="1"/>
  <c r="W132" i="3" s="1"/>
  <c r="V132" i="3" a="1"/>
  <c r="V132" i="3"/>
  <c r="U132" i="3" a="1"/>
  <c r="U132" i="3"/>
  <c r="T132" i="3" a="1"/>
  <c r="T132" i="3" s="1"/>
  <c r="S132" i="3" a="1"/>
  <c r="S132" i="3"/>
  <c r="R132" i="3" a="1"/>
  <c r="R132" i="3"/>
  <c r="Q132" i="3" a="1"/>
  <c r="Q132" i="3" s="1"/>
  <c r="P132" i="3" a="1"/>
  <c r="P132" i="3"/>
  <c r="O132" i="3" a="1"/>
  <c r="O132" i="3"/>
  <c r="N132" i="3" a="1"/>
  <c r="N132" i="3" s="1"/>
  <c r="M132" i="3" a="1"/>
  <c r="M132" i="3"/>
  <c r="L132" i="3" a="1"/>
  <c r="L132" i="3"/>
  <c r="K132" i="3" a="1"/>
  <c r="K132" i="3" s="1"/>
  <c r="J132" i="3" a="1"/>
  <c r="J132" i="3"/>
  <c r="I132" i="3" a="1"/>
  <c r="I132" i="3" s="1"/>
  <c r="H132" i="3" a="1"/>
  <c r="H132" i="3" s="1"/>
  <c r="G132" i="3" a="1"/>
  <c r="G132" i="3"/>
  <c r="F132" i="3" a="1"/>
  <c r="F132" i="3"/>
  <c r="E132" i="3" a="1"/>
  <c r="E132" i="3" s="1"/>
  <c r="D132" i="3" a="1"/>
  <c r="D132" i="3"/>
  <c r="A132" i="3"/>
  <c r="AD131" i="3" a="1"/>
  <c r="AD131" i="3" s="1"/>
  <c r="AC131" i="3" a="1"/>
  <c r="AC131" i="3" s="1"/>
  <c r="AB131" i="3" a="1"/>
  <c r="AB131" i="3"/>
  <c r="AA131" i="3" a="1"/>
  <c r="AA131" i="3" s="1"/>
  <c r="Z131" i="3" a="1"/>
  <c r="Z131" i="3" s="1"/>
  <c r="Y131" i="3" a="1"/>
  <c r="Y131" i="3"/>
  <c r="X131" i="3" a="1"/>
  <c r="X131" i="3" s="1"/>
  <c r="W131" i="3" a="1"/>
  <c r="W131" i="3" s="1"/>
  <c r="V131" i="3" a="1"/>
  <c r="V131" i="3" s="1"/>
  <c r="U131" i="3" a="1"/>
  <c r="U131" i="3" s="1"/>
  <c r="T131" i="3" a="1"/>
  <c r="T131" i="3" s="1"/>
  <c r="S131" i="3" a="1"/>
  <c r="S131" i="3"/>
  <c r="R131" i="3" a="1"/>
  <c r="R131" i="3" s="1"/>
  <c r="Q131" i="3" a="1"/>
  <c r="Q131" i="3" s="1"/>
  <c r="P131" i="3" a="1"/>
  <c r="P131" i="3" s="1"/>
  <c r="O131" i="3" a="1"/>
  <c r="O131" i="3" s="1"/>
  <c r="N131" i="3" a="1"/>
  <c r="N131" i="3" s="1"/>
  <c r="M131" i="3" a="1"/>
  <c r="M131" i="3"/>
  <c r="L131" i="3" a="1"/>
  <c r="L131" i="3" s="1"/>
  <c r="K131" i="3" a="1"/>
  <c r="K131" i="3" s="1"/>
  <c r="J131" i="3" a="1"/>
  <c r="J131" i="3" s="1"/>
  <c r="I131" i="3" a="1"/>
  <c r="I131" i="3" s="1"/>
  <c r="H131" i="3" a="1"/>
  <c r="H131" i="3" s="1"/>
  <c r="G131" i="3" a="1"/>
  <c r="G131" i="3"/>
  <c r="F131" i="3" a="1"/>
  <c r="F131" i="3" s="1"/>
  <c r="E131" i="3" a="1"/>
  <c r="E131" i="3" s="1"/>
  <c r="D131" i="3" a="1"/>
  <c r="D131" i="3" s="1"/>
  <c r="C131" i="3" a="1"/>
  <c r="C131" i="3" s="1"/>
  <c r="A131" i="3"/>
  <c r="AD130" i="3" a="1"/>
  <c r="AD130" i="3"/>
  <c r="AC130" i="3" a="1"/>
  <c r="AC130" i="3"/>
  <c r="AB130" i="3" a="1"/>
  <c r="AB130" i="3"/>
  <c r="AA130" i="3" a="1"/>
  <c r="AA130" i="3"/>
  <c r="Z130" i="3" a="1"/>
  <c r="Z130" i="3"/>
  <c r="Y130" i="3" a="1"/>
  <c r="Y130" i="3" s="1"/>
  <c r="X130" i="3" a="1"/>
  <c r="X130" i="3"/>
  <c r="W130" i="3" a="1"/>
  <c r="W130" i="3"/>
  <c r="V130" i="3" a="1"/>
  <c r="V130" i="3" s="1"/>
  <c r="U130" i="3" a="1"/>
  <c r="U130" i="3"/>
  <c r="T130" i="3" a="1"/>
  <c r="T130" i="3"/>
  <c r="S130" i="3" a="1"/>
  <c r="S130" i="3" s="1"/>
  <c r="R130" i="3" a="1"/>
  <c r="R130" i="3"/>
  <c r="Q130" i="3" a="1"/>
  <c r="Q130" i="3"/>
  <c r="P130" i="3" a="1"/>
  <c r="P130" i="3" s="1"/>
  <c r="O130" i="3" a="1"/>
  <c r="O130" i="3"/>
  <c r="N130" i="3" a="1"/>
  <c r="N130" i="3"/>
  <c r="M130" i="3" a="1"/>
  <c r="M130" i="3" s="1"/>
  <c r="L130" i="3" a="1"/>
  <c r="L130" i="3"/>
  <c r="K130" i="3" a="1"/>
  <c r="K130" i="3"/>
  <c r="J130" i="3" a="1"/>
  <c r="J130" i="3" s="1"/>
  <c r="I130" i="3" a="1"/>
  <c r="I130" i="3"/>
  <c r="H130" i="3" a="1"/>
  <c r="H130" i="3"/>
  <c r="G130" i="3" a="1"/>
  <c r="G130" i="3" s="1"/>
  <c r="F130" i="3" a="1"/>
  <c r="F130" i="3"/>
  <c r="E130" i="3" a="1"/>
  <c r="E130" i="3"/>
  <c r="D130" i="3" a="1"/>
  <c r="D130" i="3" s="1"/>
  <c r="C130" i="3" a="1"/>
  <c r="C130" i="3"/>
  <c r="A130" i="3"/>
  <c r="AD129" i="3" a="1"/>
  <c r="AD129" i="3"/>
  <c r="AC129" i="3" a="1"/>
  <c r="AC129" i="3" s="1"/>
  <c r="AB129" i="3" a="1"/>
  <c r="AB129" i="3" s="1"/>
  <c r="AA129" i="3" a="1"/>
  <c r="AA129" i="3" s="1"/>
  <c r="Z129" i="3" a="1"/>
  <c r="Z129" i="3" s="1"/>
  <c r="Y129" i="3" a="1"/>
  <c r="Y129" i="3" s="1"/>
  <c r="X129" i="3" a="1"/>
  <c r="X129" i="3"/>
  <c r="W129" i="3" a="1"/>
  <c r="W129" i="3" s="1"/>
  <c r="V129" i="3" a="1"/>
  <c r="V129" i="3" s="1"/>
  <c r="U129" i="3" a="1"/>
  <c r="U129" i="3" s="1"/>
  <c r="T129" i="3" a="1"/>
  <c r="T129" i="3" s="1"/>
  <c r="S129" i="3" a="1"/>
  <c r="S129" i="3" s="1"/>
  <c r="R129" i="3" a="1"/>
  <c r="R129" i="3"/>
  <c r="Q129" i="3" a="1"/>
  <c r="Q129" i="3" s="1"/>
  <c r="P129" i="3" a="1"/>
  <c r="P129" i="3" s="1"/>
  <c r="O129" i="3" a="1"/>
  <c r="O129" i="3" s="1"/>
  <c r="N129" i="3" a="1"/>
  <c r="N129" i="3" s="1"/>
  <c r="M129" i="3" a="1"/>
  <c r="M129" i="3" s="1"/>
  <c r="L129" i="3" a="1"/>
  <c r="L129" i="3"/>
  <c r="K129" i="3" a="1"/>
  <c r="K129" i="3" s="1"/>
  <c r="J129" i="3" a="1"/>
  <c r="J129" i="3" s="1"/>
  <c r="I129" i="3" a="1"/>
  <c r="I129" i="3" s="1"/>
  <c r="H129" i="3" a="1"/>
  <c r="H129" i="3" s="1"/>
  <c r="G129" i="3" a="1"/>
  <c r="G129" i="3" s="1"/>
  <c r="F129" i="3" a="1"/>
  <c r="F129" i="3"/>
  <c r="E129" i="3" a="1"/>
  <c r="E129" i="3" s="1"/>
  <c r="D129" i="3" a="1"/>
  <c r="D129" i="3" s="1"/>
  <c r="C129" i="3" a="1"/>
  <c r="C129" i="3" s="1"/>
  <c r="A129" i="3"/>
  <c r="AD128" i="3" a="1"/>
  <c r="AD128" i="3" s="1"/>
  <c r="AC128" i="3" a="1"/>
  <c r="AC128" i="3"/>
  <c r="AB128" i="3" a="1"/>
  <c r="AB128" i="3"/>
  <c r="AA128" i="3" a="1"/>
  <c r="AA128" i="3"/>
  <c r="Z128" i="3" a="1"/>
  <c r="Z128" i="3"/>
  <c r="Y128" i="3" a="1"/>
  <c r="Y128" i="3"/>
  <c r="X128" i="3" a="1"/>
  <c r="X128" i="3" s="1"/>
  <c r="W128" i="3" a="1"/>
  <c r="W128" i="3"/>
  <c r="V128" i="3" a="1"/>
  <c r="V128" i="3"/>
  <c r="U128" i="3" a="1"/>
  <c r="U128" i="3" s="1"/>
  <c r="T128" i="3" a="1"/>
  <c r="T128" i="3"/>
  <c r="S128" i="3" a="1"/>
  <c r="S128" i="3"/>
  <c r="R128" i="3" a="1"/>
  <c r="R128" i="3" s="1"/>
  <c r="Q128" i="3" a="1"/>
  <c r="Q128" i="3"/>
  <c r="P128" i="3" a="1"/>
  <c r="P128" i="3"/>
  <c r="O128" i="3" a="1"/>
  <c r="O128" i="3" s="1"/>
  <c r="N128" i="3" a="1"/>
  <c r="N128" i="3"/>
  <c r="M128" i="3" a="1"/>
  <c r="M128" i="3"/>
  <c r="L128" i="3" a="1"/>
  <c r="L128" i="3" s="1"/>
  <c r="K128" i="3" a="1"/>
  <c r="K128" i="3"/>
  <c r="J128" i="3" a="1"/>
  <c r="J128" i="3"/>
  <c r="I128" i="3" a="1"/>
  <c r="I128" i="3" s="1"/>
  <c r="H128" i="3" a="1"/>
  <c r="H128" i="3"/>
  <c r="G128" i="3" a="1"/>
  <c r="G128" i="3"/>
  <c r="F128" i="3" a="1"/>
  <c r="F128" i="3" s="1"/>
  <c r="E128" i="3" a="1"/>
  <c r="E128" i="3"/>
  <c r="D128" i="3" a="1"/>
  <c r="D128" i="3"/>
  <c r="C128" i="3" a="1"/>
  <c r="C128" i="3" s="1"/>
  <c r="A128" i="3"/>
  <c r="AD127" i="3" a="1"/>
  <c r="AD127" i="3" s="1"/>
  <c r="AC127" i="3" a="1"/>
  <c r="AC127" i="3"/>
  <c r="AB127" i="3" a="1"/>
  <c r="AB127" i="3" s="1"/>
  <c r="AA127" i="3" a="1"/>
  <c r="AA127" i="3" s="1"/>
  <c r="Z127" i="3" a="1"/>
  <c r="Z127" i="3" s="1"/>
  <c r="Y127" i="3" a="1"/>
  <c r="Y127" i="3" s="1"/>
  <c r="X127" i="3" a="1"/>
  <c r="X127" i="3" s="1"/>
  <c r="W127" i="3" a="1"/>
  <c r="W127" i="3"/>
  <c r="V127" i="3" a="1"/>
  <c r="V127" i="3" s="1"/>
  <c r="U127" i="3" a="1"/>
  <c r="U127" i="3" s="1"/>
  <c r="T127" i="3" a="1"/>
  <c r="T127" i="3" s="1"/>
  <c r="S127" i="3" a="1"/>
  <c r="S127" i="3" s="1"/>
  <c r="R127" i="3" a="1"/>
  <c r="R127" i="3" s="1"/>
  <c r="Q127" i="3" a="1"/>
  <c r="Q127" i="3"/>
  <c r="P127" i="3" a="1"/>
  <c r="P127" i="3" s="1"/>
  <c r="O127" i="3" a="1"/>
  <c r="O127" i="3" s="1"/>
  <c r="N127" i="3" a="1"/>
  <c r="N127" i="3" s="1"/>
  <c r="M127" i="3" a="1"/>
  <c r="M127" i="3" s="1"/>
  <c r="L127" i="3" a="1"/>
  <c r="L127" i="3" s="1"/>
  <c r="K127" i="3" a="1"/>
  <c r="K127" i="3"/>
  <c r="J127" i="3" a="1"/>
  <c r="J127" i="3" s="1"/>
  <c r="I127" i="3" a="1"/>
  <c r="I127" i="3" s="1"/>
  <c r="H127" i="3" a="1"/>
  <c r="H127" i="3" s="1"/>
  <c r="G127" i="3" a="1"/>
  <c r="G127" i="3" s="1"/>
  <c r="F127" i="3" a="1"/>
  <c r="F127" i="3" s="1"/>
  <c r="E127" i="3" a="1"/>
  <c r="E127" i="3"/>
  <c r="D127" i="3" a="1"/>
  <c r="D127" i="3" s="1"/>
  <c r="C127" i="3" a="1"/>
  <c r="C127" i="3" s="1"/>
  <c r="A127" i="3"/>
  <c r="AD126" i="3" a="1"/>
  <c r="AD126" i="3"/>
  <c r="AC126" i="3" a="1"/>
  <c r="AC126" i="3" s="1"/>
  <c r="AB126" i="3" a="1"/>
  <c r="AB126" i="3"/>
  <c r="AA126" i="3" a="1"/>
  <c r="AA126" i="3"/>
  <c r="Z126" i="3" a="1"/>
  <c r="Z126" i="3" s="1"/>
  <c r="Y126" i="3" a="1"/>
  <c r="Y126" i="3"/>
  <c r="X126" i="3" a="1"/>
  <c r="X126" i="3"/>
  <c r="W126" i="3" a="1"/>
  <c r="W126" i="3" s="1"/>
  <c r="V126" i="3" a="1"/>
  <c r="V126" i="3"/>
  <c r="U126" i="3" a="1"/>
  <c r="U126" i="3"/>
  <c r="T126" i="3" a="1"/>
  <c r="T126" i="3" s="1"/>
  <c r="S126" i="3" a="1"/>
  <c r="S126" i="3"/>
  <c r="R126" i="3" a="1"/>
  <c r="R126" i="3"/>
  <c r="Q126" i="3" a="1"/>
  <c r="Q126" i="3" s="1"/>
  <c r="P126" i="3" a="1"/>
  <c r="P126" i="3"/>
  <c r="O126" i="3" a="1"/>
  <c r="O126" i="3"/>
  <c r="N126" i="3" a="1"/>
  <c r="N126" i="3" s="1"/>
  <c r="M126" i="3" a="1"/>
  <c r="M126" i="3"/>
  <c r="L126" i="3" a="1"/>
  <c r="L126" i="3"/>
  <c r="K126" i="3" a="1"/>
  <c r="K126" i="3" s="1"/>
  <c r="J126" i="3" a="1"/>
  <c r="J126" i="3"/>
  <c r="I126" i="3" a="1"/>
  <c r="I126" i="3"/>
  <c r="H126" i="3" a="1"/>
  <c r="H126" i="3" s="1"/>
  <c r="G126" i="3" a="1"/>
  <c r="G126" i="3"/>
  <c r="F126" i="3" a="1"/>
  <c r="F126" i="3"/>
  <c r="E126" i="3" a="1"/>
  <c r="E126" i="3" s="1"/>
  <c r="D126" i="3" a="1"/>
  <c r="D126" i="3" s="1"/>
  <c r="C126" i="3" a="1"/>
  <c r="C126" i="3" s="1"/>
  <c r="A126" i="3"/>
  <c r="AD125" i="3" a="1"/>
  <c r="AD125" i="3" s="1"/>
  <c r="AC125" i="3" a="1"/>
  <c r="AC125" i="3" s="1"/>
  <c r="AB125" i="3" a="1"/>
  <c r="AB125" i="3"/>
  <c r="AA125" i="3" a="1"/>
  <c r="AA125" i="3" s="1"/>
  <c r="Z125" i="3" a="1"/>
  <c r="Z125" i="3" s="1"/>
  <c r="Y125" i="3" a="1"/>
  <c r="Y125" i="3" s="1"/>
  <c r="X125" i="3" a="1"/>
  <c r="X125" i="3" s="1"/>
  <c r="W125" i="3" a="1"/>
  <c r="W125" i="3" s="1"/>
  <c r="V125" i="3" a="1"/>
  <c r="V125" i="3"/>
  <c r="U125" i="3" a="1"/>
  <c r="U125" i="3" s="1"/>
  <c r="T125" i="3" a="1"/>
  <c r="T125" i="3" s="1"/>
  <c r="S125" i="3" a="1"/>
  <c r="S125" i="3" s="1"/>
  <c r="R125" i="3" a="1"/>
  <c r="R125" i="3" s="1"/>
  <c r="Q125" i="3" a="1"/>
  <c r="Q125" i="3" s="1"/>
  <c r="P125" i="3" a="1"/>
  <c r="P125" i="3"/>
  <c r="O125" i="3" a="1"/>
  <c r="O125" i="3" s="1"/>
  <c r="N125" i="3" a="1"/>
  <c r="N125" i="3" s="1"/>
  <c r="M125" i="3" a="1"/>
  <c r="M125" i="3" s="1"/>
  <c r="L125" i="3" a="1"/>
  <c r="L125" i="3" s="1"/>
  <c r="K125" i="3" a="1"/>
  <c r="K125" i="3" s="1"/>
  <c r="A125" i="3"/>
  <c r="AD124" i="3" a="1"/>
  <c r="AD124" i="3" s="1"/>
  <c r="AC124" i="3" a="1"/>
  <c r="AC124" i="3"/>
  <c r="AB124" i="3" a="1"/>
  <c r="AB124" i="3"/>
  <c r="AA124" i="3" a="1"/>
  <c r="AA124" i="3" s="1"/>
  <c r="Z124" i="3" a="1"/>
  <c r="Z124" i="3"/>
  <c r="Y124" i="3" a="1"/>
  <c r="Y124" i="3"/>
  <c r="X124" i="3" a="1"/>
  <c r="X124" i="3" s="1"/>
  <c r="W124" i="3" a="1"/>
  <c r="W124" i="3"/>
  <c r="V124" i="3" a="1"/>
  <c r="V124" i="3"/>
  <c r="U124" i="3" a="1"/>
  <c r="U124" i="3" s="1"/>
  <c r="T124" i="3" a="1"/>
  <c r="T124" i="3"/>
  <c r="S124" i="3" a="1"/>
  <c r="S124" i="3"/>
  <c r="R124" i="3" a="1"/>
  <c r="R124" i="3" s="1"/>
  <c r="Q124" i="3" a="1"/>
  <c r="Q124" i="3"/>
  <c r="P124" i="3" a="1"/>
  <c r="P124" i="3"/>
  <c r="O124" i="3" a="1"/>
  <c r="O124" i="3" s="1"/>
  <c r="N124" i="3" a="1"/>
  <c r="N124" i="3"/>
  <c r="M124" i="3" a="1"/>
  <c r="M124" i="3"/>
  <c r="L124" i="3" a="1"/>
  <c r="L124" i="3" s="1"/>
  <c r="K124" i="3" a="1"/>
  <c r="K124" i="3"/>
  <c r="J124" i="3" a="1"/>
  <c r="J124" i="3"/>
  <c r="I124" i="3" a="1"/>
  <c r="I124" i="3" s="1"/>
  <c r="H124" i="3" a="1"/>
  <c r="H124" i="3"/>
  <c r="G124" i="3" a="1"/>
  <c r="G124" i="3"/>
  <c r="F124" i="3" a="1"/>
  <c r="F124" i="3" s="1"/>
  <c r="E124" i="3" a="1"/>
  <c r="E124" i="3"/>
  <c r="D124" i="3" a="1"/>
  <c r="D124" i="3"/>
  <c r="C124" i="3" a="1"/>
  <c r="C124" i="3" s="1"/>
  <c r="A124" i="3"/>
  <c r="AD123" i="3" a="1"/>
  <c r="AD123" i="3" s="1"/>
  <c r="AC123" i="3" a="1"/>
  <c r="AC123" i="3" s="1"/>
  <c r="AB123" i="3" a="1"/>
  <c r="AB123" i="3" s="1"/>
  <c r="AA123" i="3" a="1"/>
  <c r="AA123" i="3" s="1"/>
  <c r="Z123" i="3" a="1"/>
  <c r="Z123" i="3"/>
  <c r="Y123" i="3" a="1"/>
  <c r="Y123" i="3" s="1"/>
  <c r="X123" i="3" a="1"/>
  <c r="X123" i="3" s="1"/>
  <c r="W123" i="3" a="1"/>
  <c r="W123" i="3" s="1"/>
  <c r="V123" i="3" a="1"/>
  <c r="V123" i="3" s="1"/>
  <c r="U123" i="3" a="1"/>
  <c r="U123" i="3" s="1"/>
  <c r="T123" i="3" a="1"/>
  <c r="T123" i="3"/>
  <c r="S123" i="3" a="1"/>
  <c r="S123" i="3" s="1"/>
  <c r="R123" i="3" a="1"/>
  <c r="R123" i="3" s="1"/>
  <c r="Q123" i="3" a="1"/>
  <c r="Q123" i="3" s="1"/>
  <c r="P123" i="3" a="1"/>
  <c r="P123" i="3" s="1"/>
  <c r="O123" i="3" a="1"/>
  <c r="O123" i="3" s="1"/>
  <c r="N123" i="3" a="1"/>
  <c r="N123" i="3"/>
  <c r="M123" i="3" a="1"/>
  <c r="M123" i="3" s="1"/>
  <c r="L123" i="3" a="1"/>
  <c r="L123" i="3" s="1"/>
  <c r="K123" i="3" a="1"/>
  <c r="K123" i="3" s="1"/>
  <c r="J123" i="3" a="1"/>
  <c r="J123" i="3" s="1"/>
  <c r="I123" i="3" a="1"/>
  <c r="I123" i="3" s="1"/>
  <c r="H123" i="3" a="1"/>
  <c r="H123" i="3"/>
  <c r="G123" i="3" a="1"/>
  <c r="G123" i="3" s="1"/>
  <c r="F123" i="3" a="1"/>
  <c r="F123" i="3" s="1"/>
  <c r="E123" i="3" a="1"/>
  <c r="E123" i="3" s="1"/>
  <c r="D123" i="3" a="1"/>
  <c r="D123" i="3" s="1"/>
  <c r="C123" i="3" a="1"/>
  <c r="C123" i="3" s="1"/>
  <c r="A123" i="3"/>
  <c r="AD122" i="3" a="1"/>
  <c r="AD122" i="3"/>
  <c r="AC122" i="3" a="1"/>
  <c r="AC122" i="3" s="1"/>
  <c r="AB122" i="3" a="1"/>
  <c r="AB122" i="3"/>
  <c r="AA122" i="3" a="1"/>
  <c r="AA122" i="3"/>
  <c r="Z122" i="3" a="1"/>
  <c r="Z122" i="3" s="1"/>
  <c r="Y122" i="3" a="1"/>
  <c r="Y122" i="3"/>
  <c r="X122" i="3" a="1"/>
  <c r="X122" i="3"/>
  <c r="W122" i="3" a="1"/>
  <c r="W122" i="3" s="1"/>
  <c r="V122" i="3" a="1"/>
  <c r="V122" i="3"/>
  <c r="U122" i="3" a="1"/>
  <c r="U122" i="3"/>
  <c r="T122" i="3" a="1"/>
  <c r="T122" i="3" s="1"/>
  <c r="S122" i="3" a="1"/>
  <c r="S122" i="3"/>
  <c r="R122" i="3" a="1"/>
  <c r="R122" i="3"/>
  <c r="Q122" i="3" a="1"/>
  <c r="Q122" i="3" s="1"/>
  <c r="P122" i="3" a="1"/>
  <c r="P122" i="3"/>
  <c r="O122" i="3" a="1"/>
  <c r="O122" i="3"/>
  <c r="N122" i="3" a="1"/>
  <c r="N122" i="3" s="1"/>
  <c r="M122" i="3" a="1"/>
  <c r="M122" i="3"/>
  <c r="L122" i="3" a="1"/>
  <c r="L122" i="3"/>
  <c r="K122" i="3" a="1"/>
  <c r="K122" i="3" s="1"/>
  <c r="J122" i="3" a="1"/>
  <c r="J122" i="3"/>
  <c r="I122" i="3" a="1"/>
  <c r="I122" i="3"/>
  <c r="H122" i="3" a="1"/>
  <c r="H122" i="3" s="1"/>
  <c r="G122" i="3" a="1"/>
  <c r="G122" i="3"/>
  <c r="F122" i="3" a="1"/>
  <c r="F122" i="3"/>
  <c r="E122" i="3" a="1"/>
  <c r="E122" i="3" s="1"/>
  <c r="D122" i="3" a="1"/>
  <c r="D122" i="3"/>
  <c r="C122" i="3" a="1"/>
  <c r="C122" i="3"/>
  <c r="A122" i="3"/>
  <c r="AD121" i="3" a="1"/>
  <c r="AD121" i="3" s="1"/>
  <c r="AC121" i="3" a="1"/>
  <c r="AC121" i="3" s="1"/>
  <c r="AB121" i="3" a="1"/>
  <c r="AB121" i="3" s="1"/>
  <c r="AA121" i="3" a="1"/>
  <c r="AA121" i="3" s="1"/>
  <c r="Z121" i="3" a="1"/>
  <c r="Z121" i="3" s="1"/>
  <c r="Y121" i="3" a="1"/>
  <c r="Y121" i="3"/>
  <c r="X121" i="3" a="1"/>
  <c r="X121" i="3" s="1"/>
  <c r="W121" i="3" a="1"/>
  <c r="W121" i="3" s="1"/>
  <c r="V121" i="3" a="1"/>
  <c r="V121" i="3" s="1"/>
  <c r="U121" i="3" a="1"/>
  <c r="U121" i="3" s="1"/>
  <c r="T121" i="3" a="1"/>
  <c r="T121" i="3" s="1"/>
  <c r="S121" i="3" a="1"/>
  <c r="S121" i="3"/>
  <c r="R121" i="3" a="1"/>
  <c r="R121" i="3" s="1"/>
  <c r="Q121" i="3" a="1"/>
  <c r="Q121" i="3" s="1"/>
  <c r="P121" i="3" a="1"/>
  <c r="P121" i="3" s="1"/>
  <c r="O121" i="3" a="1"/>
  <c r="O121" i="3" s="1"/>
  <c r="N121" i="3" a="1"/>
  <c r="N121" i="3" s="1"/>
  <c r="M121" i="3" a="1"/>
  <c r="M121" i="3"/>
  <c r="L121" i="3" a="1"/>
  <c r="L121" i="3" s="1"/>
  <c r="K121" i="3" a="1"/>
  <c r="K121" i="3" s="1"/>
  <c r="J121" i="3" a="1"/>
  <c r="J121" i="3" s="1"/>
  <c r="I121" i="3" a="1"/>
  <c r="I121" i="3" s="1"/>
  <c r="H121" i="3" a="1"/>
  <c r="H121" i="3" s="1"/>
  <c r="G121" i="3" a="1"/>
  <c r="G121" i="3"/>
  <c r="F121" i="3" a="1"/>
  <c r="F121" i="3" s="1"/>
  <c r="E121" i="3" a="1"/>
  <c r="E121" i="3" s="1"/>
  <c r="D121" i="3" a="1"/>
  <c r="D121" i="3" s="1"/>
  <c r="C121" i="3" a="1"/>
  <c r="C121" i="3" s="1"/>
  <c r="B121" i="3" a="1"/>
  <c r="B121" i="3" s="1"/>
  <c r="A121" i="3"/>
  <c r="AD120" i="3" a="1"/>
  <c r="AD120" i="3"/>
  <c r="AC120" i="3" a="1"/>
  <c r="AC120" i="3"/>
  <c r="AB120" i="3" a="1"/>
  <c r="AB120" i="3" s="1"/>
  <c r="AA120" i="3" a="1"/>
  <c r="AA120" i="3"/>
  <c r="Z120" i="3" a="1"/>
  <c r="Z120" i="3"/>
  <c r="Y120" i="3" a="1"/>
  <c r="Y120" i="3" s="1"/>
  <c r="X120" i="3" a="1"/>
  <c r="X120" i="3"/>
  <c r="W120" i="3" a="1"/>
  <c r="W120" i="3"/>
  <c r="V120" i="3" a="1"/>
  <c r="V120" i="3" s="1"/>
  <c r="U120" i="3" a="1"/>
  <c r="U120" i="3"/>
  <c r="T120" i="3" a="1"/>
  <c r="T120" i="3"/>
  <c r="S120" i="3" a="1"/>
  <c r="S120" i="3" s="1"/>
  <c r="R120" i="3" a="1"/>
  <c r="R120" i="3"/>
  <c r="Q120" i="3" a="1"/>
  <c r="Q120" i="3"/>
  <c r="P120" i="3" a="1"/>
  <c r="P120" i="3" s="1"/>
  <c r="O120" i="3" a="1"/>
  <c r="O120" i="3"/>
  <c r="N120" i="3" a="1"/>
  <c r="N120" i="3"/>
  <c r="M120" i="3" a="1"/>
  <c r="M120" i="3" s="1"/>
  <c r="L120" i="3" a="1"/>
  <c r="L120" i="3"/>
  <c r="K120" i="3" a="1"/>
  <c r="K120" i="3"/>
  <c r="J120" i="3" a="1"/>
  <c r="J120" i="3" s="1"/>
  <c r="I120" i="3" a="1"/>
  <c r="I120" i="3"/>
  <c r="H120" i="3" a="1"/>
  <c r="H120" i="3"/>
  <c r="G120" i="3" a="1"/>
  <c r="G120" i="3" s="1"/>
  <c r="F120" i="3" a="1"/>
  <c r="F120" i="3"/>
  <c r="E120" i="3" a="1"/>
  <c r="E120" i="3"/>
  <c r="D120" i="3" a="1"/>
  <c r="D120" i="3" s="1"/>
  <c r="C120" i="3" a="1"/>
  <c r="C120" i="3"/>
  <c r="A120" i="3"/>
  <c r="AD119" i="3" a="1"/>
  <c r="AD119" i="3"/>
  <c r="AC119" i="3" a="1"/>
  <c r="AC119" i="3" s="1"/>
  <c r="AB119" i="3" a="1"/>
  <c r="AB119" i="3" s="1"/>
  <c r="AA119" i="3" a="1"/>
  <c r="AA119" i="3" s="1"/>
  <c r="Z119" i="3" a="1"/>
  <c r="Z119" i="3" s="1"/>
  <c r="Y119" i="3" a="1"/>
  <c r="Y119" i="3" s="1"/>
  <c r="X119" i="3" a="1"/>
  <c r="X119" i="3"/>
  <c r="W119" i="3" a="1"/>
  <c r="W119" i="3" s="1"/>
  <c r="V119" i="3" a="1"/>
  <c r="V119" i="3" s="1"/>
  <c r="U119" i="3" a="1"/>
  <c r="U119" i="3" s="1"/>
  <c r="T119" i="3" a="1"/>
  <c r="T119" i="3" s="1"/>
  <c r="S119" i="3" a="1"/>
  <c r="S119" i="3" s="1"/>
  <c r="R119" i="3" a="1"/>
  <c r="R119" i="3"/>
  <c r="Q119" i="3" a="1"/>
  <c r="Q119" i="3" s="1"/>
  <c r="P119" i="3" a="1"/>
  <c r="P119" i="3" s="1"/>
  <c r="O119" i="3" a="1"/>
  <c r="O119" i="3" s="1"/>
  <c r="N119" i="3" a="1"/>
  <c r="N119" i="3" s="1"/>
  <c r="M119" i="3" a="1"/>
  <c r="M119" i="3" s="1"/>
  <c r="L119" i="3" a="1"/>
  <c r="L119" i="3"/>
  <c r="K119" i="3" a="1"/>
  <c r="K119" i="3" s="1"/>
  <c r="J119" i="3" a="1"/>
  <c r="J119" i="3" s="1"/>
  <c r="I119" i="3" a="1"/>
  <c r="I119" i="3" s="1"/>
  <c r="H119" i="3" a="1"/>
  <c r="H119" i="3" s="1"/>
  <c r="G119" i="3" a="1"/>
  <c r="G119" i="3" s="1"/>
  <c r="F119" i="3" a="1"/>
  <c r="F119" i="3"/>
  <c r="E119" i="3" a="1"/>
  <c r="E119" i="3" s="1"/>
  <c r="D119" i="3" a="1"/>
  <c r="D119" i="3" s="1"/>
  <c r="C119" i="3" a="1"/>
  <c r="C119" i="3" s="1"/>
  <c r="A119" i="3"/>
  <c r="AD118" i="3" a="1"/>
  <c r="AD118" i="3" s="1"/>
  <c r="AC118" i="3" a="1"/>
  <c r="AC118" i="3"/>
  <c r="AB118" i="3" a="1"/>
  <c r="AB118" i="3"/>
  <c r="AA118" i="3" a="1"/>
  <c r="AA118" i="3" s="1"/>
  <c r="Z118" i="3" a="1"/>
  <c r="Z118" i="3"/>
  <c r="Y118" i="3" a="1"/>
  <c r="Y118" i="3"/>
  <c r="X118" i="3" a="1"/>
  <c r="X118" i="3" s="1"/>
  <c r="W118" i="3" a="1"/>
  <c r="W118" i="3"/>
  <c r="V118" i="3" a="1"/>
  <c r="V118" i="3"/>
  <c r="U118" i="3" a="1"/>
  <c r="U118" i="3" s="1"/>
  <c r="T118" i="3" a="1"/>
  <c r="T118" i="3"/>
  <c r="S118" i="3" a="1"/>
  <c r="S118" i="3"/>
  <c r="R118" i="3" a="1"/>
  <c r="R118" i="3" s="1"/>
  <c r="Q118" i="3" a="1"/>
  <c r="Q118" i="3"/>
  <c r="P118" i="3" a="1"/>
  <c r="P118" i="3"/>
  <c r="O118" i="3" a="1"/>
  <c r="O118" i="3" s="1"/>
  <c r="N118" i="3" a="1"/>
  <c r="N118" i="3"/>
  <c r="M118" i="3" a="1"/>
  <c r="M118" i="3"/>
  <c r="L118" i="3" a="1"/>
  <c r="L118" i="3" s="1"/>
  <c r="K118" i="3" a="1"/>
  <c r="K118" i="3"/>
  <c r="J118" i="3" a="1"/>
  <c r="J118" i="3"/>
  <c r="I118" i="3" a="1"/>
  <c r="I118" i="3" s="1"/>
  <c r="H118" i="3" a="1"/>
  <c r="H118" i="3"/>
  <c r="G118" i="3" a="1"/>
  <c r="G118" i="3"/>
  <c r="F118" i="3" a="1"/>
  <c r="F118" i="3" s="1"/>
  <c r="E118" i="3" a="1"/>
  <c r="E118" i="3"/>
  <c r="D118" i="3" a="1"/>
  <c r="D118" i="3"/>
  <c r="C118" i="3" a="1"/>
  <c r="C118" i="3" s="1"/>
  <c r="A118" i="3"/>
  <c r="AD117" i="3" a="1"/>
  <c r="AD117" i="3"/>
  <c r="AC117" i="3" a="1"/>
  <c r="AC117" i="3"/>
  <c r="AB117" i="3" a="1"/>
  <c r="AB117" i="3" s="1"/>
  <c r="AA117" i="3" a="1"/>
  <c r="AA117" i="3" s="1"/>
  <c r="Z117" i="3" a="1"/>
  <c r="Z117" i="3" s="1"/>
  <c r="Y117" i="3" a="1"/>
  <c r="Y117" i="3" s="1"/>
  <c r="X117" i="3" a="1"/>
  <c r="X117" i="3"/>
  <c r="W117" i="3" a="1"/>
  <c r="W117" i="3"/>
  <c r="V117" i="3" a="1"/>
  <c r="V117" i="3" s="1"/>
  <c r="U117" i="3" a="1"/>
  <c r="U117" i="3" s="1"/>
  <c r="T117" i="3" a="1"/>
  <c r="T117" i="3" s="1"/>
  <c r="S117" i="3" a="1"/>
  <c r="S117" i="3" s="1"/>
  <c r="R117" i="3" a="1"/>
  <c r="R117" i="3"/>
  <c r="Q117" i="3" a="1"/>
  <c r="Q117" i="3"/>
  <c r="P117" i="3" a="1"/>
  <c r="P117" i="3" s="1"/>
  <c r="O117" i="3" a="1"/>
  <c r="O117" i="3" s="1"/>
  <c r="N117" i="3" a="1"/>
  <c r="N117" i="3" s="1"/>
  <c r="M117" i="3" a="1"/>
  <c r="M117" i="3" s="1"/>
  <c r="L117" i="3" a="1"/>
  <c r="L117" i="3"/>
  <c r="K117" i="3" a="1"/>
  <c r="K117" i="3"/>
  <c r="J117" i="3" a="1"/>
  <c r="J117" i="3" s="1"/>
  <c r="I117" i="3" a="1"/>
  <c r="I117" i="3" s="1"/>
  <c r="H117" i="3" a="1"/>
  <c r="H117" i="3" s="1"/>
  <c r="G117" i="3" a="1"/>
  <c r="G117" i="3" s="1"/>
  <c r="F117" i="3" a="1"/>
  <c r="F117" i="3"/>
  <c r="E117" i="3" a="1"/>
  <c r="E117" i="3"/>
  <c r="D117" i="3" a="1"/>
  <c r="D117" i="3" s="1"/>
  <c r="C117" i="3" a="1"/>
  <c r="C117" i="3" s="1"/>
  <c r="A117" i="3"/>
  <c r="AD116" i="3" a="1"/>
  <c r="AD116" i="3"/>
  <c r="AC116" i="3" a="1"/>
  <c r="AC116" i="3" s="1"/>
  <c r="AB116" i="3" a="1"/>
  <c r="AB116" i="3"/>
  <c r="AA116" i="3" a="1"/>
  <c r="AA116" i="3"/>
  <c r="Z116" i="3" a="1"/>
  <c r="Z116" i="3" s="1"/>
  <c r="Y116" i="3" a="1"/>
  <c r="Y116" i="3"/>
  <c r="X116" i="3" a="1"/>
  <c r="X116" i="3"/>
  <c r="W116" i="3" a="1"/>
  <c r="W116" i="3" s="1"/>
  <c r="V116" i="3" a="1"/>
  <c r="V116" i="3"/>
  <c r="U116" i="3" a="1"/>
  <c r="U116" i="3"/>
  <c r="T116" i="3" a="1"/>
  <c r="T116" i="3" s="1"/>
  <c r="S116" i="3" a="1"/>
  <c r="S116" i="3"/>
  <c r="R116" i="3" a="1"/>
  <c r="R116" i="3"/>
  <c r="Q116" i="3" a="1"/>
  <c r="Q116" i="3" s="1"/>
  <c r="P116" i="3" a="1"/>
  <c r="P116" i="3"/>
  <c r="O116" i="3" a="1"/>
  <c r="O116" i="3"/>
  <c r="N116" i="3" a="1"/>
  <c r="N116" i="3" s="1"/>
  <c r="M116" i="3" a="1"/>
  <c r="M116" i="3"/>
  <c r="L116" i="3" a="1"/>
  <c r="L116" i="3"/>
  <c r="K116" i="3" a="1"/>
  <c r="K116" i="3" s="1"/>
  <c r="J116" i="3" a="1"/>
  <c r="J116" i="3"/>
  <c r="I116" i="3" a="1"/>
  <c r="I116" i="3"/>
  <c r="H116" i="3" a="1"/>
  <c r="H116" i="3" s="1"/>
  <c r="G116" i="3" a="1"/>
  <c r="G116" i="3"/>
  <c r="F116" i="3" a="1"/>
  <c r="F116" i="3"/>
  <c r="E116" i="3" a="1"/>
  <c r="E116" i="3" s="1"/>
  <c r="D116" i="3" a="1"/>
  <c r="D116" i="3"/>
  <c r="C116" i="3" a="1"/>
  <c r="C116" i="3"/>
  <c r="A116" i="3"/>
  <c r="AD115" i="3" a="1"/>
  <c r="AD115" i="3" s="1"/>
  <c r="AC115" i="3" a="1"/>
  <c r="AC115" i="3"/>
  <c r="AB115" i="3" a="1"/>
  <c r="AB115" i="3"/>
  <c r="AA115" i="3" a="1"/>
  <c r="AA115" i="3" s="1"/>
  <c r="Z115" i="3" a="1"/>
  <c r="Z115" i="3" s="1"/>
  <c r="Y115" i="3" a="1"/>
  <c r="Y115" i="3" s="1"/>
  <c r="X115" i="3" a="1"/>
  <c r="X115" i="3" s="1"/>
  <c r="W115" i="3" a="1"/>
  <c r="W115" i="3"/>
  <c r="V115" i="3" a="1"/>
  <c r="V115" i="3"/>
  <c r="U115" i="3" a="1"/>
  <c r="U115" i="3" s="1"/>
  <c r="T115" i="3" a="1"/>
  <c r="T115" i="3" s="1"/>
  <c r="S115" i="3" a="1"/>
  <c r="S115" i="3" s="1"/>
  <c r="R115" i="3" a="1"/>
  <c r="R115" i="3" s="1"/>
  <c r="Q115" i="3" a="1"/>
  <c r="Q115" i="3"/>
  <c r="P115" i="3" a="1"/>
  <c r="P115" i="3"/>
  <c r="O115" i="3" a="1"/>
  <c r="O115" i="3" s="1"/>
  <c r="N115" i="3" a="1"/>
  <c r="N115" i="3" s="1"/>
  <c r="M115" i="3" a="1"/>
  <c r="M115" i="3" s="1"/>
  <c r="L115" i="3" a="1"/>
  <c r="L115" i="3" s="1"/>
  <c r="K115" i="3" a="1"/>
  <c r="K115" i="3"/>
  <c r="J115" i="3" a="1"/>
  <c r="J115" i="3"/>
  <c r="I115" i="3" a="1"/>
  <c r="I115" i="3" s="1"/>
  <c r="H115" i="3" a="1"/>
  <c r="H115" i="3" s="1"/>
  <c r="G115" i="3" a="1"/>
  <c r="G115" i="3" s="1"/>
  <c r="F115" i="3" a="1"/>
  <c r="F115" i="3" s="1"/>
  <c r="E115" i="3" a="1"/>
  <c r="E115" i="3"/>
  <c r="D115" i="3" a="1"/>
  <c r="D115" i="3"/>
  <c r="C115" i="3" a="1"/>
  <c r="C115" i="3" s="1"/>
  <c r="A115" i="3"/>
  <c r="AD114" i="3" a="1"/>
  <c r="AD114" i="3"/>
  <c r="AC114" i="3" a="1"/>
  <c r="AC114" i="3"/>
  <c r="AB114" i="3" a="1"/>
  <c r="AB114" i="3" s="1"/>
  <c r="AA114" i="3" a="1"/>
  <c r="AA114" i="3"/>
  <c r="Z114" i="3" a="1"/>
  <c r="Z114" i="3"/>
  <c r="Y114" i="3" a="1"/>
  <c r="Y114" i="3" s="1"/>
  <c r="X114" i="3" a="1"/>
  <c r="X114" i="3"/>
  <c r="W114" i="3" a="1"/>
  <c r="W114" i="3"/>
  <c r="V114" i="3" a="1"/>
  <c r="V114" i="3" s="1"/>
  <c r="U114" i="3" a="1"/>
  <c r="U114" i="3"/>
  <c r="T114" i="3" a="1"/>
  <c r="T114" i="3"/>
  <c r="S114" i="3" a="1"/>
  <c r="S114" i="3" s="1"/>
  <c r="R114" i="3" a="1"/>
  <c r="R114" i="3"/>
  <c r="Q114" i="3" a="1"/>
  <c r="Q114" i="3"/>
  <c r="P114" i="3" a="1"/>
  <c r="P114" i="3" s="1"/>
  <c r="O114" i="3" a="1"/>
  <c r="O114" i="3"/>
  <c r="N114" i="3" a="1"/>
  <c r="N114" i="3"/>
  <c r="M114" i="3" a="1"/>
  <c r="M114" i="3" s="1"/>
  <c r="L114" i="3" a="1"/>
  <c r="L114" i="3"/>
  <c r="K114" i="3" a="1"/>
  <c r="K114" i="3"/>
  <c r="J114" i="3" a="1"/>
  <c r="J114" i="3" s="1"/>
  <c r="I114" i="3" a="1"/>
  <c r="I114" i="3"/>
  <c r="H114" i="3" a="1"/>
  <c r="H114" i="3"/>
  <c r="G114" i="3" a="1"/>
  <c r="G114" i="3" s="1"/>
  <c r="F114" i="3" a="1"/>
  <c r="F114" i="3"/>
  <c r="E114" i="3" a="1"/>
  <c r="E114" i="3"/>
  <c r="D114" i="3" a="1"/>
  <c r="D114" i="3" s="1"/>
  <c r="C114" i="3" a="1"/>
  <c r="C114" i="3"/>
  <c r="A114" i="3"/>
  <c r="AD113" i="3" a="1"/>
  <c r="AD113" i="3" s="1"/>
  <c r="AC113" i="3" a="1"/>
  <c r="AC113" i="3" s="1"/>
  <c r="AB113" i="3" a="1"/>
  <c r="AB113" i="3"/>
  <c r="AA113" i="3" a="1"/>
  <c r="AA113" i="3"/>
  <c r="Z113" i="3" a="1"/>
  <c r="Z113" i="3" s="1"/>
  <c r="Y113" i="3" a="1"/>
  <c r="Y113" i="3" s="1"/>
  <c r="X113" i="3" a="1"/>
  <c r="X113" i="3" s="1"/>
  <c r="W113" i="3" a="1"/>
  <c r="W113" i="3" s="1"/>
  <c r="V113" i="3" a="1"/>
  <c r="V113" i="3"/>
  <c r="U113" i="3" a="1"/>
  <c r="U113" i="3"/>
  <c r="T113" i="3" a="1"/>
  <c r="T113" i="3" s="1"/>
  <c r="S113" i="3" a="1"/>
  <c r="S113" i="3" s="1"/>
  <c r="R113" i="3" a="1"/>
  <c r="R113" i="3" s="1"/>
  <c r="Q113" i="3" a="1"/>
  <c r="Q113" i="3" s="1"/>
  <c r="P113" i="3" a="1"/>
  <c r="P113" i="3"/>
  <c r="O113" i="3" a="1"/>
  <c r="O113" i="3"/>
  <c r="N113" i="3" a="1"/>
  <c r="N113" i="3" s="1"/>
  <c r="M113" i="3" a="1"/>
  <c r="M113" i="3" s="1"/>
  <c r="L113" i="3" a="1"/>
  <c r="L113" i="3" s="1"/>
  <c r="K113" i="3" a="1"/>
  <c r="K113" i="3" s="1"/>
  <c r="J113" i="3" a="1"/>
  <c r="J113" i="3"/>
  <c r="I113" i="3" a="1"/>
  <c r="I113" i="3"/>
  <c r="H113" i="3" a="1"/>
  <c r="H113" i="3" s="1"/>
  <c r="G113" i="3" a="1"/>
  <c r="G113" i="3" s="1"/>
  <c r="F113" i="3" a="1"/>
  <c r="F113" i="3" s="1"/>
  <c r="E113" i="3" a="1"/>
  <c r="E113" i="3" s="1"/>
  <c r="D113" i="3" a="1"/>
  <c r="D113" i="3"/>
  <c r="C113" i="3" a="1"/>
  <c r="C113" i="3"/>
  <c r="A113" i="3"/>
  <c r="AD112" i="3" a="1"/>
  <c r="AD112" i="3" s="1"/>
  <c r="AC112" i="3" a="1"/>
  <c r="AC112" i="3"/>
  <c r="AB112" i="3" a="1"/>
  <c r="AB112" i="3"/>
  <c r="AA112" i="3" a="1"/>
  <c r="AA112" i="3" s="1"/>
  <c r="Z112" i="3" a="1"/>
  <c r="Z112" i="3"/>
  <c r="Y112" i="3" a="1"/>
  <c r="Y112" i="3"/>
  <c r="X112" i="3" a="1"/>
  <c r="X112" i="3" s="1"/>
  <c r="W112" i="3" a="1"/>
  <c r="W112" i="3"/>
  <c r="V112" i="3" a="1"/>
  <c r="V112" i="3"/>
  <c r="U112" i="3" a="1"/>
  <c r="U112" i="3" s="1"/>
  <c r="T112" i="3" a="1"/>
  <c r="T112" i="3"/>
  <c r="S112" i="3" a="1"/>
  <c r="S112" i="3"/>
  <c r="R112" i="3" a="1"/>
  <c r="R112" i="3" s="1"/>
  <c r="Q112" i="3" a="1"/>
  <c r="Q112" i="3"/>
  <c r="P112" i="3" a="1"/>
  <c r="P112" i="3"/>
  <c r="O112" i="3" a="1"/>
  <c r="O112" i="3" s="1"/>
  <c r="N112" i="3" a="1"/>
  <c r="N112" i="3"/>
  <c r="M112" i="3" a="1"/>
  <c r="M112" i="3"/>
  <c r="L112" i="3" a="1"/>
  <c r="L112" i="3" s="1"/>
  <c r="K112" i="3" a="1"/>
  <c r="K112" i="3"/>
  <c r="J112" i="3" a="1"/>
  <c r="J112" i="3"/>
  <c r="I112" i="3" a="1"/>
  <c r="I112" i="3" s="1"/>
  <c r="H112" i="3" a="1"/>
  <c r="H112" i="3"/>
  <c r="G112" i="3" a="1"/>
  <c r="G112" i="3"/>
  <c r="F112" i="3" a="1"/>
  <c r="F112" i="3" s="1"/>
  <c r="E112" i="3" a="1"/>
  <c r="E112" i="3" s="1"/>
  <c r="D112" i="3" a="1"/>
  <c r="D112" i="3" s="1"/>
  <c r="C112" i="3" a="1"/>
  <c r="C112" i="3" s="1"/>
  <c r="B112" i="3" a="1"/>
  <c r="B112" i="3" s="1"/>
  <c r="A112" i="3"/>
  <c r="AD111" i="3" a="1"/>
  <c r="AD111" i="3"/>
  <c r="AC111" i="3" a="1"/>
  <c r="AC111" i="3" s="1"/>
  <c r="AB111" i="3" a="1"/>
  <c r="AB111" i="3" s="1"/>
  <c r="AA111" i="3" a="1"/>
  <c r="AA111" i="3"/>
  <c r="Z111" i="3" a="1"/>
  <c r="Z111" i="3"/>
  <c r="Y111" i="3" a="1"/>
  <c r="Y111" i="3" s="1"/>
  <c r="X111" i="3" a="1"/>
  <c r="X111" i="3"/>
  <c r="W111" i="3" a="1"/>
  <c r="W111" i="3" s="1"/>
  <c r="V111" i="3" a="1"/>
  <c r="V111" i="3" s="1"/>
  <c r="U111" i="3" a="1"/>
  <c r="U111" i="3"/>
  <c r="T111" i="3" a="1"/>
  <c r="T111" i="3"/>
  <c r="S111" i="3" a="1"/>
  <c r="S111" i="3" s="1"/>
  <c r="R111" i="3" a="1"/>
  <c r="R111" i="3" s="1"/>
  <c r="Q111" i="3" a="1"/>
  <c r="Q111" i="3" s="1"/>
  <c r="P111" i="3" a="1"/>
  <c r="P111" i="3" s="1"/>
  <c r="O111" i="3" a="1"/>
  <c r="O111" i="3"/>
  <c r="N111" i="3" a="1"/>
  <c r="N111" i="3"/>
  <c r="M111" i="3" a="1"/>
  <c r="M111" i="3" s="1"/>
  <c r="L111" i="3" a="1"/>
  <c r="L111" i="3" s="1"/>
  <c r="K111" i="3" a="1"/>
  <c r="K111" i="3" s="1"/>
  <c r="J111" i="3" a="1"/>
  <c r="J111" i="3" s="1"/>
  <c r="I111" i="3" a="1"/>
  <c r="I111" i="3"/>
  <c r="H111" i="3" a="1"/>
  <c r="H111" i="3"/>
  <c r="G111" i="3" a="1"/>
  <c r="G111" i="3" s="1"/>
  <c r="F111" i="3" a="1"/>
  <c r="F111" i="3" s="1"/>
  <c r="E111" i="3" a="1"/>
  <c r="E111" i="3" s="1"/>
  <c r="D111" i="3" a="1"/>
  <c r="D111" i="3" s="1"/>
  <c r="C111" i="3" a="1"/>
  <c r="C111" i="3"/>
  <c r="A111" i="3"/>
  <c r="AD110" i="3" a="1"/>
  <c r="AD110" i="3"/>
  <c r="AC110" i="3" a="1"/>
  <c r="AC110" i="3" s="1"/>
  <c r="AB110" i="3" a="1"/>
  <c r="AB110" i="3"/>
  <c r="AA110" i="3" a="1"/>
  <c r="AA110" i="3"/>
  <c r="Z110" i="3" a="1"/>
  <c r="Z110" i="3" s="1"/>
  <c r="Y110" i="3" a="1"/>
  <c r="Y110" i="3"/>
  <c r="X110" i="3" a="1"/>
  <c r="X110" i="3"/>
  <c r="W110" i="3" a="1"/>
  <c r="W110" i="3" s="1"/>
  <c r="V110" i="3" a="1"/>
  <c r="V110" i="3"/>
  <c r="U110" i="3" a="1"/>
  <c r="U110" i="3"/>
  <c r="T110" i="3" a="1"/>
  <c r="T110" i="3" s="1"/>
  <c r="S110" i="3" a="1"/>
  <c r="S110" i="3"/>
  <c r="R110" i="3" a="1"/>
  <c r="R110" i="3"/>
  <c r="Q110" i="3" a="1"/>
  <c r="Q110" i="3" s="1"/>
  <c r="P110" i="3" a="1"/>
  <c r="P110" i="3"/>
  <c r="O110" i="3" a="1"/>
  <c r="O110" i="3" s="1"/>
  <c r="N110" i="3" a="1"/>
  <c r="N110" i="3" s="1"/>
  <c r="M110" i="3" a="1"/>
  <c r="M110" i="3"/>
  <c r="L110" i="3" a="1"/>
  <c r="L110" i="3"/>
  <c r="K110" i="3" a="1"/>
  <c r="K110" i="3" s="1"/>
  <c r="J110" i="3" a="1"/>
  <c r="J110" i="3"/>
  <c r="I110" i="3" a="1"/>
  <c r="I110" i="3" s="1"/>
  <c r="H110" i="3" a="1"/>
  <c r="H110" i="3" s="1"/>
  <c r="G110" i="3" a="1"/>
  <c r="G110" i="3"/>
  <c r="F110" i="3" a="1"/>
  <c r="F110" i="3"/>
  <c r="E110" i="3" a="1"/>
  <c r="E110" i="3" s="1"/>
  <c r="D110" i="3" a="1"/>
  <c r="D110" i="3"/>
  <c r="C110" i="3" a="1"/>
  <c r="C110" i="3" s="1"/>
  <c r="A110" i="3"/>
  <c r="AD109" i="3" a="1"/>
  <c r="AD109" i="3" s="1"/>
  <c r="AC109" i="3" a="1"/>
  <c r="AC109" i="3"/>
  <c r="AB109" i="3" a="1"/>
  <c r="AB109" i="3" s="1"/>
  <c r="AA109" i="3" a="1"/>
  <c r="AA109" i="3" s="1"/>
  <c r="Z109" i="3" a="1"/>
  <c r="Z109" i="3"/>
  <c r="Y109" i="3" a="1"/>
  <c r="Y109" i="3"/>
  <c r="X109" i="3" a="1"/>
  <c r="X109" i="3" s="1"/>
  <c r="W109" i="3" a="1"/>
  <c r="W109" i="3"/>
  <c r="V109" i="3" a="1"/>
  <c r="V109" i="3" s="1"/>
  <c r="U109" i="3" a="1"/>
  <c r="U109" i="3" s="1"/>
  <c r="T109" i="3" a="1"/>
  <c r="T109" i="3"/>
  <c r="S109" i="3" a="1"/>
  <c r="S109" i="3"/>
  <c r="R109" i="3" a="1"/>
  <c r="R109" i="3" s="1"/>
  <c r="Q109" i="3" a="1"/>
  <c r="Q109" i="3" s="1"/>
  <c r="P109" i="3" a="1"/>
  <c r="P109" i="3" s="1"/>
  <c r="O109" i="3" a="1"/>
  <c r="O109" i="3" s="1"/>
  <c r="N109" i="3" a="1"/>
  <c r="N109" i="3"/>
  <c r="M109" i="3" a="1"/>
  <c r="M109" i="3"/>
  <c r="L109" i="3" a="1"/>
  <c r="L109" i="3" s="1"/>
  <c r="K109" i="3" a="1"/>
  <c r="K109" i="3" s="1"/>
  <c r="J109" i="3" a="1"/>
  <c r="J109" i="3" s="1"/>
  <c r="I109" i="3" a="1"/>
  <c r="I109" i="3" s="1"/>
  <c r="H109" i="3" a="1"/>
  <c r="H109" i="3"/>
  <c r="G109" i="3" a="1"/>
  <c r="G109" i="3"/>
  <c r="F109" i="3" a="1"/>
  <c r="F109" i="3" s="1"/>
  <c r="E109" i="3" a="1"/>
  <c r="E109" i="3" s="1"/>
  <c r="D109" i="3" a="1"/>
  <c r="D109" i="3" s="1"/>
  <c r="C109" i="3" a="1"/>
  <c r="C109" i="3" s="1"/>
  <c r="A109" i="3"/>
  <c r="AD108" i="3" a="1"/>
  <c r="AD108" i="3"/>
  <c r="AC108" i="3" a="1"/>
  <c r="AC108" i="3"/>
  <c r="AB108" i="3" a="1"/>
  <c r="AB108" i="3" s="1"/>
  <c r="AA108" i="3" a="1"/>
  <c r="AA108" i="3"/>
  <c r="Z108" i="3" a="1"/>
  <c r="Z108" i="3"/>
  <c r="Y108" i="3" a="1"/>
  <c r="Y108" i="3" s="1"/>
  <c r="X108" i="3" a="1"/>
  <c r="X108" i="3"/>
  <c r="W108" i="3" a="1"/>
  <c r="W108" i="3"/>
  <c r="V108" i="3" a="1"/>
  <c r="V108" i="3" s="1"/>
  <c r="U108" i="3" a="1"/>
  <c r="U108" i="3"/>
  <c r="T108" i="3" a="1"/>
  <c r="T108" i="3" s="1"/>
  <c r="S108" i="3" a="1"/>
  <c r="S108" i="3" s="1"/>
  <c r="R108" i="3" a="1"/>
  <c r="R108" i="3"/>
  <c r="Q108" i="3" a="1"/>
  <c r="Q108" i="3"/>
  <c r="P108" i="3" a="1"/>
  <c r="P108" i="3" s="1"/>
  <c r="O108" i="3" a="1"/>
  <c r="O108" i="3"/>
  <c r="N108" i="3" a="1"/>
  <c r="N108" i="3" s="1"/>
  <c r="M108" i="3" a="1"/>
  <c r="M108" i="3" s="1"/>
  <c r="L108" i="3" a="1"/>
  <c r="L108" i="3"/>
  <c r="K108" i="3" a="1"/>
  <c r="K108" i="3"/>
  <c r="J108" i="3" a="1"/>
  <c r="J108" i="3" s="1"/>
  <c r="I108" i="3" a="1"/>
  <c r="I108" i="3"/>
  <c r="H108" i="3" a="1"/>
  <c r="H108" i="3"/>
  <c r="G108" i="3" a="1"/>
  <c r="G108" i="3" s="1"/>
  <c r="F108" i="3" a="1"/>
  <c r="F108" i="3"/>
  <c r="E108" i="3" a="1"/>
  <c r="E108" i="3"/>
  <c r="D108" i="3" a="1"/>
  <c r="D108" i="3" s="1"/>
  <c r="A108" i="3"/>
  <c r="AD107" i="3" a="1"/>
  <c r="AD107" i="3"/>
  <c r="AC107" i="3" a="1"/>
  <c r="AC107" i="3" s="1"/>
  <c r="AB107" i="3" a="1"/>
  <c r="AB107" i="3" s="1"/>
  <c r="AA107" i="3" a="1"/>
  <c r="AA107" i="3" s="1"/>
  <c r="Z107" i="3" a="1"/>
  <c r="Z107" i="3"/>
  <c r="Y107" i="3" a="1"/>
  <c r="Y107" i="3" s="1"/>
  <c r="X107" i="3" a="1"/>
  <c r="X107" i="3"/>
  <c r="W107" i="3" a="1"/>
  <c r="W107" i="3"/>
  <c r="V107" i="3" a="1"/>
  <c r="V107" i="3"/>
  <c r="U107" i="3" a="1"/>
  <c r="U107" i="3" s="1"/>
  <c r="T107" i="3" a="1"/>
  <c r="T107" i="3"/>
  <c r="S107" i="3" a="1"/>
  <c r="S107" i="3" s="1"/>
  <c r="R107" i="3" a="1"/>
  <c r="R107" i="3"/>
  <c r="Q107" i="3" a="1"/>
  <c r="Q107" i="3"/>
  <c r="P107" i="3" a="1"/>
  <c r="P107" i="3" s="1"/>
  <c r="O107" i="3" a="1"/>
  <c r="O107" i="3" s="1"/>
  <c r="N107" i="3" a="1"/>
  <c r="N107" i="3" s="1"/>
  <c r="M107" i="3" a="1"/>
  <c r="M107" i="3"/>
  <c r="L107" i="3" a="1"/>
  <c r="L107" i="3"/>
  <c r="K107" i="3" a="1"/>
  <c r="K107" i="3"/>
  <c r="J107" i="3" a="1"/>
  <c r="J107" i="3" s="1"/>
  <c r="I107" i="3" a="1"/>
  <c r="I107" i="3" s="1"/>
  <c r="H107" i="3" a="1"/>
  <c r="H107" i="3" s="1"/>
  <c r="G107" i="3" a="1"/>
  <c r="G107" i="3"/>
  <c r="F107" i="3" a="1"/>
  <c r="F107" i="3"/>
  <c r="E107" i="3" a="1"/>
  <c r="E107" i="3"/>
  <c r="D107" i="3" a="1"/>
  <c r="D107" i="3"/>
  <c r="C107" i="3" a="1"/>
  <c r="C107" i="3" s="1"/>
  <c r="A107" i="3"/>
  <c r="AD106" i="3" a="1"/>
  <c r="AD106" i="3" s="1"/>
  <c r="AC106" i="3" a="1"/>
  <c r="AC106" i="3"/>
  <c r="AB106" i="3" a="1"/>
  <c r="AB106" i="3" s="1"/>
  <c r="AA106" i="3" a="1"/>
  <c r="AA106" i="3" s="1"/>
  <c r="Z106" i="3" a="1"/>
  <c r="Z106" i="3"/>
  <c r="Y106" i="3" a="1"/>
  <c r="Y106" i="3" s="1"/>
  <c r="X106" i="3" a="1"/>
  <c r="X106" i="3" s="1"/>
  <c r="W106" i="3" a="1"/>
  <c r="W106" i="3"/>
  <c r="V106" i="3" a="1"/>
  <c r="V106" i="3" s="1"/>
  <c r="U106" i="3" a="1"/>
  <c r="U106" i="3" s="1"/>
  <c r="T106" i="3" a="1"/>
  <c r="T106" i="3"/>
  <c r="S106" i="3" a="1"/>
  <c r="S106" i="3"/>
  <c r="R106" i="3" a="1"/>
  <c r="R106" i="3" s="1"/>
  <c r="Q106" i="3" a="1"/>
  <c r="Q106" i="3"/>
  <c r="P106" i="3" a="1"/>
  <c r="P106" i="3" s="1"/>
  <c r="O106" i="3" a="1"/>
  <c r="O106" i="3" s="1"/>
  <c r="N106" i="3" a="1"/>
  <c r="N106" i="3"/>
  <c r="M106" i="3" a="1"/>
  <c r="M106" i="3"/>
  <c r="L106" i="3" a="1"/>
  <c r="L106" i="3" s="1"/>
  <c r="K106" i="3" a="1"/>
  <c r="K106" i="3"/>
  <c r="J106" i="3" a="1"/>
  <c r="J106" i="3"/>
  <c r="I106" i="3" a="1"/>
  <c r="I106" i="3" s="1"/>
  <c r="H106" i="3" a="1"/>
  <c r="H106" i="3"/>
  <c r="G106" i="3" a="1"/>
  <c r="G106" i="3" s="1"/>
  <c r="F106" i="3" a="1"/>
  <c r="F106" i="3" s="1"/>
  <c r="E106" i="3" a="1"/>
  <c r="E106" i="3"/>
  <c r="D106" i="3" a="1"/>
  <c r="D106" i="3"/>
  <c r="C106" i="3" a="1"/>
  <c r="C106" i="3" s="1"/>
  <c r="A106" i="3"/>
  <c r="AD105" i="3" a="1"/>
  <c r="AD105" i="3"/>
  <c r="AC105" i="3" a="1"/>
  <c r="AC105" i="3"/>
  <c r="AB105" i="3" a="1"/>
  <c r="AB105" i="3"/>
  <c r="AA105" i="3" a="1"/>
  <c r="AA105" i="3"/>
  <c r="Z105" i="3" a="1"/>
  <c r="Z105" i="3" s="1"/>
  <c r="Y105" i="3" a="1"/>
  <c r="Y105" i="3"/>
  <c r="X105" i="3" a="1"/>
  <c r="X105" i="3" s="1"/>
  <c r="W105" i="3" a="1"/>
  <c r="W105" i="3"/>
  <c r="V105" i="3" a="1"/>
  <c r="V105" i="3" s="1"/>
  <c r="U105" i="3" a="1"/>
  <c r="U105" i="3"/>
  <c r="T105" i="3" a="1"/>
  <c r="T105" i="3" s="1"/>
  <c r="S105" i="3" a="1"/>
  <c r="S105" i="3" s="1"/>
  <c r="R105" i="3" a="1"/>
  <c r="R105" i="3" s="1"/>
  <c r="Q105" i="3" a="1"/>
  <c r="Q105" i="3"/>
  <c r="P105" i="3" a="1"/>
  <c r="P105" i="3" s="1"/>
  <c r="O105" i="3" a="1"/>
  <c r="O105" i="3"/>
  <c r="N105" i="3" a="1"/>
  <c r="N105" i="3" s="1"/>
  <c r="M105" i="3" a="1"/>
  <c r="M105" i="3"/>
  <c r="L105" i="3" a="1"/>
  <c r="L105" i="3"/>
  <c r="K105" i="3" a="1"/>
  <c r="K105" i="3"/>
  <c r="J105" i="3" a="1"/>
  <c r="J105" i="3" s="1"/>
  <c r="I105" i="3" a="1"/>
  <c r="I105" i="3" s="1"/>
  <c r="H105" i="3" a="1"/>
  <c r="H105" i="3" s="1"/>
  <c r="G105" i="3" a="1"/>
  <c r="G105" i="3"/>
  <c r="F105" i="3" a="1"/>
  <c r="F105" i="3" s="1"/>
  <c r="E105" i="3" a="1"/>
  <c r="E105" i="3"/>
  <c r="D105" i="3" a="1"/>
  <c r="D105" i="3"/>
  <c r="C105" i="3" a="1"/>
  <c r="C105" i="3"/>
  <c r="A105" i="3"/>
  <c r="AD104" i="3" a="1"/>
  <c r="AD104" i="3"/>
  <c r="AC104" i="3" a="1"/>
  <c r="AC104" i="3" s="1"/>
  <c r="AB104" i="3" a="1"/>
  <c r="AB104" i="3"/>
  <c r="AA104" i="3" a="1"/>
  <c r="AA104" i="3" s="1"/>
  <c r="Z104" i="3" a="1"/>
  <c r="Z104" i="3" s="1"/>
  <c r="Y104" i="3" a="1"/>
  <c r="Y104" i="3"/>
  <c r="X104" i="3" a="1"/>
  <c r="X104" i="3"/>
  <c r="W104" i="3" a="1"/>
  <c r="W104" i="3" s="1"/>
  <c r="V104" i="3" a="1"/>
  <c r="V104" i="3"/>
  <c r="U104" i="3" a="1"/>
  <c r="U104" i="3" s="1"/>
  <c r="T104" i="3" a="1"/>
  <c r="T104" i="3"/>
  <c r="S104" i="3" a="1"/>
  <c r="S104" i="3"/>
  <c r="R104" i="3" a="1"/>
  <c r="R104" i="3"/>
  <c r="Q104" i="3" a="1"/>
  <c r="Q104" i="3" s="1"/>
  <c r="P104" i="3" a="1"/>
  <c r="P104" i="3"/>
  <c r="O104" i="3" a="1"/>
  <c r="O104" i="3"/>
  <c r="N104" i="3" a="1"/>
  <c r="N104" i="3" s="1"/>
  <c r="M104" i="3" a="1"/>
  <c r="M104" i="3"/>
  <c r="L104" i="3" a="1"/>
  <c r="L104" i="3" s="1"/>
  <c r="K104" i="3" a="1"/>
  <c r="K104" i="3" s="1"/>
  <c r="J104" i="3" a="1"/>
  <c r="J104" i="3"/>
  <c r="I104" i="3" a="1"/>
  <c r="I104" i="3"/>
  <c r="H104" i="3" a="1"/>
  <c r="H104" i="3" s="1"/>
  <c r="G104" i="3" a="1"/>
  <c r="G104" i="3"/>
  <c r="F104" i="3" a="1"/>
  <c r="F104" i="3"/>
  <c r="E104" i="3" a="1"/>
  <c r="E104" i="3" s="1"/>
  <c r="D104" i="3" a="1"/>
  <c r="D104" i="3"/>
  <c r="C104" i="3" a="1"/>
  <c r="C104" i="3"/>
  <c r="A104" i="3"/>
  <c r="AD103" i="3" a="1"/>
  <c r="AD103" i="3"/>
  <c r="AC103" i="3" a="1"/>
  <c r="AC103" i="3" s="1"/>
  <c r="AB103" i="3" a="1"/>
  <c r="AB103" i="3"/>
  <c r="AA103" i="3" a="1"/>
  <c r="AA103" i="3"/>
  <c r="Z103" i="3" a="1"/>
  <c r="Z103" i="3" s="1"/>
  <c r="Y103" i="3" a="1"/>
  <c r="Y103" i="3" s="1"/>
  <c r="X103" i="3" a="1"/>
  <c r="X103" i="3"/>
  <c r="W103" i="3" a="1"/>
  <c r="W103" i="3" s="1"/>
  <c r="V103" i="3" a="1"/>
  <c r="V103" i="3"/>
  <c r="U103" i="3" a="1"/>
  <c r="U103" i="3"/>
  <c r="T103" i="3" a="1"/>
  <c r="T103" i="3" s="1"/>
  <c r="S103" i="3" a="1"/>
  <c r="S103" i="3" s="1"/>
  <c r="R103" i="3" a="1"/>
  <c r="R103" i="3" s="1"/>
  <c r="Q103" i="3" a="1"/>
  <c r="Q103" i="3" s="1"/>
  <c r="P103" i="3" a="1"/>
  <c r="P103" i="3"/>
  <c r="O103" i="3" a="1"/>
  <c r="O103" i="3"/>
  <c r="N103" i="3" a="1"/>
  <c r="N103" i="3" s="1"/>
  <c r="M103" i="3" a="1"/>
  <c r="M103" i="3" s="1"/>
  <c r="L103" i="3" a="1"/>
  <c r="L103" i="3" s="1"/>
  <c r="K103" i="3" a="1"/>
  <c r="K103" i="3" s="1"/>
  <c r="J103" i="3" a="1"/>
  <c r="J103" i="3"/>
  <c r="I103" i="3" a="1"/>
  <c r="I103" i="3"/>
  <c r="H103" i="3" a="1"/>
  <c r="H103" i="3" s="1"/>
  <c r="G103" i="3" a="1"/>
  <c r="G103" i="3" s="1"/>
  <c r="F103" i="3" a="1"/>
  <c r="F103" i="3" s="1"/>
  <c r="E103" i="3" a="1"/>
  <c r="E103" i="3" s="1"/>
  <c r="D103" i="3" a="1"/>
  <c r="D103" i="3"/>
  <c r="C103" i="3" a="1"/>
  <c r="C103" i="3"/>
  <c r="A103" i="3"/>
  <c r="AD102" i="3" a="1"/>
  <c r="AD102" i="3" s="1"/>
  <c r="AC102" i="3" a="1"/>
  <c r="AC102" i="3"/>
  <c r="AB102" i="3" a="1"/>
  <c r="AB102" i="3" s="1"/>
  <c r="AA102" i="3" a="1"/>
  <c r="AA102" i="3"/>
  <c r="Z102" i="3" a="1"/>
  <c r="Z102" i="3" s="1"/>
  <c r="Y102" i="3" a="1"/>
  <c r="Y102" i="3" s="1"/>
  <c r="X102" i="3" a="1"/>
  <c r="X102" i="3" s="1"/>
  <c r="W102" i="3" a="1"/>
  <c r="W102" i="3" s="1"/>
  <c r="V102" i="3" a="1"/>
  <c r="V102" i="3" s="1"/>
  <c r="U102" i="3" a="1"/>
  <c r="U102" i="3"/>
  <c r="T102" i="3" a="1"/>
  <c r="T102" i="3"/>
  <c r="S102" i="3" a="1"/>
  <c r="S102" i="3"/>
  <c r="R102" i="3" a="1"/>
  <c r="R102" i="3"/>
  <c r="Q102" i="3" a="1"/>
  <c r="Q102" i="3" s="1"/>
  <c r="P102" i="3" a="1"/>
  <c r="P102" i="3" s="1"/>
  <c r="O102" i="3" a="1"/>
  <c r="O102" i="3"/>
  <c r="N102" i="3" a="1"/>
  <c r="N102" i="3"/>
  <c r="M102" i="3" a="1"/>
  <c r="M102" i="3" s="1"/>
  <c r="L102" i="3" a="1"/>
  <c r="L102" i="3" s="1"/>
  <c r="K102" i="3" a="1"/>
  <c r="K102" i="3" s="1"/>
  <c r="J102" i="3" a="1"/>
  <c r="J102" i="3" s="1"/>
  <c r="I102" i="3" a="1"/>
  <c r="I102" i="3"/>
  <c r="H102" i="3" a="1"/>
  <c r="H102" i="3" s="1"/>
  <c r="G102" i="3" a="1"/>
  <c r="G102" i="3"/>
  <c r="F102" i="3" a="1"/>
  <c r="F102" i="3"/>
  <c r="E102" i="3" a="1"/>
  <c r="E102" i="3"/>
  <c r="D102" i="3" a="1"/>
  <c r="D102" i="3" s="1"/>
  <c r="C102" i="3" a="1"/>
  <c r="C102" i="3"/>
  <c r="A102" i="3"/>
  <c r="AD101" i="3" a="1"/>
  <c r="AD101" i="3"/>
  <c r="AC101" i="3" a="1"/>
  <c r="AC101" i="3"/>
  <c r="AB101" i="3" a="1"/>
  <c r="AB101" i="3"/>
  <c r="AA101" i="3" a="1"/>
  <c r="AA101" i="3"/>
  <c r="Z101" i="3" a="1"/>
  <c r="Z101" i="3"/>
  <c r="Y101" i="3" a="1"/>
  <c r="Y101" i="3" s="1"/>
  <c r="X101" i="3" a="1"/>
  <c r="X101" i="3"/>
  <c r="W101" i="3" a="1"/>
  <c r="W101" i="3"/>
  <c r="V101" i="3" a="1"/>
  <c r="V101" i="3"/>
  <c r="U101" i="3" a="1"/>
  <c r="U101" i="3"/>
  <c r="T101" i="3" a="1"/>
  <c r="T101" i="3"/>
  <c r="S101" i="3" a="1"/>
  <c r="S101" i="3" s="1"/>
  <c r="R101" i="3" a="1"/>
  <c r="R101" i="3"/>
  <c r="Q101" i="3" a="1"/>
  <c r="Q101" i="3"/>
  <c r="P101" i="3" a="1"/>
  <c r="P101" i="3"/>
  <c r="O101" i="3" a="1"/>
  <c r="O101" i="3"/>
  <c r="N101" i="3" a="1"/>
  <c r="N101" i="3"/>
  <c r="M101" i="3" a="1"/>
  <c r="M101" i="3" s="1"/>
  <c r="L101" i="3" a="1"/>
  <c r="L101" i="3"/>
  <c r="K101" i="3" a="1"/>
  <c r="K101" i="3"/>
  <c r="J101" i="3" a="1"/>
  <c r="J101" i="3"/>
  <c r="I101" i="3" a="1"/>
  <c r="I101" i="3"/>
  <c r="H101" i="3" a="1"/>
  <c r="H101" i="3"/>
  <c r="G101" i="3" a="1"/>
  <c r="G101" i="3" s="1"/>
  <c r="F101" i="3" a="1"/>
  <c r="F101" i="3"/>
  <c r="E101" i="3" a="1"/>
  <c r="E101" i="3"/>
  <c r="D101" i="3" a="1"/>
  <c r="D101" i="3" s="1"/>
  <c r="C101" i="3" a="1"/>
  <c r="C101" i="3"/>
  <c r="A101" i="3"/>
  <c r="AD100" i="3" a="1"/>
  <c r="AD100" i="3" s="1"/>
  <c r="AC100" i="3" a="1"/>
  <c r="AC100" i="3"/>
  <c r="AB100" i="3" a="1"/>
  <c r="AB100" i="3" s="1"/>
  <c r="AA100" i="3" a="1"/>
  <c r="AA100" i="3" s="1"/>
  <c r="Z100" i="3" a="1"/>
  <c r="Z100" i="3" s="1"/>
  <c r="Y100" i="3" a="1"/>
  <c r="Y100" i="3"/>
  <c r="X100" i="3" a="1"/>
  <c r="X100" i="3" s="1"/>
  <c r="W100" i="3" a="1"/>
  <c r="W100" i="3"/>
  <c r="V100" i="3" a="1"/>
  <c r="V100" i="3"/>
  <c r="U100" i="3" a="1"/>
  <c r="U100" i="3" s="1"/>
  <c r="T100" i="3" a="1"/>
  <c r="T100" i="3" s="1"/>
  <c r="S100" i="3" a="1"/>
  <c r="S100" i="3" s="1"/>
  <c r="R100" i="3" a="1"/>
  <c r="R100" i="3" s="1"/>
  <c r="Q100" i="3" a="1"/>
  <c r="Q100" i="3" s="1"/>
  <c r="P100" i="3" a="1"/>
  <c r="P100" i="3"/>
  <c r="O100" i="3" a="1"/>
  <c r="O100" i="3" s="1"/>
  <c r="N100" i="3" a="1"/>
  <c r="N100" i="3" s="1"/>
  <c r="M100" i="3" a="1"/>
  <c r="M100" i="3" s="1"/>
  <c r="L100" i="3" a="1"/>
  <c r="L100" i="3"/>
  <c r="K100" i="3" a="1"/>
  <c r="K100" i="3" s="1"/>
  <c r="J100" i="3" a="1"/>
  <c r="J100" i="3"/>
  <c r="I100" i="3" a="1"/>
  <c r="I100" i="3" s="1"/>
  <c r="H100" i="3" a="1"/>
  <c r="H100" i="3" s="1"/>
  <c r="G100" i="3" a="1"/>
  <c r="G100" i="3" s="1"/>
  <c r="F100" i="3" a="1"/>
  <c r="F100" i="3" s="1"/>
  <c r="E100" i="3" a="1"/>
  <c r="E100" i="3" s="1"/>
  <c r="D100" i="3" a="1"/>
  <c r="D100" i="3" s="1"/>
  <c r="A100" i="3"/>
  <c r="AD99" i="3" a="1"/>
  <c r="AD99" i="3" s="1"/>
  <c r="AC99" i="3" a="1"/>
  <c r="AC99" i="3" s="1"/>
  <c r="AB99" i="3" a="1"/>
  <c r="AB99" i="3" s="1"/>
  <c r="AA99" i="3" a="1"/>
  <c r="AA99" i="3" s="1"/>
  <c r="Z99" i="3" a="1"/>
  <c r="Z99" i="3"/>
  <c r="Y99" i="3" a="1"/>
  <c r="Y99" i="3" s="1"/>
  <c r="X99" i="3" a="1"/>
  <c r="X99" i="3" s="1"/>
  <c r="W99" i="3" a="1"/>
  <c r="W99" i="3" s="1"/>
  <c r="V99" i="3" a="1"/>
  <c r="V99" i="3" s="1"/>
  <c r="U99" i="3" a="1"/>
  <c r="U99" i="3" s="1"/>
  <c r="T99" i="3" a="1"/>
  <c r="T99" i="3"/>
  <c r="S99" i="3" a="1"/>
  <c r="S99" i="3" s="1"/>
  <c r="R99" i="3" a="1"/>
  <c r="R99" i="3" s="1"/>
  <c r="Q99" i="3" a="1"/>
  <c r="Q99" i="3" s="1"/>
  <c r="P99" i="3" a="1"/>
  <c r="P99" i="3" s="1"/>
  <c r="O99" i="3" a="1"/>
  <c r="O99" i="3" s="1"/>
  <c r="N99" i="3" a="1"/>
  <c r="N99" i="3"/>
  <c r="M99" i="3" a="1"/>
  <c r="M99" i="3" s="1"/>
  <c r="L99" i="3" a="1"/>
  <c r="L99" i="3" s="1"/>
  <c r="K99" i="3" a="1"/>
  <c r="K99" i="3" s="1"/>
  <c r="J99" i="3" a="1"/>
  <c r="J99" i="3" s="1"/>
  <c r="I99" i="3" a="1"/>
  <c r="I99" i="3" s="1"/>
  <c r="H99" i="3" a="1"/>
  <c r="H99" i="3"/>
  <c r="G99" i="3" a="1"/>
  <c r="G99" i="3" s="1"/>
  <c r="F99" i="3" a="1"/>
  <c r="F99" i="3" s="1"/>
  <c r="E99" i="3" a="1"/>
  <c r="E99" i="3" s="1"/>
  <c r="D99" i="3" a="1"/>
  <c r="D99" i="3" s="1"/>
  <c r="C99" i="3" a="1"/>
  <c r="C99" i="3" s="1"/>
  <c r="A99" i="3"/>
  <c r="AD98" i="3" a="1"/>
  <c r="AD98" i="3" s="1"/>
  <c r="AC98" i="3" a="1"/>
  <c r="AC98" i="3" s="1"/>
  <c r="AB98" i="3" a="1"/>
  <c r="AB98" i="3" s="1"/>
  <c r="AA98" i="3" a="1"/>
  <c r="AA98" i="3" s="1"/>
  <c r="Z98" i="3" a="1"/>
  <c r="Z98" i="3" s="1"/>
  <c r="Y98" i="3" a="1"/>
  <c r="Y98" i="3"/>
  <c r="X98" i="3" a="1"/>
  <c r="X98" i="3"/>
  <c r="W98" i="3" a="1"/>
  <c r="W98" i="3"/>
  <c r="V98" i="3" a="1"/>
  <c r="V98" i="3"/>
  <c r="U98" i="3" a="1"/>
  <c r="U98" i="3"/>
  <c r="T98" i="3" a="1"/>
  <c r="T98" i="3" s="1"/>
  <c r="S98" i="3" a="1"/>
  <c r="S98" i="3" s="1"/>
  <c r="R98" i="3" a="1"/>
  <c r="R98" i="3"/>
  <c r="Q98" i="3" a="1"/>
  <c r="Q98" i="3" s="1"/>
  <c r="P98" i="3" a="1"/>
  <c r="P98" i="3" s="1"/>
  <c r="O98" i="3" a="1"/>
  <c r="O98" i="3" s="1"/>
  <c r="N98" i="3" a="1"/>
  <c r="N98" i="3" s="1"/>
  <c r="M98" i="3" a="1"/>
  <c r="M98" i="3"/>
  <c r="L98" i="3" a="1"/>
  <c r="L98" i="3"/>
  <c r="K98" i="3" a="1"/>
  <c r="K98" i="3"/>
  <c r="J98" i="3" a="1"/>
  <c r="J98" i="3"/>
  <c r="I98" i="3" a="1"/>
  <c r="I98" i="3"/>
  <c r="H98" i="3" a="1"/>
  <c r="H98" i="3" s="1"/>
  <c r="G98" i="3" a="1"/>
  <c r="G98" i="3" s="1"/>
  <c r="F98" i="3" a="1"/>
  <c r="F98" i="3" s="1"/>
  <c r="E98" i="3" a="1"/>
  <c r="E98" i="3"/>
  <c r="D98" i="3" a="1"/>
  <c r="D98" i="3" s="1"/>
  <c r="C98" i="3" a="1"/>
  <c r="C98" i="3" s="1"/>
  <c r="A98" i="3"/>
  <c r="AD97" i="3" a="1"/>
  <c r="AD97" i="3" s="1"/>
  <c r="AC97" i="3" a="1"/>
  <c r="AC97" i="3" s="1"/>
  <c r="AB97" i="3" a="1"/>
  <c r="AB97" i="3"/>
  <c r="AA97" i="3" a="1"/>
  <c r="AA97" i="3" s="1"/>
  <c r="Z97" i="3" a="1"/>
  <c r="Z97" i="3" s="1"/>
  <c r="Y97" i="3" a="1"/>
  <c r="Y97" i="3"/>
  <c r="X97" i="3" a="1"/>
  <c r="X97" i="3" s="1"/>
  <c r="W97" i="3" a="1"/>
  <c r="W97" i="3" s="1"/>
  <c r="V97" i="3" a="1"/>
  <c r="V97" i="3"/>
  <c r="U97" i="3" a="1"/>
  <c r="U97" i="3" s="1"/>
  <c r="T97" i="3" a="1"/>
  <c r="T97" i="3" s="1"/>
  <c r="S97" i="3" a="1"/>
  <c r="S97" i="3"/>
  <c r="R97" i="3" a="1"/>
  <c r="R97" i="3" s="1"/>
  <c r="Q97" i="3" a="1"/>
  <c r="Q97" i="3" s="1"/>
  <c r="P97" i="3" a="1"/>
  <c r="P97" i="3"/>
  <c r="O97" i="3" a="1"/>
  <c r="O97" i="3" s="1"/>
  <c r="N97" i="3" a="1"/>
  <c r="N97" i="3" s="1"/>
  <c r="M97" i="3" a="1"/>
  <c r="M97" i="3"/>
  <c r="L97" i="3" a="1"/>
  <c r="L97" i="3" s="1"/>
  <c r="K97" i="3" a="1"/>
  <c r="K97" i="3" s="1"/>
  <c r="J97" i="3" a="1"/>
  <c r="J97" i="3"/>
  <c r="I97" i="3" a="1"/>
  <c r="I97" i="3" s="1"/>
  <c r="H97" i="3" a="1"/>
  <c r="H97" i="3" s="1"/>
  <c r="G97" i="3" a="1"/>
  <c r="G97" i="3"/>
  <c r="F97" i="3" a="1"/>
  <c r="F97" i="3" s="1"/>
  <c r="E97" i="3" a="1"/>
  <c r="E97" i="3" s="1"/>
  <c r="D97" i="3" a="1"/>
  <c r="D97" i="3"/>
  <c r="C97" i="3" a="1"/>
  <c r="C97" i="3" s="1"/>
  <c r="A97" i="3"/>
  <c r="AD96" i="3" a="1"/>
  <c r="AD96" i="3"/>
  <c r="AC96" i="3" a="1"/>
  <c r="AC96" i="3"/>
  <c r="AB96" i="3" a="1"/>
  <c r="AB96" i="3"/>
  <c r="AA96" i="3" a="1"/>
  <c r="AA96" i="3"/>
  <c r="Z96" i="3" a="1"/>
  <c r="Z96" i="3"/>
  <c r="Y96" i="3" a="1"/>
  <c r="Y96" i="3" s="1"/>
  <c r="X96" i="3" a="1"/>
  <c r="X96" i="3" s="1"/>
  <c r="W96" i="3" a="1"/>
  <c r="W96" i="3" s="1"/>
  <c r="V96" i="3" a="1"/>
  <c r="V96" i="3" s="1"/>
  <c r="U96" i="3" a="1"/>
  <c r="U96" i="3"/>
  <c r="T96" i="3" a="1"/>
  <c r="T96" i="3" s="1"/>
  <c r="S96" i="3" a="1"/>
  <c r="S96" i="3" s="1"/>
  <c r="R96" i="3" a="1"/>
  <c r="R96" i="3"/>
  <c r="Q96" i="3" a="1"/>
  <c r="Q96" i="3"/>
  <c r="P96" i="3" a="1"/>
  <c r="P96" i="3"/>
  <c r="O96" i="3" a="1"/>
  <c r="O96" i="3"/>
  <c r="N96" i="3" a="1"/>
  <c r="N96" i="3"/>
  <c r="M96" i="3" a="1"/>
  <c r="M96" i="3" s="1"/>
  <c r="L96" i="3" a="1"/>
  <c r="L96" i="3" s="1"/>
  <c r="K96" i="3" a="1"/>
  <c r="K96" i="3" s="1"/>
  <c r="J96" i="3" a="1"/>
  <c r="J96" i="3" s="1"/>
  <c r="I96" i="3" a="1"/>
  <c r="I96" i="3" s="1"/>
  <c r="H96" i="3" a="1"/>
  <c r="H96" i="3"/>
  <c r="G96" i="3" a="1"/>
  <c r="G96" i="3" s="1"/>
  <c r="F96" i="3" a="1"/>
  <c r="F96" i="3"/>
  <c r="E96" i="3" a="1"/>
  <c r="E96" i="3"/>
  <c r="D96" i="3" a="1"/>
  <c r="D96" i="3"/>
  <c r="C96" i="3" a="1"/>
  <c r="C96" i="3"/>
  <c r="A96" i="3"/>
  <c r="AD95" i="3" a="1"/>
  <c r="AD95" i="3"/>
  <c r="AC95" i="3" a="1"/>
  <c r="AC95" i="3" s="1"/>
  <c r="AB95" i="3" a="1"/>
  <c r="AB95" i="3" s="1"/>
  <c r="AA95" i="3" a="1"/>
  <c r="AA95" i="3" s="1"/>
  <c r="Z95" i="3" a="1"/>
  <c r="Z95" i="3" s="1"/>
  <c r="Y95" i="3" a="1"/>
  <c r="Y95" i="3"/>
  <c r="X95" i="3" a="1"/>
  <c r="X95" i="3"/>
  <c r="W95" i="3" a="1"/>
  <c r="W95" i="3" s="1"/>
  <c r="V95" i="3" a="1"/>
  <c r="V95" i="3" s="1"/>
  <c r="U95" i="3" a="1"/>
  <c r="U95" i="3" s="1"/>
  <c r="T95" i="3" a="1"/>
  <c r="T95" i="3" s="1"/>
  <c r="S95" i="3" a="1"/>
  <c r="S95" i="3"/>
  <c r="R95" i="3" a="1"/>
  <c r="R95" i="3"/>
  <c r="Q95" i="3" a="1"/>
  <c r="Q95" i="3" s="1"/>
  <c r="P95" i="3" a="1"/>
  <c r="P95" i="3" s="1"/>
  <c r="O95" i="3" a="1"/>
  <c r="O95" i="3" s="1"/>
  <c r="N95" i="3" a="1"/>
  <c r="N95" i="3" s="1"/>
  <c r="M95" i="3" a="1"/>
  <c r="M95" i="3"/>
  <c r="L95" i="3" a="1"/>
  <c r="L95" i="3"/>
  <c r="K95" i="3" a="1"/>
  <c r="K95" i="3" s="1"/>
  <c r="J95" i="3" a="1"/>
  <c r="J95" i="3" s="1"/>
  <c r="I95" i="3" a="1"/>
  <c r="I95" i="3" s="1"/>
  <c r="H95" i="3" a="1"/>
  <c r="H95" i="3" s="1"/>
  <c r="G95" i="3" a="1"/>
  <c r="G95" i="3"/>
  <c r="F95" i="3" a="1"/>
  <c r="F95" i="3"/>
  <c r="E95" i="3" a="1"/>
  <c r="E95" i="3" s="1"/>
  <c r="D95" i="3" a="1"/>
  <c r="D95" i="3" s="1"/>
  <c r="C95" i="3" a="1"/>
  <c r="C95" i="3" s="1"/>
  <c r="A95" i="3"/>
  <c r="AD94" i="3" a="1"/>
  <c r="AD94" i="3" s="1"/>
  <c r="AC94" i="3" a="1"/>
  <c r="AC94" i="3" s="1"/>
  <c r="AB94" i="3" a="1"/>
  <c r="AB94" i="3" s="1"/>
  <c r="AA94" i="3" a="1"/>
  <c r="AA94" i="3" s="1"/>
  <c r="Z94" i="3" a="1"/>
  <c r="Z94" i="3" s="1"/>
  <c r="Y94" i="3" a="1"/>
  <c r="Y94" i="3" s="1"/>
  <c r="X94" i="3" a="1"/>
  <c r="X94" i="3" s="1"/>
  <c r="W94" i="3" a="1"/>
  <c r="W94" i="3"/>
  <c r="V94" i="3" a="1"/>
  <c r="V94" i="3"/>
  <c r="U94" i="3" a="1"/>
  <c r="U94" i="3"/>
  <c r="T94" i="3" a="1"/>
  <c r="T94" i="3"/>
  <c r="S94" i="3" a="1"/>
  <c r="S94" i="3"/>
  <c r="R94" i="3" a="1"/>
  <c r="R94" i="3" s="1"/>
  <c r="Q94" i="3" a="1"/>
  <c r="Q94" i="3"/>
  <c r="P94" i="3" a="1"/>
  <c r="P94" i="3" s="1"/>
  <c r="O94" i="3" a="1"/>
  <c r="O94" i="3" s="1"/>
  <c r="N94" i="3" a="1"/>
  <c r="N94" i="3" s="1"/>
  <c r="M94" i="3" a="1"/>
  <c r="M94" i="3" s="1"/>
  <c r="L94" i="3" a="1"/>
  <c r="L94" i="3" s="1"/>
  <c r="K94" i="3" a="1"/>
  <c r="K94" i="3"/>
  <c r="J94" i="3" a="1"/>
  <c r="J94" i="3"/>
  <c r="I94" i="3" a="1"/>
  <c r="I94" i="3"/>
  <c r="H94" i="3" a="1"/>
  <c r="H94" i="3"/>
  <c r="G94" i="3" a="1"/>
  <c r="G94" i="3"/>
  <c r="F94" i="3" a="1"/>
  <c r="F94" i="3" s="1"/>
  <c r="E94" i="3" a="1"/>
  <c r="E94" i="3" s="1"/>
  <c r="D94" i="3" a="1"/>
  <c r="D94" i="3"/>
  <c r="A94" i="3"/>
  <c r="AD93" i="3" a="1"/>
  <c r="AD93" i="3"/>
  <c r="AC93" i="3" a="1"/>
  <c r="AC93" i="3"/>
  <c r="AB93" i="3" a="1"/>
  <c r="AB93" i="3"/>
  <c r="AA93" i="3" a="1"/>
  <c r="AA93" i="3"/>
  <c r="Z93" i="3" a="1"/>
  <c r="Z93" i="3"/>
  <c r="Y93" i="3" a="1"/>
  <c r="Y93" i="3"/>
  <c r="X93" i="3" a="1"/>
  <c r="X93" i="3"/>
  <c r="W93" i="3" a="1"/>
  <c r="W93" i="3"/>
  <c r="V93" i="3" a="1"/>
  <c r="V93" i="3"/>
  <c r="U93" i="3" a="1"/>
  <c r="U93" i="3"/>
  <c r="T93" i="3" a="1"/>
  <c r="T93" i="3"/>
  <c r="S93" i="3" a="1"/>
  <c r="S93" i="3"/>
  <c r="R93" i="3" a="1"/>
  <c r="R93" i="3"/>
  <c r="Q93" i="3" a="1"/>
  <c r="Q93" i="3"/>
  <c r="P93" i="3" a="1"/>
  <c r="P93" i="3"/>
  <c r="O93" i="3" a="1"/>
  <c r="O93" i="3"/>
  <c r="N93" i="3" a="1"/>
  <c r="N93" i="3"/>
  <c r="M93" i="3" a="1"/>
  <c r="M93" i="3"/>
  <c r="L93" i="3" a="1"/>
  <c r="L93" i="3"/>
  <c r="K93" i="3" a="1"/>
  <c r="K93" i="3"/>
  <c r="J93" i="3" a="1"/>
  <c r="J93" i="3"/>
  <c r="I93" i="3" a="1"/>
  <c r="I93" i="3"/>
  <c r="H93" i="3" a="1"/>
  <c r="H93" i="3"/>
  <c r="G93" i="3" a="1"/>
  <c r="G93" i="3"/>
  <c r="F93" i="3" a="1"/>
  <c r="F93" i="3"/>
  <c r="E93" i="3" a="1"/>
  <c r="E93" i="3"/>
  <c r="D93" i="3" a="1"/>
  <c r="D93" i="3"/>
  <c r="C93" i="3" a="1"/>
  <c r="C93" i="3"/>
  <c r="A93" i="3"/>
  <c r="AD92" i="3" a="1"/>
  <c r="AD92" i="3" s="1"/>
  <c r="AC92" i="3" a="1"/>
  <c r="AC92" i="3" s="1"/>
  <c r="AB92" i="3" a="1"/>
  <c r="AB92" i="3"/>
  <c r="AA92" i="3" a="1"/>
  <c r="AA92" i="3"/>
  <c r="Z92" i="3" a="1"/>
  <c r="Z92" i="3"/>
  <c r="Y92" i="3" a="1"/>
  <c r="Y92" i="3"/>
  <c r="X92" i="3" a="1"/>
  <c r="X92" i="3"/>
  <c r="W92" i="3" a="1"/>
  <c r="W92" i="3" s="1"/>
  <c r="V92" i="3" a="1"/>
  <c r="V92" i="3" s="1"/>
  <c r="U92" i="3" a="1"/>
  <c r="U92" i="3" s="1"/>
  <c r="T92" i="3" a="1"/>
  <c r="T92" i="3"/>
  <c r="S92" i="3" a="1"/>
  <c r="S92" i="3" s="1"/>
  <c r="R92" i="3" a="1"/>
  <c r="R92" i="3" s="1"/>
  <c r="Q92" i="3" a="1"/>
  <c r="Q92" i="3" s="1"/>
  <c r="P92" i="3" a="1"/>
  <c r="P92" i="3"/>
  <c r="O92" i="3" a="1"/>
  <c r="O92" i="3"/>
  <c r="N92" i="3" a="1"/>
  <c r="N92" i="3"/>
  <c r="M92" i="3" a="1"/>
  <c r="M92" i="3"/>
  <c r="L92" i="3" a="1"/>
  <c r="L92" i="3"/>
  <c r="K92" i="3" a="1"/>
  <c r="K92" i="3" s="1"/>
  <c r="J92" i="3" a="1"/>
  <c r="J92" i="3" s="1"/>
  <c r="I92" i="3" a="1"/>
  <c r="I92" i="3" s="1"/>
  <c r="H92" i="3" a="1"/>
  <c r="H92" i="3" s="1"/>
  <c r="G92" i="3" a="1"/>
  <c r="G92" i="3"/>
  <c r="F92" i="3" a="1"/>
  <c r="F92" i="3" s="1"/>
  <c r="E92" i="3" a="1"/>
  <c r="E92" i="3" s="1"/>
  <c r="D92" i="3" a="1"/>
  <c r="D92" i="3"/>
  <c r="C92" i="3" a="1"/>
  <c r="C92" i="3"/>
  <c r="A92" i="3"/>
  <c r="AD91" i="3" a="1"/>
  <c r="AD91" i="3"/>
  <c r="AC91" i="3" a="1"/>
  <c r="AC91" i="3" s="1"/>
  <c r="AB91" i="3" a="1"/>
  <c r="AB91" i="3"/>
  <c r="AA91" i="3" a="1"/>
  <c r="AA91" i="3" s="1"/>
  <c r="Z91" i="3" a="1"/>
  <c r="Z91" i="3" s="1"/>
  <c r="Y91" i="3" a="1"/>
  <c r="Y91" i="3" s="1"/>
  <c r="X91" i="3" a="1"/>
  <c r="X91" i="3"/>
  <c r="W91" i="3" a="1"/>
  <c r="W91" i="3" s="1"/>
  <c r="V91" i="3" a="1"/>
  <c r="V91" i="3"/>
  <c r="U91" i="3" a="1"/>
  <c r="U91" i="3" s="1"/>
  <c r="T91" i="3" a="1"/>
  <c r="T91" i="3" s="1"/>
  <c r="S91" i="3" a="1"/>
  <c r="S91" i="3" s="1"/>
  <c r="R91" i="3" a="1"/>
  <c r="R91" i="3"/>
  <c r="Q91" i="3" a="1"/>
  <c r="Q91" i="3" s="1"/>
  <c r="P91" i="3" a="1"/>
  <c r="P91" i="3"/>
  <c r="O91" i="3" a="1"/>
  <c r="O91" i="3" s="1"/>
  <c r="N91" i="3" a="1"/>
  <c r="N91" i="3" s="1"/>
  <c r="M91" i="3" a="1"/>
  <c r="M91" i="3" s="1"/>
  <c r="L91" i="3" a="1"/>
  <c r="L91" i="3"/>
  <c r="K91" i="3" a="1"/>
  <c r="K91" i="3" s="1"/>
  <c r="J91" i="3" a="1"/>
  <c r="J91" i="3"/>
  <c r="I91" i="3" a="1"/>
  <c r="I91" i="3" s="1"/>
  <c r="H91" i="3" a="1"/>
  <c r="H91" i="3" s="1"/>
  <c r="G91" i="3" a="1"/>
  <c r="G91" i="3" s="1"/>
  <c r="F91" i="3" a="1"/>
  <c r="F91" i="3"/>
  <c r="E91" i="3" a="1"/>
  <c r="E91" i="3" s="1"/>
  <c r="D91" i="3" a="1"/>
  <c r="D91" i="3"/>
  <c r="C91" i="3" a="1"/>
  <c r="C91" i="3" s="1"/>
  <c r="A91" i="3"/>
  <c r="AD90" i="3" a="1"/>
  <c r="AD90" i="3"/>
  <c r="AC90" i="3" a="1"/>
  <c r="AC90" i="3"/>
  <c r="AB90" i="3" a="1"/>
  <c r="AB90" i="3" s="1"/>
  <c r="AA90" i="3" a="1"/>
  <c r="AA90" i="3" s="1"/>
  <c r="Z90" i="3" a="1"/>
  <c r="Z90" i="3" s="1"/>
  <c r="Y90" i="3" a="1"/>
  <c r="Y90" i="3" s="1"/>
  <c r="X90" i="3" a="1"/>
  <c r="X90" i="3" s="1"/>
  <c r="W90" i="3" a="1"/>
  <c r="W90" i="3"/>
  <c r="V90" i="3" a="1"/>
  <c r="V90" i="3" s="1"/>
  <c r="U90" i="3" a="1"/>
  <c r="U90" i="3"/>
  <c r="T90" i="3" a="1"/>
  <c r="T90" i="3"/>
  <c r="S90" i="3" a="1"/>
  <c r="S90" i="3"/>
  <c r="R90" i="3" a="1"/>
  <c r="R90" i="3"/>
  <c r="Q90" i="3" a="1"/>
  <c r="Q90" i="3"/>
  <c r="P90" i="3" a="1"/>
  <c r="P90" i="3" s="1"/>
  <c r="O90" i="3" a="1"/>
  <c r="O90" i="3" s="1"/>
  <c r="N90" i="3" a="1"/>
  <c r="N90" i="3" s="1"/>
  <c r="M90" i="3" a="1"/>
  <c r="M90" i="3" s="1"/>
  <c r="L90" i="3" a="1"/>
  <c r="L90" i="3" s="1"/>
  <c r="K90" i="3" a="1"/>
  <c r="K90" i="3" s="1"/>
  <c r="J90" i="3" a="1"/>
  <c r="J90" i="3" s="1"/>
  <c r="I90" i="3" a="1"/>
  <c r="I90" i="3"/>
  <c r="H90" i="3" a="1"/>
  <c r="H90" i="3"/>
  <c r="G90" i="3" a="1"/>
  <c r="G90" i="3"/>
  <c r="F90" i="3" a="1"/>
  <c r="F90" i="3"/>
  <c r="E90" i="3" a="1"/>
  <c r="E90" i="3"/>
  <c r="D90" i="3" a="1"/>
  <c r="D90" i="3" s="1"/>
  <c r="C90" i="3" a="1"/>
  <c r="C90" i="3"/>
  <c r="A90" i="3"/>
  <c r="AD89" i="3" a="1"/>
  <c r="AD89" i="3"/>
  <c r="AC89" i="3" a="1"/>
  <c r="AC89" i="3"/>
  <c r="AB89" i="3" a="1"/>
  <c r="AB89" i="3"/>
  <c r="AA89" i="3" a="1"/>
  <c r="AA89" i="3"/>
  <c r="Z89" i="3" a="1"/>
  <c r="Z89" i="3"/>
  <c r="Y89" i="3" a="1"/>
  <c r="Y89" i="3"/>
  <c r="X89" i="3" a="1"/>
  <c r="X89" i="3"/>
  <c r="W89" i="3" a="1"/>
  <c r="W89" i="3"/>
  <c r="V89" i="3" a="1"/>
  <c r="V89" i="3"/>
  <c r="U89" i="3" a="1"/>
  <c r="U89" i="3"/>
  <c r="T89" i="3" a="1"/>
  <c r="T89" i="3"/>
  <c r="S89" i="3" a="1"/>
  <c r="S89" i="3"/>
  <c r="R89" i="3" a="1"/>
  <c r="R89" i="3"/>
  <c r="Q89" i="3" a="1"/>
  <c r="Q89" i="3"/>
  <c r="P89" i="3" a="1"/>
  <c r="P89" i="3"/>
  <c r="O89" i="3" a="1"/>
  <c r="O89" i="3"/>
  <c r="N89" i="3" a="1"/>
  <c r="N89" i="3"/>
  <c r="M89" i="3" a="1"/>
  <c r="M89" i="3"/>
  <c r="L89" i="3" a="1"/>
  <c r="L89" i="3"/>
  <c r="K89" i="3" a="1"/>
  <c r="K89" i="3"/>
  <c r="J89" i="3" a="1"/>
  <c r="J89" i="3"/>
  <c r="I89" i="3" a="1"/>
  <c r="I89" i="3"/>
  <c r="H89" i="3" a="1"/>
  <c r="H89" i="3"/>
  <c r="G89" i="3" a="1"/>
  <c r="G89" i="3"/>
  <c r="F89" i="3" a="1"/>
  <c r="F89" i="3"/>
  <c r="E89" i="3" a="1"/>
  <c r="E89" i="3"/>
  <c r="D89" i="3" a="1"/>
  <c r="D89" i="3"/>
  <c r="C89" i="3" a="1"/>
  <c r="C89" i="3"/>
  <c r="A89" i="3"/>
  <c r="AD88" i="3" a="1"/>
  <c r="AD88" i="3" s="1"/>
  <c r="AC88" i="3" a="1"/>
  <c r="AC88" i="3" s="1"/>
  <c r="AB88" i="3" a="1"/>
  <c r="AB88" i="3" s="1"/>
  <c r="AA88" i="3" a="1"/>
  <c r="AA88" i="3" s="1"/>
  <c r="Z88" i="3" a="1"/>
  <c r="Z88" i="3"/>
  <c r="Y88" i="3" a="1"/>
  <c r="Y88" i="3" s="1"/>
  <c r="X88" i="3" a="1"/>
  <c r="X88" i="3"/>
  <c r="W88" i="3" a="1"/>
  <c r="W88" i="3"/>
  <c r="V88" i="3" a="1"/>
  <c r="V88" i="3"/>
  <c r="U88" i="3" a="1"/>
  <c r="U88" i="3" s="1"/>
  <c r="T88" i="3" a="1"/>
  <c r="T88" i="3" s="1"/>
  <c r="S88" i="3" a="1"/>
  <c r="S88" i="3"/>
  <c r="R88" i="3" a="1"/>
  <c r="R88" i="3" s="1"/>
  <c r="Q88" i="3" a="1"/>
  <c r="Q88" i="3" s="1"/>
  <c r="P88" i="3" a="1"/>
  <c r="P88" i="3" s="1"/>
  <c r="O88" i="3" a="1"/>
  <c r="O88" i="3" s="1"/>
  <c r="N88" i="3" a="1"/>
  <c r="N88" i="3"/>
  <c r="M88" i="3" a="1"/>
  <c r="M88" i="3"/>
  <c r="L88" i="3" a="1"/>
  <c r="L88" i="3" s="1"/>
  <c r="K88" i="3" a="1"/>
  <c r="K88" i="3"/>
  <c r="J88" i="3" a="1"/>
  <c r="J88" i="3"/>
  <c r="I88" i="3" a="1"/>
  <c r="I88" i="3" s="1"/>
  <c r="H88" i="3" a="1"/>
  <c r="H88" i="3" s="1"/>
  <c r="G88" i="3" a="1"/>
  <c r="G88" i="3" s="1"/>
  <c r="F88" i="3" a="1"/>
  <c r="F88" i="3"/>
  <c r="E88" i="3" a="1"/>
  <c r="E88" i="3" s="1"/>
  <c r="D88" i="3" a="1"/>
  <c r="D88" i="3" s="1"/>
  <c r="C88" i="3" a="1"/>
  <c r="C88" i="3" s="1"/>
  <c r="A88" i="3"/>
  <c r="AD87" i="3" a="1"/>
  <c r="AD87" i="3"/>
  <c r="AC87" i="3" a="1"/>
  <c r="AC87" i="3" s="1"/>
  <c r="AB87" i="3" a="1"/>
  <c r="AB87" i="3"/>
  <c r="AA87" i="3" a="1"/>
  <c r="AA87" i="3"/>
  <c r="Z87" i="3" a="1"/>
  <c r="Z87" i="3"/>
  <c r="Y87" i="3" a="1"/>
  <c r="Y87" i="3"/>
  <c r="X87" i="3" a="1"/>
  <c r="X87" i="3"/>
  <c r="W87" i="3" a="1"/>
  <c r="W87" i="3" s="1"/>
  <c r="V87" i="3" a="1"/>
  <c r="V87" i="3"/>
  <c r="U87" i="3" a="1"/>
  <c r="U87" i="3"/>
  <c r="T87" i="3" a="1"/>
  <c r="T87" i="3"/>
  <c r="S87" i="3" a="1"/>
  <c r="S87" i="3"/>
  <c r="R87" i="3" a="1"/>
  <c r="R87" i="3"/>
  <c r="Q87" i="3" a="1"/>
  <c r="Q87" i="3" s="1"/>
  <c r="P87" i="3" a="1"/>
  <c r="P87" i="3"/>
  <c r="O87" i="3" a="1"/>
  <c r="O87" i="3"/>
  <c r="N87" i="3" a="1"/>
  <c r="N87" i="3"/>
  <c r="M87" i="3" a="1"/>
  <c r="M87" i="3"/>
  <c r="L87" i="3" a="1"/>
  <c r="L87" i="3"/>
  <c r="K87" i="3" a="1"/>
  <c r="K87" i="3" s="1"/>
  <c r="J87" i="3" a="1"/>
  <c r="J87" i="3"/>
  <c r="I87" i="3" a="1"/>
  <c r="I87" i="3"/>
  <c r="H87" i="3" a="1"/>
  <c r="H87" i="3"/>
  <c r="G87" i="3" a="1"/>
  <c r="G87" i="3"/>
  <c r="F87" i="3" a="1"/>
  <c r="F87" i="3" s="1"/>
  <c r="E87" i="3" a="1"/>
  <c r="E87" i="3" s="1"/>
  <c r="D87" i="3" a="1"/>
  <c r="D87" i="3"/>
  <c r="C87" i="3" a="1"/>
  <c r="C87" i="3"/>
  <c r="A87" i="3"/>
  <c r="AD86" i="3" a="1"/>
  <c r="AD86" i="3" s="1"/>
  <c r="AC86" i="3" a="1"/>
  <c r="AC86" i="3"/>
  <c r="AB86" i="3" a="1"/>
  <c r="AB86" i="3" s="1"/>
  <c r="AA86" i="3" a="1"/>
  <c r="AA86" i="3" s="1"/>
  <c r="Z86" i="3" a="1"/>
  <c r="Z86" i="3" s="1"/>
  <c r="Y86" i="3" a="1"/>
  <c r="Y86" i="3" s="1"/>
  <c r="X86" i="3" a="1"/>
  <c r="X86" i="3" s="1"/>
  <c r="W86" i="3" a="1"/>
  <c r="W86" i="3"/>
  <c r="V86" i="3" a="1"/>
  <c r="V86" i="3" s="1"/>
  <c r="U86" i="3" a="1"/>
  <c r="U86" i="3" s="1"/>
  <c r="T86" i="3" a="1"/>
  <c r="T86" i="3" s="1"/>
  <c r="S86" i="3" a="1"/>
  <c r="S86" i="3" s="1"/>
  <c r="R86" i="3" a="1"/>
  <c r="R86" i="3" s="1"/>
  <c r="Q86" i="3" a="1"/>
  <c r="Q86" i="3"/>
  <c r="P86" i="3" a="1"/>
  <c r="P86" i="3" s="1"/>
  <c r="O86" i="3" a="1"/>
  <c r="O86" i="3" s="1"/>
  <c r="N86" i="3" a="1"/>
  <c r="N86" i="3" s="1"/>
  <c r="M86" i="3" a="1"/>
  <c r="M86" i="3" s="1"/>
  <c r="L86" i="3" a="1"/>
  <c r="L86" i="3" s="1"/>
  <c r="K86" i="3" a="1"/>
  <c r="K86" i="3"/>
  <c r="J86" i="3" a="1"/>
  <c r="J86" i="3" s="1"/>
  <c r="I86" i="3" a="1"/>
  <c r="I86" i="3" s="1"/>
  <c r="H86" i="3" a="1"/>
  <c r="H86" i="3" s="1"/>
  <c r="G86" i="3" a="1"/>
  <c r="G86" i="3" s="1"/>
  <c r="F86" i="3" a="1"/>
  <c r="F86" i="3" s="1"/>
  <c r="E86" i="3" a="1"/>
  <c r="E86" i="3"/>
  <c r="D86" i="3" a="1"/>
  <c r="D86" i="3" s="1"/>
  <c r="C86" i="3" a="1"/>
  <c r="C86" i="3" s="1"/>
  <c r="A86" i="3"/>
  <c r="AD85" i="3" a="1"/>
  <c r="AD85" i="3"/>
  <c r="AC85" i="3" a="1"/>
  <c r="AC85" i="3"/>
  <c r="AB85" i="3" a="1"/>
  <c r="AB85" i="3" s="1"/>
  <c r="AA85" i="3" a="1"/>
  <c r="AA85" i="3"/>
  <c r="Z85" i="3" a="1"/>
  <c r="Z85" i="3"/>
  <c r="Y85" i="3" a="1"/>
  <c r="Y85" i="3"/>
  <c r="X85" i="3" a="1"/>
  <c r="X85" i="3"/>
  <c r="W85" i="3" a="1"/>
  <c r="W85" i="3"/>
  <c r="V85" i="3" a="1"/>
  <c r="V85" i="3" s="1"/>
  <c r="U85" i="3" a="1"/>
  <c r="U85" i="3"/>
  <c r="T85" i="3" a="1"/>
  <c r="T85" i="3"/>
  <c r="S85" i="3" a="1"/>
  <c r="S85" i="3"/>
  <c r="R85" i="3" a="1"/>
  <c r="R85" i="3"/>
  <c r="Q85" i="3" a="1"/>
  <c r="Q85" i="3"/>
  <c r="P85" i="3" a="1"/>
  <c r="P85" i="3" s="1"/>
  <c r="O85" i="3" a="1"/>
  <c r="O85" i="3"/>
  <c r="N85" i="3" a="1"/>
  <c r="N85" i="3"/>
  <c r="M85" i="3" a="1"/>
  <c r="M85" i="3"/>
  <c r="L85" i="3" a="1"/>
  <c r="L85" i="3"/>
  <c r="K85" i="3" a="1"/>
  <c r="K85" i="3" s="1"/>
  <c r="J85" i="3" a="1"/>
  <c r="J85" i="3" s="1"/>
  <c r="I85" i="3" a="1"/>
  <c r="I85" i="3"/>
  <c r="H85" i="3" a="1"/>
  <c r="H85" i="3"/>
  <c r="G85" i="3" a="1"/>
  <c r="G85" i="3"/>
  <c r="F85" i="3" a="1"/>
  <c r="F85" i="3"/>
  <c r="E85" i="3" a="1"/>
  <c r="E85" i="3" s="1"/>
  <c r="D85" i="3" a="1"/>
  <c r="D85" i="3" s="1"/>
  <c r="C85" i="3" a="1"/>
  <c r="C85" i="3"/>
  <c r="A85" i="3"/>
  <c r="AD84" i="3" a="1"/>
  <c r="AD84" i="3" s="1"/>
  <c r="AC84" i="3" a="1"/>
  <c r="AC84" i="3" s="1"/>
  <c r="AB84" i="3" a="1"/>
  <c r="AB84" i="3"/>
  <c r="AA84" i="3" a="1"/>
  <c r="AA84" i="3" s="1"/>
  <c r="Z84" i="3" a="1"/>
  <c r="Z84" i="3" s="1"/>
  <c r="Y84" i="3" a="1"/>
  <c r="Y84" i="3" s="1"/>
  <c r="X84" i="3" a="1"/>
  <c r="X84" i="3" s="1"/>
  <c r="W84" i="3" a="1"/>
  <c r="W84" i="3" s="1"/>
  <c r="V84" i="3" a="1"/>
  <c r="V84" i="3"/>
  <c r="U84" i="3" a="1"/>
  <c r="U84" i="3" s="1"/>
  <c r="T84" i="3" a="1"/>
  <c r="T84" i="3" s="1"/>
  <c r="S84" i="3" a="1"/>
  <c r="S84" i="3" s="1"/>
  <c r="R84" i="3" a="1"/>
  <c r="R84" i="3" s="1"/>
  <c r="Q84" i="3" a="1"/>
  <c r="Q84" i="3" s="1"/>
  <c r="P84" i="3" a="1"/>
  <c r="P84" i="3"/>
  <c r="O84" i="3" a="1"/>
  <c r="O84" i="3" s="1"/>
  <c r="N84" i="3" a="1"/>
  <c r="N84" i="3" s="1"/>
  <c r="M84" i="3" a="1"/>
  <c r="M84" i="3" s="1"/>
  <c r="L84" i="3" a="1"/>
  <c r="L84" i="3" s="1"/>
  <c r="K84" i="3" a="1"/>
  <c r="K84" i="3" s="1"/>
  <c r="J84" i="3" a="1"/>
  <c r="J84" i="3"/>
  <c r="I84" i="3" a="1"/>
  <c r="I84" i="3" s="1"/>
  <c r="H84" i="3" a="1"/>
  <c r="H84" i="3" s="1"/>
  <c r="G84" i="3" a="1"/>
  <c r="G84" i="3" s="1"/>
  <c r="F84" i="3" a="1"/>
  <c r="F84" i="3" s="1"/>
  <c r="E84" i="3" a="1"/>
  <c r="E84" i="3" s="1"/>
  <c r="D84" i="3" a="1"/>
  <c r="D84" i="3"/>
  <c r="C84" i="3" a="1"/>
  <c r="C84" i="3" s="1"/>
  <c r="B84" i="3" a="1"/>
  <c r="B84" i="3" s="1"/>
  <c r="A84" i="3"/>
  <c r="AD83" i="3" a="1"/>
  <c r="AD83" i="3"/>
  <c r="AC83" i="3" a="1"/>
  <c r="AC83" i="3"/>
  <c r="AB83" i="3" a="1"/>
  <c r="AB83" i="3"/>
  <c r="AA83" i="3" a="1"/>
  <c r="AA83" i="3"/>
  <c r="Z83" i="3" a="1"/>
  <c r="Z83" i="3"/>
  <c r="Y83" i="3" a="1"/>
  <c r="Y83" i="3"/>
  <c r="X83" i="3" a="1"/>
  <c r="X83" i="3"/>
  <c r="W83" i="3" a="1"/>
  <c r="W83" i="3"/>
  <c r="V83" i="3" a="1"/>
  <c r="V83" i="3" s="1"/>
  <c r="U83" i="3" a="1"/>
  <c r="U83" i="3"/>
  <c r="T83" i="3" a="1"/>
  <c r="T83" i="3"/>
  <c r="S83" i="3" a="1"/>
  <c r="S83" i="3"/>
  <c r="R83" i="3" a="1"/>
  <c r="R83" i="3"/>
  <c r="Q83" i="3" a="1"/>
  <c r="Q83" i="3"/>
  <c r="P83" i="3" a="1"/>
  <c r="P83" i="3" s="1"/>
  <c r="O83" i="3" a="1"/>
  <c r="O83" i="3" s="1"/>
  <c r="N83" i="3" a="1"/>
  <c r="N83" i="3"/>
  <c r="M83" i="3" a="1"/>
  <c r="M83" i="3"/>
  <c r="L83" i="3" a="1"/>
  <c r="L83" i="3"/>
  <c r="K83" i="3" a="1"/>
  <c r="K83" i="3"/>
  <c r="J83" i="3" a="1"/>
  <c r="J83" i="3" s="1"/>
  <c r="I83" i="3" a="1"/>
  <c r="I83" i="3" s="1"/>
  <c r="H83" i="3" a="1"/>
  <c r="H83" i="3"/>
  <c r="G83" i="3" a="1"/>
  <c r="G83" i="3"/>
  <c r="F83" i="3" a="1"/>
  <c r="F83" i="3"/>
  <c r="E83" i="3" a="1"/>
  <c r="E83" i="3"/>
  <c r="D83" i="3" a="1"/>
  <c r="D83" i="3" s="1"/>
  <c r="C83" i="3" a="1"/>
  <c r="C83" i="3" s="1"/>
  <c r="A83" i="3"/>
  <c r="AD82" i="3" a="1"/>
  <c r="AD82" i="3" s="1"/>
  <c r="AC82" i="3" a="1"/>
  <c r="AC82" i="3" s="1"/>
  <c r="AB82" i="3" a="1"/>
  <c r="AB82" i="3" s="1"/>
  <c r="AA82" i="3" a="1"/>
  <c r="AA82" i="3"/>
  <c r="Z82" i="3" a="1"/>
  <c r="Z82" i="3" s="1"/>
  <c r="Y82" i="3" a="1"/>
  <c r="Y82" i="3" s="1"/>
  <c r="X82" i="3" a="1"/>
  <c r="X82" i="3" s="1"/>
  <c r="W82" i="3" a="1"/>
  <c r="W82" i="3" s="1"/>
  <c r="V82" i="3" a="1"/>
  <c r="V82" i="3" s="1"/>
  <c r="U82" i="3" a="1"/>
  <c r="U82" i="3"/>
  <c r="T82" i="3" a="1"/>
  <c r="T82" i="3" s="1"/>
  <c r="S82" i="3" a="1"/>
  <c r="S82" i="3" s="1"/>
  <c r="R82" i="3" a="1"/>
  <c r="R82" i="3" s="1"/>
  <c r="Q82" i="3" a="1"/>
  <c r="Q82" i="3" s="1"/>
  <c r="P82" i="3" a="1"/>
  <c r="P82" i="3" s="1"/>
  <c r="O82" i="3" a="1"/>
  <c r="O82" i="3"/>
  <c r="N82" i="3" a="1"/>
  <c r="N82" i="3" s="1"/>
  <c r="M82" i="3" a="1"/>
  <c r="M82" i="3" s="1"/>
  <c r="L82" i="3" a="1"/>
  <c r="L82" i="3" s="1"/>
  <c r="K82" i="3" a="1"/>
  <c r="K82" i="3" s="1"/>
  <c r="J82" i="3" a="1"/>
  <c r="J82" i="3" s="1"/>
  <c r="I82" i="3" a="1"/>
  <c r="I82" i="3"/>
  <c r="H82" i="3" a="1"/>
  <c r="H82" i="3" s="1"/>
  <c r="G82" i="3" a="1"/>
  <c r="G82" i="3" s="1"/>
  <c r="F82" i="3" a="1"/>
  <c r="F82" i="3" s="1"/>
  <c r="E82" i="3" a="1"/>
  <c r="E82" i="3" s="1"/>
  <c r="D82" i="3" a="1"/>
  <c r="D82" i="3" s="1"/>
  <c r="A82" i="3"/>
  <c r="AD81" i="3" a="1"/>
  <c r="AD81" i="3"/>
  <c r="AC81" i="3" a="1"/>
  <c r="AC81" i="3"/>
  <c r="AB81" i="3" a="1"/>
  <c r="AB81" i="3"/>
  <c r="AA81" i="3" a="1"/>
  <c r="AA81" i="3"/>
  <c r="Z81" i="3" a="1"/>
  <c r="Z81" i="3" s="1"/>
  <c r="Y81" i="3" a="1"/>
  <c r="Y81" i="3"/>
  <c r="X81" i="3" a="1"/>
  <c r="X81" i="3"/>
  <c r="W81" i="3" a="1"/>
  <c r="W81" i="3"/>
  <c r="V81" i="3" a="1"/>
  <c r="V81" i="3"/>
  <c r="U81" i="3" a="1"/>
  <c r="U81" i="3"/>
  <c r="T81" i="3" a="1"/>
  <c r="T81" i="3" s="1"/>
  <c r="S81" i="3" a="1"/>
  <c r="S81" i="3"/>
  <c r="R81" i="3" a="1"/>
  <c r="R81" i="3"/>
  <c r="Q81" i="3" a="1"/>
  <c r="Q81" i="3"/>
  <c r="P81" i="3" a="1"/>
  <c r="P81" i="3"/>
  <c r="O81" i="3" a="1"/>
  <c r="O81" i="3"/>
  <c r="N81" i="3" a="1"/>
  <c r="N81" i="3" s="1"/>
  <c r="M81" i="3" a="1"/>
  <c r="M81" i="3"/>
  <c r="L81" i="3" a="1"/>
  <c r="L81" i="3"/>
  <c r="K81" i="3" a="1"/>
  <c r="K81" i="3"/>
  <c r="J81" i="3" a="1"/>
  <c r="J81" i="3"/>
  <c r="I81" i="3" a="1"/>
  <c r="I81" i="3"/>
  <c r="H81" i="3" a="1"/>
  <c r="H81" i="3" s="1"/>
  <c r="G81" i="3" a="1"/>
  <c r="G81" i="3"/>
  <c r="F81" i="3" a="1"/>
  <c r="F81" i="3"/>
  <c r="E81" i="3" a="1"/>
  <c r="E81" i="3"/>
  <c r="D81" i="3" a="1"/>
  <c r="D81" i="3"/>
  <c r="C81" i="3" a="1"/>
  <c r="C81" i="3" s="1"/>
  <c r="A81" i="3"/>
  <c r="AD80" i="3" a="1"/>
  <c r="AD80" i="3" s="1"/>
  <c r="AC80" i="3" a="1"/>
  <c r="AC80" i="3" s="1"/>
  <c r="AB80" i="3" a="1"/>
  <c r="AB80" i="3" s="1"/>
  <c r="AA80" i="3" a="1"/>
  <c r="AA80" i="3" s="1"/>
  <c r="Z80" i="3" a="1"/>
  <c r="Z80" i="3"/>
  <c r="Y80" i="3" a="1"/>
  <c r="Y80" i="3" s="1"/>
  <c r="X80" i="3" a="1"/>
  <c r="X80" i="3" s="1"/>
  <c r="W80" i="3" a="1"/>
  <c r="W80" i="3" s="1"/>
  <c r="V80" i="3" a="1"/>
  <c r="V80" i="3" s="1"/>
  <c r="U80" i="3" a="1"/>
  <c r="U80" i="3" s="1"/>
  <c r="T80" i="3" a="1"/>
  <c r="T80" i="3"/>
  <c r="S80" i="3" a="1"/>
  <c r="S80" i="3" s="1"/>
  <c r="R80" i="3" a="1"/>
  <c r="R80" i="3" s="1"/>
  <c r="Q80" i="3" a="1"/>
  <c r="Q80" i="3" s="1"/>
  <c r="P80" i="3" a="1"/>
  <c r="P80" i="3" s="1"/>
  <c r="O80" i="3" a="1"/>
  <c r="O80" i="3" s="1"/>
  <c r="N80" i="3" a="1"/>
  <c r="N80" i="3"/>
  <c r="M80" i="3" a="1"/>
  <c r="M80" i="3" s="1"/>
  <c r="L80" i="3" a="1"/>
  <c r="L80" i="3" s="1"/>
  <c r="K80" i="3" a="1"/>
  <c r="K80" i="3" s="1"/>
  <c r="J80" i="3" a="1"/>
  <c r="J80" i="3" s="1"/>
  <c r="I80" i="3" a="1"/>
  <c r="I80" i="3" s="1"/>
  <c r="H80" i="3" a="1"/>
  <c r="H80" i="3"/>
  <c r="G80" i="3" a="1"/>
  <c r="G80" i="3" s="1"/>
  <c r="F80" i="3" a="1"/>
  <c r="F80" i="3" s="1"/>
  <c r="E80" i="3" a="1"/>
  <c r="E80" i="3" s="1"/>
  <c r="A80" i="3"/>
  <c r="AD79" i="3" a="1"/>
  <c r="AD79" i="3"/>
  <c r="AC79" i="3" a="1"/>
  <c r="AC79" i="3"/>
  <c r="AB79" i="3" a="1"/>
  <c r="AB79" i="3"/>
  <c r="AA79" i="3" a="1"/>
  <c r="AA79" i="3"/>
  <c r="Z79" i="3" a="1"/>
  <c r="Z79" i="3"/>
  <c r="Y79" i="3" a="1"/>
  <c r="Y79" i="3" s="1"/>
  <c r="X79" i="3" a="1"/>
  <c r="X79" i="3"/>
  <c r="W79" i="3" a="1"/>
  <c r="W79" i="3"/>
  <c r="V79" i="3" a="1"/>
  <c r="V79" i="3"/>
  <c r="U79" i="3" a="1"/>
  <c r="U79" i="3"/>
  <c r="T79" i="3" a="1"/>
  <c r="T79" i="3"/>
  <c r="S79" i="3" a="1"/>
  <c r="S79" i="3" s="1"/>
  <c r="R79" i="3" a="1"/>
  <c r="R79" i="3"/>
  <c r="Q79" i="3" a="1"/>
  <c r="Q79" i="3"/>
  <c r="P79" i="3" a="1"/>
  <c r="P79" i="3"/>
  <c r="O79" i="3" a="1"/>
  <c r="O79" i="3"/>
  <c r="N79" i="3" a="1"/>
  <c r="N79" i="3"/>
  <c r="M79" i="3" a="1"/>
  <c r="M79" i="3" s="1"/>
  <c r="L79" i="3" a="1"/>
  <c r="L79" i="3"/>
  <c r="K79" i="3" a="1"/>
  <c r="K79" i="3"/>
  <c r="J79" i="3" a="1"/>
  <c r="J79" i="3"/>
  <c r="I79" i="3" a="1"/>
  <c r="I79" i="3"/>
  <c r="H79" i="3" a="1"/>
  <c r="H79" i="3"/>
  <c r="G79" i="3" a="1"/>
  <c r="G79" i="3" s="1"/>
  <c r="F79" i="3" a="1"/>
  <c r="F79" i="3"/>
  <c r="E79" i="3" a="1"/>
  <c r="E79" i="3"/>
  <c r="D79" i="3" a="1"/>
  <c r="D79" i="3"/>
  <c r="A79" i="3"/>
  <c r="AD78" i="3" a="1"/>
  <c r="AD78" i="3" s="1"/>
  <c r="AC78" i="3" a="1"/>
  <c r="AC78" i="3" s="1"/>
  <c r="AB78" i="3" a="1"/>
  <c r="AB78" i="3" s="1"/>
  <c r="AA78" i="3" a="1"/>
  <c r="AA78" i="3" s="1"/>
  <c r="Z78" i="3" a="1"/>
  <c r="Z78" i="3" s="1"/>
  <c r="Y78" i="3" a="1"/>
  <c r="Y78" i="3"/>
  <c r="X78" i="3" a="1"/>
  <c r="X78" i="3" s="1"/>
  <c r="W78" i="3" a="1"/>
  <c r="W78" i="3" s="1"/>
  <c r="V78" i="3" a="1"/>
  <c r="V78" i="3" s="1"/>
  <c r="U78" i="3" a="1"/>
  <c r="U78" i="3" s="1"/>
  <c r="T78" i="3" a="1"/>
  <c r="T78" i="3" s="1"/>
  <c r="S78" i="3" a="1"/>
  <c r="S78" i="3"/>
  <c r="R78" i="3" a="1"/>
  <c r="R78" i="3" s="1"/>
  <c r="Q78" i="3" a="1"/>
  <c r="Q78" i="3" s="1"/>
  <c r="P78" i="3" a="1"/>
  <c r="P78" i="3" s="1"/>
  <c r="O78" i="3" a="1"/>
  <c r="O78" i="3" s="1"/>
  <c r="N78" i="3" a="1"/>
  <c r="N78" i="3" s="1"/>
  <c r="M78" i="3" a="1"/>
  <c r="M78" i="3"/>
  <c r="L78" i="3" a="1"/>
  <c r="L78" i="3" s="1"/>
  <c r="K78" i="3" a="1"/>
  <c r="K78" i="3" s="1"/>
  <c r="J78" i="3" a="1"/>
  <c r="J78" i="3" s="1"/>
  <c r="I78" i="3" a="1"/>
  <c r="I78" i="3" s="1"/>
  <c r="H78" i="3" a="1"/>
  <c r="H78" i="3" s="1"/>
  <c r="G78" i="3" a="1"/>
  <c r="G78" i="3"/>
  <c r="F78" i="3" a="1"/>
  <c r="F78" i="3" s="1"/>
  <c r="E78" i="3" a="1"/>
  <c r="E78" i="3" s="1"/>
  <c r="D78" i="3" a="1"/>
  <c r="D78" i="3" s="1"/>
  <c r="C78" i="3" a="1"/>
  <c r="C78" i="3" s="1"/>
  <c r="A78" i="3"/>
  <c r="AD77" i="3" a="1"/>
  <c r="AD77" i="3" s="1"/>
  <c r="AC77" i="3" a="1"/>
  <c r="AC77" i="3"/>
  <c r="AB77" i="3" a="1"/>
  <c r="AB77" i="3"/>
  <c r="AA77" i="3" a="1"/>
  <c r="AA77" i="3"/>
  <c r="Z77" i="3" a="1"/>
  <c r="Z77" i="3"/>
  <c r="Y77" i="3" a="1"/>
  <c r="Y77" i="3"/>
  <c r="X77" i="3" a="1"/>
  <c r="X77" i="3" s="1"/>
  <c r="W77" i="3" a="1"/>
  <c r="W77" i="3"/>
  <c r="V77" i="3" a="1"/>
  <c r="V77" i="3"/>
  <c r="U77" i="3" a="1"/>
  <c r="U77" i="3"/>
  <c r="T77" i="3" a="1"/>
  <c r="T77" i="3"/>
  <c r="S77" i="3" a="1"/>
  <c r="S77" i="3"/>
  <c r="R77" i="3" a="1"/>
  <c r="R77" i="3" s="1"/>
  <c r="Q77" i="3" a="1"/>
  <c r="Q77" i="3"/>
  <c r="P77" i="3" a="1"/>
  <c r="P77" i="3"/>
  <c r="O77" i="3" a="1"/>
  <c r="O77" i="3"/>
  <c r="N77" i="3" a="1"/>
  <c r="N77" i="3"/>
  <c r="M77" i="3" a="1"/>
  <c r="M77" i="3"/>
  <c r="L77" i="3" a="1"/>
  <c r="L77" i="3" s="1"/>
  <c r="K77" i="3" a="1"/>
  <c r="K77" i="3"/>
  <c r="J77" i="3" a="1"/>
  <c r="J77" i="3"/>
  <c r="I77" i="3" a="1"/>
  <c r="I77" i="3"/>
  <c r="H77" i="3" a="1"/>
  <c r="H77" i="3"/>
  <c r="G77" i="3" a="1"/>
  <c r="G77" i="3"/>
  <c r="F77" i="3" a="1"/>
  <c r="F77" i="3" s="1"/>
  <c r="E77" i="3" a="1"/>
  <c r="E77" i="3"/>
  <c r="D77" i="3" a="1"/>
  <c r="D77" i="3"/>
  <c r="A77" i="3"/>
  <c r="AD76" i="3" a="1"/>
  <c r="AD76" i="3"/>
  <c r="AC76" i="3" a="1"/>
  <c r="AC76" i="3" s="1"/>
  <c r="AB76" i="3" a="1"/>
  <c r="AB76" i="3" s="1"/>
  <c r="AA76" i="3" a="1"/>
  <c r="AA76" i="3" s="1"/>
  <c r="Z76" i="3" a="1"/>
  <c r="Z76" i="3" s="1"/>
  <c r="Y76" i="3" a="1"/>
  <c r="Y76" i="3" s="1"/>
  <c r="X76" i="3" a="1"/>
  <c r="X76" i="3"/>
  <c r="W76" i="3" a="1"/>
  <c r="W76" i="3" s="1"/>
  <c r="V76" i="3" a="1"/>
  <c r="V76" i="3" s="1"/>
  <c r="U76" i="3" a="1"/>
  <c r="U76" i="3" s="1"/>
  <c r="T76" i="3" a="1"/>
  <c r="T76" i="3" s="1"/>
  <c r="S76" i="3" a="1"/>
  <c r="S76" i="3" s="1"/>
  <c r="R76" i="3" a="1"/>
  <c r="R76" i="3"/>
  <c r="Q76" i="3" a="1"/>
  <c r="Q76" i="3" s="1"/>
  <c r="P76" i="3" a="1"/>
  <c r="P76" i="3" s="1"/>
  <c r="O76" i="3" a="1"/>
  <c r="O76" i="3" s="1"/>
  <c r="N76" i="3" a="1"/>
  <c r="N76" i="3" s="1"/>
  <c r="M76" i="3" a="1"/>
  <c r="M76" i="3" s="1"/>
  <c r="L76" i="3" a="1"/>
  <c r="L76" i="3"/>
  <c r="K76" i="3" a="1"/>
  <c r="K76" i="3" s="1"/>
  <c r="J76" i="3" a="1"/>
  <c r="J76" i="3" s="1"/>
  <c r="I76" i="3" a="1"/>
  <c r="I76" i="3" s="1"/>
  <c r="H76" i="3" a="1"/>
  <c r="H76" i="3" s="1"/>
  <c r="G76" i="3" a="1"/>
  <c r="G76" i="3" s="1"/>
  <c r="F76" i="3" a="1"/>
  <c r="F76" i="3"/>
  <c r="E76" i="3" a="1"/>
  <c r="E76" i="3" s="1"/>
  <c r="D76" i="3" a="1"/>
  <c r="D76" i="3" s="1"/>
  <c r="C76" i="3" a="1"/>
  <c r="C76" i="3" s="1"/>
  <c r="A76" i="3"/>
  <c r="AD75" i="3" a="1"/>
  <c r="AD75" i="3"/>
  <c r="AC75" i="3" a="1"/>
  <c r="AC75" i="3" s="1"/>
  <c r="AB75" i="3" a="1"/>
  <c r="AB75" i="3"/>
  <c r="AA75" i="3" a="1"/>
  <c r="AA75" i="3"/>
  <c r="Z75" i="3" a="1"/>
  <c r="Z75" i="3"/>
  <c r="Y75" i="3" a="1"/>
  <c r="Y75" i="3"/>
  <c r="X75" i="3" a="1"/>
  <c r="X75" i="3"/>
  <c r="W75" i="3" a="1"/>
  <c r="W75" i="3" s="1"/>
  <c r="V75" i="3" a="1"/>
  <c r="V75" i="3"/>
  <c r="U75" i="3" a="1"/>
  <c r="U75" i="3"/>
  <c r="T75" i="3" a="1"/>
  <c r="T75" i="3"/>
  <c r="S75" i="3" a="1"/>
  <c r="S75" i="3"/>
  <c r="R75" i="3" a="1"/>
  <c r="R75" i="3"/>
  <c r="Q75" i="3" a="1"/>
  <c r="Q75" i="3" s="1"/>
  <c r="P75" i="3" a="1"/>
  <c r="P75" i="3"/>
  <c r="O75" i="3" a="1"/>
  <c r="O75" i="3"/>
  <c r="N75" i="3" a="1"/>
  <c r="N75" i="3"/>
  <c r="M75" i="3" a="1"/>
  <c r="M75" i="3"/>
  <c r="L75" i="3" a="1"/>
  <c r="L75" i="3"/>
  <c r="K75" i="3" a="1"/>
  <c r="K75" i="3" s="1"/>
  <c r="J75" i="3" a="1"/>
  <c r="J75" i="3"/>
  <c r="I75" i="3" a="1"/>
  <c r="I75" i="3"/>
  <c r="H75" i="3" a="1"/>
  <c r="H75" i="3"/>
  <c r="G75" i="3" a="1"/>
  <c r="G75" i="3"/>
  <c r="F75" i="3" a="1"/>
  <c r="F75" i="3"/>
  <c r="E75" i="3" a="1"/>
  <c r="E75" i="3" s="1"/>
  <c r="D75" i="3" a="1"/>
  <c r="D75" i="3"/>
  <c r="C75" i="3" a="1"/>
  <c r="C75" i="3"/>
  <c r="A75" i="3"/>
  <c r="AD74" i="3" a="1"/>
  <c r="AD74" i="3" s="1"/>
  <c r="AC74" i="3" a="1"/>
  <c r="AC74" i="3"/>
  <c r="AB74" i="3" a="1"/>
  <c r="AB74" i="3"/>
  <c r="AA74" i="3" a="1"/>
  <c r="AA74" i="3" s="1"/>
  <c r="Z74" i="3" a="1"/>
  <c r="Z74" i="3" s="1"/>
  <c r="Y74" i="3" a="1"/>
  <c r="Y74" i="3" s="1"/>
  <c r="X74" i="3" a="1"/>
  <c r="X74" i="3" s="1"/>
  <c r="W74" i="3" a="1"/>
  <c r="W74" i="3"/>
  <c r="V74" i="3" a="1"/>
  <c r="V74" i="3" s="1"/>
  <c r="U74" i="3" a="1"/>
  <c r="U74" i="3" s="1"/>
  <c r="T74" i="3" a="1"/>
  <c r="T74" i="3" s="1"/>
  <c r="S74" i="3" a="1"/>
  <c r="S74" i="3" s="1"/>
  <c r="R74" i="3" a="1"/>
  <c r="R74" i="3" s="1"/>
  <c r="Q74" i="3" a="1"/>
  <c r="Q74" i="3"/>
  <c r="P74" i="3" a="1"/>
  <c r="P74" i="3" s="1"/>
  <c r="O74" i="3" a="1"/>
  <c r="O74" i="3" s="1"/>
  <c r="N74" i="3" a="1"/>
  <c r="N74" i="3" s="1"/>
  <c r="M74" i="3" a="1"/>
  <c r="M74" i="3" s="1"/>
  <c r="L74" i="3" a="1"/>
  <c r="L74" i="3" s="1"/>
  <c r="K74" i="3" a="1"/>
  <c r="K74" i="3"/>
  <c r="J74" i="3" a="1"/>
  <c r="J74" i="3" s="1"/>
  <c r="I74" i="3" a="1"/>
  <c r="I74" i="3" s="1"/>
  <c r="H74" i="3" a="1"/>
  <c r="H74" i="3" s="1"/>
  <c r="G74" i="3" a="1"/>
  <c r="G74" i="3" s="1"/>
  <c r="F74" i="3" a="1"/>
  <c r="F74" i="3" s="1"/>
  <c r="E74" i="3" a="1"/>
  <c r="E74" i="3"/>
  <c r="D74" i="3" a="1"/>
  <c r="D74" i="3" s="1"/>
  <c r="C74" i="3" a="1"/>
  <c r="C74" i="3" s="1"/>
  <c r="A74" i="3"/>
  <c r="AD73" i="3" a="1"/>
  <c r="AD73" i="3"/>
  <c r="AC73" i="3" a="1"/>
  <c r="AC73" i="3"/>
  <c r="AB73" i="3" a="1"/>
  <c r="AB73" i="3" s="1"/>
  <c r="AA73" i="3" a="1"/>
  <c r="AA73" i="3"/>
  <c r="Z73" i="3" a="1"/>
  <c r="Z73" i="3"/>
  <c r="Y73" i="3" a="1"/>
  <c r="Y73" i="3"/>
  <c r="X73" i="3" a="1"/>
  <c r="X73" i="3"/>
  <c r="W73" i="3" a="1"/>
  <c r="W73" i="3"/>
  <c r="V73" i="3" a="1"/>
  <c r="V73" i="3" s="1"/>
  <c r="U73" i="3" a="1"/>
  <c r="U73" i="3"/>
  <c r="T73" i="3" a="1"/>
  <c r="T73" i="3"/>
  <c r="S73" i="3" a="1"/>
  <c r="S73" i="3"/>
  <c r="R73" i="3" a="1"/>
  <c r="R73" i="3"/>
  <c r="Q73" i="3" a="1"/>
  <c r="Q73" i="3"/>
  <c r="P73" i="3" a="1"/>
  <c r="P73" i="3" s="1"/>
  <c r="O73" i="3" a="1"/>
  <c r="O73" i="3"/>
  <c r="N73" i="3" a="1"/>
  <c r="N73" i="3"/>
  <c r="M73" i="3" a="1"/>
  <c r="M73" i="3"/>
  <c r="L73" i="3" a="1"/>
  <c r="L73" i="3"/>
  <c r="K73" i="3" a="1"/>
  <c r="K73" i="3"/>
  <c r="J73" i="3" a="1"/>
  <c r="J73" i="3" s="1"/>
  <c r="I73" i="3" a="1"/>
  <c r="I73" i="3"/>
  <c r="H73" i="3" a="1"/>
  <c r="H73" i="3"/>
  <c r="G73" i="3" a="1"/>
  <c r="G73" i="3"/>
  <c r="F73" i="3" a="1"/>
  <c r="F73" i="3"/>
  <c r="E73" i="3" a="1"/>
  <c r="E73" i="3"/>
  <c r="D73" i="3" a="1"/>
  <c r="D73" i="3" s="1"/>
  <c r="C73" i="3" a="1"/>
  <c r="C73" i="3"/>
  <c r="A73" i="3"/>
  <c r="AD72" i="3" a="1"/>
  <c r="AD72" i="3" s="1"/>
  <c r="AC72" i="3" a="1"/>
  <c r="AC72" i="3" s="1"/>
  <c r="AB72" i="3" a="1"/>
  <c r="AB72" i="3"/>
  <c r="AA72" i="3" a="1"/>
  <c r="AA72" i="3"/>
  <c r="Z72" i="3" a="1"/>
  <c r="Z72" i="3" s="1"/>
  <c r="Y72" i="3" a="1"/>
  <c r="Y72" i="3" s="1"/>
  <c r="X72" i="3" a="1"/>
  <c r="X72" i="3" s="1"/>
  <c r="W72" i="3" a="1"/>
  <c r="W72" i="3" s="1"/>
  <c r="V72" i="3" a="1"/>
  <c r="V72" i="3"/>
  <c r="U72" i="3" a="1"/>
  <c r="U72" i="3"/>
  <c r="T72" i="3" a="1"/>
  <c r="T72" i="3" s="1"/>
  <c r="S72" i="3" a="1"/>
  <c r="S72" i="3" s="1"/>
  <c r="R72" i="3" a="1"/>
  <c r="R72" i="3" s="1"/>
  <c r="Q72" i="3" a="1"/>
  <c r="Q72" i="3" s="1"/>
  <c r="P72" i="3" a="1"/>
  <c r="P72" i="3"/>
  <c r="O72" i="3" a="1"/>
  <c r="O72" i="3"/>
  <c r="N72" i="3" a="1"/>
  <c r="N72" i="3" s="1"/>
  <c r="M72" i="3" a="1"/>
  <c r="M72" i="3" s="1"/>
  <c r="L72" i="3" a="1"/>
  <c r="L72" i="3" s="1"/>
  <c r="K72" i="3" a="1"/>
  <c r="K72" i="3" s="1"/>
  <c r="J72" i="3" a="1"/>
  <c r="J72" i="3"/>
  <c r="I72" i="3" a="1"/>
  <c r="I72" i="3" s="1"/>
  <c r="H72" i="3" a="1"/>
  <c r="H72" i="3" s="1"/>
  <c r="G72" i="3" a="1"/>
  <c r="G72" i="3" s="1"/>
  <c r="F72" i="3" a="1"/>
  <c r="F72" i="3" s="1"/>
  <c r="E72" i="3" a="1"/>
  <c r="E72" i="3" s="1"/>
  <c r="D72" i="3" a="1"/>
  <c r="D72" i="3"/>
  <c r="C72" i="3" a="1"/>
  <c r="C72" i="3" s="1"/>
  <c r="A72" i="3"/>
  <c r="AD71" i="3" a="1"/>
  <c r="AD71" i="3"/>
  <c r="AC71" i="3" a="1"/>
  <c r="AC71" i="3"/>
  <c r="AB71" i="3" a="1"/>
  <c r="AB71" i="3"/>
  <c r="AA71" i="3" a="1"/>
  <c r="AA71" i="3" s="1"/>
  <c r="Z71" i="3" a="1"/>
  <c r="Z71" i="3"/>
  <c r="Y71" i="3" a="1"/>
  <c r="Y71" i="3"/>
  <c r="X71" i="3" a="1"/>
  <c r="X71" i="3"/>
  <c r="W71" i="3" a="1"/>
  <c r="W71" i="3"/>
  <c r="V71" i="3" a="1"/>
  <c r="V71" i="3"/>
  <c r="U71" i="3" a="1"/>
  <c r="U71" i="3" s="1"/>
  <c r="T71" i="3" a="1"/>
  <c r="T71" i="3"/>
  <c r="S71" i="3" a="1"/>
  <c r="S71" i="3"/>
  <c r="R71" i="3" a="1"/>
  <c r="R71" i="3"/>
  <c r="Q71" i="3" a="1"/>
  <c r="Q71" i="3"/>
  <c r="P71" i="3" a="1"/>
  <c r="P71" i="3"/>
  <c r="O71" i="3" a="1"/>
  <c r="O71" i="3" s="1"/>
  <c r="N71" i="3" a="1"/>
  <c r="N71" i="3"/>
  <c r="M71" i="3" a="1"/>
  <c r="M71" i="3"/>
  <c r="L71" i="3" a="1"/>
  <c r="L71" i="3"/>
  <c r="K71" i="3" a="1"/>
  <c r="K71" i="3"/>
  <c r="J71" i="3" a="1"/>
  <c r="J71" i="3"/>
  <c r="I71" i="3" a="1"/>
  <c r="I71" i="3" s="1"/>
  <c r="H71" i="3" a="1"/>
  <c r="H71" i="3"/>
  <c r="G71" i="3" a="1"/>
  <c r="G71" i="3"/>
  <c r="F71" i="3" a="1"/>
  <c r="F71" i="3"/>
  <c r="E71" i="3" a="1"/>
  <c r="E71" i="3"/>
  <c r="D71" i="3" a="1"/>
  <c r="D71" i="3"/>
  <c r="C71" i="3" a="1"/>
  <c r="C71" i="3" s="1"/>
  <c r="A71" i="3"/>
  <c r="AD70" i="3" a="1"/>
  <c r="AD70" i="3" s="1"/>
  <c r="AC70" i="3" a="1"/>
  <c r="AC70" i="3" s="1"/>
  <c r="AB70" i="3" a="1"/>
  <c r="AB70" i="3" s="1"/>
  <c r="AA70" i="3" a="1"/>
  <c r="AA70" i="3"/>
  <c r="Z70" i="3" a="1"/>
  <c r="Z70" i="3"/>
  <c r="Y70" i="3" a="1"/>
  <c r="Y70" i="3" s="1"/>
  <c r="X70" i="3" a="1"/>
  <c r="X70" i="3" s="1"/>
  <c r="W70" i="3" a="1"/>
  <c r="W70" i="3" s="1"/>
  <c r="V70" i="3" a="1"/>
  <c r="V70" i="3" s="1"/>
  <c r="U70" i="3" a="1"/>
  <c r="U70" i="3"/>
  <c r="T70" i="3" a="1"/>
  <c r="T70" i="3" s="1"/>
  <c r="S70" i="3" a="1"/>
  <c r="S70" i="3" s="1"/>
  <c r="R70" i="3" a="1"/>
  <c r="R70" i="3" s="1"/>
  <c r="Q70" i="3" a="1"/>
  <c r="Q70" i="3" s="1"/>
  <c r="P70" i="3" a="1"/>
  <c r="P70" i="3" s="1"/>
  <c r="O70" i="3" a="1"/>
  <c r="O70" i="3"/>
  <c r="N70" i="3" a="1"/>
  <c r="N70" i="3" s="1"/>
  <c r="M70" i="3" a="1"/>
  <c r="M70" i="3" s="1"/>
  <c r="L70" i="3" a="1"/>
  <c r="L70" i="3" s="1"/>
  <c r="K70" i="3" a="1"/>
  <c r="K70" i="3" s="1"/>
  <c r="A70" i="3"/>
  <c r="AD69" i="3" a="1"/>
  <c r="AD69" i="3"/>
  <c r="AC69" i="3" a="1"/>
  <c r="AC69" i="3"/>
  <c r="AB69" i="3" a="1"/>
  <c r="AB69" i="3"/>
  <c r="AA69" i="3" a="1"/>
  <c r="AA69" i="3"/>
  <c r="Z69" i="3" a="1"/>
  <c r="Z69" i="3"/>
  <c r="Y69" i="3" a="1"/>
  <c r="Y69" i="3"/>
  <c r="X69" i="3" a="1"/>
  <c r="X69" i="3"/>
  <c r="W69" i="3" a="1"/>
  <c r="W69" i="3"/>
  <c r="V69" i="3" a="1"/>
  <c r="V69" i="3"/>
  <c r="U69" i="3" a="1"/>
  <c r="U69" i="3"/>
  <c r="T69" i="3" a="1"/>
  <c r="T69" i="3"/>
  <c r="S69" i="3" a="1"/>
  <c r="S69" i="3"/>
  <c r="R69" i="3" a="1"/>
  <c r="R69" i="3"/>
  <c r="Q69" i="3" a="1"/>
  <c r="Q69" i="3"/>
  <c r="P69" i="3" a="1"/>
  <c r="P69" i="3"/>
  <c r="O69" i="3" a="1"/>
  <c r="O69" i="3"/>
  <c r="N69" i="3" a="1"/>
  <c r="N69" i="3"/>
  <c r="M69" i="3" a="1"/>
  <c r="M69" i="3"/>
  <c r="A69" i="3"/>
  <c r="AD68" i="3" a="1"/>
  <c r="AD68" i="3" s="1"/>
  <c r="AC68" i="3" a="1"/>
  <c r="AC68" i="3" s="1"/>
  <c r="AB68" i="3" a="1"/>
  <c r="AB68" i="3" s="1"/>
  <c r="AA68" i="3" a="1"/>
  <c r="AA68" i="3" s="1"/>
  <c r="Z68" i="3" a="1"/>
  <c r="Z68" i="3"/>
  <c r="Y68" i="3" a="1"/>
  <c r="Y68" i="3"/>
  <c r="X68" i="3" a="1"/>
  <c r="X68" i="3" s="1"/>
  <c r="W68" i="3" a="1"/>
  <c r="W68" i="3" s="1"/>
  <c r="V68" i="3" a="1"/>
  <c r="V68" i="3" s="1"/>
  <c r="U68" i="3" a="1"/>
  <c r="U68" i="3" s="1"/>
  <c r="T68" i="3" a="1"/>
  <c r="T68" i="3"/>
  <c r="S68" i="3" a="1"/>
  <c r="S68" i="3"/>
  <c r="R68" i="3" a="1"/>
  <c r="R68" i="3" s="1"/>
  <c r="Q68" i="3" a="1"/>
  <c r="Q68" i="3" s="1"/>
  <c r="P68" i="3" a="1"/>
  <c r="P68" i="3" s="1"/>
  <c r="O68" i="3" a="1"/>
  <c r="O68" i="3" s="1"/>
  <c r="N68" i="3" a="1"/>
  <c r="N68" i="3"/>
  <c r="M68" i="3" a="1"/>
  <c r="M68" i="3"/>
  <c r="A68" i="3"/>
  <c r="AD67" i="3" a="1"/>
  <c r="AD67" i="3"/>
  <c r="AC67" i="3" a="1"/>
  <c r="AC67" i="3"/>
  <c r="AB67" i="3" a="1"/>
  <c r="AB67" i="3"/>
  <c r="AA67" i="3" a="1"/>
  <c r="AA67" i="3"/>
  <c r="Z67" i="3" a="1"/>
  <c r="Z67" i="3"/>
  <c r="Y67" i="3" a="1"/>
  <c r="Y67" i="3"/>
  <c r="X67" i="3" a="1"/>
  <c r="X67" i="3"/>
  <c r="W67" i="3" a="1"/>
  <c r="W67" i="3"/>
  <c r="V67" i="3" a="1"/>
  <c r="V67" i="3"/>
  <c r="U67" i="3" a="1"/>
  <c r="U67" i="3"/>
  <c r="T67" i="3" a="1"/>
  <c r="T67" i="3"/>
  <c r="S67" i="3" a="1"/>
  <c r="S67" i="3"/>
  <c r="R67" i="3" a="1"/>
  <c r="R67" i="3"/>
  <c r="Q67" i="3" a="1"/>
  <c r="Q67" i="3"/>
  <c r="P67" i="3" a="1"/>
  <c r="P67" i="3"/>
  <c r="O67" i="3" a="1"/>
  <c r="O67" i="3"/>
  <c r="N67" i="3" a="1"/>
  <c r="N67" i="3"/>
  <c r="A67" i="3"/>
  <c r="AD66" i="3" a="1"/>
  <c r="AD66" i="3"/>
  <c r="AC66" i="3" a="1"/>
  <c r="AC66" i="3" s="1"/>
  <c r="AB66" i="3" a="1"/>
  <c r="AB66" i="3" s="1"/>
  <c r="AA66" i="3" a="1"/>
  <c r="AA66" i="3" s="1"/>
  <c r="Z66" i="3" a="1"/>
  <c r="Z66" i="3" s="1"/>
  <c r="Y66" i="3" a="1"/>
  <c r="Y66" i="3"/>
  <c r="X66" i="3" a="1"/>
  <c r="X66" i="3"/>
  <c r="W66" i="3" a="1"/>
  <c r="W66" i="3" s="1"/>
  <c r="V66" i="3" a="1"/>
  <c r="V66" i="3" s="1"/>
  <c r="U66" i="3" a="1"/>
  <c r="U66" i="3" s="1"/>
  <c r="T66" i="3" a="1"/>
  <c r="T66" i="3" s="1"/>
  <c r="S66" i="3" a="1"/>
  <c r="S66" i="3"/>
  <c r="R66" i="3" a="1"/>
  <c r="R66" i="3"/>
  <c r="Q66" i="3" a="1"/>
  <c r="Q66" i="3" s="1"/>
  <c r="P66" i="3" a="1"/>
  <c r="P66" i="3" s="1"/>
  <c r="O66" i="3" a="1"/>
  <c r="O66" i="3" s="1"/>
  <c r="N66" i="3" a="1"/>
  <c r="N66" i="3" s="1"/>
  <c r="A66" i="3"/>
  <c r="AD65" i="3" a="1"/>
  <c r="AD65" i="3"/>
  <c r="AC65" i="3" a="1"/>
  <c r="AC65" i="3"/>
  <c r="AB65" i="3" a="1"/>
  <c r="AB65" i="3"/>
  <c r="AA65" i="3" a="1"/>
  <c r="AA65" i="3"/>
  <c r="Z65" i="3" a="1"/>
  <c r="Z65" i="3"/>
  <c r="Y65" i="3" a="1"/>
  <c r="Y65" i="3"/>
  <c r="X65" i="3" a="1"/>
  <c r="X65" i="3"/>
  <c r="W65" i="3" a="1"/>
  <c r="W65" i="3"/>
  <c r="V65" i="3" a="1"/>
  <c r="V65" i="3"/>
  <c r="U65" i="3" a="1"/>
  <c r="U65" i="3"/>
  <c r="T65" i="3" a="1"/>
  <c r="T65" i="3"/>
  <c r="S65" i="3" a="1"/>
  <c r="S65" i="3"/>
  <c r="R65" i="3" a="1"/>
  <c r="R65" i="3"/>
  <c r="Q65" i="3" a="1"/>
  <c r="Q65" i="3"/>
  <c r="P65" i="3" a="1"/>
  <c r="P65" i="3"/>
  <c r="O65" i="3" a="1"/>
  <c r="O65" i="3"/>
  <c r="N65" i="3" a="1"/>
  <c r="N65" i="3"/>
  <c r="M65" i="3" a="1"/>
  <c r="M65" i="3"/>
  <c r="A65" i="3"/>
  <c r="AD64" i="3" a="1"/>
  <c r="AD64" i="3"/>
  <c r="AC64" i="3" a="1"/>
  <c r="AC64" i="3"/>
  <c r="AB64" i="3" a="1"/>
  <c r="AB64" i="3" s="1"/>
  <c r="AA64" i="3" a="1"/>
  <c r="AA64" i="3" s="1"/>
  <c r="Z64" i="3" a="1"/>
  <c r="Z64" i="3" s="1"/>
  <c r="Y64" i="3" a="1"/>
  <c r="Y64" i="3" s="1"/>
  <c r="X64" i="3" a="1"/>
  <c r="X64" i="3"/>
  <c r="W64" i="3" a="1"/>
  <c r="W64" i="3"/>
  <c r="V64" i="3" a="1"/>
  <c r="V64" i="3" s="1"/>
  <c r="U64" i="3" a="1"/>
  <c r="U64" i="3" s="1"/>
  <c r="T64" i="3" a="1"/>
  <c r="T64" i="3" s="1"/>
  <c r="S64" i="3" a="1"/>
  <c r="S64" i="3" s="1"/>
  <c r="R64" i="3" a="1"/>
  <c r="R64" i="3"/>
  <c r="Q64" i="3" a="1"/>
  <c r="Q64" i="3"/>
  <c r="P64" i="3" a="1"/>
  <c r="P64" i="3" s="1"/>
  <c r="O64" i="3" a="1"/>
  <c r="O64" i="3" s="1"/>
  <c r="N64" i="3" a="1"/>
  <c r="N64" i="3" s="1"/>
  <c r="M64" i="3" a="1"/>
  <c r="M64" i="3" s="1"/>
  <c r="L64" i="3" a="1"/>
  <c r="L64" i="3"/>
  <c r="K64" i="3" a="1"/>
  <c r="K64" i="3"/>
  <c r="J64" i="3" a="1"/>
  <c r="J64" i="3" s="1"/>
  <c r="A64" i="3"/>
  <c r="AD63" i="3" a="1"/>
  <c r="AD63" i="3"/>
  <c r="AC63" i="3" a="1"/>
  <c r="AC63" i="3"/>
  <c r="AB63" i="3" a="1"/>
  <c r="AB63" i="3"/>
  <c r="AA63" i="3" a="1"/>
  <c r="AA63" i="3"/>
  <c r="Z63" i="3" a="1"/>
  <c r="Z63" i="3"/>
  <c r="Y63" i="3" a="1"/>
  <c r="Y63" i="3"/>
  <c r="X63" i="3" a="1"/>
  <c r="X63" i="3"/>
  <c r="W63" i="3" a="1"/>
  <c r="W63" i="3"/>
  <c r="V63" i="3" a="1"/>
  <c r="V63" i="3"/>
  <c r="U63" i="3" a="1"/>
  <c r="U63" i="3"/>
  <c r="T63" i="3" a="1"/>
  <c r="T63" i="3"/>
  <c r="S63" i="3" a="1"/>
  <c r="S63" i="3"/>
  <c r="R63" i="3" a="1"/>
  <c r="R63" i="3"/>
  <c r="Q63" i="3" a="1"/>
  <c r="Q63" i="3"/>
  <c r="P63" i="3" a="1"/>
  <c r="P63" i="3"/>
  <c r="O63" i="3" a="1"/>
  <c r="O63" i="3"/>
  <c r="N63" i="3" a="1"/>
  <c r="N63" i="3"/>
  <c r="M63" i="3" a="1"/>
  <c r="M63" i="3"/>
  <c r="L63" i="3" a="1"/>
  <c r="L63" i="3"/>
  <c r="K63" i="3" a="1"/>
  <c r="K63" i="3"/>
  <c r="J63" i="3" a="1"/>
  <c r="J63" i="3" s="1"/>
  <c r="I63" i="3" a="1"/>
  <c r="I63" i="3"/>
  <c r="H63" i="3" a="1"/>
  <c r="H63" i="3"/>
  <c r="G63" i="3" a="1"/>
  <c r="G63" i="3"/>
  <c r="F63" i="3" a="1"/>
  <c r="F63" i="3"/>
  <c r="E63" i="3" a="1"/>
  <c r="E63" i="3"/>
  <c r="D63" i="3" a="1"/>
  <c r="D63" i="3" s="1"/>
  <c r="C63" i="3" a="1"/>
  <c r="C63" i="3"/>
  <c r="A63" i="3"/>
  <c r="AD62" i="3" a="1"/>
  <c r="AD62" i="3" s="1"/>
  <c r="AC62" i="3" a="1"/>
  <c r="AC62" i="3"/>
  <c r="AB62" i="3" a="1"/>
  <c r="AB62" i="3"/>
  <c r="AA62" i="3" a="1"/>
  <c r="AA62" i="3" s="1"/>
  <c r="Z62" i="3" a="1"/>
  <c r="Z62" i="3" s="1"/>
  <c r="Y62" i="3" a="1"/>
  <c r="Y62" i="3" s="1"/>
  <c r="X62" i="3" a="1"/>
  <c r="X62" i="3" s="1"/>
  <c r="W62" i="3" a="1"/>
  <c r="W62" i="3"/>
  <c r="V62" i="3" a="1"/>
  <c r="V62" i="3"/>
  <c r="U62" i="3" a="1"/>
  <c r="U62" i="3" s="1"/>
  <c r="T62" i="3" a="1"/>
  <c r="T62" i="3" s="1"/>
  <c r="S62" i="3" a="1"/>
  <c r="S62" i="3" s="1"/>
  <c r="R62" i="3" a="1"/>
  <c r="R62" i="3" s="1"/>
  <c r="Q62" i="3" a="1"/>
  <c r="Q62" i="3"/>
  <c r="P62" i="3" a="1"/>
  <c r="P62" i="3"/>
  <c r="O62" i="3" a="1"/>
  <c r="O62" i="3" s="1"/>
  <c r="N62" i="3" a="1"/>
  <c r="N62" i="3" s="1"/>
  <c r="M62" i="3" a="1"/>
  <c r="M62" i="3" s="1"/>
  <c r="L62" i="3" a="1"/>
  <c r="L62" i="3" s="1"/>
  <c r="K62" i="3" a="1"/>
  <c r="K62" i="3"/>
  <c r="J62" i="3" a="1"/>
  <c r="J62" i="3"/>
  <c r="I62" i="3" a="1"/>
  <c r="I62" i="3" s="1"/>
  <c r="H62" i="3" a="1"/>
  <c r="H62" i="3" s="1"/>
  <c r="G62" i="3" a="1"/>
  <c r="G62" i="3" s="1"/>
  <c r="F62" i="3" a="1"/>
  <c r="F62" i="3" s="1"/>
  <c r="E62" i="3" a="1"/>
  <c r="E62" i="3"/>
  <c r="D62" i="3" a="1"/>
  <c r="D62" i="3"/>
  <c r="A62" i="3"/>
  <c r="AD61" i="3" a="1"/>
  <c r="AD61" i="3"/>
  <c r="AC61" i="3" a="1"/>
  <c r="AC61" i="3"/>
  <c r="AB61" i="3" a="1"/>
  <c r="AB61" i="3"/>
  <c r="AA61" i="3" a="1"/>
  <c r="AA61" i="3"/>
  <c r="Z61" i="3" a="1"/>
  <c r="Z61" i="3"/>
  <c r="Y61" i="3" a="1"/>
  <c r="Y61" i="3"/>
  <c r="X61" i="3" a="1"/>
  <c r="X61" i="3"/>
  <c r="W61" i="3" a="1"/>
  <c r="W61" i="3"/>
  <c r="V61" i="3" a="1"/>
  <c r="V61" i="3"/>
  <c r="U61" i="3" a="1"/>
  <c r="U61" i="3"/>
  <c r="T61" i="3" a="1"/>
  <c r="T61" i="3"/>
  <c r="S61" i="3" a="1"/>
  <c r="S61" i="3"/>
  <c r="R61" i="3" a="1"/>
  <c r="R61" i="3"/>
  <c r="Q61" i="3" a="1"/>
  <c r="Q61" i="3"/>
  <c r="P61" i="3" a="1"/>
  <c r="P61" i="3"/>
  <c r="O61" i="3" a="1"/>
  <c r="O61" i="3" s="1"/>
  <c r="N61" i="3" a="1"/>
  <c r="N61" i="3"/>
  <c r="M61" i="3" a="1"/>
  <c r="M61" i="3"/>
  <c r="L61" i="3" a="1"/>
  <c r="L61" i="3"/>
  <c r="K61" i="3" a="1"/>
  <c r="K61" i="3"/>
  <c r="J61" i="3" a="1"/>
  <c r="J61" i="3"/>
  <c r="I61" i="3" a="1"/>
  <c r="I61" i="3" s="1"/>
  <c r="H61" i="3" a="1"/>
  <c r="H61" i="3"/>
  <c r="G61" i="3" a="1"/>
  <c r="G61" i="3"/>
  <c r="F61" i="3" a="1"/>
  <c r="F61" i="3"/>
  <c r="E61" i="3" a="1"/>
  <c r="E61" i="3"/>
  <c r="D61" i="3" a="1"/>
  <c r="D61" i="3"/>
  <c r="C61" i="3" a="1"/>
  <c r="C61" i="3" s="1"/>
  <c r="A61" i="3"/>
  <c r="AD60" i="3" a="1"/>
  <c r="AD60" i="3" s="1"/>
  <c r="AC60" i="3" a="1"/>
  <c r="AC60" i="3" s="1"/>
  <c r="AB60" i="3" a="1"/>
  <c r="AB60" i="3"/>
  <c r="AA60" i="3" a="1"/>
  <c r="AA60" i="3"/>
  <c r="Z60" i="3" a="1"/>
  <c r="Z60" i="3" s="1"/>
  <c r="Y60" i="3" a="1"/>
  <c r="Y60" i="3" s="1"/>
  <c r="X60" i="3" a="1"/>
  <c r="X60" i="3" s="1"/>
  <c r="W60" i="3" a="1"/>
  <c r="W60" i="3" s="1"/>
  <c r="V60" i="3" a="1"/>
  <c r="V60" i="3"/>
  <c r="U60" i="3" a="1"/>
  <c r="U60" i="3"/>
  <c r="T60" i="3" a="1"/>
  <c r="T60" i="3" s="1"/>
  <c r="S60" i="3" a="1"/>
  <c r="S60" i="3" s="1"/>
  <c r="R60" i="3" a="1"/>
  <c r="R60" i="3" s="1"/>
  <c r="Q60" i="3" a="1"/>
  <c r="Q60" i="3" s="1"/>
  <c r="P60" i="3" a="1"/>
  <c r="P60" i="3"/>
  <c r="O60" i="3" a="1"/>
  <c r="O60" i="3"/>
  <c r="N60" i="3" a="1"/>
  <c r="N60" i="3" s="1"/>
  <c r="M60" i="3" a="1"/>
  <c r="M60" i="3" s="1"/>
  <c r="L60" i="3" a="1"/>
  <c r="L60" i="3" s="1"/>
  <c r="K60" i="3" a="1"/>
  <c r="K60" i="3" s="1"/>
  <c r="J60" i="3" a="1"/>
  <c r="J60" i="3"/>
  <c r="I60" i="3" a="1"/>
  <c r="I60" i="3"/>
  <c r="H60" i="3" a="1"/>
  <c r="H60" i="3" s="1"/>
  <c r="G60" i="3" a="1"/>
  <c r="G60" i="3" s="1"/>
  <c r="F60" i="3" a="1"/>
  <c r="F60" i="3" s="1"/>
  <c r="E60" i="3" a="1"/>
  <c r="E60" i="3" s="1"/>
  <c r="D60" i="3" a="1"/>
  <c r="D60" i="3"/>
  <c r="C60" i="3" a="1"/>
  <c r="C60" i="3" s="1"/>
  <c r="A60" i="3"/>
  <c r="AD59" i="3" a="1"/>
  <c r="AD59" i="3"/>
  <c r="AC59" i="3" a="1"/>
  <c r="AC59" i="3"/>
  <c r="AB59" i="3" a="1"/>
  <c r="AB59" i="3"/>
  <c r="AA59" i="3" a="1"/>
  <c r="AA59" i="3"/>
  <c r="Z59" i="3" a="1"/>
  <c r="Z59" i="3"/>
  <c r="Y59" i="3" a="1"/>
  <c r="Y59" i="3"/>
  <c r="X59" i="3" a="1"/>
  <c r="X59" i="3"/>
  <c r="W59" i="3" a="1"/>
  <c r="W59" i="3"/>
  <c r="V59" i="3" a="1"/>
  <c r="V59" i="3"/>
  <c r="U59" i="3" a="1"/>
  <c r="U59" i="3"/>
  <c r="T59" i="3" a="1"/>
  <c r="T59" i="3"/>
  <c r="S59" i="3" a="1"/>
  <c r="S59" i="3"/>
  <c r="R59" i="3" a="1"/>
  <c r="R59" i="3"/>
  <c r="Q59" i="3" a="1"/>
  <c r="Q59" i="3"/>
  <c r="P59" i="3" a="1"/>
  <c r="P59" i="3"/>
  <c r="O59" i="3" a="1"/>
  <c r="O59" i="3"/>
  <c r="N59" i="3" a="1"/>
  <c r="N59" i="3"/>
  <c r="M59" i="3" a="1"/>
  <c r="M59" i="3"/>
  <c r="L59" i="3" a="1"/>
  <c r="L59" i="3"/>
  <c r="K59" i="3" a="1"/>
  <c r="K59" i="3"/>
  <c r="J59" i="3" a="1"/>
  <c r="J59" i="3"/>
  <c r="I59" i="3" a="1"/>
  <c r="I59" i="3"/>
  <c r="H59" i="3" a="1"/>
  <c r="H59" i="3"/>
  <c r="G59" i="3" a="1"/>
  <c r="G59" i="3"/>
  <c r="F59" i="3" a="1"/>
  <c r="F59" i="3"/>
  <c r="E59" i="3" a="1"/>
  <c r="E59" i="3"/>
  <c r="D59" i="3" a="1"/>
  <c r="D59" i="3"/>
  <c r="C59" i="3" a="1"/>
  <c r="C59" i="3" s="1"/>
  <c r="A59" i="3"/>
  <c r="AD58" i="3" a="1"/>
  <c r="AD58" i="3" s="1"/>
  <c r="AC58" i="3" a="1"/>
  <c r="AC58" i="3" s="1"/>
  <c r="AB58" i="3" a="1"/>
  <c r="AB58" i="3" s="1"/>
  <c r="AA58" i="3" a="1"/>
  <c r="AA58" i="3"/>
  <c r="Z58" i="3" a="1"/>
  <c r="Z58" i="3"/>
  <c r="Y58" i="3" a="1"/>
  <c r="Y58" i="3" s="1"/>
  <c r="X58" i="3" a="1"/>
  <c r="X58" i="3" s="1"/>
  <c r="W58" i="3" a="1"/>
  <c r="W58" i="3" s="1"/>
  <c r="V58" i="3" a="1"/>
  <c r="V58" i="3" s="1"/>
  <c r="U58" i="3" a="1"/>
  <c r="U58" i="3"/>
  <c r="T58" i="3" a="1"/>
  <c r="T58" i="3"/>
  <c r="S58" i="3" a="1"/>
  <c r="S58" i="3" s="1"/>
  <c r="R58" i="3" a="1"/>
  <c r="R58" i="3" s="1"/>
  <c r="Q58" i="3" a="1"/>
  <c r="Q58" i="3" s="1"/>
  <c r="P58" i="3" a="1"/>
  <c r="P58" i="3" s="1"/>
  <c r="O58" i="3" a="1"/>
  <c r="O58" i="3"/>
  <c r="N58" i="3" a="1"/>
  <c r="N58" i="3"/>
  <c r="M58" i="3" a="1"/>
  <c r="M58" i="3" s="1"/>
  <c r="L58" i="3" a="1"/>
  <c r="L58" i="3" s="1"/>
  <c r="K58" i="3" a="1"/>
  <c r="K58" i="3" s="1"/>
  <c r="J58" i="3" a="1"/>
  <c r="J58" i="3" s="1"/>
  <c r="I58" i="3" a="1"/>
  <c r="I58" i="3"/>
  <c r="H58" i="3" a="1"/>
  <c r="H58" i="3"/>
  <c r="G58" i="3" a="1"/>
  <c r="G58" i="3" s="1"/>
  <c r="F58" i="3" a="1"/>
  <c r="F58" i="3" s="1"/>
  <c r="E58" i="3" a="1"/>
  <c r="E58" i="3" s="1"/>
  <c r="D58" i="3" a="1"/>
  <c r="D58" i="3" s="1"/>
  <c r="C58" i="3" a="1"/>
  <c r="C58" i="3"/>
  <c r="A58" i="3"/>
  <c r="AD57" i="3" a="1"/>
  <c r="AD57" i="3"/>
  <c r="AC57" i="3" a="1"/>
  <c r="AC57" i="3"/>
  <c r="AB57" i="3" a="1"/>
  <c r="AB57" i="3"/>
  <c r="AA57" i="3" a="1"/>
  <c r="AA57" i="3"/>
  <c r="Z57" i="3" a="1"/>
  <c r="Z57" i="3"/>
  <c r="Y57" i="3" a="1"/>
  <c r="Y57" i="3"/>
  <c r="X57" i="3" a="1"/>
  <c r="X57" i="3"/>
  <c r="W57" i="3" a="1"/>
  <c r="W57" i="3"/>
  <c r="V57" i="3" a="1"/>
  <c r="V57" i="3"/>
  <c r="U57" i="3" a="1"/>
  <c r="U57" i="3"/>
  <c r="T57" i="3" a="1"/>
  <c r="T57" i="3"/>
  <c r="S57" i="3" a="1"/>
  <c r="S57" i="3"/>
  <c r="R57" i="3" a="1"/>
  <c r="R57" i="3"/>
  <c r="Q57" i="3" a="1"/>
  <c r="Q57" i="3"/>
  <c r="P57" i="3" a="1"/>
  <c r="P57" i="3"/>
  <c r="O57" i="3" a="1"/>
  <c r="O57" i="3"/>
  <c r="N57" i="3" a="1"/>
  <c r="N57" i="3"/>
  <c r="M57" i="3" a="1"/>
  <c r="M57" i="3"/>
  <c r="L57" i="3" a="1"/>
  <c r="L57" i="3"/>
  <c r="K57" i="3" a="1"/>
  <c r="K57" i="3"/>
  <c r="J57" i="3" a="1"/>
  <c r="J57" i="3"/>
  <c r="I57" i="3" a="1"/>
  <c r="I57" i="3"/>
  <c r="H57" i="3" a="1"/>
  <c r="H57" i="3"/>
  <c r="G57" i="3" a="1"/>
  <c r="G57" i="3"/>
  <c r="F57" i="3" a="1"/>
  <c r="F57" i="3"/>
  <c r="E57" i="3" a="1"/>
  <c r="E57" i="3"/>
  <c r="D57" i="3" a="1"/>
  <c r="D57" i="3"/>
  <c r="A57" i="3"/>
  <c r="AD56" i="3" a="1"/>
  <c r="AD56" i="3" s="1"/>
  <c r="AC56" i="3" a="1"/>
  <c r="AC56" i="3" s="1"/>
  <c r="AB56" i="3" a="1"/>
  <c r="AB56" i="3" s="1"/>
  <c r="AA56" i="3" a="1"/>
  <c r="AA56" i="3" s="1"/>
  <c r="Z56" i="3" a="1"/>
  <c r="Z56" i="3"/>
  <c r="Y56" i="3" a="1"/>
  <c r="Y56" i="3"/>
  <c r="X56" i="3" a="1"/>
  <c r="X56" i="3" s="1"/>
  <c r="W56" i="3" a="1"/>
  <c r="W56" i="3" s="1"/>
  <c r="V56" i="3" a="1"/>
  <c r="V56" i="3" s="1"/>
  <c r="U56" i="3" a="1"/>
  <c r="U56" i="3" s="1"/>
  <c r="T56" i="3" a="1"/>
  <c r="T56" i="3"/>
  <c r="S56" i="3" a="1"/>
  <c r="S56" i="3"/>
  <c r="R56" i="3" a="1"/>
  <c r="R56" i="3" s="1"/>
  <c r="Q56" i="3" a="1"/>
  <c r="Q56" i="3" s="1"/>
  <c r="P56" i="3" a="1"/>
  <c r="P56" i="3" s="1"/>
  <c r="O56" i="3" a="1"/>
  <c r="O56" i="3" s="1"/>
  <c r="N56" i="3" a="1"/>
  <c r="N56" i="3"/>
  <c r="M56" i="3" a="1"/>
  <c r="M56" i="3"/>
  <c r="L56" i="3" a="1"/>
  <c r="L56" i="3" s="1"/>
  <c r="K56" i="3" a="1"/>
  <c r="K56" i="3" s="1"/>
  <c r="J56" i="3" a="1"/>
  <c r="J56" i="3" s="1"/>
  <c r="I56" i="3" a="1"/>
  <c r="I56" i="3" s="1"/>
  <c r="H56" i="3" a="1"/>
  <c r="H56" i="3"/>
  <c r="G56" i="3" a="1"/>
  <c r="G56" i="3"/>
  <c r="F56" i="3" a="1"/>
  <c r="F56" i="3" s="1"/>
  <c r="E56" i="3" a="1"/>
  <c r="E56" i="3" s="1"/>
  <c r="D56" i="3" a="1"/>
  <c r="D56" i="3" s="1"/>
  <c r="A56" i="3"/>
  <c r="AD55" i="3" a="1"/>
  <c r="AD55" i="3"/>
  <c r="AC55" i="3" a="1"/>
  <c r="AC55" i="3"/>
  <c r="AB55" i="3" a="1"/>
  <c r="AB55" i="3"/>
  <c r="AA55" i="3" a="1"/>
  <c r="AA55" i="3"/>
  <c r="Z55" i="3" a="1"/>
  <c r="Z55" i="3"/>
  <c r="Y55" i="3" a="1"/>
  <c r="Y55" i="3"/>
  <c r="X55" i="3" a="1"/>
  <c r="X55" i="3"/>
  <c r="W55" i="3" a="1"/>
  <c r="W55" i="3"/>
  <c r="V55" i="3" a="1"/>
  <c r="V55" i="3"/>
  <c r="U55" i="3" a="1"/>
  <c r="U55" i="3"/>
  <c r="T55" i="3" a="1"/>
  <c r="T55" i="3"/>
  <c r="S55" i="3" a="1"/>
  <c r="S55" i="3" s="1"/>
  <c r="R55" i="3" a="1"/>
  <c r="R55" i="3"/>
  <c r="Q55" i="3" a="1"/>
  <c r="Q55" i="3"/>
  <c r="P55" i="3" a="1"/>
  <c r="P55" i="3"/>
  <c r="O55" i="3" a="1"/>
  <c r="O55" i="3"/>
  <c r="N55" i="3" a="1"/>
  <c r="N55" i="3" s="1"/>
  <c r="M55" i="3" a="1"/>
  <c r="M55" i="3" s="1"/>
  <c r="L55" i="3" a="1"/>
  <c r="L55" i="3"/>
  <c r="K55" i="3" a="1"/>
  <c r="K55" i="3"/>
  <c r="J55" i="3" a="1"/>
  <c r="J55" i="3"/>
  <c r="I55" i="3" a="1"/>
  <c r="I55" i="3"/>
  <c r="H55" i="3" a="1"/>
  <c r="H55" i="3" s="1"/>
  <c r="G55" i="3" a="1"/>
  <c r="G55" i="3" s="1"/>
  <c r="F55" i="3" a="1"/>
  <c r="F55" i="3"/>
  <c r="E55" i="3" a="1"/>
  <c r="E55" i="3"/>
  <c r="D55" i="3" a="1"/>
  <c r="D55" i="3"/>
  <c r="C55" i="3" a="1"/>
  <c r="C55" i="3"/>
  <c r="A55" i="3"/>
  <c r="AD54" i="3" a="1"/>
  <c r="AD54" i="3"/>
  <c r="AC54" i="3" a="1"/>
  <c r="AC54" i="3" s="1"/>
  <c r="AB54" i="3" a="1"/>
  <c r="AB54" i="3" s="1"/>
  <c r="AA54" i="3" a="1"/>
  <c r="AA54" i="3" s="1"/>
  <c r="Z54" i="3" a="1"/>
  <c r="Z54" i="3" s="1"/>
  <c r="Y54" i="3" a="1"/>
  <c r="Y54" i="3"/>
  <c r="X54" i="3" a="1"/>
  <c r="X54" i="3"/>
  <c r="W54" i="3" a="1"/>
  <c r="W54" i="3" s="1"/>
  <c r="V54" i="3" a="1"/>
  <c r="V54" i="3" s="1"/>
  <c r="U54" i="3" a="1"/>
  <c r="U54" i="3" s="1"/>
  <c r="T54" i="3" a="1"/>
  <c r="T54" i="3" s="1"/>
  <c r="S54" i="3" a="1"/>
  <c r="S54" i="3"/>
  <c r="R54" i="3" a="1"/>
  <c r="R54" i="3"/>
  <c r="Q54" i="3" a="1"/>
  <c r="Q54" i="3" s="1"/>
  <c r="P54" i="3" a="1"/>
  <c r="P54" i="3" s="1"/>
  <c r="O54" i="3" a="1"/>
  <c r="O54" i="3" s="1"/>
  <c r="N54" i="3" a="1"/>
  <c r="N54" i="3" s="1"/>
  <c r="M54" i="3" a="1"/>
  <c r="M54" i="3"/>
  <c r="L54" i="3" a="1"/>
  <c r="L54" i="3"/>
  <c r="K54" i="3" a="1"/>
  <c r="K54" i="3" s="1"/>
  <c r="J54" i="3" a="1"/>
  <c r="J54" i="3" s="1"/>
  <c r="I54" i="3" a="1"/>
  <c r="I54" i="3" s="1"/>
  <c r="H54" i="3" a="1"/>
  <c r="H54" i="3" s="1"/>
  <c r="G54" i="3" a="1"/>
  <c r="G54" i="3"/>
  <c r="F54" i="3" a="1"/>
  <c r="F54" i="3"/>
  <c r="E54" i="3" a="1"/>
  <c r="E54" i="3" s="1"/>
  <c r="D54" i="3" a="1"/>
  <c r="D54" i="3" s="1"/>
  <c r="C54" i="3" a="1"/>
  <c r="C54" i="3" s="1"/>
  <c r="A54" i="3"/>
  <c r="AD53" i="3" a="1"/>
  <c r="AD53" i="3" s="1"/>
  <c r="AC53" i="3" a="1"/>
  <c r="AC53" i="3" s="1"/>
  <c r="AB53" i="3" a="1"/>
  <c r="AB53" i="3"/>
  <c r="AA53" i="3" a="1"/>
  <c r="AA53" i="3"/>
  <c r="Z53" i="3" a="1"/>
  <c r="Z53" i="3"/>
  <c r="Y53" i="3" a="1"/>
  <c r="Y53" i="3"/>
  <c r="X53" i="3" a="1"/>
  <c r="X53" i="3" s="1"/>
  <c r="W53" i="3" a="1"/>
  <c r="W53" i="3"/>
  <c r="V53" i="3" a="1"/>
  <c r="V53" i="3"/>
  <c r="U53" i="3" a="1"/>
  <c r="U53" i="3"/>
  <c r="T53" i="3" a="1"/>
  <c r="T53" i="3"/>
  <c r="S53" i="3" a="1"/>
  <c r="S53" i="3"/>
  <c r="R53" i="3" a="1"/>
  <c r="R53" i="3" s="1"/>
  <c r="Q53" i="3" a="1"/>
  <c r="Q53" i="3"/>
  <c r="P53" i="3" a="1"/>
  <c r="P53" i="3"/>
  <c r="O53" i="3" a="1"/>
  <c r="O53" i="3"/>
  <c r="N53" i="3" a="1"/>
  <c r="N53" i="3"/>
  <c r="M53" i="3" a="1"/>
  <c r="M53" i="3" s="1"/>
  <c r="L53" i="3" a="1"/>
  <c r="L53" i="3" s="1"/>
  <c r="K53" i="3" a="1"/>
  <c r="K53" i="3"/>
  <c r="A53" i="3"/>
  <c r="AD52" i="3" a="1"/>
  <c r="AD52" i="3"/>
  <c r="AC52" i="3" a="1"/>
  <c r="AC52" i="3"/>
  <c r="AB52" i="3" a="1"/>
  <c r="AB52" i="3" s="1"/>
  <c r="AA52" i="3" a="1"/>
  <c r="AA52" i="3" s="1"/>
  <c r="Z52" i="3" a="1"/>
  <c r="Z52" i="3" s="1"/>
  <c r="Y52" i="3" a="1"/>
  <c r="Y52" i="3" s="1"/>
  <c r="X52" i="3" a="1"/>
  <c r="X52" i="3"/>
  <c r="W52" i="3" a="1"/>
  <c r="W52" i="3"/>
  <c r="V52" i="3" a="1"/>
  <c r="V52" i="3" s="1"/>
  <c r="U52" i="3" a="1"/>
  <c r="U52" i="3" s="1"/>
  <c r="T52" i="3" a="1"/>
  <c r="T52" i="3" s="1"/>
  <c r="S52" i="3" a="1"/>
  <c r="S52" i="3" s="1"/>
  <c r="R52" i="3" a="1"/>
  <c r="R52" i="3"/>
  <c r="Q52" i="3" a="1"/>
  <c r="Q52" i="3"/>
  <c r="P52" i="3" a="1"/>
  <c r="P52" i="3" s="1"/>
  <c r="O52" i="3" a="1"/>
  <c r="O52" i="3" s="1"/>
  <c r="N52" i="3" a="1"/>
  <c r="N52" i="3" s="1"/>
  <c r="M52" i="3" a="1"/>
  <c r="M52" i="3" s="1"/>
  <c r="L52" i="3" a="1"/>
  <c r="L52" i="3"/>
  <c r="K52" i="3" a="1"/>
  <c r="K52" i="3"/>
  <c r="J52" i="3" a="1"/>
  <c r="J52" i="3" s="1"/>
  <c r="I52" i="3" a="1"/>
  <c r="I52" i="3" s="1"/>
  <c r="H52" i="3" a="1"/>
  <c r="H52" i="3" s="1"/>
  <c r="G52" i="3" a="1"/>
  <c r="G52" i="3" s="1"/>
  <c r="F52" i="3" a="1"/>
  <c r="F52" i="3"/>
  <c r="E52" i="3" a="1"/>
  <c r="E52" i="3" s="1"/>
  <c r="D52" i="3" a="1"/>
  <c r="D52" i="3" s="1"/>
  <c r="C52" i="3" a="1"/>
  <c r="C52" i="3" s="1"/>
  <c r="A52" i="3"/>
  <c r="M51" i="3" a="1"/>
  <c r="M51" i="3"/>
  <c r="L51" i="3" a="1"/>
  <c r="L51" i="3" s="1"/>
  <c r="K51" i="3" a="1"/>
  <c r="K51" i="3" s="1"/>
  <c r="J51" i="3" a="1"/>
  <c r="J51" i="3"/>
  <c r="I51" i="3" a="1"/>
  <c r="I51" i="3"/>
  <c r="H51" i="3" a="1"/>
  <c r="H51" i="3"/>
  <c r="G51" i="3" a="1"/>
  <c r="G51" i="3"/>
  <c r="F51" i="3" a="1"/>
  <c r="F51" i="3" s="1"/>
  <c r="E51" i="3" a="1"/>
  <c r="E51" i="3" s="1"/>
  <c r="D51" i="3" a="1"/>
  <c r="D51" i="3"/>
  <c r="C51" i="3" a="1"/>
  <c r="C51" i="3"/>
  <c r="A51" i="3"/>
  <c r="M50" i="3" a="1"/>
  <c r="M50" i="3"/>
  <c r="L50" i="3" a="1"/>
  <c r="L50" i="3"/>
  <c r="K50" i="3" a="1"/>
  <c r="K50" i="3"/>
  <c r="J50" i="3" a="1"/>
  <c r="J50" i="3" s="1"/>
  <c r="I50" i="3" a="1"/>
  <c r="I50" i="3" s="1"/>
  <c r="H50" i="3" a="1"/>
  <c r="H50" i="3" s="1"/>
  <c r="G50" i="3" a="1"/>
  <c r="G50" i="3"/>
  <c r="F50" i="3" a="1"/>
  <c r="F50" i="3"/>
  <c r="E50" i="3" a="1"/>
  <c r="E50" i="3"/>
  <c r="D50" i="3" a="1"/>
  <c r="D50" i="3" s="1"/>
  <c r="C50" i="3" a="1"/>
  <c r="C50" i="3" s="1"/>
  <c r="A50" i="3"/>
  <c r="M49" i="3" a="1"/>
  <c r="M49" i="3"/>
  <c r="L49" i="3" a="1"/>
  <c r="L49" i="3" s="1"/>
  <c r="K49" i="3" a="1"/>
  <c r="K49" i="3" s="1"/>
  <c r="A49" i="3"/>
  <c r="A48" i="3"/>
  <c r="M47" i="3" a="1"/>
  <c r="M47" i="3"/>
  <c r="L47" i="3" a="1"/>
  <c r="L47" i="3"/>
  <c r="K47" i="3" a="1"/>
  <c r="K47" i="3" s="1"/>
  <c r="J47" i="3" a="1"/>
  <c r="J47" i="3"/>
  <c r="A47" i="3"/>
  <c r="M46" i="3" a="1"/>
  <c r="M46" i="3" s="1"/>
  <c r="L46" i="3" a="1"/>
  <c r="L46" i="3" s="1"/>
  <c r="K46" i="3" a="1"/>
  <c r="K46" i="3" s="1"/>
  <c r="J46" i="3" a="1"/>
  <c r="J46" i="3" s="1"/>
  <c r="I46" i="3" a="1"/>
  <c r="I46" i="3" s="1"/>
  <c r="H46" i="3" a="1"/>
  <c r="H46" i="3"/>
  <c r="G46" i="3" a="1"/>
  <c r="G46" i="3"/>
  <c r="F46" i="3" a="1"/>
  <c r="F46" i="3" s="1"/>
  <c r="E46" i="3" a="1"/>
  <c r="E46" i="3" s="1"/>
  <c r="D46" i="3" a="1"/>
  <c r="D46" i="3" s="1"/>
  <c r="C46" i="3" a="1"/>
  <c r="C46" i="3" s="1"/>
  <c r="A46" i="3"/>
  <c r="M45" i="3" a="1"/>
  <c r="M45" i="3" s="1"/>
  <c r="L45" i="3" a="1"/>
  <c r="L45" i="3"/>
  <c r="K45" i="3" a="1"/>
  <c r="K45" i="3"/>
  <c r="J45" i="3" a="1"/>
  <c r="J45" i="3"/>
  <c r="I45" i="3" a="1"/>
  <c r="I45" i="3"/>
  <c r="H45" i="3" a="1"/>
  <c r="H45" i="3" s="1"/>
  <c r="G45" i="3" a="1"/>
  <c r="G45" i="3" s="1"/>
  <c r="F45" i="3" a="1"/>
  <c r="F45" i="3"/>
  <c r="E45" i="3" a="1"/>
  <c r="E45" i="3"/>
  <c r="D45" i="3" a="1"/>
  <c r="D45" i="3"/>
  <c r="C45" i="3" a="1"/>
  <c r="C45" i="3"/>
  <c r="A45" i="3"/>
  <c r="M44" i="3" a="1"/>
  <c r="M44" i="3"/>
  <c r="L44" i="3" a="1"/>
  <c r="L44" i="3" s="1"/>
  <c r="K44" i="3" a="1"/>
  <c r="K44" i="3" s="1"/>
  <c r="J44" i="3" a="1"/>
  <c r="J44" i="3" s="1"/>
  <c r="I44" i="3" a="1"/>
  <c r="I44" i="3"/>
  <c r="H44" i="3" a="1"/>
  <c r="H44" i="3" s="1"/>
  <c r="G44" i="3" a="1"/>
  <c r="G44" i="3" s="1"/>
  <c r="F44" i="3" a="1"/>
  <c r="F44" i="3" s="1"/>
  <c r="E44" i="3" a="1"/>
  <c r="E44" i="3" s="1"/>
  <c r="D44" i="3" a="1"/>
  <c r="D44" i="3" s="1"/>
  <c r="C44" i="3" a="1"/>
  <c r="C44" i="3"/>
  <c r="A44" i="3"/>
  <c r="M43" i="3" a="1"/>
  <c r="M43" i="3" s="1"/>
  <c r="L43" i="3" a="1"/>
  <c r="L43" i="3"/>
  <c r="K43" i="3" a="1"/>
  <c r="K43" i="3"/>
  <c r="J43" i="3" a="1"/>
  <c r="J43" i="3"/>
  <c r="I43" i="3" a="1"/>
  <c r="I43" i="3"/>
  <c r="H43" i="3" a="1"/>
  <c r="H43" i="3" s="1"/>
  <c r="G43" i="3" a="1"/>
  <c r="G43" i="3" s="1"/>
  <c r="F43" i="3" a="1"/>
  <c r="F43" i="3"/>
  <c r="E43" i="3" a="1"/>
  <c r="E43" i="3"/>
  <c r="D43" i="3" a="1"/>
  <c r="D43" i="3"/>
  <c r="C43" i="3" a="1"/>
  <c r="C43" i="3"/>
  <c r="A43" i="3"/>
  <c r="M42" i="3" a="1"/>
  <c r="M42" i="3" s="1"/>
  <c r="L42" i="3" a="1"/>
  <c r="L42" i="3" s="1"/>
  <c r="K42" i="3" a="1"/>
  <c r="K42" i="3" s="1"/>
  <c r="J42" i="3" a="1"/>
  <c r="J42" i="3" s="1"/>
  <c r="I42" i="3" a="1"/>
  <c r="I42" i="3"/>
  <c r="H42" i="3" a="1"/>
  <c r="H42" i="3"/>
  <c r="G42" i="3" a="1"/>
  <c r="G42" i="3" s="1"/>
  <c r="F42" i="3" a="1"/>
  <c r="F42" i="3" s="1"/>
  <c r="E42" i="3" a="1"/>
  <c r="E42" i="3" s="1"/>
  <c r="D42" i="3" a="1"/>
  <c r="D42" i="3"/>
  <c r="A42" i="3"/>
  <c r="M41" i="3" a="1"/>
  <c r="M41" i="3"/>
  <c r="L41" i="3" a="1"/>
  <c r="L41" i="3"/>
  <c r="K41" i="3" a="1"/>
  <c r="K41" i="3"/>
  <c r="J41" i="3" a="1"/>
  <c r="J41" i="3" s="1"/>
  <c r="I41" i="3" a="1"/>
  <c r="I41" i="3" s="1"/>
  <c r="H41" i="3" a="1"/>
  <c r="H41" i="3"/>
  <c r="G41" i="3" a="1"/>
  <c r="G41" i="3"/>
  <c r="F41" i="3" a="1"/>
  <c r="F41" i="3"/>
  <c r="E41" i="3" a="1"/>
  <c r="E41" i="3"/>
  <c r="D41" i="3" a="1"/>
  <c r="D41" i="3" s="1"/>
  <c r="C41" i="3" a="1"/>
  <c r="C41" i="3" s="1"/>
  <c r="A41" i="3"/>
  <c r="M40" i="3" a="1"/>
  <c r="M40" i="3" s="1"/>
  <c r="L40" i="3" a="1"/>
  <c r="L40" i="3" s="1"/>
  <c r="K40" i="3" a="1"/>
  <c r="K40" i="3"/>
  <c r="J40" i="3" a="1"/>
  <c r="J40" i="3"/>
  <c r="I40" i="3" a="1"/>
  <c r="I40" i="3"/>
  <c r="H40" i="3" a="1"/>
  <c r="H40" i="3" s="1"/>
  <c r="G40" i="3" a="1"/>
  <c r="G40" i="3" s="1"/>
  <c r="F40" i="3" a="1"/>
  <c r="F40" i="3" s="1"/>
  <c r="E40" i="3" a="1"/>
  <c r="E40" i="3"/>
  <c r="A40" i="3"/>
  <c r="M39" i="3" a="1"/>
  <c r="M39" i="3"/>
  <c r="L39" i="3" a="1"/>
  <c r="L39" i="3"/>
  <c r="K39" i="3" a="1"/>
  <c r="K39" i="3"/>
  <c r="J39" i="3" a="1"/>
  <c r="J39" i="3" s="1"/>
  <c r="I39" i="3" a="1"/>
  <c r="I39" i="3" s="1"/>
  <c r="H39" i="3" a="1"/>
  <c r="H39" i="3"/>
  <c r="G39" i="3" a="1"/>
  <c r="G39" i="3"/>
  <c r="F39" i="3" a="1"/>
  <c r="F39" i="3"/>
  <c r="E39" i="3" a="1"/>
  <c r="E39" i="3"/>
  <c r="D39" i="3" a="1"/>
  <c r="D39" i="3" s="1"/>
  <c r="C39" i="3" a="1"/>
  <c r="C39" i="3" s="1"/>
  <c r="A39" i="3"/>
  <c r="M38" i="3" a="1"/>
  <c r="M38" i="3" s="1"/>
  <c r="L38" i="3" a="1"/>
  <c r="L38" i="3"/>
  <c r="K38" i="3" a="1"/>
  <c r="K38" i="3"/>
  <c r="J38" i="3" a="1"/>
  <c r="J38" i="3"/>
  <c r="I38" i="3" a="1"/>
  <c r="I38" i="3" s="1"/>
  <c r="H38" i="3" a="1"/>
  <c r="H38" i="3" s="1"/>
  <c r="G38" i="3" a="1"/>
  <c r="G38" i="3" s="1"/>
  <c r="F38" i="3" a="1"/>
  <c r="F38" i="3" s="1"/>
  <c r="E38" i="3" a="1"/>
  <c r="E38" i="3" s="1"/>
  <c r="D38" i="3" a="1"/>
  <c r="D38" i="3"/>
  <c r="C38" i="3" a="1"/>
  <c r="C38" i="3" s="1"/>
  <c r="A38" i="3"/>
  <c r="M37" i="3" a="1"/>
  <c r="M37" i="3"/>
  <c r="L37" i="3" a="1"/>
  <c r="L37" i="3" s="1"/>
  <c r="K37" i="3" a="1"/>
  <c r="K37" i="3"/>
  <c r="J37" i="3" a="1"/>
  <c r="J37" i="3"/>
  <c r="I37" i="3" a="1"/>
  <c r="I37" i="3"/>
  <c r="H37" i="3" a="1"/>
  <c r="H37" i="3"/>
  <c r="G37" i="3" a="1"/>
  <c r="G37" i="3"/>
  <c r="F37" i="3" a="1"/>
  <c r="F37" i="3" s="1"/>
  <c r="E37" i="3" a="1"/>
  <c r="E37" i="3"/>
  <c r="D37" i="3" a="1"/>
  <c r="D37" i="3"/>
  <c r="C37" i="3" a="1"/>
  <c r="C37" i="3"/>
  <c r="A37" i="3"/>
  <c r="M36" i="3" a="1"/>
  <c r="M36" i="3"/>
  <c r="L36" i="3" a="1"/>
  <c r="L36" i="3" s="1"/>
  <c r="K36" i="3" a="1"/>
  <c r="K36" i="3"/>
  <c r="J36" i="3" a="1"/>
  <c r="J36" i="3" s="1"/>
  <c r="I36" i="3" a="1"/>
  <c r="I36" i="3" s="1"/>
  <c r="H36" i="3" a="1"/>
  <c r="H36" i="3" s="1"/>
  <c r="G36" i="3" a="1"/>
  <c r="G36" i="3"/>
  <c r="F36" i="3" a="1"/>
  <c r="F36" i="3" s="1"/>
  <c r="E36" i="3" a="1"/>
  <c r="E36" i="3" s="1"/>
  <c r="D36" i="3" a="1"/>
  <c r="D36" i="3" s="1"/>
  <c r="C36" i="3" a="1"/>
  <c r="C36" i="3" s="1"/>
  <c r="A36" i="3"/>
  <c r="M35" i="3" a="1"/>
  <c r="M35" i="3"/>
  <c r="L35" i="3" a="1"/>
  <c r="L35" i="3"/>
  <c r="K35" i="3" a="1"/>
  <c r="K35" i="3" s="1"/>
  <c r="J35" i="3" a="1"/>
  <c r="J35" i="3"/>
  <c r="I35" i="3" a="1"/>
  <c r="I35" i="3"/>
  <c r="H35" i="3" a="1"/>
  <c r="H35" i="3"/>
  <c r="G35" i="3" a="1"/>
  <c r="G35" i="3"/>
  <c r="F35" i="3" a="1"/>
  <c r="F35" i="3" s="1"/>
  <c r="E35" i="3" a="1"/>
  <c r="E35" i="3" s="1"/>
  <c r="D35" i="3" a="1"/>
  <c r="D35" i="3"/>
  <c r="C35" i="3" a="1"/>
  <c r="C35" i="3"/>
  <c r="A35" i="3"/>
  <c r="M34" i="3" a="1"/>
  <c r="M34" i="3"/>
  <c r="L34" i="3" a="1"/>
  <c r="L34" i="3" s="1"/>
  <c r="K34" i="3" a="1"/>
  <c r="K34" i="3" s="1"/>
  <c r="J34" i="3" a="1"/>
  <c r="J34" i="3" s="1"/>
  <c r="I34" i="3" a="1"/>
  <c r="I34" i="3" s="1"/>
  <c r="H34" i="3" a="1"/>
  <c r="H34" i="3" s="1"/>
  <c r="G34" i="3" a="1"/>
  <c r="G34" i="3" s="1"/>
  <c r="F34" i="3" a="1"/>
  <c r="F34" i="3"/>
  <c r="E34" i="3" a="1"/>
  <c r="E34" i="3" s="1"/>
  <c r="D34" i="3" a="1"/>
  <c r="D34" i="3" s="1"/>
  <c r="C34" i="3" a="1"/>
  <c r="C34" i="3" s="1"/>
  <c r="A34" i="3"/>
  <c r="M33" i="3" a="1"/>
  <c r="M33" i="3"/>
  <c r="L33" i="3" a="1"/>
  <c r="L33" i="3"/>
  <c r="K33" i="3" a="1"/>
  <c r="K33" i="3"/>
  <c r="J33" i="3" a="1"/>
  <c r="J33" i="3"/>
  <c r="I33" i="3" a="1"/>
  <c r="I33" i="3"/>
  <c r="H33" i="3" a="1"/>
  <c r="H33" i="3"/>
  <c r="G33" i="3" a="1"/>
  <c r="G33" i="3" s="1"/>
  <c r="F33" i="3" a="1"/>
  <c r="F33" i="3"/>
  <c r="E33" i="3" a="1"/>
  <c r="E33" i="3"/>
  <c r="D33" i="3" a="1"/>
  <c r="D33" i="3"/>
  <c r="C33" i="3" a="1"/>
  <c r="C33" i="3"/>
  <c r="A33" i="3"/>
  <c r="M32" i="3" a="1"/>
  <c r="M32" i="3" s="1"/>
  <c r="L32" i="3" a="1"/>
  <c r="L32" i="3" s="1"/>
  <c r="K32" i="3" a="1"/>
  <c r="K32" i="3" s="1"/>
  <c r="J32" i="3" a="1"/>
  <c r="J32" i="3" s="1"/>
  <c r="I32" i="3" a="1"/>
  <c r="I32" i="3" s="1"/>
  <c r="H32" i="3" a="1"/>
  <c r="H32" i="3" s="1"/>
  <c r="G32" i="3" a="1"/>
  <c r="G32" i="3" s="1"/>
  <c r="F32" i="3" a="1"/>
  <c r="F32" i="3" s="1"/>
  <c r="E32" i="3" a="1"/>
  <c r="E32" i="3" s="1"/>
  <c r="D32" i="3" a="1"/>
  <c r="D32" i="3"/>
  <c r="C32" i="3" a="1"/>
  <c r="C32" i="3" s="1"/>
  <c r="A32" i="3"/>
  <c r="M31" i="3" a="1"/>
  <c r="M31" i="3"/>
  <c r="L31" i="3" a="1"/>
  <c r="L31" i="3"/>
  <c r="K31" i="3" a="1"/>
  <c r="K31" i="3"/>
  <c r="J31" i="3" a="1"/>
  <c r="J31" i="3"/>
  <c r="I31" i="3" a="1"/>
  <c r="I31" i="3"/>
  <c r="H31" i="3" a="1"/>
  <c r="H31" i="3"/>
  <c r="G31" i="3" a="1"/>
  <c r="G31" i="3" s="1"/>
  <c r="F31" i="3" a="1"/>
  <c r="F31" i="3" s="1"/>
  <c r="E31" i="3" a="1"/>
  <c r="E31" i="3"/>
  <c r="D31" i="3" a="1"/>
  <c r="D31" i="3"/>
  <c r="C31" i="3" a="1"/>
  <c r="C31" i="3" s="1"/>
  <c r="A31" i="3"/>
  <c r="M30" i="3" a="1"/>
  <c r="M30" i="3" s="1"/>
  <c r="L30" i="3" a="1"/>
  <c r="L30" i="3" s="1"/>
  <c r="K30" i="3" a="1"/>
  <c r="K30" i="3"/>
  <c r="J30" i="3" a="1"/>
  <c r="J30" i="3" s="1"/>
  <c r="I30" i="3" a="1"/>
  <c r="I30" i="3" s="1"/>
  <c r="H30" i="3" a="1"/>
  <c r="H30" i="3" s="1"/>
  <c r="G30" i="3" a="1"/>
  <c r="G30" i="3" s="1"/>
  <c r="F30" i="3" a="1"/>
  <c r="F30" i="3" s="1"/>
  <c r="E30" i="3" a="1"/>
  <c r="E30" i="3"/>
  <c r="D30" i="3" a="1"/>
  <c r="D30" i="3" s="1"/>
  <c r="C30" i="3" a="1"/>
  <c r="C30" i="3" s="1"/>
  <c r="A30" i="3"/>
  <c r="M29" i="3" a="1"/>
  <c r="M29" i="3"/>
  <c r="L29" i="3" a="1"/>
  <c r="L29" i="3"/>
  <c r="K29" i="3" a="1"/>
  <c r="K29" i="3"/>
  <c r="J29" i="3" a="1"/>
  <c r="J29" i="3" s="1"/>
  <c r="I29" i="3" a="1"/>
  <c r="I29" i="3"/>
  <c r="H29" i="3" a="1"/>
  <c r="H29" i="3" s="1"/>
  <c r="G29" i="3" a="1"/>
  <c r="G29" i="3"/>
  <c r="F29" i="3" a="1"/>
  <c r="F29" i="3"/>
  <c r="E29" i="3" a="1"/>
  <c r="E29" i="3"/>
  <c r="D29" i="3" a="1"/>
  <c r="D29" i="3" s="1"/>
  <c r="C29" i="3" a="1"/>
  <c r="C29" i="3"/>
  <c r="A29" i="3"/>
  <c r="M28" i="3" a="1"/>
  <c r="M28" i="3" s="1"/>
  <c r="L28" i="3" a="1"/>
  <c r="L28" i="3"/>
  <c r="K28" i="3" a="1"/>
  <c r="K28" i="3" s="1"/>
  <c r="J28" i="3" a="1"/>
  <c r="J28" i="3"/>
  <c r="I28" i="3" a="1"/>
  <c r="I28" i="3" s="1"/>
  <c r="H28" i="3" a="1"/>
  <c r="H28" i="3" s="1"/>
  <c r="G28" i="3" a="1"/>
  <c r="G28" i="3" s="1"/>
  <c r="F28" i="3" a="1"/>
  <c r="F28" i="3"/>
  <c r="E28" i="3" a="1"/>
  <c r="E28" i="3" s="1"/>
  <c r="D28" i="3" a="1"/>
  <c r="D28" i="3"/>
  <c r="A28" i="3"/>
  <c r="M27" i="3" a="1"/>
  <c r="M27" i="3"/>
  <c r="L27" i="3" a="1"/>
  <c r="L27" i="3"/>
  <c r="K27" i="3" a="1"/>
  <c r="K27" i="3" s="1"/>
  <c r="J27" i="3" a="1"/>
  <c r="J27" i="3"/>
  <c r="I27" i="3" a="1"/>
  <c r="I27" i="3" s="1"/>
  <c r="H27" i="3" a="1"/>
  <c r="H27" i="3"/>
  <c r="G27" i="3" a="1"/>
  <c r="G27" i="3"/>
  <c r="F27" i="3" a="1"/>
  <c r="F27" i="3"/>
  <c r="E27" i="3" a="1"/>
  <c r="E27" i="3" s="1"/>
  <c r="D27" i="3" a="1"/>
  <c r="D27" i="3"/>
  <c r="C27" i="3" a="1"/>
  <c r="C27" i="3" s="1"/>
  <c r="A27" i="3"/>
  <c r="M26" i="3" a="1"/>
  <c r="M26" i="3"/>
  <c r="L26" i="3" a="1"/>
  <c r="L26" i="3"/>
  <c r="K26" i="3" a="1"/>
  <c r="K26" i="3"/>
  <c r="J26" i="3" a="1"/>
  <c r="J26" i="3" s="1"/>
  <c r="I26" i="3" a="1"/>
  <c r="I26" i="3" s="1"/>
  <c r="H26" i="3" a="1"/>
  <c r="H26" i="3" s="1"/>
  <c r="G26" i="3" a="1"/>
  <c r="G26" i="3"/>
  <c r="F26" i="3" a="1"/>
  <c r="F26" i="3"/>
  <c r="E26" i="3" a="1"/>
  <c r="E26" i="3"/>
  <c r="D26" i="3" a="1"/>
  <c r="D26" i="3" s="1"/>
  <c r="A26" i="3"/>
  <c r="M25" i="3" a="1"/>
  <c r="M25" i="3"/>
  <c r="L25" i="3" a="1"/>
  <c r="L25" i="3" s="1"/>
  <c r="K25" i="3" a="1"/>
  <c r="K25" i="3"/>
  <c r="J25" i="3" a="1"/>
  <c r="J25" i="3"/>
  <c r="I25" i="3" a="1"/>
  <c r="I25" i="3"/>
  <c r="H25" i="3" a="1"/>
  <c r="H25" i="3"/>
  <c r="G25" i="3" a="1"/>
  <c r="G25" i="3"/>
  <c r="F25" i="3" a="1"/>
  <c r="F25" i="3" s="1"/>
  <c r="E25" i="3" a="1"/>
  <c r="E25" i="3"/>
  <c r="D25" i="3" a="1"/>
  <c r="D25" i="3" s="1"/>
  <c r="C25" i="3" a="1"/>
  <c r="C25" i="3"/>
  <c r="A25" i="3"/>
  <c r="M24" i="3" a="1"/>
  <c r="M24" i="3"/>
  <c r="L24" i="3" a="1"/>
  <c r="L24" i="3"/>
  <c r="K24" i="3" a="1"/>
  <c r="K24" i="3" s="1"/>
  <c r="A24" i="3"/>
  <c r="M23" i="3" a="1"/>
  <c r="M23" i="3" s="1"/>
  <c r="L23" i="3" a="1"/>
  <c r="L23" i="3"/>
  <c r="K23" i="3" a="1"/>
  <c r="K23" i="3"/>
  <c r="J23" i="3" a="1"/>
  <c r="J23" i="3"/>
  <c r="I23" i="3" a="1"/>
  <c r="I23" i="3"/>
  <c r="H23" i="3" a="1"/>
  <c r="H23" i="3"/>
  <c r="G23" i="3" a="1"/>
  <c r="G23" i="3" s="1"/>
  <c r="F23" i="3" a="1"/>
  <c r="F23" i="3"/>
  <c r="E23" i="3" a="1"/>
  <c r="E23" i="3"/>
  <c r="A23" i="3"/>
  <c r="M22" i="3" a="1"/>
  <c r="M22" i="3"/>
  <c r="L22" i="3" a="1"/>
  <c r="L22" i="3" s="1"/>
  <c r="K22" i="3" a="1"/>
  <c r="K22" i="3" s="1"/>
  <c r="J22" i="3" a="1"/>
  <c r="J22" i="3" s="1"/>
  <c r="I22" i="3" a="1"/>
  <c r="I22" i="3"/>
  <c r="H22" i="3" a="1"/>
  <c r="H22" i="3"/>
  <c r="G22" i="3" a="1"/>
  <c r="G22" i="3"/>
  <c r="F22" i="3" a="1"/>
  <c r="F22" i="3" s="1"/>
  <c r="E22" i="3" a="1"/>
  <c r="E22" i="3" s="1"/>
  <c r="D22" i="3" a="1"/>
  <c r="D22" i="3" s="1"/>
  <c r="C22" i="3" a="1"/>
  <c r="C22" i="3"/>
  <c r="A22" i="3"/>
  <c r="M21" i="3" a="1"/>
  <c r="M21" i="3"/>
  <c r="L21" i="3" a="1"/>
  <c r="L21" i="3"/>
  <c r="K21" i="3" a="1"/>
  <c r="K21" i="3"/>
  <c r="J21" i="3" a="1"/>
  <c r="J21" i="3"/>
  <c r="I21" i="3" a="1"/>
  <c r="I21" i="3"/>
  <c r="H21" i="3" a="1"/>
  <c r="H21" i="3" s="1"/>
  <c r="A21" i="3"/>
  <c r="A20" i="3"/>
  <c r="M19" i="3" a="1"/>
  <c r="M19" i="3"/>
  <c r="L19" i="3" a="1"/>
  <c r="L19" i="3"/>
  <c r="K19" i="3" a="1"/>
  <c r="K19" i="3"/>
  <c r="J19" i="3" a="1"/>
  <c r="J19" i="3"/>
  <c r="I19" i="3" a="1"/>
  <c r="I19" i="3" s="1"/>
  <c r="H19" i="3" a="1"/>
  <c r="H19" i="3"/>
  <c r="G19" i="3" a="1"/>
  <c r="G19" i="3" s="1"/>
  <c r="F19" i="3" a="1"/>
  <c r="F19" i="3"/>
  <c r="A19" i="3"/>
  <c r="M18" i="3" a="1"/>
  <c r="M18" i="3" s="1"/>
  <c r="L18" i="3" a="1"/>
  <c r="L18" i="3" s="1"/>
  <c r="K18" i="3" a="1"/>
  <c r="K18" i="3"/>
  <c r="J18" i="3" a="1"/>
  <c r="J18" i="3"/>
  <c r="A18" i="3"/>
  <c r="M17" i="3" a="1"/>
  <c r="M17" i="3"/>
  <c r="L17" i="3" a="1"/>
  <c r="L17" i="3"/>
  <c r="K17" i="3" a="1"/>
  <c r="K17" i="3"/>
  <c r="J17" i="3" a="1"/>
  <c r="J17" i="3" s="1"/>
  <c r="I17" i="3" a="1"/>
  <c r="I17" i="3"/>
  <c r="H17" i="3" a="1"/>
  <c r="H17" i="3"/>
  <c r="G17" i="3" a="1"/>
  <c r="G17" i="3"/>
  <c r="F17" i="3" a="1"/>
  <c r="F17" i="3"/>
  <c r="A17" i="3"/>
  <c r="M16" i="3" a="1"/>
  <c r="M16" i="3" s="1"/>
  <c r="L16" i="3" a="1"/>
  <c r="L16" i="3"/>
  <c r="K16" i="3" a="1"/>
  <c r="K16" i="3"/>
  <c r="J16" i="3" a="1"/>
  <c r="J16" i="3"/>
  <c r="A16" i="3"/>
  <c r="M15" i="3" a="1"/>
  <c r="M15" i="3"/>
  <c r="L15" i="3" a="1"/>
  <c r="L15" i="3"/>
  <c r="K15" i="3" a="1"/>
  <c r="K15" i="3" s="1"/>
  <c r="J15" i="3" a="1"/>
  <c r="J15" i="3"/>
  <c r="I15" i="3" a="1"/>
  <c r="I15" i="3"/>
  <c r="H15" i="3" a="1"/>
  <c r="H15" i="3"/>
  <c r="G15" i="3" a="1"/>
  <c r="G15" i="3"/>
  <c r="F15" i="3" a="1"/>
  <c r="F15" i="3"/>
  <c r="A15" i="3"/>
  <c r="M14" i="3" a="1"/>
  <c r="M14" i="3"/>
  <c r="L14" i="3" a="1"/>
  <c r="L14" i="3"/>
  <c r="K14" i="3" a="1"/>
  <c r="K14" i="3"/>
  <c r="J14" i="3" a="1"/>
  <c r="J14" i="3" s="1"/>
  <c r="A14" i="3"/>
  <c r="M13" i="3" a="1"/>
  <c r="M13" i="3"/>
  <c r="L13" i="3" a="1"/>
  <c r="L13" i="3" s="1"/>
  <c r="K13" i="3" a="1"/>
  <c r="K13" i="3"/>
  <c r="J13" i="3" a="1"/>
  <c r="J13" i="3" s="1"/>
  <c r="I13" i="3" a="1"/>
  <c r="I13" i="3"/>
  <c r="H13" i="3" a="1"/>
  <c r="H13" i="3"/>
  <c r="G13" i="3" a="1"/>
  <c r="G13" i="3"/>
  <c r="F13" i="3" a="1"/>
  <c r="F13" i="3" s="1"/>
  <c r="A13" i="3"/>
  <c r="M12" i="3" a="1"/>
  <c r="M12" i="3"/>
  <c r="L12" i="3" a="1"/>
  <c r="L12" i="3"/>
  <c r="K12" i="3" a="1"/>
  <c r="K12" i="3" s="1"/>
  <c r="J12" i="3" a="1"/>
  <c r="J12" i="3" s="1"/>
  <c r="A12" i="3"/>
  <c r="M11" i="3" a="1"/>
  <c r="M11" i="3" s="1"/>
  <c r="L11" i="3" a="1"/>
  <c r="L11" i="3"/>
  <c r="K11" i="3" a="1"/>
  <c r="K11" i="3" s="1"/>
  <c r="J11" i="3" a="1"/>
  <c r="J11" i="3"/>
  <c r="I11" i="3" a="1"/>
  <c r="I11" i="3"/>
  <c r="H11" i="3" a="1"/>
  <c r="H11" i="3"/>
  <c r="G11" i="3" a="1"/>
  <c r="G11" i="3" s="1"/>
  <c r="F11" i="3" a="1"/>
  <c r="F11" i="3"/>
  <c r="A11" i="3"/>
  <c r="M10" i="3" a="1"/>
  <c r="M10" i="3"/>
  <c r="L10" i="3" a="1"/>
  <c r="L10" i="3" s="1"/>
  <c r="K10" i="3" a="1"/>
  <c r="K10" i="3" s="1"/>
  <c r="J10" i="3" a="1"/>
  <c r="J10" i="3" s="1"/>
  <c r="I10" i="3" a="1"/>
  <c r="I10" i="3"/>
  <c r="A10" i="3"/>
  <c r="M9" i="3" a="1"/>
  <c r="M9" i="3"/>
  <c r="L9" i="3" a="1"/>
  <c r="L9" i="3" s="1"/>
  <c r="K9" i="3" a="1"/>
  <c r="K9" i="3"/>
  <c r="J9" i="3" a="1"/>
  <c r="J9" i="3"/>
  <c r="I9" i="3" a="1"/>
  <c r="I9" i="3"/>
  <c r="H9" i="3" a="1"/>
  <c r="H9" i="3" s="1"/>
  <c r="G9" i="3" a="1"/>
  <c r="G9" i="3"/>
  <c r="F9" i="3" a="1"/>
  <c r="F9" i="3" s="1"/>
  <c r="A9" i="3"/>
  <c r="M8" i="3" a="1"/>
  <c r="M8" i="3" s="1"/>
  <c r="L8" i="3" a="1"/>
  <c r="L8" i="3" s="1"/>
  <c r="K8" i="3" a="1"/>
  <c r="K8" i="3" s="1"/>
  <c r="J8" i="3" a="1"/>
  <c r="J8" i="3"/>
  <c r="A8" i="3"/>
  <c r="M7" i="3" a="1"/>
  <c r="M7" i="3" s="1"/>
  <c r="L7" i="3" a="1"/>
  <c r="L7" i="3"/>
  <c r="K7" i="3" a="1"/>
  <c r="K7" i="3"/>
  <c r="J7" i="3" a="1"/>
  <c r="J7" i="3"/>
  <c r="I7" i="3" a="1"/>
  <c r="I7" i="3" s="1"/>
  <c r="H7" i="3" a="1"/>
  <c r="H7" i="3"/>
  <c r="A7" i="3"/>
  <c r="A6" i="3"/>
  <c r="M5" i="3" a="1"/>
  <c r="M5" i="3"/>
  <c r="L5" i="3" a="1"/>
  <c r="L5" i="3"/>
  <c r="K5" i="3" a="1"/>
  <c r="K5" i="3"/>
  <c r="J5" i="3" a="1"/>
  <c r="J5" i="3" s="1"/>
  <c r="I5" i="3" a="1"/>
  <c r="I5" i="3"/>
  <c r="H5" i="3" a="1"/>
  <c r="H5" i="3"/>
  <c r="A5" i="3"/>
  <c r="M4" i="3" a="1"/>
  <c r="M4" i="3" s="1"/>
  <c r="A4" i="3"/>
  <c r="M3" i="3" a="1"/>
  <c r="M3" i="3"/>
  <c r="L3" i="3" a="1"/>
  <c r="L3" i="3"/>
  <c r="K3" i="3" a="1"/>
  <c r="K3" i="3" s="1"/>
  <c r="J3" i="3" a="1"/>
  <c r="J3" i="3"/>
  <c r="I3" i="3" a="1"/>
  <c r="I3" i="3" s="1"/>
  <c r="H3" i="3" a="1"/>
  <c r="H3" i="3"/>
  <c r="A3" i="3"/>
  <c r="M2" i="3" a="1"/>
  <c r="M2" i="3"/>
  <c r="A2" i="3"/>
  <c r="N691" i="2"/>
  <c r="K691" i="2"/>
  <c r="N690" i="2"/>
  <c r="K690" i="2"/>
  <c r="N689" i="2"/>
  <c r="K689" i="2"/>
  <c r="N688" i="2"/>
  <c r="K688" i="2"/>
  <c r="N687" i="2"/>
  <c r="K687" i="2"/>
  <c r="K686" i="2"/>
  <c r="N685" i="2"/>
  <c r="K685" i="2"/>
  <c r="N684" i="2"/>
  <c r="K684" i="2"/>
  <c r="N683" i="2"/>
  <c r="K683" i="2"/>
  <c r="Q682" i="2"/>
  <c r="N682" i="2"/>
  <c r="K682" i="2"/>
  <c r="Q681" i="2"/>
  <c r="N681" i="2"/>
  <c r="K681" i="2"/>
  <c r="N680" i="2"/>
  <c r="K680" i="2"/>
  <c r="N679" i="2"/>
  <c r="K679" i="2"/>
  <c r="N678" i="2"/>
  <c r="K678" i="2"/>
  <c r="N677" i="2"/>
  <c r="K677" i="2"/>
  <c r="T676" i="2"/>
  <c r="Q676" i="2"/>
  <c r="N676" i="2"/>
  <c r="K676" i="2"/>
  <c r="Q675" i="2"/>
  <c r="N675" i="2"/>
  <c r="K675" i="2"/>
  <c r="Q674" i="2"/>
  <c r="N674" i="2"/>
  <c r="K674" i="2"/>
  <c r="N673" i="2"/>
  <c r="K673" i="2"/>
  <c r="K672" i="2"/>
  <c r="N671" i="2"/>
  <c r="K671" i="2"/>
  <c r="N670" i="2"/>
  <c r="K670" i="2"/>
  <c r="N669" i="2"/>
  <c r="K669" i="2"/>
  <c r="N668" i="2"/>
  <c r="K668" i="2"/>
  <c r="D668" i="2" s="1"/>
  <c r="C396" i="3" s="1" a="1"/>
  <c r="C396" i="3" s="1"/>
  <c r="N667" i="2"/>
  <c r="K667" i="2"/>
  <c r="D667" i="2" s="1"/>
  <c r="Q666" i="2"/>
  <c r="K666" i="2"/>
  <c r="D666" i="2" s="1"/>
  <c r="N665" i="2"/>
  <c r="K665" i="2"/>
  <c r="D665" i="2"/>
  <c r="N664" i="2"/>
  <c r="K664" i="2"/>
  <c r="D664" i="2" s="1"/>
  <c r="N663" i="2"/>
  <c r="K663" i="2"/>
  <c r="D663" i="2" s="1"/>
  <c r="N662" i="2"/>
  <c r="K662" i="2"/>
  <c r="D662" i="2" s="1"/>
  <c r="N661" i="2"/>
  <c r="K661" i="2"/>
  <c r="D661" i="2" s="1"/>
  <c r="Q660" i="2"/>
  <c r="N660" i="2"/>
  <c r="D660" i="2" s="1"/>
  <c r="K660" i="2"/>
  <c r="N659" i="2"/>
  <c r="K659" i="2"/>
  <c r="D659" i="2" s="1"/>
  <c r="Q658" i="2"/>
  <c r="D658" i="2" s="1"/>
  <c r="N658" i="2"/>
  <c r="K658" i="2"/>
  <c r="N657" i="2"/>
  <c r="K657" i="2"/>
  <c r="D657" i="2"/>
  <c r="Q656" i="2"/>
  <c r="N656" i="2"/>
  <c r="K656" i="2"/>
  <c r="D656" i="2" s="1"/>
  <c r="N655" i="2"/>
  <c r="K655" i="2"/>
  <c r="D655" i="2" s="1"/>
  <c r="Q654" i="2"/>
  <c r="N654" i="2"/>
  <c r="D654" i="2" s="1"/>
  <c r="N653" i="2"/>
  <c r="K653" i="2"/>
  <c r="D653" i="2" s="1"/>
  <c r="N652" i="2"/>
  <c r="K652" i="2"/>
  <c r="D652" i="2" s="1"/>
  <c r="N651" i="2"/>
  <c r="K651" i="2"/>
  <c r="D651" i="2" s="1"/>
  <c r="N650" i="2"/>
  <c r="K650" i="2"/>
  <c r="D650" i="2" s="1"/>
  <c r="N649" i="2"/>
  <c r="K649" i="2"/>
  <c r="D649" i="2" s="1"/>
  <c r="Q648" i="2"/>
  <c r="N648" i="2"/>
  <c r="D648" i="2" s="1"/>
  <c r="K648" i="2"/>
  <c r="N647" i="2"/>
  <c r="D647" i="2" s="1"/>
  <c r="K647" i="2"/>
  <c r="Q646" i="2"/>
  <c r="N646" i="2"/>
  <c r="K646" i="2"/>
  <c r="D646" i="2" s="1"/>
  <c r="N645" i="2"/>
  <c r="K645" i="2"/>
  <c r="D645" i="2" s="1"/>
  <c r="Q644" i="2"/>
  <c r="N644" i="2"/>
  <c r="K644" i="2"/>
  <c r="D644" i="2" s="1"/>
  <c r="N643" i="2"/>
  <c r="K643" i="2"/>
  <c r="D643" i="2" s="1"/>
  <c r="Q642" i="2"/>
  <c r="K642" i="2"/>
  <c r="D642" i="2" s="1"/>
  <c r="N641" i="2"/>
  <c r="K641" i="2"/>
  <c r="D641" i="2" s="1"/>
  <c r="N640" i="2"/>
  <c r="K640" i="2"/>
  <c r="D640" i="2" s="1"/>
  <c r="N639" i="2"/>
  <c r="K639" i="2"/>
  <c r="D639" i="2" s="1"/>
  <c r="N638" i="2"/>
  <c r="K638" i="2"/>
  <c r="D638" i="2" s="1"/>
  <c r="N637" i="2"/>
  <c r="K637" i="2"/>
  <c r="D637" i="2" s="1"/>
  <c r="Q636" i="2"/>
  <c r="N636" i="2"/>
  <c r="D636" i="2" s="1"/>
  <c r="K636" i="2"/>
  <c r="N635" i="2"/>
  <c r="K635" i="2"/>
  <c r="D635" i="2"/>
  <c r="Q634" i="2"/>
  <c r="N634" i="2"/>
  <c r="K634" i="2"/>
  <c r="D634" i="2" s="1"/>
  <c r="N633" i="2"/>
  <c r="K633" i="2"/>
  <c r="D633" i="2"/>
  <c r="Q632" i="2"/>
  <c r="N632" i="2"/>
  <c r="K632" i="2"/>
  <c r="D632" i="2" s="1"/>
  <c r="K631" i="2"/>
  <c r="D631" i="2" s="1"/>
  <c r="K630" i="2"/>
  <c r="D630" i="2"/>
  <c r="N629" i="2"/>
  <c r="D629" i="2" s="1"/>
  <c r="K629" i="2"/>
  <c r="N628" i="2"/>
  <c r="D628" i="2" s="1"/>
  <c r="K628" i="2"/>
  <c r="K627" i="2"/>
  <c r="D627" i="2" s="1"/>
  <c r="N626" i="2"/>
  <c r="K626" i="2"/>
  <c r="D626" i="2" s="1"/>
  <c r="Q625" i="2"/>
  <c r="K625" i="2"/>
  <c r="D625" i="2" s="1"/>
  <c r="N624" i="2"/>
  <c r="K624" i="2"/>
  <c r="D624" i="2" s="1"/>
  <c r="N623" i="2"/>
  <c r="K623" i="2"/>
  <c r="D623" i="2" s="1"/>
  <c r="N622" i="2"/>
  <c r="K622" i="2"/>
  <c r="D622" i="2" s="1"/>
  <c r="N621" i="2"/>
  <c r="K621" i="2"/>
  <c r="D621" i="2" s="1"/>
  <c r="N620" i="2"/>
  <c r="K620" i="2"/>
  <c r="D620" i="2" s="1"/>
  <c r="Q619" i="2"/>
  <c r="N619" i="2"/>
  <c r="D619" i="2" s="1"/>
  <c r="K619" i="2"/>
  <c r="N618" i="2"/>
  <c r="K618" i="2"/>
  <c r="D618" i="2"/>
  <c r="Q617" i="2"/>
  <c r="N617" i="2"/>
  <c r="K617" i="2"/>
  <c r="D617" i="2"/>
  <c r="N616" i="2"/>
  <c r="K616" i="2"/>
  <c r="D616" i="2"/>
  <c r="Q615" i="2"/>
  <c r="N615" i="2"/>
  <c r="K615" i="2"/>
  <c r="D615" i="2" s="1"/>
  <c r="N614" i="2"/>
  <c r="K614" i="2"/>
  <c r="D614" i="2" s="1"/>
  <c r="Q613" i="2"/>
  <c r="N613" i="2"/>
  <c r="D613" i="2" s="1"/>
  <c r="N612" i="2"/>
  <c r="K612" i="2"/>
  <c r="D612" i="2" s="1"/>
  <c r="N611" i="2"/>
  <c r="K611" i="2"/>
  <c r="D611" i="2" s="1"/>
  <c r="N610" i="2"/>
  <c r="K610" i="2"/>
  <c r="D610" i="2" s="1"/>
  <c r="N609" i="2"/>
  <c r="K609" i="2"/>
  <c r="D609" i="2" s="1"/>
  <c r="N608" i="2"/>
  <c r="K608" i="2"/>
  <c r="D608" i="2" s="1"/>
  <c r="Q607" i="2"/>
  <c r="N607" i="2"/>
  <c r="D607" i="2" s="1"/>
  <c r="K607" i="2"/>
  <c r="N606" i="2"/>
  <c r="D606" i="2" s="1"/>
  <c r="K606" i="2"/>
  <c r="Q605" i="2"/>
  <c r="D605" i="2" s="1"/>
  <c r="N605" i="2"/>
  <c r="K605" i="2"/>
  <c r="N604" i="2"/>
  <c r="K604" i="2"/>
  <c r="D604" i="2"/>
  <c r="Q603" i="2"/>
  <c r="N603" i="2"/>
  <c r="K603" i="2"/>
  <c r="D603" i="2" s="1"/>
  <c r="N602" i="2"/>
  <c r="K602" i="2"/>
  <c r="D602" i="2" s="1"/>
  <c r="Q601" i="2"/>
  <c r="K601" i="2"/>
  <c r="D601" i="2" s="1"/>
  <c r="N600" i="2"/>
  <c r="K600" i="2"/>
  <c r="D600" i="2" s="1"/>
  <c r="N599" i="2"/>
  <c r="K599" i="2"/>
  <c r="D599" i="2" s="1"/>
  <c r="N598" i="2"/>
  <c r="K598" i="2"/>
  <c r="D598" i="2" s="1"/>
  <c r="N597" i="2"/>
  <c r="K597" i="2"/>
  <c r="D597" i="2" s="1"/>
  <c r="N596" i="2"/>
  <c r="K596" i="2"/>
  <c r="D596" i="2" s="1"/>
  <c r="Q595" i="2"/>
  <c r="N595" i="2"/>
  <c r="D595" i="2" s="1"/>
  <c r="K595" i="2"/>
  <c r="N594" i="2"/>
  <c r="D594" i="2" s="1"/>
  <c r="K594" i="2"/>
  <c r="Q593" i="2"/>
  <c r="N593" i="2"/>
  <c r="K593" i="2"/>
  <c r="D593" i="2"/>
  <c r="N592" i="2"/>
  <c r="K592" i="2"/>
  <c r="D592" i="2"/>
  <c r="Q591" i="2"/>
  <c r="N591" i="2"/>
  <c r="K591" i="2"/>
  <c r="D591" i="2" s="1"/>
  <c r="Q590" i="2"/>
  <c r="N590" i="2"/>
  <c r="D590" i="2" s="1"/>
  <c r="K590" i="2"/>
  <c r="K589" i="2"/>
  <c r="D589" i="2"/>
  <c r="N588" i="2"/>
  <c r="D588" i="2"/>
  <c r="N587" i="2"/>
  <c r="D587" i="2"/>
  <c r="N586" i="2"/>
  <c r="D586" i="2" s="1"/>
  <c r="N585" i="2"/>
  <c r="D585" i="2"/>
  <c r="N584" i="2"/>
  <c r="K584" i="2"/>
  <c r="D584" i="2"/>
  <c r="K583" i="2"/>
  <c r="D583" i="2"/>
  <c r="K582" i="2"/>
  <c r="D582" i="2"/>
  <c r="N581" i="2"/>
  <c r="D581" i="2"/>
  <c r="N580" i="2"/>
  <c r="D580" i="2"/>
  <c r="N579" i="2"/>
  <c r="D579" i="2" s="1"/>
  <c r="Q578" i="2"/>
  <c r="N578" i="2"/>
  <c r="K578" i="2"/>
  <c r="K577" i="2"/>
  <c r="D577" i="2" s="1"/>
  <c r="K576" i="2"/>
  <c r="D576" i="2" s="1"/>
  <c r="K575" i="2"/>
  <c r="D575" i="2"/>
  <c r="N574" i="2"/>
  <c r="K574" i="2"/>
  <c r="D574" i="2"/>
  <c r="K573" i="2"/>
  <c r="D573" i="2" s="1"/>
  <c r="N572" i="2"/>
  <c r="K572" i="2"/>
  <c r="D572" i="2" s="1"/>
  <c r="K571" i="2"/>
  <c r="D571" i="2" s="1"/>
  <c r="N570" i="2"/>
  <c r="K570" i="2"/>
  <c r="D570" i="2"/>
  <c r="N569" i="2"/>
  <c r="K569" i="2"/>
  <c r="D569" i="2" s="1"/>
  <c r="N568" i="2"/>
  <c r="K568" i="2"/>
  <c r="D568" i="2"/>
  <c r="N567" i="2"/>
  <c r="K567" i="2"/>
  <c r="D567" i="2" s="1"/>
  <c r="N566" i="2"/>
  <c r="D566" i="2" s="1"/>
  <c r="K566" i="2"/>
  <c r="N565" i="2"/>
  <c r="K565" i="2"/>
  <c r="D565" i="2" s="1"/>
  <c r="K564" i="2"/>
  <c r="D564" i="2" s="1"/>
  <c r="N563" i="2"/>
  <c r="D563" i="2" s="1"/>
  <c r="K563" i="2"/>
  <c r="N562" i="2"/>
  <c r="K562" i="2"/>
  <c r="D562" i="2" s="1"/>
  <c r="K561" i="2"/>
  <c r="D561" i="2" s="1"/>
  <c r="N560" i="2"/>
  <c r="D560" i="2" s="1"/>
  <c r="K560" i="2"/>
  <c r="N559" i="2"/>
  <c r="K559" i="2"/>
  <c r="D559" i="2" s="1"/>
  <c r="N558" i="2"/>
  <c r="K558" i="2"/>
  <c r="D558" i="2" s="1"/>
  <c r="N557" i="2"/>
  <c r="K557" i="2"/>
  <c r="D557" i="2" s="1"/>
  <c r="K556" i="2"/>
  <c r="D556" i="2" s="1"/>
  <c r="N555" i="2"/>
  <c r="D555" i="2" s="1"/>
  <c r="K555" i="2"/>
  <c r="N554" i="2"/>
  <c r="K554" i="2"/>
  <c r="D554" i="2"/>
  <c r="N553" i="2"/>
  <c r="K553" i="2"/>
  <c r="D553" i="2" s="1"/>
  <c r="N552" i="2"/>
  <c r="K552" i="2"/>
  <c r="D552" i="2" s="1"/>
  <c r="N551" i="2"/>
  <c r="D551" i="2" s="1"/>
  <c r="K551" i="2"/>
  <c r="N550" i="2"/>
  <c r="K550" i="2"/>
  <c r="D550" i="2" s="1"/>
  <c r="N549" i="2"/>
  <c r="K549" i="2"/>
  <c r="D549" i="2" s="1"/>
  <c r="N548" i="2"/>
  <c r="K548" i="2"/>
  <c r="D548" i="2" s="1"/>
  <c r="N547" i="2"/>
  <c r="K547" i="2"/>
  <c r="D547" i="2"/>
  <c r="N546" i="2"/>
  <c r="K546" i="2"/>
  <c r="D546" i="2" s="1"/>
  <c r="N545" i="2"/>
  <c r="K545" i="2"/>
  <c r="N544" i="2"/>
  <c r="K544" i="2"/>
  <c r="D544" i="2" s="1"/>
  <c r="N543" i="2"/>
  <c r="D543" i="2" s="1"/>
  <c r="K543" i="2"/>
  <c r="N542" i="2"/>
  <c r="K542" i="2"/>
  <c r="D542" i="2" s="1"/>
  <c r="N541" i="2"/>
  <c r="K541" i="2"/>
  <c r="N540" i="2"/>
  <c r="K540" i="2"/>
  <c r="D540" i="2" s="1"/>
  <c r="N539" i="2"/>
  <c r="K539" i="2"/>
  <c r="D539" i="2"/>
  <c r="N538" i="2"/>
  <c r="K538" i="2"/>
  <c r="D538" i="2"/>
  <c r="N537" i="2"/>
  <c r="K537" i="2"/>
  <c r="N536" i="2"/>
  <c r="K536" i="2"/>
  <c r="D536" i="2" s="1"/>
  <c r="N535" i="2"/>
  <c r="D535" i="2" s="1"/>
  <c r="K535" i="2"/>
  <c r="N534" i="2"/>
  <c r="K534" i="2"/>
  <c r="D534" i="2"/>
  <c r="N533" i="2"/>
  <c r="K533" i="2"/>
  <c r="D533" i="2" s="1"/>
  <c r="N532" i="2"/>
  <c r="K532" i="2"/>
  <c r="D532" i="2" s="1"/>
  <c r="N531" i="2"/>
  <c r="D531" i="2" s="1"/>
  <c r="K531" i="2"/>
  <c r="N530" i="2"/>
  <c r="K530" i="2"/>
  <c r="D530" i="2"/>
  <c r="N529" i="2"/>
  <c r="K529" i="2"/>
  <c r="D529" i="2" s="1"/>
  <c r="N528" i="2"/>
  <c r="K528" i="2"/>
  <c r="D528" i="2" s="1"/>
  <c r="N527" i="2"/>
  <c r="D527" i="2" s="1"/>
  <c r="K527" i="2"/>
  <c r="N526" i="2"/>
  <c r="K526" i="2"/>
  <c r="D526" i="2" s="1"/>
  <c r="N525" i="2"/>
  <c r="K525" i="2"/>
  <c r="D525" i="2" s="1"/>
  <c r="N524" i="2"/>
  <c r="K524" i="2"/>
  <c r="D524" i="2" s="1"/>
  <c r="N523" i="2"/>
  <c r="K523" i="2"/>
  <c r="D523" i="2"/>
  <c r="N522" i="2"/>
  <c r="K522" i="2"/>
  <c r="D522" i="2" s="1"/>
  <c r="N521" i="2"/>
  <c r="K521" i="2"/>
  <c r="N520" i="2"/>
  <c r="K520" i="2"/>
  <c r="D520" i="2" s="1"/>
  <c r="N519" i="2"/>
  <c r="D519" i="2" s="1"/>
  <c r="K519" i="2"/>
  <c r="N518" i="2"/>
  <c r="K518" i="2"/>
  <c r="D518" i="2" s="1"/>
  <c r="N517" i="2"/>
  <c r="K517" i="2"/>
  <c r="N516" i="2"/>
  <c r="K516" i="2"/>
  <c r="D516" i="2" s="1"/>
  <c r="N515" i="2"/>
  <c r="K515" i="2"/>
  <c r="D515" i="2"/>
  <c r="N514" i="2"/>
  <c r="K514" i="2"/>
  <c r="D514" i="2"/>
  <c r="N513" i="2"/>
  <c r="K513" i="2"/>
  <c r="N512" i="2"/>
  <c r="K512" i="2"/>
  <c r="D512" i="2" s="1"/>
  <c r="N511" i="2"/>
  <c r="D511" i="2" s="1"/>
  <c r="K511" i="2"/>
  <c r="N510" i="2"/>
  <c r="K510" i="2"/>
  <c r="D510" i="2"/>
  <c r="N509" i="2"/>
  <c r="K509" i="2"/>
  <c r="D509" i="2" s="1"/>
  <c r="N508" i="2"/>
  <c r="K508" i="2"/>
  <c r="D508" i="2" s="1"/>
  <c r="N507" i="2"/>
  <c r="D507" i="2" s="1"/>
  <c r="K507" i="2"/>
  <c r="N506" i="2"/>
  <c r="K506" i="2"/>
  <c r="D506" i="2"/>
  <c r="N505" i="2"/>
  <c r="K505" i="2"/>
  <c r="D505" i="2" s="1"/>
  <c r="N504" i="2"/>
  <c r="K504" i="2"/>
  <c r="D504" i="2" s="1"/>
  <c r="N503" i="2"/>
  <c r="D503" i="2" s="1"/>
  <c r="K503" i="2"/>
  <c r="N502" i="2"/>
  <c r="K502" i="2"/>
  <c r="D502" i="2" s="1"/>
  <c r="N501" i="2"/>
  <c r="K501" i="2"/>
  <c r="D501" i="2" s="1"/>
  <c r="N500" i="2"/>
  <c r="K500" i="2"/>
  <c r="D500" i="2" s="1"/>
  <c r="N499" i="2"/>
  <c r="K499" i="2"/>
  <c r="D499" i="2"/>
  <c r="N498" i="2"/>
  <c r="K498" i="2"/>
  <c r="D498" i="2" s="1"/>
  <c r="N497" i="2"/>
  <c r="K497" i="2"/>
  <c r="N496" i="2"/>
  <c r="K496" i="2"/>
  <c r="D496" i="2" s="1"/>
  <c r="N495" i="2"/>
  <c r="D495" i="2" s="1"/>
  <c r="K495" i="2"/>
  <c r="N494" i="2"/>
  <c r="K494" i="2"/>
  <c r="D494" i="2" s="1"/>
  <c r="N493" i="2"/>
  <c r="K493" i="2"/>
  <c r="N492" i="2"/>
  <c r="K492" i="2"/>
  <c r="D492" i="2" s="1"/>
  <c r="N491" i="2"/>
  <c r="K491" i="2"/>
  <c r="D491" i="2"/>
  <c r="N490" i="2"/>
  <c r="K490" i="2"/>
  <c r="D490" i="2"/>
  <c r="N489" i="2"/>
  <c r="K489" i="2"/>
  <c r="N488" i="2"/>
  <c r="K488" i="2"/>
  <c r="D488" i="2" s="1"/>
  <c r="N487" i="2"/>
  <c r="D487" i="2" s="1"/>
  <c r="K487" i="2"/>
  <c r="N486" i="2"/>
  <c r="K486" i="2"/>
  <c r="D486" i="2"/>
  <c r="N485" i="2"/>
  <c r="K485" i="2"/>
  <c r="D485" i="2" s="1"/>
  <c r="N484" i="2"/>
  <c r="K484" i="2"/>
  <c r="N483" i="2"/>
  <c r="D483" i="2" s="1"/>
  <c r="K483" i="2"/>
  <c r="N482" i="2"/>
  <c r="K482" i="2"/>
  <c r="D482" i="2"/>
  <c r="N481" i="2"/>
  <c r="K481" i="2"/>
  <c r="D481" i="2" s="1"/>
  <c r="N480" i="2"/>
  <c r="K480" i="2"/>
  <c r="D480" i="2" s="1"/>
  <c r="N479" i="2"/>
  <c r="D479" i="2" s="1"/>
  <c r="K479" i="2"/>
  <c r="N478" i="2"/>
  <c r="D478" i="2"/>
  <c r="K477" i="2"/>
  <c r="D477" i="2" s="1"/>
  <c r="N476" i="2"/>
  <c r="K476" i="2"/>
  <c r="D476" i="2"/>
  <c r="N475" i="2"/>
  <c r="K475" i="2"/>
  <c r="D475" i="2"/>
  <c r="N474" i="2"/>
  <c r="K474" i="2"/>
  <c r="D474" i="2" s="1"/>
  <c r="N473" i="2"/>
  <c r="K473" i="2"/>
  <c r="D473" i="2" s="1"/>
  <c r="Q472" i="2"/>
  <c r="N472" i="2"/>
  <c r="K472" i="2"/>
  <c r="D472" i="2" s="1"/>
  <c r="K471" i="2"/>
  <c r="D471" i="2"/>
  <c r="N470" i="2"/>
  <c r="K470" i="2"/>
  <c r="N469" i="2"/>
  <c r="K469" i="2"/>
  <c r="D469" i="2" s="1"/>
  <c r="C480" i="3" s="1" a="1"/>
  <c r="C480" i="3" s="1"/>
  <c r="K468" i="2"/>
  <c r="D468" i="2" s="1"/>
  <c r="K467" i="2"/>
  <c r="D467" i="2" s="1"/>
  <c r="N466" i="2"/>
  <c r="K466" i="2"/>
  <c r="D466" i="2" s="1"/>
  <c r="C217" i="3" s="1" a="1"/>
  <c r="C217" i="3" s="1"/>
  <c r="N465" i="2"/>
  <c r="D465" i="2" s="1"/>
  <c r="K464" i="2"/>
  <c r="D464" i="2" s="1"/>
  <c r="K463" i="2"/>
  <c r="D463" i="2" s="1"/>
  <c r="B477" i="3" s="1" a="1"/>
  <c r="B477" i="3" s="1"/>
  <c r="N462" i="2"/>
  <c r="K462" i="2"/>
  <c r="D462" i="2" s="1"/>
  <c r="C482" i="3" s="1" a="1"/>
  <c r="C482" i="3" s="1"/>
  <c r="N461" i="2"/>
  <c r="D461" i="2"/>
  <c r="N460" i="2"/>
  <c r="K460" i="2"/>
  <c r="K459" i="2"/>
  <c r="D459" i="2"/>
  <c r="K458" i="2"/>
  <c r="D458" i="2"/>
  <c r="K457" i="2"/>
  <c r="D457" i="2"/>
  <c r="K456" i="2"/>
  <c r="D456" i="2" s="1"/>
  <c r="K455" i="2"/>
  <c r="D455" i="2" s="1"/>
  <c r="N454" i="2"/>
  <c r="D454" i="2" s="1"/>
  <c r="K453" i="2"/>
  <c r="D453" i="2" s="1"/>
  <c r="N452" i="2"/>
  <c r="K452" i="2"/>
  <c r="D452" i="2" s="1"/>
  <c r="N451" i="2"/>
  <c r="K451" i="2"/>
  <c r="D451" i="2" s="1"/>
  <c r="Q450" i="2"/>
  <c r="N450" i="2"/>
  <c r="K450" i="2"/>
  <c r="Q449" i="2"/>
  <c r="N449" i="2"/>
  <c r="K449" i="2"/>
  <c r="D449" i="2" s="1"/>
  <c r="Q448" i="2"/>
  <c r="N448" i="2"/>
  <c r="K448" i="2"/>
  <c r="D448" i="2" s="1"/>
  <c r="Q447" i="2"/>
  <c r="N447" i="2"/>
  <c r="K447" i="2"/>
  <c r="Q446" i="2"/>
  <c r="N446" i="2"/>
  <c r="K446" i="2"/>
  <c r="D446" i="2" s="1"/>
  <c r="Q445" i="2"/>
  <c r="N445" i="2"/>
  <c r="K445" i="2"/>
  <c r="Q444" i="2"/>
  <c r="N444" i="2"/>
  <c r="K444" i="2"/>
  <c r="Q443" i="2"/>
  <c r="N443" i="2"/>
  <c r="K443" i="2"/>
  <c r="D443" i="2" s="1"/>
  <c r="Q442" i="2"/>
  <c r="N442" i="2"/>
  <c r="K442" i="2"/>
  <c r="D442" i="2" s="1"/>
  <c r="Q441" i="2"/>
  <c r="N441" i="2"/>
  <c r="K441" i="2"/>
  <c r="D441" i="2" s="1"/>
  <c r="Q440" i="2"/>
  <c r="N440" i="2"/>
  <c r="K440" i="2"/>
  <c r="D440" i="2" s="1"/>
  <c r="Q439" i="2"/>
  <c r="N439" i="2"/>
  <c r="K439" i="2"/>
  <c r="Q438" i="2"/>
  <c r="N438" i="2"/>
  <c r="K438" i="2"/>
  <c r="Q437" i="2"/>
  <c r="N437" i="2"/>
  <c r="K437" i="2"/>
  <c r="D437" i="2" s="1"/>
  <c r="Q436" i="2"/>
  <c r="N436" i="2"/>
  <c r="K436" i="2"/>
  <c r="Q435" i="2"/>
  <c r="N435" i="2"/>
  <c r="K435" i="2"/>
  <c r="Q434" i="2"/>
  <c r="N434" i="2"/>
  <c r="K434" i="2"/>
  <c r="D434" i="2"/>
  <c r="Q433" i="2"/>
  <c r="N433" i="2"/>
  <c r="K433" i="2"/>
  <c r="D433" i="2" s="1"/>
  <c r="Q432" i="2"/>
  <c r="N432" i="2"/>
  <c r="K432" i="2"/>
  <c r="Q431" i="2"/>
  <c r="N431" i="2"/>
  <c r="K431" i="2"/>
  <c r="D431" i="2" s="1"/>
  <c r="Q430" i="2"/>
  <c r="N430" i="2"/>
  <c r="K430" i="2"/>
  <c r="D430" i="2" s="1"/>
  <c r="Q429" i="2"/>
  <c r="N429" i="2"/>
  <c r="K429" i="2"/>
  <c r="Q428" i="2"/>
  <c r="N428" i="2"/>
  <c r="K428" i="2"/>
  <c r="D428" i="2" s="1"/>
  <c r="Q427" i="2"/>
  <c r="N427" i="2"/>
  <c r="K427" i="2"/>
  <c r="Q426" i="2"/>
  <c r="N426" i="2"/>
  <c r="K426" i="2"/>
  <c r="Q425" i="2"/>
  <c r="N425" i="2"/>
  <c r="K425" i="2"/>
  <c r="D425" i="2"/>
  <c r="Q424" i="2"/>
  <c r="N424" i="2"/>
  <c r="K424" i="2"/>
  <c r="D424" i="2" s="1"/>
  <c r="Q423" i="2"/>
  <c r="N423" i="2"/>
  <c r="K423" i="2"/>
  <c r="D423" i="2" s="1"/>
  <c r="Q422" i="2"/>
  <c r="N422" i="2"/>
  <c r="K422" i="2"/>
  <c r="D422" i="2" s="1"/>
  <c r="Q421" i="2"/>
  <c r="N421" i="2"/>
  <c r="K421" i="2"/>
  <c r="Q420" i="2"/>
  <c r="N420" i="2"/>
  <c r="K420" i="2"/>
  <c r="Q419" i="2"/>
  <c r="N419" i="2"/>
  <c r="K419" i="2"/>
  <c r="D419" i="2" s="1"/>
  <c r="Q418" i="2"/>
  <c r="N418" i="2"/>
  <c r="K418" i="2"/>
  <c r="Q417" i="2"/>
  <c r="N417" i="2"/>
  <c r="K417" i="2"/>
  <c r="Q416" i="2"/>
  <c r="N416" i="2"/>
  <c r="K416" i="2"/>
  <c r="D416" i="2"/>
  <c r="Q415" i="2"/>
  <c r="N415" i="2"/>
  <c r="K415" i="2"/>
  <c r="D415" i="2" s="1"/>
  <c r="Q414" i="2"/>
  <c r="N414" i="2"/>
  <c r="K414" i="2"/>
  <c r="D414" i="2" s="1"/>
  <c r="Q413" i="2"/>
  <c r="N413" i="2"/>
  <c r="K413" i="2"/>
  <c r="D413" i="2" s="1"/>
  <c r="Q412" i="2"/>
  <c r="N412" i="2"/>
  <c r="K412" i="2"/>
  <c r="Q411" i="2"/>
  <c r="N411" i="2"/>
  <c r="K411" i="2"/>
  <c r="D411" i="2" s="1"/>
  <c r="Q410" i="2"/>
  <c r="N410" i="2"/>
  <c r="K410" i="2"/>
  <c r="D410" i="2"/>
  <c r="Q409" i="2"/>
  <c r="N409" i="2"/>
  <c r="K409" i="2"/>
  <c r="D409" i="2" s="1"/>
  <c r="Q408" i="2"/>
  <c r="N408" i="2"/>
  <c r="K408" i="2"/>
  <c r="D408" i="2" s="1"/>
  <c r="Q407" i="2"/>
  <c r="D407" i="2" s="1"/>
  <c r="N407" i="2"/>
  <c r="K407" i="2"/>
  <c r="Q406" i="2"/>
  <c r="N406" i="2"/>
  <c r="K406" i="2"/>
  <c r="D406" i="2" s="1"/>
  <c r="Q405" i="2"/>
  <c r="N405" i="2"/>
  <c r="K405" i="2"/>
  <c r="D405" i="2" s="1"/>
  <c r="Q404" i="2"/>
  <c r="N404" i="2"/>
  <c r="K404" i="2"/>
  <c r="D404" i="2" s="1"/>
  <c r="Q403" i="2"/>
  <c r="N403" i="2"/>
  <c r="K403" i="2"/>
  <c r="Q402" i="2"/>
  <c r="N402" i="2"/>
  <c r="D402" i="2" s="1"/>
  <c r="K402" i="2"/>
  <c r="Q401" i="2"/>
  <c r="N401" i="2"/>
  <c r="K401" i="2"/>
  <c r="D401" i="2" s="1"/>
  <c r="Q400" i="2"/>
  <c r="N400" i="2"/>
  <c r="K400" i="2"/>
  <c r="D400" i="2" s="1"/>
  <c r="Q399" i="2"/>
  <c r="N399" i="2"/>
  <c r="K399" i="2"/>
  <c r="D399" i="2" s="1"/>
  <c r="Q398" i="2"/>
  <c r="N398" i="2"/>
  <c r="K398" i="2"/>
  <c r="D398" i="2" s="1"/>
  <c r="Q397" i="2"/>
  <c r="N397" i="2"/>
  <c r="K397" i="2"/>
  <c r="D397" i="2" s="1"/>
  <c r="Q396" i="2"/>
  <c r="N396" i="2"/>
  <c r="K396" i="2"/>
  <c r="D396" i="2"/>
  <c r="Q395" i="2"/>
  <c r="N395" i="2"/>
  <c r="K395" i="2"/>
  <c r="D395" i="2" s="1"/>
  <c r="Q394" i="2"/>
  <c r="N394" i="2"/>
  <c r="K394" i="2"/>
  <c r="Q393" i="2"/>
  <c r="N393" i="2"/>
  <c r="K393" i="2"/>
  <c r="D393" i="2"/>
  <c r="Q392" i="2"/>
  <c r="N392" i="2"/>
  <c r="K392" i="2"/>
  <c r="D392" i="2" s="1"/>
  <c r="Q391" i="2"/>
  <c r="N391" i="2"/>
  <c r="K391" i="2"/>
  <c r="Q390" i="2"/>
  <c r="N390" i="2"/>
  <c r="K390" i="2"/>
  <c r="D390" i="2" s="1"/>
  <c r="Q389" i="2"/>
  <c r="N389" i="2"/>
  <c r="D389" i="2" s="1"/>
  <c r="K389" i="2"/>
  <c r="Q388" i="2"/>
  <c r="N388" i="2"/>
  <c r="K388" i="2"/>
  <c r="Q387" i="2"/>
  <c r="N387" i="2"/>
  <c r="K387" i="2"/>
  <c r="D387" i="2"/>
  <c r="Q386" i="2"/>
  <c r="N386" i="2"/>
  <c r="K386" i="2"/>
  <c r="D386" i="2" s="1"/>
  <c r="Q385" i="2"/>
  <c r="N385" i="2"/>
  <c r="K385" i="2"/>
  <c r="Q384" i="2"/>
  <c r="D384" i="2" s="1"/>
  <c r="N384" i="2"/>
  <c r="K384" i="2"/>
  <c r="Q383" i="2"/>
  <c r="N383" i="2"/>
  <c r="K383" i="2"/>
  <c r="D383" i="2"/>
  <c r="Q382" i="2"/>
  <c r="N382" i="2"/>
  <c r="K382" i="2"/>
  <c r="Q381" i="2"/>
  <c r="N381" i="2"/>
  <c r="K381" i="2"/>
  <c r="D381" i="2" s="1"/>
  <c r="Q380" i="2"/>
  <c r="N380" i="2"/>
  <c r="K380" i="2"/>
  <c r="D380" i="2"/>
  <c r="Q379" i="2"/>
  <c r="N379" i="2"/>
  <c r="K379" i="2"/>
  <c r="D379" i="2" s="1"/>
  <c r="Q378" i="2"/>
  <c r="N378" i="2"/>
  <c r="K378" i="2"/>
  <c r="D378" i="2" s="1"/>
  <c r="Q377" i="2"/>
  <c r="N377" i="2"/>
  <c r="K377" i="2"/>
  <c r="D377" i="2" s="1"/>
  <c r="Q376" i="2"/>
  <c r="N376" i="2"/>
  <c r="K376" i="2"/>
  <c r="Q375" i="2"/>
  <c r="N375" i="2"/>
  <c r="K375" i="2"/>
  <c r="D375" i="2" s="1"/>
  <c r="Q374" i="2"/>
  <c r="N374" i="2"/>
  <c r="K374" i="2"/>
  <c r="D374" i="2"/>
  <c r="Q373" i="2"/>
  <c r="N373" i="2"/>
  <c r="K373" i="2"/>
  <c r="D373" i="2" s="1"/>
  <c r="Q372" i="2"/>
  <c r="N372" i="2"/>
  <c r="K372" i="2"/>
  <c r="D372" i="2" s="1"/>
  <c r="Q371" i="2"/>
  <c r="D371" i="2" s="1"/>
  <c r="N371" i="2"/>
  <c r="K371" i="2"/>
  <c r="Q370" i="2"/>
  <c r="N370" i="2"/>
  <c r="K370" i="2"/>
  <c r="D370" i="2" s="1"/>
  <c r="Q369" i="2"/>
  <c r="N369" i="2"/>
  <c r="K369" i="2"/>
  <c r="D369" i="2" s="1"/>
  <c r="Q368" i="2"/>
  <c r="N368" i="2"/>
  <c r="K368" i="2"/>
  <c r="D368" i="2" s="1"/>
  <c r="Q367" i="2"/>
  <c r="N367" i="2"/>
  <c r="K367" i="2"/>
  <c r="Q366" i="2"/>
  <c r="N366" i="2"/>
  <c r="K366" i="2"/>
  <c r="D366" i="2"/>
  <c r="Q365" i="2"/>
  <c r="N365" i="2"/>
  <c r="K365" i="2"/>
  <c r="D365" i="2" s="1"/>
  <c r="N364" i="2"/>
  <c r="K364" i="2"/>
  <c r="D364" i="2"/>
  <c r="N363" i="2"/>
  <c r="K363" i="2"/>
  <c r="D363" i="2"/>
  <c r="N362" i="2"/>
  <c r="K362" i="2"/>
  <c r="D362" i="2" s="1"/>
  <c r="N361" i="2"/>
  <c r="K361" i="2"/>
  <c r="D361" i="2" s="1"/>
  <c r="N360" i="2"/>
  <c r="K360" i="2"/>
  <c r="D360" i="2" s="1"/>
  <c r="N359" i="2"/>
  <c r="K359" i="2"/>
  <c r="D359" i="2"/>
  <c r="N358" i="2"/>
  <c r="K358" i="2"/>
  <c r="D358" i="2" s="1"/>
  <c r="N357" i="2"/>
  <c r="K357" i="2"/>
  <c r="D357" i="2" s="1"/>
  <c r="N356" i="2"/>
  <c r="K356" i="2"/>
  <c r="D356" i="2" s="1"/>
  <c r="N355" i="2"/>
  <c r="K355" i="2"/>
  <c r="D355" i="2"/>
  <c r="N354" i="2"/>
  <c r="K354" i="2"/>
  <c r="D354" i="2" s="1"/>
  <c r="N353" i="2"/>
  <c r="K353" i="2"/>
  <c r="D353" i="2" s="1"/>
  <c r="N352" i="2"/>
  <c r="K352" i="2"/>
  <c r="D352" i="2" s="1"/>
  <c r="N351" i="2"/>
  <c r="K351" i="2"/>
  <c r="D351" i="2" s="1"/>
  <c r="N350" i="2"/>
  <c r="K350" i="2"/>
  <c r="D350" i="2" s="1"/>
  <c r="N349" i="2"/>
  <c r="K349" i="2"/>
  <c r="D349" i="2" s="1"/>
  <c r="N348" i="2"/>
  <c r="K348" i="2"/>
  <c r="D348" i="2" s="1"/>
  <c r="N347" i="2"/>
  <c r="K347" i="2"/>
  <c r="D347" i="2" s="1"/>
  <c r="N346" i="2"/>
  <c r="K346" i="2"/>
  <c r="D346" i="2" s="1"/>
  <c r="N345" i="2"/>
  <c r="K345" i="2"/>
  <c r="D345" i="2" s="1"/>
  <c r="N344" i="2"/>
  <c r="K344" i="2"/>
  <c r="D344" i="2" s="1"/>
  <c r="N343" i="2"/>
  <c r="K343" i="2"/>
  <c r="D343" i="2" s="1"/>
  <c r="N342" i="2"/>
  <c r="K342" i="2"/>
  <c r="D342" i="2" s="1"/>
  <c r="N341" i="2"/>
  <c r="K341" i="2"/>
  <c r="D341" i="2" s="1"/>
  <c r="N340" i="2"/>
  <c r="K340" i="2"/>
  <c r="D340" i="2" s="1"/>
  <c r="N339" i="2"/>
  <c r="K339" i="2"/>
  <c r="D339" i="2" s="1"/>
  <c r="N338" i="2"/>
  <c r="K338" i="2"/>
  <c r="D338" i="2" s="1"/>
  <c r="N337" i="2"/>
  <c r="K337" i="2"/>
  <c r="D337" i="2" s="1"/>
  <c r="N336" i="2"/>
  <c r="K336" i="2"/>
  <c r="D336" i="2" s="1"/>
  <c r="N335" i="2"/>
  <c r="K335" i="2"/>
  <c r="D335" i="2" s="1"/>
  <c r="N334" i="2"/>
  <c r="K334" i="2"/>
  <c r="D334" i="2" s="1"/>
  <c r="N333" i="2"/>
  <c r="K333" i="2"/>
  <c r="D333" i="2" s="1"/>
  <c r="N332" i="2"/>
  <c r="K332" i="2"/>
  <c r="D332" i="2" s="1"/>
  <c r="N331" i="2"/>
  <c r="K331" i="2"/>
  <c r="D331" i="2" s="1"/>
  <c r="F242" i="3" s="1" a="1"/>
  <c r="F242" i="3" s="1"/>
  <c r="N330" i="2"/>
  <c r="K330" i="2"/>
  <c r="D330" i="2" s="1"/>
  <c r="N329" i="2"/>
  <c r="K329" i="2"/>
  <c r="D329" i="2" s="1"/>
  <c r="N328" i="2"/>
  <c r="K328" i="2"/>
  <c r="D328" i="2" s="1"/>
  <c r="N327" i="2"/>
  <c r="K327" i="2"/>
  <c r="D327" i="2" s="1"/>
  <c r="N326" i="2"/>
  <c r="K326" i="2"/>
  <c r="D326" i="2" s="1"/>
  <c r="N325" i="2"/>
  <c r="K325" i="2"/>
  <c r="D325" i="2" s="1"/>
  <c r="N324" i="2"/>
  <c r="K324" i="2"/>
  <c r="D324" i="2" s="1"/>
  <c r="N323" i="2"/>
  <c r="K323" i="2"/>
  <c r="D323" i="2" s="1"/>
  <c r="N322" i="2"/>
  <c r="K322" i="2"/>
  <c r="D322" i="2" s="1"/>
  <c r="N321" i="2"/>
  <c r="K321" i="2"/>
  <c r="D321" i="2" s="1"/>
  <c r="N320" i="2"/>
  <c r="K320" i="2"/>
  <c r="D320" i="2" s="1"/>
  <c r="N319" i="2"/>
  <c r="K319" i="2"/>
  <c r="D319" i="2" s="1"/>
  <c r="N318" i="2"/>
  <c r="K318" i="2"/>
  <c r="D318" i="2" s="1"/>
  <c r="N317" i="2"/>
  <c r="K317" i="2"/>
  <c r="D317" i="2" s="1"/>
  <c r="N316" i="2"/>
  <c r="K316" i="2"/>
  <c r="D316" i="2" s="1"/>
  <c r="N315" i="2"/>
  <c r="K315" i="2"/>
  <c r="D315" i="2" s="1"/>
  <c r="N314" i="2"/>
  <c r="K314" i="2"/>
  <c r="D314" i="2" s="1"/>
  <c r="N313" i="2"/>
  <c r="K313" i="2"/>
  <c r="D313" i="2" s="1"/>
  <c r="N312" i="2"/>
  <c r="K312" i="2"/>
  <c r="D312" i="2" s="1"/>
  <c r="N311" i="2"/>
  <c r="K311" i="2"/>
  <c r="D311" i="2" s="1"/>
  <c r="N310" i="2"/>
  <c r="K310" i="2"/>
  <c r="D310" i="2" s="1"/>
  <c r="N309" i="2"/>
  <c r="K309" i="2"/>
  <c r="D309" i="2" s="1"/>
  <c r="N308" i="2"/>
  <c r="K308" i="2"/>
  <c r="D308" i="2" s="1"/>
  <c r="N307" i="2"/>
  <c r="K307" i="2"/>
  <c r="D307" i="2" s="1"/>
  <c r="N306" i="2"/>
  <c r="K306" i="2"/>
  <c r="D306" i="2" s="1"/>
  <c r="N305" i="2"/>
  <c r="K305" i="2"/>
  <c r="D305" i="2" s="1"/>
  <c r="N304" i="2"/>
  <c r="K304" i="2"/>
  <c r="D304" i="2" s="1"/>
  <c r="N303" i="2"/>
  <c r="K303" i="2"/>
  <c r="D303" i="2" s="1"/>
  <c r="N302" i="2"/>
  <c r="K302" i="2"/>
  <c r="D302" i="2" s="1"/>
  <c r="N301" i="2"/>
  <c r="K301" i="2"/>
  <c r="D301" i="2" s="1"/>
  <c r="N300" i="2"/>
  <c r="K300" i="2"/>
  <c r="D300" i="2" s="1"/>
  <c r="N299" i="2"/>
  <c r="K299" i="2"/>
  <c r="D299" i="2" s="1"/>
  <c r="N298" i="2"/>
  <c r="K298" i="2"/>
  <c r="D298" i="2" s="1"/>
  <c r="N297" i="2"/>
  <c r="K297" i="2"/>
  <c r="D297" i="2" s="1"/>
  <c r="N296" i="2"/>
  <c r="K296" i="2"/>
  <c r="D296" i="2" s="1"/>
  <c r="N295" i="2"/>
  <c r="K295" i="2"/>
  <c r="D295" i="2" s="1"/>
  <c r="N294" i="2"/>
  <c r="K294" i="2"/>
  <c r="D294" i="2" s="1"/>
  <c r="N293" i="2"/>
  <c r="K293" i="2"/>
  <c r="D293" i="2" s="1"/>
  <c r="N292" i="2"/>
  <c r="K292" i="2"/>
  <c r="D292" i="2" s="1"/>
  <c r="N291" i="2"/>
  <c r="K291" i="2"/>
  <c r="D291" i="2" s="1"/>
  <c r="N290" i="2"/>
  <c r="K290" i="2"/>
  <c r="D290" i="2" s="1"/>
  <c r="N289" i="2"/>
  <c r="K289" i="2"/>
  <c r="D289" i="2" s="1"/>
  <c r="N288" i="2"/>
  <c r="K288" i="2"/>
  <c r="D288" i="2" s="1"/>
  <c r="N287" i="2"/>
  <c r="K287" i="2"/>
  <c r="D287" i="2" s="1"/>
  <c r="N286" i="2"/>
  <c r="K286" i="2"/>
  <c r="D286" i="2" s="1"/>
  <c r="N285" i="2"/>
  <c r="K285" i="2"/>
  <c r="D285" i="2" s="1"/>
  <c r="N284" i="2"/>
  <c r="K284" i="2"/>
  <c r="D284" i="2" s="1"/>
  <c r="N283" i="2"/>
  <c r="K283" i="2"/>
  <c r="D283" i="2" s="1"/>
  <c r="N282" i="2"/>
  <c r="K282" i="2"/>
  <c r="D282" i="2" s="1"/>
  <c r="N281" i="2"/>
  <c r="K281" i="2"/>
  <c r="D281" i="2" s="1"/>
  <c r="N280" i="2"/>
  <c r="K280" i="2"/>
  <c r="D280" i="2" s="1"/>
  <c r="N279" i="2"/>
  <c r="K279" i="2"/>
  <c r="D279" i="2" s="1"/>
  <c r="N278" i="2"/>
  <c r="K278" i="2"/>
  <c r="D278" i="2" s="1"/>
  <c r="N277" i="2"/>
  <c r="K277" i="2"/>
  <c r="D277" i="2" s="1"/>
  <c r="N276" i="2"/>
  <c r="K276" i="2"/>
  <c r="D276" i="2" s="1"/>
  <c r="N275" i="2"/>
  <c r="K275" i="2"/>
  <c r="D275" i="2" s="1"/>
  <c r="N274" i="2"/>
  <c r="K274" i="2"/>
  <c r="D274" i="2" s="1"/>
  <c r="N273" i="2"/>
  <c r="K273" i="2"/>
  <c r="D273" i="2" s="1"/>
  <c r="N272" i="2"/>
  <c r="K272" i="2"/>
  <c r="D272" i="2" s="1"/>
  <c r="N271" i="2"/>
  <c r="K271" i="2"/>
  <c r="D271" i="2" s="1"/>
  <c r="N270" i="2"/>
  <c r="K270" i="2"/>
  <c r="D270" i="2" s="1"/>
  <c r="N269" i="2"/>
  <c r="K269" i="2"/>
  <c r="D269" i="2" s="1"/>
  <c r="N268" i="2"/>
  <c r="K268" i="2"/>
  <c r="D268" i="2" s="1"/>
  <c r="N267" i="2"/>
  <c r="K267" i="2"/>
  <c r="D267" i="2" s="1"/>
  <c r="N266" i="2"/>
  <c r="K266" i="2"/>
  <c r="D266" i="2" s="1"/>
  <c r="N265" i="2"/>
  <c r="K265" i="2"/>
  <c r="D265" i="2" s="1"/>
  <c r="N264" i="2"/>
  <c r="K264" i="2"/>
  <c r="D264" i="2" s="1"/>
  <c r="N263" i="2"/>
  <c r="K263" i="2"/>
  <c r="D263" i="2" s="1"/>
  <c r="N262" i="2"/>
  <c r="K262" i="2"/>
  <c r="D262" i="2" s="1"/>
  <c r="N261" i="2"/>
  <c r="K261" i="2"/>
  <c r="D261" i="2" s="1"/>
  <c r="N260" i="2"/>
  <c r="K260" i="2"/>
  <c r="D260" i="2" s="1"/>
  <c r="N259" i="2"/>
  <c r="K259" i="2"/>
  <c r="D259" i="2" s="1"/>
  <c r="N258" i="2"/>
  <c r="K258" i="2"/>
  <c r="D258" i="2" s="1"/>
  <c r="N257" i="2"/>
  <c r="K257" i="2"/>
  <c r="D257" i="2" s="1"/>
  <c r="N256" i="2"/>
  <c r="K256" i="2"/>
  <c r="D256" i="2" s="1"/>
  <c r="N255" i="2"/>
  <c r="K255" i="2"/>
  <c r="D255" i="2" s="1"/>
  <c r="N254" i="2"/>
  <c r="K254" i="2"/>
  <c r="D254" i="2" s="1"/>
  <c r="N253" i="2"/>
  <c r="K253" i="2"/>
  <c r="D253" i="2" s="1"/>
  <c r="N252" i="2"/>
  <c r="K252" i="2"/>
  <c r="D252" i="2" s="1"/>
  <c r="N251" i="2"/>
  <c r="K251" i="2"/>
  <c r="D251" i="2" s="1"/>
  <c r="N250" i="2"/>
  <c r="K250" i="2"/>
  <c r="D250" i="2" s="1"/>
  <c r="N249" i="2"/>
  <c r="K249" i="2"/>
  <c r="D249" i="2" s="1"/>
  <c r="N248" i="2"/>
  <c r="K248" i="2"/>
  <c r="D248" i="2" s="1"/>
  <c r="N247" i="2"/>
  <c r="K247" i="2"/>
  <c r="D247" i="2" s="1"/>
  <c r="N246" i="2"/>
  <c r="K246" i="2"/>
  <c r="D246" i="2" s="1"/>
  <c r="N245" i="2"/>
  <c r="K245" i="2"/>
  <c r="D245" i="2" s="1"/>
  <c r="N244" i="2"/>
  <c r="K244" i="2"/>
  <c r="D244" i="2" s="1"/>
  <c r="N243" i="2"/>
  <c r="K243" i="2"/>
  <c r="D243" i="2" s="1"/>
  <c r="N242" i="2"/>
  <c r="K242" i="2"/>
  <c r="D242" i="2" s="1"/>
  <c r="N241" i="2"/>
  <c r="K241" i="2"/>
  <c r="D241" i="2" s="1"/>
  <c r="N240" i="2"/>
  <c r="K240" i="2"/>
  <c r="D240" i="2" s="1"/>
  <c r="N239" i="2"/>
  <c r="K239" i="2"/>
  <c r="D239" i="2" s="1"/>
  <c r="N238" i="2"/>
  <c r="K238" i="2"/>
  <c r="D238" i="2" s="1"/>
  <c r="N237" i="2"/>
  <c r="K237" i="2"/>
  <c r="D237" i="2" s="1"/>
  <c r="N236" i="2"/>
  <c r="K236" i="2"/>
  <c r="D236" i="2" s="1"/>
  <c r="N235" i="2"/>
  <c r="K235" i="2"/>
  <c r="D235" i="2" s="1"/>
  <c r="N234" i="2"/>
  <c r="K234" i="2"/>
  <c r="D234" i="2" s="1"/>
  <c r="N233" i="2"/>
  <c r="K233" i="2"/>
  <c r="D233" i="2" s="1"/>
  <c r="N232" i="2"/>
  <c r="K232" i="2"/>
  <c r="D232" i="2" s="1"/>
  <c r="N231" i="2"/>
  <c r="K231" i="2"/>
  <c r="D231" i="2" s="1"/>
  <c r="N230" i="2"/>
  <c r="K230" i="2"/>
  <c r="D230" i="2" s="1"/>
  <c r="N229" i="2"/>
  <c r="K229" i="2"/>
  <c r="D229" i="2" s="1"/>
  <c r="N228" i="2"/>
  <c r="K228" i="2"/>
  <c r="D228" i="2" s="1"/>
  <c r="N227" i="2"/>
  <c r="K227" i="2"/>
  <c r="D227" i="2" s="1"/>
  <c r="N226" i="2"/>
  <c r="K226" i="2"/>
  <c r="D226" i="2" s="1"/>
  <c r="N225" i="2"/>
  <c r="K225" i="2"/>
  <c r="D225" i="2" s="1"/>
  <c r="N224" i="2"/>
  <c r="K224" i="2"/>
  <c r="D224" i="2" s="1"/>
  <c r="N223" i="2"/>
  <c r="K223" i="2"/>
  <c r="D223" i="2" s="1"/>
  <c r="N222" i="2"/>
  <c r="K222" i="2"/>
  <c r="D222" i="2" s="1"/>
  <c r="N221" i="2"/>
  <c r="K221" i="2"/>
  <c r="D221" i="2" s="1"/>
  <c r="N220" i="2"/>
  <c r="K220" i="2"/>
  <c r="D220" i="2" s="1"/>
  <c r="N219" i="2"/>
  <c r="K219" i="2"/>
  <c r="D219" i="2" s="1"/>
  <c r="N218" i="2"/>
  <c r="K218" i="2"/>
  <c r="D218" i="2" s="1"/>
  <c r="N217" i="2"/>
  <c r="K217" i="2"/>
  <c r="D217" i="2" s="1"/>
  <c r="N216" i="2"/>
  <c r="K216" i="2"/>
  <c r="D216" i="2" s="1"/>
  <c r="N215" i="2"/>
  <c r="K215" i="2"/>
  <c r="D215" i="2" s="1"/>
  <c r="N214" i="2"/>
  <c r="K214" i="2"/>
  <c r="D214" i="2" s="1"/>
  <c r="N213" i="2"/>
  <c r="K213" i="2"/>
  <c r="D213" i="2" s="1"/>
  <c r="N212" i="2"/>
  <c r="K212" i="2"/>
  <c r="D212" i="2" s="1"/>
  <c r="N211" i="2"/>
  <c r="K211" i="2"/>
  <c r="D211" i="2" s="1"/>
  <c r="N210" i="2"/>
  <c r="K210" i="2"/>
  <c r="D210" i="2" s="1"/>
  <c r="N209" i="2"/>
  <c r="K209" i="2"/>
  <c r="D209" i="2" s="1"/>
  <c r="N208" i="2"/>
  <c r="K208" i="2"/>
  <c r="D208" i="2" s="1"/>
  <c r="N207" i="2"/>
  <c r="K207" i="2"/>
  <c r="D207" i="2" s="1"/>
  <c r="N206" i="2"/>
  <c r="K206" i="2"/>
  <c r="D206" i="2" s="1"/>
  <c r="N205" i="2"/>
  <c r="K205" i="2"/>
  <c r="D205" i="2" s="1"/>
  <c r="N204" i="2"/>
  <c r="K204" i="2"/>
  <c r="D204" i="2" s="1"/>
  <c r="N203" i="2"/>
  <c r="K203" i="2"/>
  <c r="D203" i="2" s="1"/>
  <c r="N202" i="2"/>
  <c r="K202" i="2"/>
  <c r="D202" i="2" s="1"/>
  <c r="N201" i="2"/>
  <c r="K201" i="2"/>
  <c r="D201" i="2" s="1"/>
  <c r="N200" i="2"/>
  <c r="K200" i="2"/>
  <c r="D200" i="2" s="1"/>
  <c r="N199" i="2"/>
  <c r="K199" i="2"/>
  <c r="D199" i="2" s="1"/>
  <c r="N198" i="2"/>
  <c r="K198" i="2"/>
  <c r="D198" i="2" s="1"/>
  <c r="N197" i="2"/>
  <c r="K197" i="2"/>
  <c r="D197" i="2" s="1"/>
  <c r="N196" i="2"/>
  <c r="K196" i="2"/>
  <c r="D196" i="2" s="1"/>
  <c r="N195" i="2"/>
  <c r="K195" i="2"/>
  <c r="D195" i="2" s="1"/>
  <c r="N194" i="2"/>
  <c r="K194" i="2"/>
  <c r="D194" i="2" s="1"/>
  <c r="N193" i="2"/>
  <c r="K193" i="2"/>
  <c r="D193" i="2" s="1"/>
  <c r="N192" i="2"/>
  <c r="K192" i="2"/>
  <c r="D192" i="2" s="1"/>
  <c r="N191" i="2"/>
  <c r="K191" i="2"/>
  <c r="D191" i="2" s="1"/>
  <c r="N190" i="2"/>
  <c r="K190" i="2"/>
  <c r="D190" i="2" s="1"/>
  <c r="N189" i="2"/>
  <c r="K189" i="2"/>
  <c r="D189" i="2" s="1"/>
  <c r="N188" i="2"/>
  <c r="K188" i="2"/>
  <c r="D188" i="2" s="1"/>
  <c r="N187" i="2"/>
  <c r="K187" i="2"/>
  <c r="D187" i="2" s="1"/>
  <c r="N186" i="2"/>
  <c r="K186" i="2"/>
  <c r="D186" i="2" s="1"/>
  <c r="N185" i="2"/>
  <c r="K185" i="2"/>
  <c r="D185" i="2" s="1"/>
  <c r="N184" i="2"/>
  <c r="K184" i="2"/>
  <c r="D184" i="2" s="1"/>
  <c r="N183" i="2"/>
  <c r="K183" i="2"/>
  <c r="D183" i="2" s="1"/>
  <c r="N182" i="2"/>
  <c r="K182" i="2"/>
  <c r="D182" i="2" s="1"/>
  <c r="N181" i="2"/>
  <c r="K181" i="2"/>
  <c r="D181" i="2" s="1"/>
  <c r="N180" i="2"/>
  <c r="K180" i="2"/>
  <c r="D180" i="2" s="1"/>
  <c r="N179" i="2"/>
  <c r="K179" i="2"/>
  <c r="D179" i="2" s="1"/>
  <c r="N178" i="2"/>
  <c r="K178" i="2"/>
  <c r="D178" i="2" s="1"/>
  <c r="N177" i="2"/>
  <c r="K177" i="2"/>
  <c r="D177" i="2" s="1"/>
  <c r="N176" i="2"/>
  <c r="K176" i="2"/>
  <c r="D176" i="2" s="1"/>
  <c r="N175" i="2"/>
  <c r="K175" i="2"/>
  <c r="D175" i="2" s="1"/>
  <c r="N174" i="2"/>
  <c r="K174" i="2"/>
  <c r="D174" i="2" s="1"/>
  <c r="N173" i="2"/>
  <c r="K173" i="2"/>
  <c r="D173" i="2" s="1"/>
  <c r="N172" i="2"/>
  <c r="K172" i="2"/>
  <c r="D172" i="2" s="1"/>
  <c r="N171" i="2"/>
  <c r="K171" i="2"/>
  <c r="D171" i="2" s="1"/>
  <c r="N170" i="2"/>
  <c r="K170" i="2"/>
  <c r="D170" i="2" s="1"/>
  <c r="N169" i="2"/>
  <c r="K169" i="2"/>
  <c r="D169" i="2" s="1"/>
  <c r="N168" i="2"/>
  <c r="K168" i="2"/>
  <c r="D168" i="2" s="1"/>
  <c r="N167" i="2"/>
  <c r="K167" i="2"/>
  <c r="D167" i="2" s="1"/>
  <c r="N166" i="2"/>
  <c r="K166" i="2"/>
  <c r="D166" i="2" s="1"/>
  <c r="N165" i="2"/>
  <c r="K165" i="2"/>
  <c r="D165" i="2" s="1"/>
  <c r="N164" i="2"/>
  <c r="K164" i="2"/>
  <c r="D164" i="2" s="1"/>
  <c r="B371" i="3" s="1" a="1"/>
  <c r="B371" i="3" s="1"/>
  <c r="K163" i="2"/>
  <c r="D163" i="2"/>
  <c r="K162" i="2"/>
  <c r="D162" i="2"/>
  <c r="N161" i="2"/>
  <c r="D161" i="2" s="1"/>
  <c r="K161" i="2"/>
  <c r="N160" i="2"/>
  <c r="K160" i="2"/>
  <c r="D160" i="2" s="1"/>
  <c r="N159" i="2"/>
  <c r="K159" i="2"/>
  <c r="K158" i="2"/>
  <c r="D158" i="2"/>
  <c r="K157" i="2"/>
  <c r="D157" i="2"/>
  <c r="N156" i="2"/>
  <c r="D156" i="2" s="1"/>
  <c r="K156" i="2"/>
  <c r="K155" i="2"/>
  <c r="D155" i="2" s="1"/>
  <c r="N154" i="2"/>
  <c r="K154" i="2"/>
  <c r="D154" i="2" s="1"/>
  <c r="K153" i="2"/>
  <c r="D153" i="2" s="1"/>
  <c r="K152" i="2"/>
  <c r="D152" i="2" s="1"/>
  <c r="N151" i="2"/>
  <c r="K151" i="2"/>
  <c r="D151" i="2" s="1"/>
  <c r="N150" i="2"/>
  <c r="K150" i="2"/>
  <c r="D150" i="2" s="1"/>
  <c r="N149" i="2"/>
  <c r="K149" i="2"/>
  <c r="D149" i="2"/>
  <c r="N148" i="2"/>
  <c r="K148" i="2"/>
  <c r="D148" i="2" s="1"/>
  <c r="N147" i="2"/>
  <c r="K147" i="2"/>
  <c r="D147" i="2" s="1"/>
  <c r="N146" i="2"/>
  <c r="K146" i="2"/>
  <c r="D146" i="2" s="1"/>
  <c r="N145" i="2"/>
  <c r="K145" i="2"/>
  <c r="D145" i="2"/>
  <c r="N144" i="2"/>
  <c r="K144" i="2"/>
  <c r="D144" i="2" s="1"/>
  <c r="N143" i="2"/>
  <c r="K143" i="2"/>
  <c r="D143" i="2" s="1"/>
  <c r="N142" i="2"/>
  <c r="K142" i="2"/>
  <c r="D142" i="2" s="1"/>
  <c r="N141" i="2"/>
  <c r="K141" i="2"/>
  <c r="D141" i="2"/>
  <c r="N140" i="2"/>
  <c r="K140" i="2"/>
  <c r="D140" i="2" s="1"/>
  <c r="N139" i="2"/>
  <c r="K139" i="2"/>
  <c r="D139" i="2" s="1"/>
  <c r="N138" i="2"/>
  <c r="K138" i="2"/>
  <c r="D138" i="2" s="1"/>
  <c r="N137" i="2"/>
  <c r="K137" i="2"/>
  <c r="D137" i="2"/>
  <c r="N136" i="2"/>
  <c r="K136" i="2"/>
  <c r="D136" i="2" s="1"/>
  <c r="N135" i="2"/>
  <c r="K135" i="2"/>
  <c r="D135" i="2" s="1"/>
  <c r="N134" i="2"/>
  <c r="K134" i="2"/>
  <c r="D134" i="2" s="1"/>
  <c r="N133" i="2"/>
  <c r="K133" i="2"/>
  <c r="D133" i="2"/>
  <c r="K132" i="2"/>
  <c r="D132" i="2"/>
  <c r="K131" i="2"/>
  <c r="D131" i="2"/>
  <c r="K130" i="2"/>
  <c r="D130" i="2" s="1"/>
  <c r="K129" i="2"/>
  <c r="D129" i="2"/>
  <c r="K128" i="2"/>
  <c r="D128" i="2" s="1"/>
  <c r="N127" i="2"/>
  <c r="K127" i="2"/>
  <c r="D127" i="2" s="1"/>
  <c r="N126" i="2"/>
  <c r="K126" i="2"/>
  <c r="D126" i="2"/>
  <c r="N125" i="2"/>
  <c r="D125" i="2" s="1"/>
  <c r="K125" i="2"/>
  <c r="K124" i="2"/>
  <c r="D124" i="2" s="1"/>
  <c r="B156" i="3" s="1" a="1"/>
  <c r="B156" i="3" s="1"/>
  <c r="K123" i="2"/>
  <c r="D123" i="2" s="1"/>
  <c r="N122" i="2"/>
  <c r="K122" i="2"/>
  <c r="D122" i="2" s="1"/>
  <c r="K121" i="2"/>
  <c r="D121" i="2" s="1"/>
  <c r="K120" i="2"/>
  <c r="D120" i="2"/>
  <c r="Q119" i="2"/>
  <c r="K119" i="2"/>
  <c r="D119" i="2"/>
  <c r="K118" i="2"/>
  <c r="D118" i="2" s="1"/>
  <c r="N117" i="2"/>
  <c r="D117" i="2"/>
  <c r="N116" i="2"/>
  <c r="D116" i="2" s="1"/>
  <c r="N115" i="2"/>
  <c r="K115" i="2"/>
  <c r="D115" i="2"/>
  <c r="N114" i="2"/>
  <c r="D114" i="2" s="1"/>
  <c r="K114" i="2"/>
  <c r="K113" i="2"/>
  <c r="D113" i="2" s="1"/>
  <c r="B114" i="3" s="1" a="1"/>
  <c r="B114" i="3" s="1"/>
  <c r="K112" i="2"/>
  <c r="D112" i="2" s="1"/>
  <c r="K111" i="2"/>
  <c r="D111" i="2" s="1"/>
  <c r="K110" i="2"/>
  <c r="D110" i="2"/>
  <c r="K109" i="2"/>
  <c r="D109" i="2"/>
  <c r="N108" i="2"/>
  <c r="D108" i="2" s="1"/>
  <c r="K108" i="2"/>
  <c r="K107" i="2"/>
  <c r="D107" i="2"/>
  <c r="B333" i="3" s="1" a="1"/>
  <c r="B333" i="3" s="1"/>
  <c r="K106" i="2"/>
  <c r="D106" i="2"/>
  <c r="K105" i="2"/>
  <c r="D105" i="2" s="1"/>
  <c r="K104" i="2"/>
  <c r="D104" i="2" s="1"/>
  <c r="K103" i="2"/>
  <c r="D103" i="2"/>
  <c r="B186" i="3" s="1" a="1"/>
  <c r="B186" i="3" s="1"/>
  <c r="N102" i="2"/>
  <c r="K102" i="2"/>
  <c r="D102" i="2" s="1"/>
  <c r="K101" i="2"/>
  <c r="D101" i="2" s="1"/>
  <c r="K100" i="2"/>
  <c r="D100" i="2"/>
  <c r="K99" i="2"/>
  <c r="D99" i="2" s="1"/>
  <c r="K98" i="2"/>
  <c r="D98" i="2" s="1"/>
  <c r="K97" i="2"/>
  <c r="D97" i="2"/>
  <c r="K96" i="2"/>
  <c r="D96" i="2" s="1"/>
  <c r="K95" i="2"/>
  <c r="D95" i="2"/>
  <c r="K94" i="2"/>
  <c r="D94" i="2" s="1"/>
  <c r="B104" i="3" s="1" a="1"/>
  <c r="B104" i="3" s="1"/>
  <c r="K93" i="2"/>
  <c r="D93" i="2" s="1"/>
  <c r="B136" i="3" s="1" a="1"/>
  <c r="B136" i="3" s="1"/>
  <c r="K92" i="2"/>
  <c r="D92" i="2"/>
  <c r="B343" i="3" s="1" a="1"/>
  <c r="B343" i="3" s="1"/>
  <c r="K91" i="2"/>
  <c r="D91" i="2"/>
  <c r="B43" i="3" s="1" a="1"/>
  <c r="B43" i="3" s="1"/>
  <c r="N90" i="2"/>
  <c r="D90" i="2" s="1"/>
  <c r="K90" i="2"/>
  <c r="K89" i="2"/>
  <c r="D89" i="2" s="1"/>
  <c r="N88" i="2"/>
  <c r="K88" i="2"/>
  <c r="D88" i="2" s="1"/>
  <c r="K87" i="2"/>
  <c r="D87" i="2"/>
  <c r="N86" i="2"/>
  <c r="K86" i="2"/>
  <c r="D86" i="2"/>
  <c r="K85" i="2"/>
  <c r="D85" i="2"/>
  <c r="K84" i="2"/>
  <c r="D84" i="2" s="1"/>
  <c r="N83" i="2"/>
  <c r="K83" i="2"/>
  <c r="D83" i="2" s="1"/>
  <c r="N82" i="2"/>
  <c r="K82" i="2"/>
  <c r="D82" i="2" s="1"/>
  <c r="N81" i="2"/>
  <c r="K81" i="2"/>
  <c r="D81" i="2" s="1"/>
  <c r="K80" i="2"/>
  <c r="D80" i="2"/>
  <c r="N79" i="2"/>
  <c r="K79" i="2"/>
  <c r="D79" i="2" s="1"/>
  <c r="K78" i="2"/>
  <c r="D78" i="2" s="1"/>
  <c r="N77" i="2"/>
  <c r="K77" i="2"/>
  <c r="D77" i="2" s="1"/>
  <c r="N76" i="2"/>
  <c r="D76" i="2" s="1"/>
  <c r="K75" i="2"/>
  <c r="D75" i="2" s="1"/>
  <c r="N74" i="2"/>
  <c r="D74" i="2"/>
  <c r="N73" i="2"/>
  <c r="K73" i="2"/>
  <c r="D73" i="2"/>
  <c r="D72" i="2"/>
  <c r="K71" i="2"/>
  <c r="D71" i="2"/>
  <c r="K70" i="2"/>
  <c r="D70" i="2" s="1"/>
  <c r="K69" i="2"/>
  <c r="D69" i="2"/>
  <c r="K68" i="2"/>
  <c r="D68" i="2"/>
  <c r="K67" i="2"/>
  <c r="D67" i="2" s="1"/>
  <c r="K66" i="2"/>
  <c r="D66" i="2"/>
  <c r="K65" i="2"/>
  <c r="D65" i="2" s="1"/>
  <c r="K64" i="2"/>
  <c r="D64" i="2" s="1"/>
  <c r="K63" i="2"/>
  <c r="D63" i="2"/>
  <c r="K62" i="2"/>
  <c r="D62" i="2" s="1"/>
  <c r="N61" i="2"/>
  <c r="D61" i="2"/>
  <c r="N60" i="2"/>
  <c r="D60" i="2" s="1"/>
  <c r="N59" i="2"/>
  <c r="D59" i="2" s="1"/>
  <c r="N58" i="2"/>
  <c r="K58" i="2"/>
  <c r="D58" i="2"/>
  <c r="N57" i="2"/>
  <c r="D57" i="2"/>
  <c r="N56" i="2"/>
  <c r="D56" i="2"/>
  <c r="N55" i="2"/>
  <c r="K55" i="2"/>
  <c r="D55" i="2" s="1"/>
  <c r="N54" i="2"/>
  <c r="D54" i="2" s="1"/>
  <c r="N53" i="2"/>
  <c r="D53" i="2" s="1"/>
  <c r="N52" i="2"/>
  <c r="K52" i="2"/>
  <c r="D52" i="2"/>
  <c r="N51" i="2"/>
  <c r="D51" i="2" s="1"/>
  <c r="K51" i="2"/>
  <c r="N50" i="2"/>
  <c r="D50" i="2" s="1"/>
  <c r="N49" i="2"/>
  <c r="K49" i="2"/>
  <c r="D49" i="2" s="1"/>
  <c r="N48" i="2"/>
  <c r="D48" i="2"/>
  <c r="N47" i="2"/>
  <c r="K47" i="2"/>
  <c r="D47" i="2"/>
  <c r="N46" i="2"/>
  <c r="D46" i="2"/>
  <c r="N45" i="2"/>
  <c r="D45" i="2" s="1"/>
  <c r="N44" i="2"/>
  <c r="D44" i="2"/>
  <c r="N43" i="2"/>
  <c r="D43" i="2" s="1"/>
  <c r="N42" i="2"/>
  <c r="K42" i="2"/>
  <c r="D42" i="2" s="1"/>
  <c r="B49" i="3" s="1" a="1"/>
  <c r="B49" i="3" s="1"/>
  <c r="N41" i="2"/>
  <c r="D41" i="2"/>
  <c r="N40" i="2"/>
  <c r="K40" i="2"/>
  <c r="D40" i="2"/>
  <c r="N39" i="2"/>
  <c r="K39" i="2"/>
  <c r="D39" i="2"/>
  <c r="B426" i="3" s="1" a="1"/>
  <c r="B426" i="3" s="1"/>
  <c r="N38" i="2"/>
  <c r="K38" i="2"/>
  <c r="D38" i="2"/>
  <c r="B424" i="3" s="1" a="1"/>
  <c r="B424" i="3" s="1"/>
  <c r="N37" i="2"/>
  <c r="K37" i="2"/>
  <c r="D37" i="2"/>
  <c r="N36" i="2"/>
  <c r="D36" i="2"/>
  <c r="N35" i="2"/>
  <c r="K35" i="2"/>
  <c r="D35" i="2" s="1"/>
  <c r="N34" i="2"/>
  <c r="D34" i="2" s="1"/>
  <c r="K34" i="2"/>
  <c r="N33" i="2"/>
  <c r="K33" i="2"/>
  <c r="D33" i="2"/>
  <c r="N32" i="2"/>
  <c r="D32" i="2" s="1"/>
  <c r="N31" i="2"/>
  <c r="K31" i="2"/>
  <c r="D31" i="2" s="1"/>
  <c r="N30" i="2"/>
  <c r="K30" i="2"/>
  <c r="D30" i="2" s="1"/>
  <c r="N29" i="2"/>
  <c r="K29" i="2"/>
  <c r="D29" i="2"/>
  <c r="N28" i="2"/>
  <c r="K28" i="2"/>
  <c r="D28" i="2"/>
  <c r="N27" i="2"/>
  <c r="K27" i="2"/>
  <c r="D27" i="2"/>
  <c r="N26" i="2"/>
  <c r="K26" i="2"/>
  <c r="N25" i="2"/>
  <c r="K25" i="2"/>
  <c r="D25" i="2" s="1"/>
  <c r="N24" i="2"/>
  <c r="K24" i="2"/>
  <c r="D24" i="2"/>
  <c r="N23" i="2"/>
  <c r="D23" i="2" s="1"/>
  <c r="K23" i="2"/>
  <c r="N22" i="2"/>
  <c r="K22" i="2"/>
  <c r="N21" i="2"/>
  <c r="K21" i="2"/>
  <c r="D21" i="2" s="1"/>
  <c r="N20" i="2"/>
  <c r="D20" i="2"/>
  <c r="N19" i="2"/>
  <c r="K19" i="2"/>
  <c r="D19" i="2"/>
  <c r="N18" i="2"/>
  <c r="K18" i="2"/>
  <c r="D18" i="2"/>
  <c r="N17" i="2"/>
  <c r="K17" i="2"/>
  <c r="D17" i="2"/>
  <c r="N16" i="2"/>
  <c r="K16" i="2"/>
  <c r="N15" i="2"/>
  <c r="D15" i="2" s="1"/>
  <c r="B38" i="3" s="1" a="1"/>
  <c r="B38" i="3" s="1"/>
  <c r="W14" i="2"/>
  <c r="T14" i="2"/>
  <c r="Q14" i="2"/>
  <c r="N14" i="2"/>
  <c r="K14" i="2"/>
  <c r="N13" i="2"/>
  <c r="K13" i="2"/>
  <c r="N12" i="2"/>
  <c r="K12" i="2"/>
  <c r="N11" i="2"/>
  <c r="K11" i="2"/>
  <c r="N10" i="2"/>
  <c r="K10" i="2"/>
  <c r="K9" i="2"/>
  <c r="K8" i="2"/>
  <c r="N7" i="2"/>
  <c r="K7" i="2"/>
  <c r="Q6" i="2"/>
  <c r="N6" i="2"/>
  <c r="K6" i="2"/>
  <c r="N5" i="2"/>
  <c r="K5" i="2"/>
  <c r="N4" i="2"/>
  <c r="K4" i="2"/>
  <c r="T3" i="2"/>
  <c r="Q3" i="2"/>
  <c r="N3" i="2"/>
  <c r="K3" i="2"/>
  <c r="T2" i="2"/>
  <c r="Q2" i="2"/>
  <c r="N2" i="2"/>
  <c r="K2" i="2"/>
  <c r="E1" i="22" l="1"/>
  <c r="B323" i="3" a="1"/>
  <c r="B323" i="3" s="1"/>
  <c r="G153" i="3" a="1"/>
  <c r="G153" i="3" s="1"/>
  <c r="B75" i="3" a="1"/>
  <c r="B75" i="3" s="1"/>
  <c r="C67" i="3" a="1"/>
  <c r="C67" i="3" s="1"/>
  <c r="B216" i="3" a="1"/>
  <c r="B216" i="3" s="1"/>
  <c r="E70" i="3" a="1"/>
  <c r="E70" i="3" s="1"/>
  <c r="C142" i="3" a="1"/>
  <c r="C142" i="3" s="1"/>
  <c r="F49" i="3" a="1"/>
  <c r="F49" i="3" s="1"/>
  <c r="B435" i="3" a="1"/>
  <c r="B435" i="3" s="1"/>
  <c r="B123" i="3" a="1"/>
  <c r="B123" i="3" s="1"/>
  <c r="D152" i="3" a="1"/>
  <c r="D152" i="3" s="1"/>
  <c r="D142" i="3" a="1"/>
  <c r="D142" i="3" s="1"/>
  <c r="G337" i="3" a="1"/>
  <c r="G337" i="3" s="1"/>
  <c r="B372" i="3" a="1"/>
  <c r="B372" i="3" s="1"/>
  <c r="E152" i="3" a="1"/>
  <c r="E152" i="3" s="1"/>
  <c r="C382" i="3" a="1"/>
  <c r="C382" i="3" s="1"/>
  <c r="G142" i="3" a="1"/>
  <c r="G142" i="3" s="1"/>
  <c r="B361" i="3" a="1"/>
  <c r="B361" i="3" s="1"/>
  <c r="D233" i="3" a="1"/>
  <c r="D233" i="3" s="1"/>
  <c r="B133" i="3" a="1"/>
  <c r="B133" i="3" s="1"/>
  <c r="AC416" i="3" a="1"/>
  <c r="AC416" i="3" s="1"/>
  <c r="B39" i="3" a="1"/>
  <c r="B39" i="3" s="1"/>
  <c r="J459" i="3" a="1"/>
  <c r="J459" i="3" s="1"/>
  <c r="B91" i="3" a="1"/>
  <c r="B91" i="3" s="1"/>
  <c r="S159" i="3" a="1"/>
  <c r="S159" i="3" s="1"/>
  <c r="C77" i="3" a="1"/>
  <c r="C77" i="3" s="1"/>
  <c r="B364" i="3" a="1"/>
  <c r="B364" i="3" s="1"/>
  <c r="B265" i="3" a="1"/>
  <c r="B265" i="3" s="1"/>
  <c r="C10" i="3" a="1"/>
  <c r="C10" i="3" s="1"/>
  <c r="C6" i="3" a="1"/>
  <c r="C6" i="3" s="1"/>
  <c r="E8" i="3" a="1"/>
  <c r="E8" i="3" s="1"/>
  <c r="E6" i="3" a="1"/>
  <c r="E6" i="3" s="1"/>
  <c r="B251" i="3" a="1"/>
  <c r="B251" i="3" s="1"/>
  <c r="G67" i="3" a="1"/>
  <c r="G67" i="3" s="1"/>
  <c r="B306" i="3" a="1"/>
  <c r="B306" i="3" s="1"/>
  <c r="E238" i="3" a="1"/>
  <c r="E238" i="3" s="1"/>
  <c r="B340" i="3" a="1"/>
  <c r="B340" i="3" s="1"/>
  <c r="J65" i="3" a="1"/>
  <c r="J65" i="3" s="1"/>
  <c r="B353" i="3" a="1"/>
  <c r="B353" i="3" s="1"/>
  <c r="D237" i="3" a="1"/>
  <c r="D237" i="3" s="1"/>
  <c r="B359" i="3" a="1"/>
  <c r="B359" i="3" s="1"/>
  <c r="I69" i="3" a="1"/>
  <c r="I69" i="3" s="1"/>
  <c r="B379" i="3" a="1"/>
  <c r="B379" i="3" s="1"/>
  <c r="J69" i="3" a="1"/>
  <c r="J69" i="3" s="1"/>
  <c r="B414" i="3" a="1"/>
  <c r="B414" i="3" s="1"/>
  <c r="I70" i="3" a="1"/>
  <c r="I70" i="3" s="1"/>
  <c r="B437" i="3" a="1"/>
  <c r="B437" i="3" s="1"/>
  <c r="H64" i="3" a="1"/>
  <c r="H64" i="3" s="1"/>
  <c r="H12" i="3" a="1"/>
  <c r="H12" i="3" s="1"/>
  <c r="J4" i="3" a="1"/>
  <c r="J4" i="3" s="1"/>
  <c r="B458" i="3" a="1"/>
  <c r="B458" i="3" s="1"/>
  <c r="E241" i="3" a="1"/>
  <c r="E241" i="3" s="1"/>
  <c r="R416" i="3" a="1"/>
  <c r="R416" i="3" s="1"/>
  <c r="B384" i="3" a="1"/>
  <c r="B384" i="3" s="1"/>
  <c r="B275" i="3" a="1"/>
  <c r="B275" i="3" s="1"/>
  <c r="AB384" i="3" a="1"/>
  <c r="AB384" i="3" s="1"/>
  <c r="B324" i="3" a="1"/>
  <c r="B324" i="3" s="1"/>
  <c r="G24" i="3" a="1"/>
  <c r="G24" i="3" s="1"/>
  <c r="B191" i="3" a="1"/>
  <c r="B191" i="3" s="1"/>
  <c r="J142" i="3" a="1"/>
  <c r="J142" i="3" s="1"/>
  <c r="B293" i="3" a="1"/>
  <c r="B293" i="3" s="1"/>
  <c r="E229" i="3" a="1"/>
  <c r="E229" i="3" s="1"/>
  <c r="B66" i="3" a="1"/>
  <c r="B66" i="3" s="1"/>
  <c r="B71" i="3" a="1"/>
  <c r="B71" i="3" s="1"/>
  <c r="B12" i="3" a="1"/>
  <c r="B12" i="3" s="1"/>
  <c r="B6" i="3" a="1"/>
  <c r="B6" i="3" s="1"/>
  <c r="B248" i="3" a="1"/>
  <c r="B248" i="3" s="1"/>
  <c r="F70" i="3" a="1"/>
  <c r="F70" i="3" s="1"/>
  <c r="K416" i="3" a="1"/>
  <c r="K416" i="3" s="1"/>
  <c r="C177" i="3" a="1"/>
  <c r="C177" i="3" s="1"/>
  <c r="F459" i="3" a="1"/>
  <c r="F459" i="3" s="1"/>
  <c r="C153" i="3" a="1"/>
  <c r="C153" i="3" s="1"/>
  <c r="C136" i="3" a="1"/>
  <c r="C136" i="3" s="1"/>
  <c r="C42" i="3" a="1"/>
  <c r="C42" i="3" s="1"/>
  <c r="T416" i="3" a="1"/>
  <c r="T416" i="3" s="1"/>
  <c r="F384" i="3" a="1"/>
  <c r="F384" i="3" s="1"/>
  <c r="B144" i="3" a="1"/>
  <c r="B144" i="3" s="1"/>
  <c r="B316" i="3" a="1"/>
  <c r="B316" i="3" s="1"/>
  <c r="C28" i="3" a="1"/>
  <c r="C28" i="3" s="1"/>
  <c r="D450" i="3" a="1"/>
  <c r="D450" i="3" s="1"/>
  <c r="B261" i="3" a="1"/>
  <c r="B261" i="3" s="1"/>
  <c r="B106" i="3" a="1"/>
  <c r="B106" i="3" s="1"/>
  <c r="D68" i="3" a="1"/>
  <c r="D68" i="3" s="1"/>
  <c r="D17" i="3" a="1"/>
  <c r="D17" i="3" s="1"/>
  <c r="D16" i="3" a="1"/>
  <c r="D16" i="3" s="1"/>
  <c r="D2" i="3" a="1"/>
  <c r="D2" i="3" s="1"/>
  <c r="C3" i="3" a="1"/>
  <c r="C3" i="3" s="1"/>
  <c r="C241" i="3" a="1"/>
  <c r="C241" i="3" s="1"/>
  <c r="B135" i="3" a="1"/>
  <c r="B135" i="3" s="1"/>
  <c r="B172" i="3" a="1"/>
  <c r="B172" i="3" s="1"/>
  <c r="F69" i="3" a="1"/>
  <c r="F69" i="3" s="1"/>
  <c r="E240" i="3" a="1"/>
  <c r="E240" i="3" s="1"/>
  <c r="B193" i="3" a="1"/>
  <c r="B193" i="3" s="1"/>
  <c r="D21" i="3" a="1"/>
  <c r="D21" i="3" s="1"/>
  <c r="G20" i="3" a="1"/>
  <c r="G20" i="3" s="1"/>
  <c r="E12" i="3" a="1"/>
  <c r="E12" i="3" s="1"/>
  <c r="C13" i="3" a="1"/>
  <c r="C13" i="3" s="1"/>
  <c r="G2" i="3" a="1"/>
  <c r="G2" i="3" s="1"/>
  <c r="D18" i="3" a="1"/>
  <c r="D18" i="3" s="1"/>
  <c r="E3" i="3" a="1"/>
  <c r="E3" i="3" s="1"/>
  <c r="B19" i="3" a="1"/>
  <c r="B19" i="3" s="1"/>
  <c r="D7" i="3" a="1"/>
  <c r="D7" i="3" s="1"/>
  <c r="H6" i="3" a="1"/>
  <c r="H6" i="3" s="1"/>
  <c r="E10" i="3" a="1"/>
  <c r="E10" i="3" s="1"/>
  <c r="D11" i="3" a="1"/>
  <c r="D11" i="3" s="1"/>
  <c r="F18" i="3" a="1"/>
  <c r="F18" i="3" s="1"/>
  <c r="D19" i="3" a="1"/>
  <c r="D19" i="3" s="1"/>
  <c r="E5" i="3" a="1"/>
  <c r="E5" i="3" s="1"/>
  <c r="E4" i="3" a="1"/>
  <c r="E4" i="3" s="1"/>
  <c r="E19" i="3" a="1"/>
  <c r="E19" i="3" s="1"/>
  <c r="J6" i="3" a="1"/>
  <c r="J6" i="3" s="1"/>
  <c r="G18" i="3" a="1"/>
  <c r="G18" i="3" s="1"/>
  <c r="F7" i="3" a="1"/>
  <c r="F7" i="3" s="1"/>
  <c r="B312" i="3" a="1"/>
  <c r="B312" i="3" s="1"/>
  <c r="I67" i="3" a="1"/>
  <c r="I67" i="3" s="1"/>
  <c r="F5" i="3" a="1"/>
  <c r="F5" i="3" s="1"/>
  <c r="G12" i="3" a="1"/>
  <c r="G12" i="3" s="1"/>
  <c r="E13" i="3" a="1"/>
  <c r="E13" i="3" s="1"/>
  <c r="H4" i="3" a="1"/>
  <c r="H4" i="3" s="1"/>
  <c r="B355" i="3" a="1"/>
  <c r="B355" i="3" s="1"/>
  <c r="G70" i="3" a="1"/>
  <c r="G70" i="3" s="1"/>
  <c r="B363" i="3" a="1"/>
  <c r="B363" i="3" s="1"/>
  <c r="K65" i="3" a="1"/>
  <c r="K65" i="3" s="1"/>
  <c r="B387" i="3" a="1"/>
  <c r="B387" i="3" s="1"/>
  <c r="G64" i="3" a="1"/>
  <c r="G64" i="3" s="1"/>
  <c r="B415" i="3" a="1"/>
  <c r="B415" i="3" s="1"/>
  <c r="K69" i="3" a="1"/>
  <c r="K69" i="3" s="1"/>
  <c r="B427" i="3" a="1"/>
  <c r="B427" i="3" s="1"/>
  <c r="L66" i="3" a="1"/>
  <c r="L66" i="3" s="1"/>
  <c r="B438" i="3" a="1"/>
  <c r="B438" i="3" s="1"/>
  <c r="L68" i="3" a="1"/>
  <c r="L68" i="3" s="1"/>
  <c r="I64" i="3" a="1"/>
  <c r="I64" i="3" s="1"/>
  <c r="F3" i="3" a="1"/>
  <c r="F3" i="3" s="1"/>
  <c r="H8" i="3" a="1"/>
  <c r="H8" i="3" s="1"/>
  <c r="E9" i="3" a="1"/>
  <c r="E9" i="3" s="1"/>
  <c r="H10" i="3" a="1"/>
  <c r="H10" i="3" s="1"/>
  <c r="J2" i="3" a="1"/>
  <c r="J2" i="3" s="1"/>
  <c r="M20" i="3" a="1"/>
  <c r="M20" i="3" s="1"/>
  <c r="I16" i="3" a="1"/>
  <c r="I16" i="3" s="1"/>
  <c r="X416" i="3" a="1"/>
  <c r="X416" i="3" s="1"/>
  <c r="Y384" i="3" a="1"/>
  <c r="Y384" i="3" s="1"/>
  <c r="B268" i="3" a="1"/>
  <c r="B268" i="3" s="1"/>
  <c r="C381" i="3" a="1"/>
  <c r="C381" i="3" s="1"/>
  <c r="H142" i="3" a="1"/>
  <c r="H142" i="3" s="1"/>
  <c r="B174" i="3" a="1"/>
  <c r="B174" i="3" s="1"/>
  <c r="I24" i="3" a="1"/>
  <c r="I24" i="3" s="1"/>
  <c r="D374" i="3" a="1"/>
  <c r="D374" i="3" s="1"/>
  <c r="B281" i="3" a="1"/>
  <c r="B281" i="3" s="1"/>
  <c r="J125" i="3" a="1"/>
  <c r="J125" i="3" s="1"/>
  <c r="B369" i="3" a="1"/>
  <c r="B369" i="3" s="1"/>
  <c r="B370" i="3" a="1"/>
  <c r="B370" i="3" s="1"/>
  <c r="B62" i="3" a="1"/>
  <c r="B62" i="3" s="1"/>
  <c r="B76" i="3" a="1"/>
  <c r="B76" i="3" s="1"/>
  <c r="J159" i="3" a="1"/>
  <c r="J159" i="3" s="1"/>
  <c r="B34" i="3" a="1"/>
  <c r="B34" i="3" s="1"/>
  <c r="O159" i="3" a="1"/>
  <c r="O159" i="3" s="1"/>
  <c r="J178" i="3" a="1"/>
  <c r="J178" i="3" s="1"/>
  <c r="B223" i="3" a="1"/>
  <c r="B223" i="3" s="1"/>
  <c r="P229" i="3" a="1"/>
  <c r="P229" i="3" s="1"/>
  <c r="F153" i="3" a="1"/>
  <c r="F153" i="3" s="1"/>
  <c r="C157" i="3" a="1"/>
  <c r="C157" i="3" s="1"/>
  <c r="C57" i="3" a="1"/>
  <c r="C57" i="3" s="1"/>
  <c r="B277" i="3" a="1"/>
  <c r="B277" i="3" s="1"/>
  <c r="C237" i="3" a="1"/>
  <c r="C237" i="3" s="1"/>
  <c r="B118" i="3" a="1"/>
  <c r="B118" i="3" s="1"/>
  <c r="B95" i="3" a="1"/>
  <c r="B95" i="3" s="1"/>
  <c r="C471" i="3" a="1"/>
  <c r="C471" i="3" s="1"/>
  <c r="B211" i="3" a="1"/>
  <c r="B211" i="3" s="1"/>
  <c r="D153" i="3" a="1"/>
  <c r="D153" i="3" s="1"/>
  <c r="B441" i="3" a="1"/>
  <c r="B441" i="3" s="1"/>
  <c r="C218" i="3" a="1"/>
  <c r="C218" i="3" s="1"/>
  <c r="D463" i="3" a="1"/>
  <c r="D463" i="3" s="1"/>
  <c r="C155" i="3" a="1"/>
  <c r="C155" i="3" s="1"/>
  <c r="B64" i="3" a="1"/>
  <c r="B64" i="3" s="1"/>
  <c r="B44" i="3" a="1"/>
  <c r="B44" i="3" s="1"/>
  <c r="D67" i="3" a="1"/>
  <c r="D67" i="3" s="1"/>
  <c r="B81" i="3" a="1"/>
  <c r="B81" i="3" s="1"/>
  <c r="D10" i="3" a="1"/>
  <c r="D10" i="3" s="1"/>
  <c r="C11" i="3" a="1"/>
  <c r="C11" i="3" s="1"/>
  <c r="C5" i="3" a="1"/>
  <c r="C5" i="3" s="1"/>
  <c r="C4" i="3" a="1"/>
  <c r="C4" i="3" s="1"/>
  <c r="B242" i="3" a="1"/>
  <c r="B242" i="3" s="1"/>
  <c r="B130" i="3" a="1"/>
  <c r="B130" i="3" s="1"/>
  <c r="E16" i="3" a="1"/>
  <c r="E16" i="3" s="1"/>
  <c r="E2" i="3" a="1"/>
  <c r="E2" i="3" s="1"/>
  <c r="D238" i="3" a="1"/>
  <c r="D238" i="3" s="1"/>
  <c r="B187" i="3" a="1"/>
  <c r="B187" i="3" s="1"/>
  <c r="B220" i="3" a="1"/>
  <c r="B220" i="3" s="1"/>
  <c r="F66" i="3" a="1"/>
  <c r="F66" i="3" s="1"/>
  <c r="F2" i="3" a="1"/>
  <c r="F2" i="3" s="1"/>
  <c r="F12" i="3" a="1"/>
  <c r="F12" i="3" s="1"/>
  <c r="D3" i="3" a="1"/>
  <c r="D3" i="3" s="1"/>
  <c r="D13" i="3" a="1"/>
  <c r="D13" i="3" s="1"/>
  <c r="F4" i="3" a="1"/>
  <c r="F4" i="3" s="1"/>
  <c r="H18" i="3" a="1"/>
  <c r="H18" i="3" s="1"/>
  <c r="B167" i="3" a="1"/>
  <c r="B167" i="3" s="1"/>
  <c r="E48" i="3" a="1"/>
  <c r="E48" i="3" s="1"/>
  <c r="C319" i="3" a="1"/>
  <c r="C319" i="3" s="1"/>
  <c r="D177" i="3" a="1"/>
  <c r="D177" i="3" s="1"/>
  <c r="C184" i="3" a="1"/>
  <c r="C184" i="3" s="1"/>
  <c r="E136" i="3" a="1"/>
  <c r="E136" i="3" s="1"/>
  <c r="B252" i="3" a="1"/>
  <c r="B252" i="3" s="1"/>
  <c r="B152" i="3" a="1"/>
  <c r="B152" i="3" s="1"/>
  <c r="D332" i="3" a="1"/>
  <c r="D332" i="3" s="1"/>
  <c r="E253" i="3" a="1"/>
  <c r="E253" i="3" s="1"/>
  <c r="B158" i="3" a="1"/>
  <c r="B158" i="3" s="1"/>
  <c r="H14" i="3" a="1"/>
  <c r="H14" i="3" s="1"/>
  <c r="K4" i="3" a="1"/>
  <c r="K4" i="3" s="1"/>
  <c r="C453" i="3" a="1"/>
  <c r="C453" i="3" s="1"/>
  <c r="R384" i="3" a="1"/>
  <c r="R384" i="3" s="1"/>
  <c r="B234" i="3" a="1"/>
  <c r="B234" i="3" s="1"/>
  <c r="C228" i="3" a="1"/>
  <c r="C228" i="3" s="1"/>
  <c r="B100" i="3" a="1"/>
  <c r="B100" i="3" s="1"/>
  <c r="D364" i="3" a="1"/>
  <c r="D364" i="3" s="1"/>
  <c r="C296" i="3" a="1"/>
  <c r="C296" i="3" s="1"/>
  <c r="B101" i="3" a="1"/>
  <c r="B101" i="3" s="1"/>
  <c r="D69" i="3" a="1"/>
  <c r="D69" i="3" s="1"/>
  <c r="B17" i="3" a="1"/>
  <c r="B17" i="3" s="1"/>
  <c r="B5" i="3" a="1"/>
  <c r="B5" i="3" s="1"/>
  <c r="B16" i="3" a="1"/>
  <c r="B16" i="3" s="1"/>
  <c r="B4" i="3" a="1"/>
  <c r="B4" i="3" s="1"/>
  <c r="D20" i="3" a="1"/>
  <c r="D20" i="3" s="1"/>
  <c r="C18" i="3" a="1"/>
  <c r="C18" i="3" s="1"/>
  <c r="C8" i="3" a="1"/>
  <c r="C8" i="3" s="1"/>
  <c r="D6" i="3" a="1"/>
  <c r="D6" i="3" s="1"/>
  <c r="B9" i="3" a="1"/>
  <c r="B9" i="3" s="1"/>
  <c r="B7" i="3" a="1"/>
  <c r="B7" i="3" s="1"/>
  <c r="B194" i="3" a="1"/>
  <c r="B194" i="3" s="1"/>
  <c r="E65" i="3" a="1"/>
  <c r="E65" i="3" s="1"/>
  <c r="B326" i="3" a="1"/>
  <c r="B326" i="3" s="1"/>
  <c r="I66" i="3" a="1"/>
  <c r="I66" i="3" s="1"/>
  <c r="B356" i="3" a="1"/>
  <c r="B356" i="3" s="1"/>
  <c r="J67" i="3" a="1"/>
  <c r="J67" i="3" s="1"/>
  <c r="J20" i="3" a="1"/>
  <c r="J20" i="3" s="1"/>
  <c r="F10" i="3" a="1"/>
  <c r="F10" i="3" s="1"/>
  <c r="B366" i="3" a="1"/>
  <c r="B366" i="3" s="1"/>
  <c r="H70" i="3" a="1"/>
  <c r="H70" i="3" s="1"/>
  <c r="B390" i="3" a="1"/>
  <c r="B390" i="3" s="1"/>
  <c r="C239" i="3" a="1"/>
  <c r="C239" i="3" s="1"/>
  <c r="B428" i="3" a="1"/>
  <c r="B428" i="3" s="1"/>
  <c r="K68" i="3" a="1"/>
  <c r="K68" i="3" s="1"/>
  <c r="G8" i="3" a="1"/>
  <c r="G8" i="3" s="1"/>
  <c r="I4" i="3" a="1"/>
  <c r="I4" i="3" s="1"/>
  <c r="K20" i="3" a="1"/>
  <c r="K20" i="3" s="1"/>
  <c r="F14" i="3" a="1"/>
  <c r="F14" i="3" s="1"/>
  <c r="G21" i="3" a="1"/>
  <c r="G21" i="3" s="1"/>
  <c r="D15" i="3" a="1"/>
  <c r="D15" i="3" s="1"/>
  <c r="I8" i="3" a="1"/>
  <c r="I8" i="3" s="1"/>
  <c r="L2" i="3" a="1"/>
  <c r="L2" i="3" s="1"/>
  <c r="C423" i="3" a="1"/>
  <c r="C423" i="3" s="1"/>
  <c r="C235" i="3" a="1"/>
  <c r="C235" i="3" s="1"/>
  <c r="G463" i="3" a="1"/>
  <c r="G463" i="3" s="1"/>
  <c r="C327" i="3" a="1"/>
  <c r="C327" i="3" s="1"/>
  <c r="B450" i="3" a="1"/>
  <c r="B450" i="3" s="1"/>
  <c r="B259" i="3" a="1"/>
  <c r="B259" i="3" s="1"/>
  <c r="B288" i="3" a="1"/>
  <c r="B288" i="3" s="1"/>
  <c r="C229" i="3" a="1"/>
  <c r="C229" i="3" s="1"/>
  <c r="C163" i="3" a="1"/>
  <c r="C163" i="3" s="1"/>
  <c r="B35" i="3" a="1"/>
  <c r="B35" i="3" s="1"/>
  <c r="B240" i="3" a="1"/>
  <c r="B240" i="3" s="1"/>
  <c r="B41" i="3" a="1"/>
  <c r="B41" i="3" s="1"/>
  <c r="C238" i="3" a="1"/>
  <c r="C238" i="3" s="1"/>
  <c r="B182" i="3" a="1"/>
  <c r="B182" i="3" s="1"/>
  <c r="C388" i="3" a="1"/>
  <c r="C388" i="3" s="1"/>
  <c r="B315" i="3" a="1"/>
  <c r="B315" i="3" s="1"/>
  <c r="B70" i="3" a="1"/>
  <c r="B70" i="3" s="1"/>
  <c r="B45" i="3" a="1"/>
  <c r="B45" i="3" s="1"/>
  <c r="D8" i="3" a="1"/>
  <c r="D8" i="3" s="1"/>
  <c r="C9" i="3" a="1"/>
  <c r="C9" i="3" s="1"/>
  <c r="D5" i="3" a="1"/>
  <c r="D5" i="3" s="1"/>
  <c r="D4" i="3" a="1"/>
  <c r="D4" i="3" s="1"/>
  <c r="D343" i="3" a="1"/>
  <c r="D343" i="3" s="1"/>
  <c r="B257" i="3" a="1"/>
  <c r="B257" i="3" s="1"/>
  <c r="B126" i="3" a="1"/>
  <c r="B126" i="3" s="1"/>
  <c r="D178" i="3" a="1"/>
  <c r="D178" i="3" s="1"/>
  <c r="B155" i="3" a="1"/>
  <c r="B155" i="3" s="1"/>
  <c r="L4" i="3" a="1"/>
  <c r="L4" i="3" s="1"/>
  <c r="E15" i="3" a="1"/>
  <c r="E15" i="3" s="1"/>
  <c r="I14" i="3" a="1"/>
  <c r="I14" i="3" s="1"/>
  <c r="G5" i="3" a="1"/>
  <c r="G5" i="3" s="1"/>
  <c r="M384" i="3" a="1"/>
  <c r="M384" i="3" s="1"/>
  <c r="B282" i="3" a="1"/>
  <c r="B282" i="3" s="1"/>
  <c r="C274" i="3" a="1"/>
  <c r="C274" i="3" s="1"/>
  <c r="G319" i="3" a="1"/>
  <c r="G319" i="3" s="1"/>
  <c r="C232" i="3" a="1"/>
  <c r="C232" i="3" s="1"/>
  <c r="B171" i="3" a="1"/>
  <c r="B171" i="3" s="1"/>
  <c r="F159" i="3" a="1"/>
  <c r="F159" i="3" s="1"/>
  <c r="B348" i="3" a="1"/>
  <c r="B348" i="3" s="1"/>
  <c r="K159" i="3" a="1"/>
  <c r="K159" i="3" s="1"/>
  <c r="B147" i="3" a="1"/>
  <c r="B147" i="3" s="1"/>
  <c r="D64" i="3" a="1"/>
  <c r="D64" i="3" s="1"/>
  <c r="O416" i="3" a="1"/>
  <c r="O416" i="3" s="1"/>
  <c r="B320" i="3" a="1"/>
  <c r="B320" i="3" s="1"/>
  <c r="B21" i="3" a="1"/>
  <c r="B21" i="3" s="1"/>
  <c r="B20" i="3" a="1"/>
  <c r="B20" i="3" s="1"/>
  <c r="C17" i="3" a="1"/>
  <c r="C17" i="3" s="1"/>
  <c r="C16" i="3" a="1"/>
  <c r="C16" i="3" s="1"/>
  <c r="C12" i="3" a="1"/>
  <c r="C12" i="3" s="1"/>
  <c r="B13" i="3" a="1"/>
  <c r="B13" i="3" s="1"/>
  <c r="C7" i="3" a="1"/>
  <c r="C7" i="3" s="1"/>
  <c r="G6" i="3" a="1"/>
  <c r="G6" i="3" s="1"/>
  <c r="D242" i="3" a="1"/>
  <c r="D242" i="3" s="1"/>
  <c r="B224" i="3" a="1"/>
  <c r="B224" i="3" s="1"/>
  <c r="G16" i="3" a="1"/>
  <c r="G16" i="3" s="1"/>
  <c r="K6" i="3" a="1"/>
  <c r="K6" i="3" s="1"/>
  <c r="E17" i="3" a="1"/>
  <c r="E17" i="3" s="1"/>
  <c r="G7" i="3" a="1"/>
  <c r="G7" i="3" s="1"/>
  <c r="I18" i="3" a="1"/>
  <c r="I18" i="3" s="1"/>
  <c r="M6" i="3" a="1"/>
  <c r="M6" i="3" s="1"/>
  <c r="C178" i="3" a="1"/>
  <c r="C178" i="3" s="1"/>
  <c r="D49" i="3" a="1"/>
  <c r="D49" i="3" s="1"/>
  <c r="B402" i="3" a="1"/>
  <c r="B402" i="3" s="1"/>
  <c r="B319" i="3" a="1"/>
  <c r="B319" i="3" s="1"/>
  <c r="H47" i="3" a="1"/>
  <c r="H47" i="3" s="1"/>
  <c r="L48" i="3" a="1"/>
  <c r="L48" i="3" s="1"/>
  <c r="B462" i="3" a="1"/>
  <c r="B462" i="3" s="1"/>
  <c r="P416" i="3" a="1"/>
  <c r="P416" i="3" s="1"/>
  <c r="C21" i="3" a="1"/>
  <c r="C21" i="3" s="1"/>
  <c r="B11" i="3" a="1"/>
  <c r="B11" i="3" s="1"/>
  <c r="C20" i="3" a="1"/>
  <c r="C20" i="3" s="1"/>
  <c r="B10" i="3" a="1"/>
  <c r="B10" i="3" s="1"/>
  <c r="D236" i="3" a="1"/>
  <c r="D236" i="3" s="1"/>
  <c r="B111" i="3" a="1"/>
  <c r="B111" i="3" s="1"/>
  <c r="B238" i="3" a="1"/>
  <c r="B238" i="3" s="1"/>
  <c r="B161" i="3" a="1"/>
  <c r="B161" i="3" s="1"/>
  <c r="B195" i="3" a="1"/>
  <c r="B195" i="3" s="1"/>
  <c r="F65" i="3" a="1"/>
  <c r="F65" i="3" s="1"/>
  <c r="F20" i="3" a="1"/>
  <c r="F20" i="3" s="1"/>
  <c r="D12" i="3" a="1"/>
  <c r="D12" i="3" s="1"/>
  <c r="B335" i="3" a="1"/>
  <c r="B335" i="3" s="1"/>
  <c r="G69" i="3" a="1"/>
  <c r="G69" i="3" s="1"/>
  <c r="L6" i="3" a="1"/>
  <c r="L6" i="3" s="1"/>
  <c r="D14" i="3" a="1"/>
  <c r="D14" i="3" s="1"/>
  <c r="B397" i="3" a="1"/>
  <c r="B397" i="3" s="1"/>
  <c r="E237" i="3" a="1"/>
  <c r="E237" i="3" s="1"/>
  <c r="B418" i="3" a="1"/>
  <c r="B418" i="3" s="1"/>
  <c r="I68" i="3" a="1"/>
  <c r="I68" i="3" s="1"/>
  <c r="B429" i="3" a="1"/>
  <c r="B429" i="3" s="1"/>
  <c r="L69" i="3" a="1"/>
  <c r="L69" i="3" s="1"/>
  <c r="B440" i="3" a="1"/>
  <c r="B440" i="3" s="1"/>
  <c r="G236" i="3" a="1"/>
  <c r="G236" i="3" s="1"/>
  <c r="W384" i="3" a="1"/>
  <c r="W384" i="3" s="1"/>
  <c r="B354" i="3" a="1"/>
  <c r="B354" i="3" s="1"/>
  <c r="F24" i="3" a="1"/>
  <c r="F24" i="3" s="1"/>
  <c r="C442" i="3" a="1"/>
  <c r="C442" i="3" s="1"/>
  <c r="F136" i="3" a="1"/>
  <c r="F136" i="3" s="1"/>
  <c r="E20" i="3" a="1"/>
  <c r="E20" i="3" s="1"/>
  <c r="B8" i="3" a="1"/>
  <c r="B8" i="3" s="1"/>
  <c r="C70" i="3" a="1"/>
  <c r="C70" i="3" s="1"/>
  <c r="B46" i="3" a="1"/>
  <c r="B46" i="3" s="1"/>
  <c r="B68" i="3" a="1"/>
  <c r="B68" i="3" s="1"/>
  <c r="B93" i="3" a="1"/>
  <c r="B93" i="3" s="1"/>
  <c r="F6" i="3" a="1"/>
  <c r="F6" i="3" s="1"/>
  <c r="F16" i="3" a="1"/>
  <c r="F16" i="3" s="1"/>
  <c r="B226" i="3" a="1"/>
  <c r="B226" i="3" s="1"/>
  <c r="G163" i="3" a="1"/>
  <c r="G163" i="3" s="1"/>
  <c r="T384" i="3" a="1"/>
  <c r="T384" i="3" s="1"/>
  <c r="B284" i="3" a="1"/>
  <c r="B284" i="3" s="1"/>
  <c r="B32" i="3" a="1"/>
  <c r="B32" i="3" s="1"/>
  <c r="B468" i="3" a="1"/>
  <c r="B468" i="3" s="1"/>
  <c r="F142" i="3" a="1"/>
  <c r="F142" i="3" s="1"/>
  <c r="B235" i="3" a="1"/>
  <c r="B235" i="3" s="1"/>
  <c r="B108" i="3" a="1"/>
  <c r="B108" i="3" s="1"/>
  <c r="E233" i="3" a="1"/>
  <c r="E233" i="3" s="1"/>
  <c r="B37" i="3" a="1"/>
  <c r="B37" i="3" s="1"/>
  <c r="B443" i="3" a="1"/>
  <c r="B443" i="3" s="1"/>
  <c r="D381" i="3" a="1"/>
  <c r="D381" i="3" s="1"/>
  <c r="D139" i="3" a="1"/>
  <c r="D139" i="3" s="1"/>
  <c r="C94" i="3" a="1"/>
  <c r="C94" i="3" s="1"/>
  <c r="D484" i="3" a="1"/>
  <c r="D484" i="3" s="1"/>
  <c r="H450" i="3" a="1"/>
  <c r="H450" i="3" s="1"/>
  <c r="B244" i="3" a="1"/>
  <c r="B244" i="3" s="1"/>
  <c r="B202" i="3" a="1"/>
  <c r="B202" i="3" s="1"/>
  <c r="D240" i="3" a="1"/>
  <c r="D240" i="3" s="1"/>
  <c r="B189" i="3" a="1"/>
  <c r="B189" i="3" s="1"/>
  <c r="B18" i="3" a="1"/>
  <c r="B18" i="3" s="1"/>
  <c r="C2" i="3" a="1"/>
  <c r="C2" i="3" s="1"/>
  <c r="B173" i="3" a="1"/>
  <c r="B173" i="3" s="1"/>
  <c r="E64" i="3" a="1"/>
  <c r="E64" i="3" s="1"/>
  <c r="D319" i="3" a="1"/>
  <c r="D319" i="3" s="1"/>
  <c r="I49" i="3" a="1"/>
  <c r="I49" i="3" s="1"/>
  <c r="B308" i="3" a="1"/>
  <c r="B308" i="3" s="1"/>
  <c r="H153" i="3" a="1"/>
  <c r="H153" i="3" s="1"/>
  <c r="B92" i="3" a="1"/>
  <c r="B92" i="3" s="1"/>
  <c r="B241" i="3" a="1"/>
  <c r="B241" i="3" s="1"/>
  <c r="B96" i="3" a="1"/>
  <c r="B96" i="3" s="1"/>
  <c r="C240" i="3" a="1"/>
  <c r="C240" i="3" s="1"/>
  <c r="B162" i="3" a="1"/>
  <c r="B162" i="3" s="1"/>
  <c r="B225" i="3" a="1"/>
  <c r="B225" i="3" s="1"/>
  <c r="E68" i="3" a="1"/>
  <c r="E68" i="3" s="1"/>
  <c r="B271" i="3" a="1"/>
  <c r="B271" i="3" s="1"/>
  <c r="H66" i="3" a="1"/>
  <c r="H66" i="3" s="1"/>
  <c r="D9" i="3" a="1"/>
  <c r="D9" i="3" s="1"/>
  <c r="I20" i="3" a="1"/>
  <c r="I20" i="3" s="1"/>
  <c r="F21" i="3" a="1"/>
  <c r="F21" i="3" s="1"/>
  <c r="F8" i="3" a="1"/>
  <c r="F8" i="3" s="1"/>
  <c r="B302" i="3" a="1"/>
  <c r="B302" i="3" s="1"/>
  <c r="F68" i="3" a="1"/>
  <c r="F68" i="3" s="1"/>
  <c r="B338" i="3" a="1"/>
  <c r="B338" i="3" s="1"/>
  <c r="I65" i="3" a="1"/>
  <c r="I65" i="3" s="1"/>
  <c r="B357" i="3" a="1"/>
  <c r="B357" i="3" s="1"/>
  <c r="K67" i="3" a="1"/>
  <c r="K67" i="3" s="1"/>
  <c r="B376" i="3" a="1"/>
  <c r="B376" i="3" s="1"/>
  <c r="J66" i="3" a="1"/>
  <c r="J66" i="3" s="1"/>
  <c r="B398" i="3" a="1"/>
  <c r="B398" i="3" s="1"/>
  <c r="H68" i="3" a="1"/>
  <c r="H68" i="3" s="1"/>
  <c r="B419" i="3" a="1"/>
  <c r="B419" i="3" s="1"/>
  <c r="K66" i="3" a="1"/>
  <c r="K66" i="3" s="1"/>
  <c r="B446" i="3" a="1"/>
  <c r="B446" i="3" s="1"/>
  <c r="H236" i="3" a="1"/>
  <c r="H236" i="3" s="1"/>
  <c r="G3" i="3" a="1"/>
  <c r="G3" i="3" s="1"/>
  <c r="G10" i="3" a="1"/>
  <c r="G10" i="3" s="1"/>
  <c r="E11" i="3" a="1"/>
  <c r="E11" i="3" s="1"/>
  <c r="I2" i="3" a="1"/>
  <c r="I2" i="3" s="1"/>
  <c r="B479" i="3" a="1"/>
  <c r="B479" i="3" s="1"/>
  <c r="B478" i="3" a="1"/>
  <c r="B478" i="3" s="1"/>
  <c r="D445" i="3" a="1"/>
  <c r="D445" i="3" s="1"/>
  <c r="X384" i="3" a="1"/>
  <c r="X384" i="3" s="1"/>
  <c r="D315" i="3" a="1"/>
  <c r="D315" i="3" s="1"/>
  <c r="D231" i="3" a="1"/>
  <c r="D231" i="3" s="1"/>
  <c r="B232" i="3" a="1"/>
  <c r="B232" i="3" s="1"/>
  <c r="B50" i="3" a="1"/>
  <c r="B50" i="3" s="1"/>
  <c r="B99" i="3" a="1"/>
  <c r="B99" i="3" s="1"/>
  <c r="C68" i="3" a="1"/>
  <c r="C68" i="3" s="1"/>
  <c r="B467" i="3" a="1"/>
  <c r="B467" i="3" s="1"/>
  <c r="D307" i="3" a="1"/>
  <c r="D307" i="3" s="1"/>
  <c r="B236" i="3" a="1"/>
  <c r="B236" i="3" s="1"/>
  <c r="B73" i="3" a="1"/>
  <c r="B73" i="3" s="1"/>
  <c r="B148" i="3" a="1"/>
  <c r="B148" i="3" s="1"/>
  <c r="E69" i="3" a="1"/>
  <c r="E69" i="3" s="1"/>
  <c r="D471" i="3" a="1"/>
  <c r="D471" i="3" s="1"/>
  <c r="C211" i="3" a="1"/>
  <c r="C211" i="3" s="1"/>
  <c r="E157" i="3" a="1"/>
  <c r="E157" i="3" s="1"/>
  <c r="Q416" i="3" a="1"/>
  <c r="Q416" i="3" s="1"/>
  <c r="B339" i="3" a="1"/>
  <c r="B339" i="3" s="1"/>
  <c r="B65" i="3" a="1"/>
  <c r="B65" i="3" s="1"/>
  <c r="B51" i="3" a="1"/>
  <c r="B51" i="3" s="1"/>
  <c r="B116" i="3" a="1"/>
  <c r="B116" i="3" s="1"/>
  <c r="B69" i="3" a="1"/>
  <c r="B69" i="3" s="1"/>
  <c r="B127" i="3" a="1"/>
  <c r="B127" i="3" s="1"/>
  <c r="C64" i="3" a="1"/>
  <c r="C64" i="3" s="1"/>
  <c r="B180" i="3" a="1"/>
  <c r="B180" i="3" s="1"/>
  <c r="C66" i="3" a="1"/>
  <c r="C66" i="3" s="1"/>
  <c r="C242" i="3" a="1"/>
  <c r="C242" i="3" s="1"/>
  <c r="B207" i="3" a="1"/>
  <c r="B207" i="3" s="1"/>
  <c r="B249" i="3" a="1"/>
  <c r="B249" i="3" s="1"/>
  <c r="G66" i="3" a="1"/>
  <c r="G66" i="3" s="1"/>
  <c r="E18" i="3" a="1"/>
  <c r="E18" i="3" s="1"/>
  <c r="C19" i="3" a="1"/>
  <c r="C19" i="3" s="1"/>
  <c r="H20" i="3" a="1"/>
  <c r="H20" i="3" s="1"/>
  <c r="E21" i="3" a="1"/>
  <c r="E21" i="3" s="1"/>
  <c r="E7" i="3" a="1"/>
  <c r="E7" i="3" s="1"/>
  <c r="I6" i="3" a="1"/>
  <c r="I6" i="3" s="1"/>
  <c r="C15" i="3" a="1"/>
  <c r="C15" i="3" s="1"/>
  <c r="C14" i="3" a="1"/>
  <c r="C14" i="3" s="1"/>
  <c r="B346" i="3" a="1"/>
  <c r="B346" i="3" s="1"/>
  <c r="H69" i="3" a="1"/>
  <c r="H69" i="3" s="1"/>
  <c r="B430" i="3" a="1"/>
  <c r="B430" i="3" s="1"/>
  <c r="F236" i="3" a="1"/>
  <c r="F236" i="3" s="1"/>
  <c r="C459" i="3" a="1"/>
  <c r="C459" i="3" s="1"/>
  <c r="E177" i="3" a="1"/>
  <c r="E177" i="3" s="1"/>
  <c r="E459" i="3" a="1"/>
  <c r="E459" i="3" s="1"/>
  <c r="C151" i="3" a="1"/>
  <c r="C151" i="3" s="1"/>
  <c r="C307" i="3" a="1"/>
  <c r="C307" i="3" s="1"/>
  <c r="B115" i="3" a="1"/>
  <c r="B115" i="3" s="1"/>
  <c r="B78" i="3" a="1"/>
  <c r="B78" i="3" s="1"/>
  <c r="C152" i="3" a="1"/>
  <c r="C152" i="3" s="1"/>
  <c r="D24" i="3" a="1"/>
  <c r="D24" i="3" s="1"/>
  <c r="E319" i="3" a="1"/>
  <c r="E319" i="3" s="1"/>
  <c r="B154" i="3" a="1"/>
  <c r="B154" i="3" s="1"/>
  <c r="B445" i="3" a="1"/>
  <c r="B445" i="3" s="1"/>
  <c r="G152" i="3" a="1"/>
  <c r="G152" i="3" s="1"/>
  <c r="H384" i="3" a="1"/>
  <c r="H384" i="3" s="1"/>
  <c r="B209" i="3" a="1"/>
  <c r="B209" i="3" s="1"/>
  <c r="E24" i="3" a="1"/>
  <c r="E24" i="3" s="1"/>
  <c r="F450" i="3" a="1"/>
  <c r="F450" i="3" s="1"/>
  <c r="B297" i="3" a="1"/>
  <c r="B297" i="3" s="1"/>
  <c r="B310" i="3" a="1"/>
  <c r="B310" i="3" s="1"/>
  <c r="M229" i="3" a="1"/>
  <c r="M229" i="3" s="1"/>
  <c r="F484" i="3" a="1"/>
  <c r="F484" i="3" s="1"/>
  <c r="B296" i="3" a="1"/>
  <c r="B296" i="3" s="1"/>
  <c r="S229" i="3" a="1"/>
  <c r="S229" i="3" s="1"/>
  <c r="C223" i="3" a="1"/>
  <c r="C223" i="3" s="1"/>
  <c r="H53" i="3" a="1"/>
  <c r="H53" i="3" s="1"/>
  <c r="B198" i="3" a="1"/>
  <c r="B198" i="3" s="1"/>
  <c r="B83" i="3" a="1"/>
  <c r="B83" i="3" s="1"/>
  <c r="B129" i="3" a="1"/>
  <c r="B129" i="3" s="1"/>
  <c r="F67" i="3" a="1"/>
  <c r="F67" i="3" s="1"/>
  <c r="B132" i="3" a="1"/>
  <c r="B132" i="3" s="1"/>
  <c r="B56" i="3" a="1"/>
  <c r="B56" i="3" s="1"/>
  <c r="I416" i="3" a="1"/>
  <c r="I416" i="3" s="1"/>
  <c r="B176" i="3" a="1"/>
  <c r="B176" i="3" s="1"/>
  <c r="B124" i="3" a="1"/>
  <c r="B124" i="3" s="1"/>
  <c r="D48" i="3" a="1"/>
  <c r="D48" i="3" s="1"/>
  <c r="B342" i="3" a="1"/>
  <c r="B342" i="3" s="1"/>
  <c r="B337" i="3" a="1"/>
  <c r="B337" i="3" s="1"/>
  <c r="F47" i="3" a="1"/>
  <c r="F47" i="3" s="1"/>
  <c r="J48" i="3" a="1"/>
  <c r="J48" i="3" s="1"/>
  <c r="B307" i="3" a="1"/>
  <c r="B307" i="3" s="1"/>
  <c r="D253" i="3" a="1"/>
  <c r="D253" i="3" s="1"/>
  <c r="M416" i="3" a="1"/>
  <c r="M416" i="3" s="1"/>
  <c r="B183" i="3" a="1"/>
  <c r="B183" i="3" s="1"/>
  <c r="B237" i="3" a="1"/>
  <c r="B237" i="3" s="1"/>
  <c r="B22" i="3" a="1"/>
  <c r="B22" i="3" s="1"/>
  <c r="B67" i="3" a="1"/>
  <c r="B67" i="3" s="1"/>
  <c r="B60" i="3" a="1"/>
  <c r="B60" i="3" s="1"/>
  <c r="B14" i="3" a="1"/>
  <c r="B14" i="3" s="1"/>
  <c r="B2" i="3" a="1"/>
  <c r="B2" i="3" s="1"/>
  <c r="B15" i="3" a="1"/>
  <c r="B15" i="3" s="1"/>
  <c r="B3" i="3" a="1"/>
  <c r="B3" i="3" s="1"/>
  <c r="C236" i="3" a="1"/>
  <c r="C236" i="3" s="1"/>
  <c r="B98" i="3" a="1"/>
  <c r="B98" i="3" s="1"/>
  <c r="B117" i="3" a="1"/>
  <c r="B117" i="3" s="1"/>
  <c r="C65" i="3" a="1"/>
  <c r="C65" i="3" s="1"/>
  <c r="B122" i="3" a="1"/>
  <c r="B122" i="3" s="1"/>
  <c r="D70" i="3" a="1"/>
  <c r="D70" i="3" s="1"/>
  <c r="B128" i="3" a="1"/>
  <c r="B128" i="3" s="1"/>
  <c r="E67" i="3" a="1"/>
  <c r="E67" i="3" s="1"/>
  <c r="B131" i="3" a="1"/>
  <c r="B131" i="3" s="1"/>
  <c r="C69" i="3" a="1"/>
  <c r="C69" i="3" s="1"/>
  <c r="B145" i="3" a="1"/>
  <c r="B145" i="3" s="1"/>
  <c r="D65" i="3" a="1"/>
  <c r="D65" i="3" s="1"/>
  <c r="D241" i="3" a="1"/>
  <c r="D241" i="3" s="1"/>
  <c r="B166" i="3" a="1"/>
  <c r="B166" i="3" s="1"/>
  <c r="B181" i="3" a="1"/>
  <c r="B181" i="3" s="1"/>
  <c r="D66" i="3" a="1"/>
  <c r="D66" i="3" s="1"/>
  <c r="B188" i="3" a="1"/>
  <c r="B188" i="3" s="1"/>
  <c r="E66" i="3" a="1"/>
  <c r="E66" i="3" s="1"/>
  <c r="B239" i="3" a="1"/>
  <c r="B239" i="3" s="1"/>
  <c r="B212" i="3" a="1"/>
  <c r="B212" i="3" s="1"/>
  <c r="B247" i="3" a="1"/>
  <c r="B247" i="3" s="1"/>
  <c r="E242" i="3" a="1"/>
  <c r="E242" i="3" s="1"/>
  <c r="B250" i="3" a="1"/>
  <c r="B250" i="3" s="1"/>
  <c r="G65" i="3" a="1"/>
  <c r="G65" i="3" s="1"/>
  <c r="B276" i="3" a="1"/>
  <c r="B276" i="3" s="1"/>
  <c r="H67" i="3" a="1"/>
  <c r="H67" i="3" s="1"/>
  <c r="B303" i="3" a="1"/>
  <c r="B303" i="3" s="1"/>
  <c r="H65" i="3" a="1"/>
  <c r="H65" i="3" s="1"/>
  <c r="B318" i="3" a="1"/>
  <c r="B318" i="3" s="1"/>
  <c r="E236" i="3" a="1"/>
  <c r="E236" i="3" s="1"/>
  <c r="G68" i="3" a="1"/>
  <c r="G68" i="3" s="1"/>
  <c r="G4" i="3" a="1"/>
  <c r="G4" i="3" s="1"/>
  <c r="H16" i="3" a="1"/>
  <c r="H16" i="3" s="1"/>
  <c r="B347" i="3" a="1"/>
  <c r="B347" i="3" s="1"/>
  <c r="F64" i="3" a="1"/>
  <c r="F64" i="3" s="1"/>
  <c r="B358" i="3" a="1"/>
  <c r="B358" i="3" s="1"/>
  <c r="L67" i="3" a="1"/>
  <c r="L67" i="3" s="1"/>
  <c r="B377" i="3" a="1"/>
  <c r="B377" i="3" s="1"/>
  <c r="M67" i="3" a="1"/>
  <c r="M67" i="3" s="1"/>
  <c r="H2" i="3" a="1"/>
  <c r="H2" i="3" s="1"/>
  <c r="E14" i="3" a="1"/>
  <c r="E14" i="3" s="1"/>
  <c r="B420" i="3" a="1"/>
  <c r="B420" i="3" s="1"/>
  <c r="J68" i="3" a="1"/>
  <c r="J68" i="3" s="1"/>
  <c r="B432" i="3" a="1"/>
  <c r="B432" i="3" s="1"/>
  <c r="M66" i="3" a="1"/>
  <c r="M66" i="3" s="1"/>
  <c r="B447" i="3" a="1"/>
  <c r="B447" i="3" s="1"/>
  <c r="D239" i="3" a="1"/>
  <c r="D239" i="3" s="1"/>
  <c r="G14" i="3" a="1"/>
  <c r="G14" i="3" s="1"/>
  <c r="L20" i="3" a="1"/>
  <c r="L20" i="3" s="1"/>
  <c r="E463" i="3" a="1"/>
  <c r="E463" i="3" s="1"/>
  <c r="E384" i="3" a="1"/>
  <c r="E384" i="3" s="1"/>
  <c r="B77" i="3" a="1"/>
  <c r="B77" i="3" s="1"/>
  <c r="B378" i="3" a="1"/>
  <c r="B378" i="3" s="1"/>
  <c r="I384" i="3" a="1"/>
  <c r="I384" i="3" s="1"/>
  <c r="B327" i="3" a="1"/>
  <c r="B327" i="3" s="1"/>
  <c r="B170" i="3" a="1"/>
  <c r="B170" i="3" s="1"/>
  <c r="B28" i="3" a="1"/>
  <c r="B28" i="3" s="1"/>
  <c r="E139" i="3" a="1"/>
  <c r="E139" i="3" s="1"/>
  <c r="G53" i="3" a="1"/>
  <c r="G53" i="3" s="1"/>
  <c r="B461" i="3" a="1"/>
  <c r="B461" i="3" s="1"/>
  <c r="B459" i="3" a="1"/>
  <c r="B459" i="3" s="1"/>
  <c r="I47" i="3" a="1"/>
  <c r="I47" i="3" s="1"/>
  <c r="B151" i="3" a="1"/>
  <c r="B151" i="3" s="1"/>
  <c r="B57" i="3" a="1"/>
  <c r="B57" i="3" s="1"/>
  <c r="C337" i="3" a="1"/>
  <c r="C337" i="3" s="1"/>
  <c r="G49" i="3" a="1"/>
  <c r="G49" i="3" s="1"/>
  <c r="D385" i="2"/>
  <c r="D418" i="2"/>
  <c r="D436" i="2"/>
  <c r="B331" i="3" a="1"/>
  <c r="B331" i="3" s="1"/>
  <c r="H125" i="3" a="1"/>
  <c r="H125" i="3" s="1"/>
  <c r="F139" i="3" a="1"/>
  <c r="F139" i="3" s="1"/>
  <c r="B137" i="3" a="1"/>
  <c r="B137" i="3" s="1"/>
  <c r="P314" i="3" a="1"/>
  <c r="P314" i="3" s="1"/>
  <c r="D298" i="3" a="1"/>
  <c r="D298" i="3" s="1"/>
  <c r="I337" i="3" a="1"/>
  <c r="I337" i="3" s="1"/>
  <c r="V332" i="3" a="1"/>
  <c r="V332" i="3" s="1"/>
  <c r="D80" i="3" a="1"/>
  <c r="D80" i="3" s="1"/>
  <c r="B325" i="3" a="1"/>
  <c r="B325" i="3" s="1"/>
  <c r="H163" i="3" a="1"/>
  <c r="H163" i="3" s="1"/>
  <c r="B442" i="3" a="1"/>
  <c r="B442" i="3" s="1"/>
  <c r="C132" i="3" a="1"/>
  <c r="C132" i="3" s="1"/>
  <c r="D382" i="2"/>
  <c r="D429" i="2"/>
  <c r="D447" i="2"/>
  <c r="D493" i="2"/>
  <c r="B406" i="3" a="1"/>
  <c r="B406" i="3" s="1"/>
  <c r="K229" i="3" a="1"/>
  <c r="K229" i="3" s="1"/>
  <c r="C53" i="3" a="1"/>
  <c r="C53" i="3" s="1"/>
  <c r="D517" i="2"/>
  <c r="G450" i="3" a="1"/>
  <c r="G450" i="3" s="1"/>
  <c r="B243" i="3" a="1"/>
  <c r="B243" i="3" s="1"/>
  <c r="D541" i="2"/>
  <c r="D314" i="3" a="1"/>
  <c r="D314" i="3" s="1"/>
  <c r="D290" i="3" a="1"/>
  <c r="D290" i="3" s="1"/>
  <c r="F314" i="3" a="1"/>
  <c r="F314" i="3" s="1"/>
  <c r="C201" i="3" a="1"/>
  <c r="C201" i="3" s="1"/>
  <c r="D344" i="3" a="1"/>
  <c r="D344" i="3" s="1"/>
  <c r="B264" i="3" a="1"/>
  <c r="B264" i="3" s="1"/>
  <c r="C407" i="3" a="1"/>
  <c r="C407" i="3" s="1"/>
  <c r="M314" i="3" a="1"/>
  <c r="M314" i="3" s="1"/>
  <c r="Q332" i="3" a="1"/>
  <c r="Q332" i="3" s="1"/>
  <c r="B299" i="3" a="1"/>
  <c r="B299" i="3" s="1"/>
  <c r="S314" i="3" a="1"/>
  <c r="S314" i="3" s="1"/>
  <c r="D267" i="3" a="1"/>
  <c r="D267" i="3" s="1"/>
  <c r="X373" i="3" a="1"/>
  <c r="X373" i="3" s="1"/>
  <c r="C300" i="3" a="1"/>
  <c r="C300" i="3" s="1"/>
  <c r="B253" i="3" a="1"/>
  <c r="B253" i="3" s="1"/>
  <c r="B102" i="3" a="1"/>
  <c r="B102" i="3" s="1"/>
  <c r="C48" i="3" a="1"/>
  <c r="C48" i="3" s="1"/>
  <c r="B47" i="3" a="1"/>
  <c r="B47" i="3" s="1"/>
  <c r="C435" i="3" a="1"/>
  <c r="C435" i="3" s="1"/>
  <c r="B313" i="3" a="1"/>
  <c r="B313" i="3" s="1"/>
  <c r="S416" i="3" a="1"/>
  <c r="S416" i="3" s="1"/>
  <c r="C384" i="3" a="1"/>
  <c r="C384" i="3" s="1"/>
  <c r="B352" i="3" a="1"/>
  <c r="B352" i="3" s="1"/>
  <c r="N384" i="3" a="1"/>
  <c r="N384" i="3" s="1"/>
  <c r="F253" i="3" a="1"/>
  <c r="F253" i="3" s="1"/>
  <c r="B31" i="3" a="1"/>
  <c r="B31" i="3" s="1"/>
  <c r="C444" i="3" a="1"/>
  <c r="C444" i="3" s="1"/>
  <c r="I178" i="3" a="1"/>
  <c r="I178" i="3" s="1"/>
  <c r="D371" i="3" a="1"/>
  <c r="D371" i="3" s="1"/>
  <c r="C272" i="3" a="1"/>
  <c r="C272" i="3" s="1"/>
  <c r="C374" i="3" a="1"/>
  <c r="C374" i="3" s="1"/>
  <c r="B280" i="3" a="1"/>
  <c r="B280" i="3" s="1"/>
  <c r="I125" i="3" a="1"/>
  <c r="I125" i="3" s="1"/>
  <c r="C369" i="3" a="1"/>
  <c r="C369" i="3" s="1"/>
  <c r="C62" i="3" a="1"/>
  <c r="C62" i="3" s="1"/>
  <c r="D408" i="3" a="1"/>
  <c r="D408" i="3" s="1"/>
  <c r="E364" i="3" a="1"/>
  <c r="E364" i="3" s="1"/>
  <c r="D578" i="2"/>
  <c r="B474" i="3" a="1"/>
  <c r="B474" i="3" s="1"/>
  <c r="C79" i="3" a="1"/>
  <c r="C79" i="3" s="1"/>
  <c r="J53" i="3" a="1"/>
  <c r="J53" i="3" s="1"/>
  <c r="C422" i="3" a="1"/>
  <c r="C422" i="3" s="1"/>
  <c r="E311" i="3" a="1"/>
  <c r="E311" i="3" s="1"/>
  <c r="C409" i="3" a="1"/>
  <c r="C409" i="3" s="1"/>
  <c r="Q314" i="3" a="1"/>
  <c r="Q314" i="3" s="1"/>
  <c r="D411" i="3" a="1"/>
  <c r="D411" i="3" s="1"/>
  <c r="Y373" i="3" a="1"/>
  <c r="Y373" i="3" s="1"/>
  <c r="B368" i="3" a="1"/>
  <c r="B368" i="3" s="1"/>
  <c r="I163" i="3" a="1"/>
  <c r="I163" i="3" s="1"/>
  <c r="D163" i="3" a="1"/>
  <c r="D163" i="3" s="1"/>
  <c r="B105" i="3" a="1"/>
  <c r="B105" i="3" s="1"/>
  <c r="D376" i="2"/>
  <c r="D412" i="2"/>
  <c r="D426" i="2"/>
  <c r="D444" i="2"/>
  <c r="D470" i="2"/>
  <c r="D484" i="2"/>
  <c r="D489" i="2"/>
  <c r="I229" i="3" a="1"/>
  <c r="I229" i="3" s="1"/>
  <c r="B143" i="3" a="1"/>
  <c r="B143" i="3" s="1"/>
  <c r="D513" i="2"/>
  <c r="D255" i="3" a="1"/>
  <c r="D255" i="3" s="1"/>
  <c r="P159" i="3" a="1"/>
  <c r="P159" i="3" s="1"/>
  <c r="D537" i="2"/>
  <c r="B451" i="3" a="1"/>
  <c r="B451" i="3" s="1"/>
  <c r="C364" i="3" a="1"/>
  <c r="C364" i="3" s="1"/>
  <c r="C373" i="3" a="1"/>
  <c r="C373" i="3" s="1"/>
  <c r="C262" i="3" a="1"/>
  <c r="C262" i="3" s="1"/>
  <c r="C404" i="3" a="1"/>
  <c r="C404" i="3" s="1"/>
  <c r="E314" i="3" a="1"/>
  <c r="E314" i="3" s="1"/>
  <c r="G314" i="3" a="1"/>
  <c r="G314" i="3" s="1"/>
  <c r="D263" i="3" a="1"/>
  <c r="D263" i="3" s="1"/>
  <c r="B407" i="3" a="1"/>
  <c r="B407" i="3" s="1"/>
  <c r="L332" i="3" a="1"/>
  <c r="L332" i="3" s="1"/>
  <c r="B470" i="3" a="1"/>
  <c r="B470" i="3" s="1"/>
  <c r="M332" i="3" a="1"/>
  <c r="M332" i="3" s="1"/>
  <c r="C275" i="3" a="1"/>
  <c r="C275" i="3" s="1"/>
  <c r="E344" i="3" a="1"/>
  <c r="E344" i="3" s="1"/>
  <c r="B266" i="3" a="1"/>
  <c r="B266" i="3" s="1"/>
  <c r="T314" i="3" a="1"/>
  <c r="T314" i="3" s="1"/>
  <c r="D299" i="3" a="1"/>
  <c r="D299" i="3" s="1"/>
  <c r="V314" i="3" a="1"/>
  <c r="V314" i="3" s="1"/>
  <c r="C206" i="3" a="1"/>
  <c r="C206" i="3" s="1"/>
  <c r="B412" i="3" a="1"/>
  <c r="B412" i="3" s="1"/>
  <c r="M48" i="3" a="1"/>
  <c r="M48" i="3" s="1"/>
  <c r="C484" i="3" a="1"/>
  <c r="C484" i="3" s="1"/>
  <c r="F337" i="3" a="1"/>
  <c r="F337" i="3" s="1"/>
  <c r="B138" i="3" a="1"/>
  <c r="B138" i="3" s="1"/>
  <c r="J163" i="3" a="1"/>
  <c r="J163" i="3" s="1"/>
  <c r="B58" i="3" a="1"/>
  <c r="B58" i="3" s="1"/>
  <c r="I12" i="3" a="1"/>
  <c r="I12" i="3" s="1"/>
  <c r="K2" i="3" a="1"/>
  <c r="K2" i="3" s="1"/>
  <c r="B472" i="3" a="1"/>
  <c r="B472" i="3" s="1"/>
  <c r="J70" i="3" a="1"/>
  <c r="J70" i="3" s="1"/>
  <c r="J384" i="3" a="1"/>
  <c r="J384" i="3" s="1"/>
  <c r="B233" i="3" a="1"/>
  <c r="B233" i="3" s="1"/>
  <c r="B185" i="3" a="1"/>
  <c r="B185" i="3" s="1"/>
  <c r="Q384" i="3" a="1"/>
  <c r="Q384" i="3" s="1"/>
  <c r="D252" i="3" a="1"/>
  <c r="D252" i="3" s="1"/>
  <c r="E142" i="3" a="1"/>
  <c r="E142" i="3" s="1"/>
  <c r="B457" i="3" a="1"/>
  <c r="B457" i="3" s="1"/>
  <c r="AC384" i="3" a="1"/>
  <c r="AC384" i="3" s="1"/>
  <c r="B231" i="3" a="1"/>
  <c r="B231" i="3" s="1"/>
  <c r="E274" i="3" a="1"/>
  <c r="E274" i="3" s="1"/>
  <c r="B304" i="3" a="1"/>
  <c r="B304" i="3" s="1"/>
  <c r="B448" i="3" a="1"/>
  <c r="B448" i="3" s="1"/>
  <c r="D230" i="3" a="1"/>
  <c r="D230" i="3" s="1"/>
  <c r="B217" i="3" a="1"/>
  <c r="B217" i="3" s="1"/>
  <c r="E228" i="3" a="1"/>
  <c r="E228" i="3" s="1"/>
  <c r="B169" i="3" a="1"/>
  <c r="B169" i="3" s="1"/>
  <c r="C26" i="3" a="1"/>
  <c r="C26" i="3" s="1"/>
  <c r="B367" i="3" a="1"/>
  <c r="B367" i="3" s="1"/>
  <c r="B52" i="3" a="1"/>
  <c r="B52" i="3" s="1"/>
  <c r="C281" i="3" a="1"/>
  <c r="C281" i="3" s="1"/>
  <c r="B85" i="3" a="1"/>
  <c r="B85" i="3" s="1"/>
  <c r="G159" i="3" a="1"/>
  <c r="G159" i="3" s="1"/>
  <c r="B79" i="3" a="1"/>
  <c r="B79" i="3" s="1"/>
  <c r="D327" i="3" a="1"/>
  <c r="D327" i="3" s="1"/>
  <c r="U159" i="3" a="1"/>
  <c r="U159" i="3" s="1"/>
  <c r="G484" i="3" a="1"/>
  <c r="G484" i="3" s="1"/>
  <c r="C408" i="3" a="1"/>
  <c r="C408" i="3" s="1"/>
  <c r="C292" i="3" a="1"/>
  <c r="C292" i="3" s="1"/>
  <c r="T229" i="3" a="1"/>
  <c r="T229" i="3" s="1"/>
  <c r="I53" i="3" a="1"/>
  <c r="I53" i="3" s="1"/>
  <c r="H484" i="3" a="1"/>
  <c r="H484" i="3" s="1"/>
  <c r="B222" i="3" a="1"/>
  <c r="B222" i="3" s="1"/>
  <c r="B394" i="3" a="1"/>
  <c r="B394" i="3" s="1"/>
  <c r="B88" i="3" a="1"/>
  <c r="B88" i="3" s="1"/>
  <c r="B89" i="3" a="1"/>
  <c r="B89" i="3" s="1"/>
  <c r="B90" i="3" a="1"/>
  <c r="B90" i="3" s="1"/>
  <c r="B344" i="3" a="1"/>
  <c r="B344" i="3" s="1"/>
  <c r="B262" i="3" a="1"/>
  <c r="B262" i="3" s="1"/>
  <c r="B409" i="3" a="1"/>
  <c r="B409" i="3" s="1"/>
  <c r="O332" i="3" a="1"/>
  <c r="O332" i="3" s="1"/>
  <c r="D382" i="3" a="1"/>
  <c r="D382" i="3" s="1"/>
  <c r="P332" i="3" a="1"/>
  <c r="P332" i="3" s="1"/>
  <c r="C56" i="3" a="1"/>
  <c r="C56" i="3" s="1"/>
  <c r="B386" i="3" a="1"/>
  <c r="B386" i="3" s="1"/>
  <c r="B24" i="3" a="1"/>
  <c r="B24" i="3" s="1"/>
  <c r="K48" i="3" a="1"/>
  <c r="K48" i="3" s="1"/>
  <c r="G47" i="3" a="1"/>
  <c r="G47" i="3" s="1"/>
  <c r="B349" i="3" a="1"/>
  <c r="B349" i="3" s="1"/>
  <c r="B351" i="3" a="1"/>
  <c r="B351" i="3" s="1"/>
  <c r="B350" i="3" a="1"/>
  <c r="B350" i="3" s="1"/>
  <c r="U416" i="3" a="1"/>
  <c r="U416" i="3" s="1"/>
  <c r="G384" i="3" a="1"/>
  <c r="G384" i="3" s="1"/>
  <c r="B120" i="3" a="1"/>
  <c r="B120" i="3" s="1"/>
  <c r="O384" i="3" a="1"/>
  <c r="O384" i="3" s="1"/>
  <c r="D274" i="3" a="1"/>
  <c r="D274" i="3" s="1"/>
  <c r="B107" i="3" a="1"/>
  <c r="B107" i="3" s="1"/>
  <c r="B59" i="3" a="1"/>
  <c r="B59" i="3" s="1"/>
  <c r="Z384" i="3" a="1"/>
  <c r="Z384" i="3" s="1"/>
  <c r="B330" i="3" a="1"/>
  <c r="B330" i="3" s="1"/>
  <c r="B29" i="3" a="1"/>
  <c r="B29" i="3" s="1"/>
  <c r="F178" i="3" a="1"/>
  <c r="F178" i="3" s="1"/>
  <c r="B109" i="3" a="1"/>
  <c r="B109" i="3" s="1"/>
  <c r="D40" i="3" a="1"/>
  <c r="D40" i="3" s="1"/>
  <c r="B53" i="3" a="1"/>
  <c r="B53" i="3" s="1"/>
  <c r="B27" i="3" a="1"/>
  <c r="B27" i="3" s="1"/>
  <c r="B401" i="3" a="1"/>
  <c r="B401" i="3" s="1"/>
  <c r="C230" i="3" a="1"/>
  <c r="C230" i="3" s="1"/>
  <c r="F378" i="3" a="1"/>
  <c r="F378" i="3" s="1"/>
  <c r="B400" i="3" a="1"/>
  <c r="B400" i="3" s="1"/>
  <c r="B396" i="3" a="1"/>
  <c r="B396" i="3" s="1"/>
  <c r="G274" i="3" a="1"/>
  <c r="G274" i="3" s="1"/>
  <c r="B221" i="3" a="1"/>
  <c r="B221" i="3" s="1"/>
  <c r="B86" i="3" a="1"/>
  <c r="B86" i="3" s="1"/>
  <c r="B159" i="3" a="1"/>
  <c r="B159" i="3" s="1"/>
  <c r="B74" i="3" a="1"/>
  <c r="B74" i="3" s="1"/>
  <c r="C450" i="3" a="1"/>
  <c r="C450" i="3" s="1"/>
  <c r="B260" i="3" a="1"/>
  <c r="B260" i="3" s="1"/>
  <c r="B301" i="3" a="1"/>
  <c r="B301" i="3" s="1"/>
  <c r="G229" i="3" a="1"/>
  <c r="G229" i="3" s="1"/>
  <c r="L159" i="3" a="1"/>
  <c r="L159" i="3" s="1"/>
  <c r="B33" i="3" a="1"/>
  <c r="B33" i="3" s="1"/>
  <c r="C468" i="3" a="1"/>
  <c r="C468" i="3" s="1"/>
  <c r="Q159" i="3" a="1"/>
  <c r="Q159" i="3" s="1"/>
  <c r="B483" i="3" a="1"/>
  <c r="B483" i="3" s="1"/>
  <c r="T159" i="3" a="1"/>
  <c r="T159" i="3" s="1"/>
  <c r="B455" i="3" a="1"/>
  <c r="B455" i="3" s="1"/>
  <c r="B25" i="3" a="1"/>
  <c r="B25" i="3" s="1"/>
  <c r="I484" i="3" a="1"/>
  <c r="I484" i="3" s="1"/>
  <c r="B322" i="3" a="1"/>
  <c r="B322" i="3" s="1"/>
  <c r="C309" i="3" a="1"/>
  <c r="C309" i="3" s="1"/>
  <c r="C191" i="3" a="1"/>
  <c r="C191" i="3" s="1"/>
  <c r="V159" i="3" a="1"/>
  <c r="V159" i="3" s="1"/>
  <c r="B404" i="3" a="1"/>
  <c r="B404" i="3" s="1"/>
  <c r="F332" i="3" a="1"/>
  <c r="F332" i="3" s="1"/>
  <c r="B475" i="3" a="1"/>
  <c r="B475" i="3" s="1"/>
  <c r="G332" i="3" a="1"/>
  <c r="G332" i="3" s="1"/>
  <c r="H319" i="3" a="1"/>
  <c r="H319" i="3" s="1"/>
  <c r="H332" i="3" a="1"/>
  <c r="H332" i="3" s="1"/>
  <c r="B291" i="3" a="1"/>
  <c r="B291" i="3" s="1"/>
  <c r="H314" i="3" a="1"/>
  <c r="H314" i="3" s="1"/>
  <c r="D291" i="3" a="1"/>
  <c r="D291" i="3" s="1"/>
  <c r="L373" i="3" a="1"/>
  <c r="L373" i="3" s="1"/>
  <c r="C294" i="3" a="1"/>
  <c r="C294" i="3" s="1"/>
  <c r="D407" i="3" a="1"/>
  <c r="D407" i="3" s="1"/>
  <c r="M373" i="3" a="1"/>
  <c r="M373" i="3" s="1"/>
  <c r="S373" i="3" a="1"/>
  <c r="S373" i="3" s="1"/>
  <c r="C267" i="3" a="1"/>
  <c r="C267" i="3" s="1"/>
  <c r="C410" i="3" a="1"/>
  <c r="C410" i="3" s="1"/>
  <c r="U314" i="3" a="1"/>
  <c r="U314" i="3" s="1"/>
  <c r="W314" i="3" a="1"/>
  <c r="W314" i="3" s="1"/>
  <c r="D269" i="3" a="1"/>
  <c r="D269" i="3" s="1"/>
  <c r="B273" i="3" a="1"/>
  <c r="B273" i="3" s="1"/>
  <c r="B157" i="3" a="1"/>
  <c r="B157" i="3" s="1"/>
  <c r="E153" i="3" a="1"/>
  <c r="E153" i="3" s="1"/>
  <c r="E125" i="3" a="1"/>
  <c r="E125" i="3" s="1"/>
  <c r="B23" i="3" a="1"/>
  <c r="B23" i="3" s="1"/>
  <c r="B40" i="3" a="1"/>
  <c r="B40" i="3" s="1"/>
  <c r="D367" i="2"/>
  <c r="D403" i="2"/>
  <c r="D427" i="2"/>
  <c r="D445" i="2"/>
  <c r="D460" i="2"/>
  <c r="P373" i="3" a="1"/>
  <c r="P373" i="3" s="1"/>
  <c r="C298" i="3" a="1"/>
  <c r="C298" i="3" s="1"/>
  <c r="D409" i="3" a="1"/>
  <c r="D409" i="3" s="1"/>
  <c r="Q373" i="3" a="1"/>
  <c r="Q373" i="3" s="1"/>
  <c r="B285" i="3" a="1"/>
  <c r="B285" i="3" s="1"/>
  <c r="B184" i="3" a="1"/>
  <c r="B184" i="3" s="1"/>
  <c r="B146" i="3" a="1"/>
  <c r="B146" i="3" s="1"/>
  <c r="B178" i="3" a="1"/>
  <c r="B178" i="3" s="1"/>
  <c r="C47" i="3" a="1"/>
  <c r="C47" i="3" s="1"/>
  <c r="F48" i="3" a="1"/>
  <c r="F48" i="3" s="1"/>
  <c r="B471" i="3" a="1"/>
  <c r="B471" i="3" s="1"/>
  <c r="D151" i="3" a="1"/>
  <c r="D151" i="3" s="1"/>
  <c r="B341" i="3" a="1"/>
  <c r="B341" i="3" s="1"/>
  <c r="B142" i="3" a="1"/>
  <c r="B142" i="3" s="1"/>
  <c r="I48" i="3" a="1"/>
  <c r="I48" i="3" s="1"/>
  <c r="E47" i="3" a="1"/>
  <c r="E47" i="3" s="1"/>
  <c r="C253" i="3" a="1"/>
  <c r="C253" i="3" s="1"/>
  <c r="C49" i="3" a="1"/>
  <c r="C49" i="3" s="1"/>
  <c r="B388" i="3" a="1"/>
  <c r="B388" i="3" s="1"/>
  <c r="E163" i="3" a="1"/>
  <c r="E163" i="3" s="1"/>
  <c r="B465" i="3" a="1"/>
  <c r="B465" i="3" s="1"/>
  <c r="C164" i="3" a="1"/>
  <c r="C164" i="3" s="1"/>
  <c r="G459" i="3" a="1"/>
  <c r="G459" i="3" s="1"/>
  <c r="D157" i="3" a="1"/>
  <c r="D157" i="3" s="1"/>
  <c r="H337" i="3" a="1"/>
  <c r="H337" i="3" s="1"/>
  <c r="C154" i="3" a="1"/>
  <c r="C154" i="3" s="1"/>
  <c r="F319" i="3" a="1"/>
  <c r="F319" i="3" s="1"/>
  <c r="E151" i="3" a="1"/>
  <c r="E151" i="3" s="1"/>
  <c r="B389" i="3" a="1"/>
  <c r="B389" i="3" s="1"/>
  <c r="B374" i="3" a="1"/>
  <c r="B374" i="3" s="1"/>
  <c r="C125" i="3" a="1"/>
  <c r="C125" i="3" s="1"/>
  <c r="B466" i="3" a="1"/>
  <c r="B466" i="3" s="1"/>
  <c r="D337" i="3" a="1"/>
  <c r="D337" i="3" s="1"/>
  <c r="B453" i="3" a="1"/>
  <c r="B453" i="3" s="1"/>
  <c r="B286" i="3" a="1"/>
  <c r="B286" i="3" s="1"/>
  <c r="L416" i="3" a="1"/>
  <c r="L416" i="3" s="1"/>
  <c r="B113" i="3" a="1"/>
  <c r="B113" i="3" s="1"/>
  <c r="C315" i="3" a="1"/>
  <c r="C315" i="3" s="1"/>
  <c r="D155" i="3" a="1"/>
  <c r="D155" i="3" s="1"/>
  <c r="B87" i="3" a="1"/>
  <c r="B87" i="3" s="1"/>
  <c r="N416" i="3" a="1"/>
  <c r="N416" i="3" s="1"/>
  <c r="B197" i="3" a="1"/>
  <c r="B197" i="3" s="1"/>
  <c r="B417" i="3" a="1"/>
  <c r="B417" i="3" s="1"/>
  <c r="B423" i="3" a="1"/>
  <c r="B423" i="3" s="1"/>
  <c r="C332" i="3" a="1"/>
  <c r="C332" i="3" s="1"/>
  <c r="D159" i="2"/>
  <c r="B481" i="3" a="1"/>
  <c r="B481" i="3" s="1"/>
  <c r="L65" i="3" a="1"/>
  <c r="L65" i="3" s="1"/>
  <c r="K384" i="3" a="1"/>
  <c r="K384" i="3" s="1"/>
  <c r="B274" i="3" a="1"/>
  <c r="B274" i="3" s="1"/>
  <c r="C23" i="3" a="1"/>
  <c r="C23" i="3" s="1"/>
  <c r="C40" i="3" a="1"/>
  <c r="C40" i="3" s="1"/>
  <c r="C445" i="3" a="1"/>
  <c r="C445" i="3" s="1"/>
  <c r="U384" i="3" a="1"/>
  <c r="U384" i="3" s="1"/>
  <c r="B328" i="3" a="1"/>
  <c r="B328" i="3" s="1"/>
  <c r="C231" i="3" a="1"/>
  <c r="C231" i="3" s="1"/>
  <c r="D23" i="3" a="1"/>
  <c r="D23" i="3" s="1"/>
  <c r="B449" i="3" a="1"/>
  <c r="B449" i="3" s="1"/>
  <c r="G178" i="3" a="1"/>
  <c r="G178" i="3" s="1"/>
  <c r="D420" i="2"/>
  <c r="D438" i="2"/>
  <c r="B413" i="3" a="1"/>
  <c r="B413" i="3" s="1"/>
  <c r="D316" i="3" a="1"/>
  <c r="D316" i="3" s="1"/>
  <c r="E315" i="3" a="1"/>
  <c r="E315" i="3" s="1"/>
  <c r="B256" i="3" a="1"/>
  <c r="B256" i="3" s="1"/>
  <c r="E218" i="3" a="1"/>
  <c r="E218" i="3" s="1"/>
  <c r="C159" i="3" a="1"/>
  <c r="C159" i="3" s="1"/>
  <c r="C144" i="3" a="1"/>
  <c r="C144" i="3" s="1"/>
  <c r="B295" i="3" a="1"/>
  <c r="B295" i="3" s="1"/>
  <c r="F229" i="3" a="1"/>
  <c r="F229" i="3" s="1"/>
  <c r="J229" i="3" a="1"/>
  <c r="J229" i="3" s="1"/>
  <c r="B179" i="3" a="1"/>
  <c r="B179" i="3" s="1"/>
  <c r="H159" i="3" a="1"/>
  <c r="H159" i="3" s="1"/>
  <c r="B94" i="3" a="1"/>
  <c r="B94" i="3" s="1"/>
  <c r="M159" i="3" a="1"/>
  <c r="M159" i="3" s="1"/>
  <c r="J24" i="3" a="1"/>
  <c r="J24" i="3" s="1"/>
  <c r="R159" i="3" a="1"/>
  <c r="R159" i="3" s="1"/>
  <c r="K142" i="3" a="1"/>
  <c r="K142" i="3" s="1"/>
  <c r="C348" i="3" a="1"/>
  <c r="C348" i="3" s="1"/>
  <c r="B139" i="3" a="1"/>
  <c r="B139" i="3" s="1"/>
  <c r="B454" i="3" a="1"/>
  <c r="B454" i="3" s="1"/>
  <c r="B160" i="3" a="1"/>
  <c r="B160" i="3" s="1"/>
  <c r="B373" i="3" a="1"/>
  <c r="B373" i="3" s="1"/>
  <c r="B200" i="3" a="1"/>
  <c r="B200" i="3" s="1"/>
  <c r="D373" i="3" a="1"/>
  <c r="D373" i="3" s="1"/>
  <c r="C290" i="3" a="1"/>
  <c r="C290" i="3" s="1"/>
  <c r="D404" i="3" a="1"/>
  <c r="D404" i="3" s="1"/>
  <c r="E373" i="3" a="1"/>
  <c r="E373" i="3" s="1"/>
  <c r="G373" i="3" a="1"/>
  <c r="G373" i="3" s="1"/>
  <c r="C263" i="3" a="1"/>
  <c r="C263" i="3" s="1"/>
  <c r="C405" i="3" a="1"/>
  <c r="C405" i="3" s="1"/>
  <c r="I314" i="3" a="1"/>
  <c r="I314" i="3" s="1"/>
  <c r="K332" i="3" a="1"/>
  <c r="K332" i="3" s="1"/>
  <c r="B294" i="3" a="1"/>
  <c r="B294" i="3" s="1"/>
  <c r="J314" i="3" a="1"/>
  <c r="J314" i="3" s="1"/>
  <c r="C203" i="3" a="1"/>
  <c r="C203" i="3" s="1"/>
  <c r="C311" i="3" a="1"/>
  <c r="C311" i="3" s="1"/>
  <c r="C80" i="3" a="1"/>
  <c r="C80" i="3" s="1"/>
  <c r="B410" i="3" a="1"/>
  <c r="B410" i="3" s="1"/>
  <c r="R332" i="3" a="1"/>
  <c r="R332" i="3" s="1"/>
  <c r="M459" i="3" a="1"/>
  <c r="M459" i="3" s="1"/>
  <c r="S332" i="3" a="1"/>
  <c r="S332" i="3" s="1"/>
  <c r="C209" i="3" a="1"/>
  <c r="C209" i="3" s="1"/>
  <c r="B300" i="3" a="1"/>
  <c r="B300" i="3" s="1"/>
  <c r="T332" i="3" a="1"/>
  <c r="T332" i="3" s="1"/>
  <c r="X314" i="3" a="1"/>
  <c r="X314" i="3" s="1"/>
  <c r="D300" i="3" a="1"/>
  <c r="D300" i="3" s="1"/>
  <c r="H459" i="3" a="1"/>
  <c r="H459" i="3" s="1"/>
  <c r="F307" i="3" a="1"/>
  <c r="F307" i="3" s="1"/>
  <c r="B190" i="3" a="1"/>
  <c r="B190" i="3" s="1"/>
  <c r="C146" i="3" a="1"/>
  <c r="C146" i="3" s="1"/>
  <c r="B258" i="3" a="1"/>
  <c r="B258" i="3" s="1"/>
  <c r="H48" i="3" a="1"/>
  <c r="H48" i="3" s="1"/>
  <c r="B444" i="3" a="1"/>
  <c r="B444" i="3" s="1"/>
  <c r="F125" i="3" a="1"/>
  <c r="F125" i="3" s="1"/>
  <c r="H49" i="3" a="1"/>
  <c r="H49" i="3" s="1"/>
  <c r="C24" i="3" a="1"/>
  <c r="C24" i="3" s="1"/>
  <c r="B208" i="3" a="1"/>
  <c r="B208" i="3" s="1"/>
  <c r="F163" i="3" a="1"/>
  <c r="F163" i="3" s="1"/>
  <c r="B380" i="3" a="1"/>
  <c r="B380" i="3" s="1"/>
  <c r="AD384" i="3" a="1"/>
  <c r="AD384" i="3" s="1"/>
  <c r="E178" i="3" a="1"/>
  <c r="E178" i="3" s="1"/>
  <c r="B219" i="3" a="1"/>
  <c r="B219" i="3" s="1"/>
  <c r="D228" i="3" a="1"/>
  <c r="D228" i="3" s="1"/>
  <c r="AD416" i="3" a="1"/>
  <c r="AD416" i="3" s="1"/>
  <c r="C108" i="3" a="1"/>
  <c r="C108" i="3" s="1"/>
  <c r="D218" i="3" a="1"/>
  <c r="D218" i="3" s="1"/>
  <c r="F151" i="3" a="1"/>
  <c r="F151" i="3" s="1"/>
  <c r="B321" i="3" a="1"/>
  <c r="B321" i="3" s="1"/>
  <c r="B54" i="3" a="1"/>
  <c r="B54" i="3" s="1"/>
  <c r="E159" i="3" a="1"/>
  <c r="E159" i="3" s="1"/>
  <c r="C100" i="3" a="1"/>
  <c r="C100" i="3" s="1"/>
  <c r="B329" i="3" a="1"/>
  <c r="B329" i="3" s="1"/>
  <c r="L229" i="3" a="1"/>
  <c r="L229" i="3" s="1"/>
  <c r="D53" i="3" a="1"/>
  <c r="D53" i="3" s="1"/>
  <c r="B292" i="3" a="1"/>
  <c r="B292" i="3" s="1"/>
  <c r="O229" i="3" a="1"/>
  <c r="O229" i="3" s="1"/>
  <c r="E53" i="3" a="1"/>
  <c r="E53" i="3" s="1"/>
  <c r="N314" i="3" a="1"/>
  <c r="N314" i="3" s="1"/>
  <c r="C204" i="3" a="1"/>
  <c r="C204" i="3" s="1"/>
  <c r="F344" i="3" a="1"/>
  <c r="F344" i="3" s="1"/>
  <c r="B267" i="3" a="1"/>
  <c r="B267" i="3" s="1"/>
  <c r="W373" i="3" a="1"/>
  <c r="W373" i="3" s="1"/>
  <c r="C269" i="3" a="1"/>
  <c r="C269" i="3" s="1"/>
  <c r="C461" i="3" a="1"/>
  <c r="C461" i="3" s="1"/>
  <c r="J416" i="3" a="1"/>
  <c r="J416" i="3" s="1"/>
  <c r="C463" i="3" a="1"/>
  <c r="C463" i="3" s="1"/>
  <c r="E49" i="3" a="1"/>
  <c r="E49" i="3" s="1"/>
  <c r="D136" i="3" a="1"/>
  <c r="D136" i="3" s="1"/>
  <c r="B103" i="3" a="1"/>
  <c r="B103" i="3" s="1"/>
  <c r="B254" i="3" a="1"/>
  <c r="B254" i="3" s="1"/>
  <c r="E155" i="3" a="1"/>
  <c r="E155" i="3" s="1"/>
  <c r="D26" i="2"/>
  <c r="C467" i="3" a="1"/>
  <c r="C467" i="3" s="1"/>
  <c r="B311" i="3" a="1"/>
  <c r="B311" i="3" s="1"/>
  <c r="D394" i="2"/>
  <c r="D417" i="2"/>
  <c r="D435" i="2"/>
  <c r="B214" i="3" a="1"/>
  <c r="B214" i="3" s="1"/>
  <c r="D159" i="3" a="1"/>
  <c r="D159" i="3" s="1"/>
  <c r="B289" i="3" a="1"/>
  <c r="B289" i="3" s="1"/>
  <c r="D229" i="3" a="1"/>
  <c r="D229" i="3" s="1"/>
  <c r="C403" i="3" a="1"/>
  <c r="C403" i="3" s="1"/>
  <c r="H229" i="3" a="1"/>
  <c r="H229" i="3" s="1"/>
  <c r="B464" i="3" a="1"/>
  <c r="B464" i="3" s="1"/>
  <c r="N229" i="3" a="1"/>
  <c r="N229" i="3" s="1"/>
  <c r="C448" i="3" a="1"/>
  <c r="C448" i="3" s="1"/>
  <c r="I159" i="3" a="1"/>
  <c r="I159" i="3" s="1"/>
  <c r="K463" i="3" a="1"/>
  <c r="K463" i="3" s="1"/>
  <c r="N159" i="3" a="1"/>
  <c r="N159" i="3" s="1"/>
  <c r="B309" i="3" a="1"/>
  <c r="B309" i="3" s="1"/>
  <c r="Q229" i="3" a="1"/>
  <c r="Q229" i="3" s="1"/>
  <c r="F53" i="3" a="1"/>
  <c r="F53" i="3" s="1"/>
  <c r="C171" i="3" a="1"/>
  <c r="C171" i="3" s="1"/>
  <c r="C139" i="3" a="1"/>
  <c r="C139" i="3" s="1"/>
  <c r="B452" i="3" a="1"/>
  <c r="B452" i="3" s="1"/>
  <c r="B175" i="3" a="1"/>
  <c r="B175" i="3" s="1"/>
  <c r="E484" i="3" a="1"/>
  <c r="E484" i="3" s="1"/>
  <c r="C265" i="3" a="1"/>
  <c r="C265" i="3" s="1"/>
  <c r="C243" i="3" a="1"/>
  <c r="C243" i="3" s="1"/>
  <c r="R229" i="3" a="1"/>
  <c r="R229" i="3" s="1"/>
  <c r="B314" i="3" a="1"/>
  <c r="B314" i="3" s="1"/>
  <c r="C200" i="3" a="1"/>
  <c r="C200" i="3" s="1"/>
  <c r="C344" i="3" a="1"/>
  <c r="C344" i="3" s="1"/>
  <c r="B263" i="3" a="1"/>
  <c r="B263" i="3" s="1"/>
  <c r="B405" i="3" a="1"/>
  <c r="B405" i="3" s="1"/>
  <c r="I332" i="3" a="1"/>
  <c r="I332" i="3" s="1"/>
  <c r="L459" i="3" a="1"/>
  <c r="L459" i="3" s="1"/>
  <c r="J332" i="3" a="1"/>
  <c r="J332" i="3" s="1"/>
  <c r="C304" i="3" a="1"/>
  <c r="C304" i="3" s="1"/>
  <c r="K314" i="3" a="1"/>
  <c r="K314" i="3" s="1"/>
  <c r="D264" i="3" a="1"/>
  <c r="D264" i="3" s="1"/>
  <c r="B421" i="3" a="1"/>
  <c r="B421" i="3" s="1"/>
  <c r="B82" i="3" a="1"/>
  <c r="B82" i="3" s="1"/>
  <c r="N332" i="3" a="1"/>
  <c r="N332" i="3" s="1"/>
  <c r="B298" i="3" a="1"/>
  <c r="B298" i="3" s="1"/>
  <c r="T373" i="3" a="1"/>
  <c r="T373" i="3" s="1"/>
  <c r="C299" i="3" a="1"/>
  <c r="C299" i="3" s="1"/>
  <c r="D410" i="3" a="1"/>
  <c r="D410" i="3" s="1"/>
  <c r="U373" i="3" a="1"/>
  <c r="U373" i="3" s="1"/>
  <c r="D459" i="3" a="1"/>
  <c r="D459" i="3" s="1"/>
  <c r="J49" i="3" a="1"/>
  <c r="J49" i="3" s="1"/>
  <c r="B484" i="3" a="1"/>
  <c r="B484" i="3" s="1"/>
  <c r="E337" i="3" a="1"/>
  <c r="E337" i="3" s="1"/>
  <c r="B192" i="3" a="1"/>
  <c r="B192" i="3" s="1"/>
  <c r="C343" i="3" a="1"/>
  <c r="C343" i="3" s="1"/>
  <c r="E307" i="3" a="1"/>
  <c r="E307" i="3" s="1"/>
  <c r="I459" i="3" a="1"/>
  <c r="I459" i="3" s="1"/>
  <c r="C252" i="3" a="1"/>
  <c r="C252" i="3" s="1"/>
  <c r="B460" i="3" a="1"/>
  <c r="B460" i="3" s="1"/>
  <c r="H416" i="3" a="1"/>
  <c r="H416" i="3" s="1"/>
  <c r="B72" i="3" a="1"/>
  <c r="B72" i="3" s="1"/>
  <c r="B381" i="3" a="1"/>
  <c r="B381" i="3" s="1"/>
  <c r="B382" i="3" a="1"/>
  <c r="B382" i="3" s="1"/>
  <c r="D125" i="3" a="1"/>
  <c r="D125" i="3" s="1"/>
  <c r="B80" i="3" a="1"/>
  <c r="B80" i="3" s="1"/>
  <c r="B153" i="3" a="1"/>
  <c r="B153" i="3" s="1"/>
  <c r="B42" i="3" a="1"/>
  <c r="B42" i="3" s="1"/>
  <c r="D22" i="2"/>
  <c r="E343" i="3" a="1"/>
  <c r="E343" i="3" s="1"/>
  <c r="B218" i="3" a="1"/>
  <c r="B218" i="3" s="1"/>
  <c r="D391" i="2"/>
  <c r="D421" i="2"/>
  <c r="D439" i="2"/>
  <c r="O314" i="3" a="1"/>
  <c r="O314" i="3" s="1"/>
  <c r="D266" i="3" a="1"/>
  <c r="D266" i="3" s="1"/>
  <c r="D388" i="2"/>
  <c r="B434" i="3" a="1"/>
  <c r="B434" i="3" s="1"/>
  <c r="AB416" i="3" a="1"/>
  <c r="AB416" i="3" s="1"/>
  <c r="D432" i="2"/>
  <c r="D450" i="2"/>
  <c r="G125" i="3" a="1"/>
  <c r="G125" i="3" s="1"/>
  <c r="B55" i="3" a="1"/>
  <c r="B55" i="3" s="1"/>
  <c r="K459" i="3" a="1"/>
  <c r="K459" i="3" s="1"/>
  <c r="C476" i="3" a="1"/>
  <c r="C476" i="3" s="1"/>
  <c r="B287" i="3" a="1"/>
  <c r="B287" i="3" s="1"/>
  <c r="B229" i="3" a="1"/>
  <c r="B229" i="3" s="1"/>
  <c r="D497" i="2"/>
  <c r="D521" i="2"/>
  <c r="D545" i="2"/>
  <c r="C314" i="3" a="1"/>
  <c r="C314" i="3" s="1"/>
  <c r="D262" i="3" a="1"/>
  <c r="D262" i="3" s="1"/>
  <c r="H373" i="3" a="1"/>
  <c r="H373" i="3" s="1"/>
  <c r="C291" i="3" a="1"/>
  <c r="C291" i="3" s="1"/>
  <c r="D405" i="3" a="1"/>
  <c r="D405" i="3" s="1"/>
  <c r="I373" i="3" a="1"/>
  <c r="I373" i="3" s="1"/>
  <c r="L314" i="3" a="1"/>
  <c r="L314" i="3" s="1"/>
  <c r="D294" i="3" a="1"/>
  <c r="D294" i="3" s="1"/>
  <c r="B345" i="3" a="1"/>
  <c r="B345" i="3" s="1"/>
  <c r="C82" i="3" a="1"/>
  <c r="C82" i="3" s="1"/>
  <c r="R373" i="3" a="1"/>
  <c r="R373" i="3" s="1"/>
  <c r="B205" i="3" a="1"/>
  <c r="B205" i="3" s="1"/>
  <c r="R314" i="3" a="1"/>
  <c r="R314" i="3" s="1"/>
  <c r="C205" i="3" a="1"/>
  <c r="C205" i="3" s="1"/>
  <c r="G344" i="3" a="1"/>
  <c r="G344" i="3" s="1"/>
  <c r="B269" i="3" a="1"/>
  <c r="B269" i="3" s="1"/>
  <c r="B411" i="3" a="1"/>
  <c r="B411" i="3" s="1"/>
  <c r="U332" i="3" a="1"/>
  <c r="U332" i="3" s="1"/>
  <c r="B436" i="3" a="1"/>
  <c r="B436" i="3" s="1"/>
  <c r="B61" i="3" a="1"/>
  <c r="B61" i="3" s="1"/>
  <c r="C436" i="3" a="1"/>
  <c r="C436" i="3" s="1"/>
  <c r="B213" i="3" a="1"/>
  <c r="B213" i="3" s="1"/>
  <c r="K373" i="3" a="1"/>
  <c r="K373" i="3" s="1"/>
  <c r="C264" i="3" a="1"/>
  <c r="C264" i="3" s="1"/>
  <c r="C431" i="3" a="1"/>
  <c r="C431" i="3" s="1"/>
  <c r="D311" i="3" a="1"/>
  <c r="D311" i="3" s="1"/>
  <c r="B469" i="3" a="1"/>
  <c r="B469" i="3" s="1"/>
  <c r="D436" i="3" a="1"/>
  <c r="D436" i="3" s="1"/>
  <c r="B473" i="3" a="1"/>
  <c r="B473" i="3" s="1"/>
  <c r="F364" i="3" a="1"/>
  <c r="F364" i="3" s="1"/>
  <c r="E332" i="3" a="1"/>
  <c r="E332" i="3" s="1"/>
  <c r="B290" i="3" a="1"/>
  <c r="B290" i="3" s="1"/>
  <c r="F373" i="3" a="1"/>
  <c r="F373" i="3" s="1"/>
  <c r="B201" i="3" a="1"/>
  <c r="B201" i="3" s="1"/>
  <c r="V373" i="3" a="1"/>
  <c r="V373" i="3" s="1"/>
  <c r="B206" i="3" a="1"/>
  <c r="B206" i="3" s="1"/>
  <c r="O373" i="3" a="1"/>
  <c r="O373" i="3" s="1"/>
  <c r="C266" i="3" a="1"/>
  <c r="C266" i="3" s="1"/>
  <c r="C411" i="3" a="1"/>
  <c r="C411" i="3" s="1"/>
  <c r="Y314" i="3" a="1"/>
  <c r="Y314" i="3" s="1"/>
  <c r="B395" i="3" a="1"/>
  <c r="B395" i="3" s="1"/>
  <c r="B391" i="3" a="1"/>
  <c r="B391" i="3" s="1"/>
  <c r="B392" i="3" a="1"/>
  <c r="B392" i="3" s="1"/>
  <c r="B393" i="3" a="1"/>
  <c r="B393" i="3" s="1"/>
  <c r="J373" i="3" a="1"/>
  <c r="J373" i="3" s="1"/>
  <c r="B203" i="3" a="1"/>
  <c r="B203" i="3" s="1"/>
  <c r="N373" i="3" a="1"/>
  <c r="N373" i="3" s="1"/>
  <c r="B204" i="3" a="1"/>
  <c r="B204" i="3" s="1"/>
  <c r="B36" i="3" a="1"/>
  <c r="B36" i="3" s="1"/>
  <c r="L3" i="24"/>
  <c r="N3" i="24" s="1"/>
  <c r="K3" i="24"/>
  <c r="J3" i="24"/>
  <c r="I3" i="24"/>
  <c r="I7" i="24"/>
  <c r="L7" i="24"/>
  <c r="N7" i="24" s="1"/>
  <c r="K7" i="24"/>
  <c r="J7" i="24"/>
  <c r="I23" i="24"/>
  <c r="N23" i="24" s="1"/>
  <c r="L23" i="24"/>
  <c r="K23" i="24"/>
  <c r="J23" i="24"/>
  <c r="L61" i="24"/>
  <c r="K61" i="24"/>
  <c r="J37" i="24"/>
  <c r="K37" i="24" s="1"/>
  <c r="N51" i="24"/>
  <c r="L49" i="24"/>
  <c r="K49" i="24"/>
  <c r="J49" i="24"/>
  <c r="I49" i="24"/>
  <c r="J14" i="24"/>
  <c r="K14" i="24"/>
  <c r="N14" i="24" s="1"/>
  <c r="N49" i="24"/>
  <c r="L52" i="24"/>
  <c r="K52" i="24"/>
  <c r="J52" i="24"/>
  <c r="I52" i="24"/>
  <c r="N52" i="24" s="1"/>
  <c r="L5" i="24"/>
  <c r="K5" i="24"/>
  <c r="J5" i="24"/>
  <c r="I5" i="24"/>
  <c r="N5" i="24"/>
  <c r="K43" i="24"/>
  <c r="N43" i="24" s="1"/>
  <c r="J43" i="24"/>
  <c r="L6" i="24"/>
  <c r="K6" i="24"/>
  <c r="N6" i="24" s="1"/>
  <c r="J6" i="24"/>
  <c r="I6" i="24"/>
  <c r="L18" i="24"/>
  <c r="K18" i="24"/>
  <c r="J18" i="24"/>
  <c r="N18" i="24" s="1"/>
  <c r="I18" i="24"/>
  <c r="N58" i="24"/>
  <c r="L4" i="24"/>
  <c r="K11" i="24"/>
  <c r="N11" i="24" s="1"/>
  <c r="K17" i="24"/>
  <c r="K20" i="24"/>
  <c r="N20" i="24" s="1"/>
  <c r="L54" i="24"/>
  <c r="K71" i="24"/>
  <c r="K74" i="24"/>
  <c r="L11" i="24"/>
  <c r="L17" i="24"/>
  <c r="L20" i="24"/>
  <c r="L71" i="24"/>
  <c r="L74" i="24"/>
  <c r="I2" i="24"/>
  <c r="I46" i="24"/>
  <c r="N46" i="24" s="1"/>
  <c r="I64" i="24"/>
  <c r="N64" i="24" s="1"/>
  <c r="I67" i="24"/>
  <c r="N67" i="24" s="1"/>
  <c r="J73" i="24"/>
  <c r="I58" i="24"/>
  <c r="J64" i="24"/>
  <c r="J67" i="24"/>
  <c r="K67" i="24"/>
  <c r="I8" i="24"/>
  <c r="K12" i="24"/>
  <c r="N12" i="24" s="1"/>
  <c r="K15" i="24"/>
  <c r="N15" i="24" s="1"/>
  <c r="K21" i="24"/>
  <c r="I24" i="24"/>
  <c r="I27" i="24"/>
  <c r="I30" i="24"/>
  <c r="I33" i="24"/>
  <c r="J36" i="24"/>
  <c r="J39" i="24"/>
  <c r="I42" i="24"/>
  <c r="J45" i="24"/>
  <c r="J48" i="24"/>
  <c r="I51" i="24"/>
  <c r="I57" i="24"/>
  <c r="N57" i="24" s="1"/>
  <c r="I60" i="24"/>
  <c r="J63" i="24"/>
  <c r="J66" i="24"/>
  <c r="J69" i="24"/>
  <c r="K72" i="24"/>
  <c r="K75" i="24"/>
  <c r="I4" i="24"/>
  <c r="J8" i="24"/>
  <c r="J24" i="24"/>
  <c r="N24" i="24" s="1"/>
  <c r="J27" i="24"/>
  <c r="J30" i="24"/>
  <c r="J33" i="24"/>
  <c r="N33" i="24" s="1"/>
  <c r="K36" i="24"/>
  <c r="K39" i="24"/>
  <c r="J42" i="24"/>
  <c r="K45" i="24"/>
  <c r="K48" i="24"/>
  <c r="J51" i="24"/>
  <c r="I54" i="24"/>
  <c r="N54" i="24" s="1"/>
  <c r="J57" i="24"/>
  <c r="J60" i="24"/>
  <c r="N60" i="24" s="1"/>
  <c r="K63" i="24"/>
  <c r="K66" i="24"/>
  <c r="K69" i="24"/>
  <c r="J4" i="24"/>
  <c r="K8" i="24"/>
  <c r="N8" i="24" s="1"/>
  <c r="I11" i="24"/>
  <c r="I17" i="24"/>
  <c r="I20" i="24"/>
  <c r="K24" i="24"/>
  <c r="K27" i="24"/>
  <c r="N27" i="24" s="1"/>
  <c r="K30" i="24"/>
  <c r="N30" i="24" s="1"/>
  <c r="K33" i="24"/>
  <c r="K42" i="24"/>
  <c r="K51" i="24"/>
  <c r="J54" i="24"/>
  <c r="K57" i="24"/>
  <c r="K60" i="24"/>
  <c r="I71" i="24"/>
  <c r="I74" i="24"/>
  <c r="N74" i="24" s="1"/>
  <c r="N37" i="24" l="1"/>
  <c r="L37" i="24"/>
  <c r="B463" i="3" a="1"/>
  <c r="B463" i="3" s="1"/>
  <c r="B196" i="3" a="1"/>
  <c r="B196" i="3" s="1"/>
  <c r="D47" i="3" a="1"/>
  <c r="D47" i="3" s="1"/>
  <c r="G48" i="3" a="1"/>
  <c r="G48" i="3" s="1"/>
  <c r="Z416" i="3" a="1"/>
  <c r="Z416" i="3" s="1"/>
  <c r="C233" i="3" a="1"/>
  <c r="C233" i="3" s="1"/>
  <c r="B134" i="3" a="1"/>
  <c r="B134" i="3" s="1"/>
  <c r="D467" i="3" a="1"/>
  <c r="D467" i="3" s="1"/>
  <c r="C234" i="3" a="1"/>
  <c r="C234" i="3" s="1"/>
  <c r="D384" i="3" a="1"/>
  <c r="D384" i="3" s="1"/>
  <c r="C371" i="3" a="1"/>
  <c r="C371" i="3" s="1"/>
  <c r="B228" i="3" a="1"/>
  <c r="B228" i="3" s="1"/>
  <c r="B456" i="3" a="1"/>
  <c r="B456" i="3" s="1"/>
  <c r="B408" i="3" a="1"/>
  <c r="B408" i="3" s="1"/>
  <c r="AA416" i="3" a="1"/>
  <c r="AA416" i="3" s="1"/>
  <c r="D211" i="3" a="1"/>
  <c r="D211" i="3" s="1"/>
  <c r="C255" i="3" a="1"/>
  <c r="C255" i="3" s="1"/>
  <c r="B26" i="3" a="1"/>
  <c r="B26" i="3" s="1"/>
  <c r="F463" i="3" a="1"/>
  <c r="F463" i="3" s="1"/>
  <c r="B227" i="3" a="1"/>
  <c r="B227" i="3" s="1"/>
  <c r="D378" i="3" a="1"/>
  <c r="D378" i="3" s="1"/>
  <c r="E252" i="3" a="1"/>
  <c r="E252" i="3" s="1"/>
  <c r="B482" i="3" a="1"/>
  <c r="B482" i="3" s="1"/>
  <c r="B480" i="3" a="1"/>
  <c r="B480" i="3" s="1"/>
  <c r="V416" i="3" a="1"/>
  <c r="V416" i="3" s="1"/>
  <c r="L384" i="3" a="1"/>
  <c r="L384" i="3" s="1"/>
  <c r="B360" i="3" a="1"/>
  <c r="B360" i="3" s="1"/>
  <c r="H274" i="3" a="1"/>
  <c r="H274" i="3" s="1"/>
  <c r="J463" i="3" a="1"/>
  <c r="J463" i="3" s="1"/>
  <c r="B334" i="3" a="1"/>
  <c r="B334" i="3" s="1"/>
  <c r="E445" i="3" a="1"/>
  <c r="E445" i="3" s="1"/>
  <c r="B199" i="3" a="1"/>
  <c r="B199" i="3" s="1"/>
  <c r="L43" i="24"/>
  <c r="H463" i="3" a="1"/>
  <c r="H463" i="3" s="1"/>
  <c r="F274" i="3" a="1"/>
  <c r="F274" i="3" s="1"/>
  <c r="C190" i="3" a="1"/>
  <c r="C190" i="3" s="1"/>
  <c r="H24" i="3" a="1"/>
  <c r="H24" i="3" s="1"/>
  <c r="B433" i="3" a="1"/>
  <c r="B433" i="3" s="1"/>
  <c r="B215" i="3" a="1"/>
  <c r="B215" i="3" s="1"/>
  <c r="B63" i="3" a="1"/>
  <c r="B63" i="3" s="1"/>
  <c r="P384" i="3" a="1"/>
  <c r="P384" i="3" s="1"/>
  <c r="W416" i="3" a="1"/>
  <c r="W416" i="3" s="1"/>
  <c r="B283" i="3" a="1"/>
  <c r="B283" i="3" s="1"/>
  <c r="B422" i="3" a="1"/>
  <c r="B422" i="3" s="1"/>
  <c r="B431" i="3" a="1"/>
  <c r="B431" i="3" s="1"/>
  <c r="I142" i="3" a="1"/>
  <c r="I142" i="3" s="1"/>
  <c r="I463" i="3" a="1"/>
  <c r="I463" i="3" s="1"/>
  <c r="B365" i="3" a="1"/>
  <c r="B365" i="3" s="1"/>
  <c r="L15" i="24"/>
  <c r="L14" i="24"/>
  <c r="Y416" i="3" a="1"/>
  <c r="Y416" i="3" s="1"/>
  <c r="AA384" i="3" a="1"/>
  <c r="AA384" i="3" s="1"/>
  <c r="B97" i="3" a="1"/>
  <c r="B97" i="3" s="1"/>
  <c r="H178" i="3" a="1"/>
  <c r="H178" i="3" s="1"/>
  <c r="B119" i="3" a="1"/>
  <c r="B119" i="3" s="1"/>
  <c r="B439" i="3" a="1"/>
  <c r="B439" i="3" s="1"/>
  <c r="C316" i="3" a="1"/>
  <c r="C316" i="3" s="1"/>
  <c r="B210" i="3" a="1"/>
  <c r="B210" i="3" s="1"/>
  <c r="B30" i="3" a="1"/>
  <c r="B30" i="3" s="1"/>
  <c r="V384" i="3" a="1"/>
  <c r="V384" i="3" s="1"/>
  <c r="B230" i="3" a="1"/>
  <c r="B230" i="3" s="1"/>
  <c r="B110" i="3" a="1"/>
  <c r="B110" i="3" s="1"/>
  <c r="B383" i="3" a="1"/>
  <c r="B383" i="3" s="1"/>
  <c r="E231" i="3" a="1"/>
  <c r="E231" i="3" s="1"/>
  <c r="B403" i="3" a="1"/>
  <c r="B403" i="3" s="1"/>
  <c r="B255" i="3" a="1"/>
  <c r="B255" i="3" s="1"/>
  <c r="F152" i="3" a="1"/>
  <c r="F152" i="3" s="1"/>
  <c r="E378" i="3" a="1"/>
  <c r="E378" i="3" s="1"/>
  <c r="B362" i="3" a="1"/>
  <c r="B362" i="3" s="1"/>
  <c r="E450" i="3" a="1"/>
  <c r="E450" i="3" s="1"/>
  <c r="B270" i="3" a="1"/>
  <c r="B270" i="3" s="1"/>
  <c r="S384" i="3" a="1"/>
  <c r="S384" i="3" s="1"/>
  <c r="C378" i="3" a="1"/>
  <c r="C378" i="3" s="1"/>
  <c r="B168" i="3" a="1"/>
  <c r="B168"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9" authorId="0" shapeId="0" xr:uid="{00000000-0006-0000-0000-000001000000}">
      <text>
        <r>
          <rPr>
            <sz val="10"/>
            <color rgb="FF000000"/>
            <rFont val="Arial"/>
          </rPr>
          <t>Primarily need updated Grenade numbers.  There are also a few base values that I never got before.
I used a mod to check for new recipes, but I didn't see any.  I haven't yet checked the editor.</t>
        </r>
      </text>
    </comment>
    <comment ref="C10" authorId="0" shapeId="0" xr:uid="{00000000-0006-0000-0000-000002000000}">
      <text>
        <r>
          <rPr>
            <sz val="10"/>
            <color rgb="FF000000"/>
            <rFont val="Arial"/>
          </rPr>
          <t>If anything's wrong on this tab, it's because something's wrong on another tab.</t>
        </r>
      </text>
    </comment>
    <comment ref="C11" authorId="0" shapeId="0" xr:uid="{00000000-0006-0000-0000-000003000000}">
      <text>
        <r>
          <rPr>
            <sz val="10"/>
            <color rgb="FF000000"/>
            <rFont val="Arial"/>
          </rPr>
          <t>I'm legitimately asking.</t>
        </r>
      </text>
    </comment>
    <comment ref="C12" authorId="0" shapeId="0" xr:uid="{00000000-0006-0000-0000-000004000000}">
      <text>
        <r>
          <rPr>
            <sz val="10"/>
            <color rgb="FF000000"/>
            <rFont val="Arial"/>
          </rPr>
          <t>Does it, though?  They're just for comparison's sake.  If they all scale the same, then leaving them as-is should be fine, as long as the base numbers haven't changed.</t>
        </r>
      </text>
    </comment>
    <comment ref="C15" authorId="0" shapeId="0" xr:uid="{00000000-0006-0000-0000-000005000000}">
      <text>
        <r>
          <rPr>
            <sz val="10"/>
            <color rgb="FF000000"/>
            <rFont val="Arial"/>
          </rPr>
          <t>Does it, though?  They're just for comparison's sake.  If they all scale the same, then leaving them as-is should be fine, as long as the base numbers haven't changed.</t>
        </r>
      </text>
    </comment>
    <comment ref="C17" authorId="0" shapeId="0" xr:uid="{00000000-0006-0000-0000-000006000000}">
      <text>
        <r>
          <rPr>
            <sz val="10"/>
            <color rgb="FF000000"/>
            <rFont val="Arial"/>
          </rPr>
          <t>Lots of work to do here.</t>
        </r>
      </text>
    </comment>
    <comment ref="C19" authorId="0" shapeId="0" xr:uid="{00000000-0006-0000-0000-000007000000}">
      <text>
        <r>
          <rPr>
            <sz val="10"/>
            <color rgb="FF000000"/>
            <rFont val="Arial"/>
          </rPr>
          <t>Edit: Yes.  The percentages are different.  Updating.</t>
        </r>
      </text>
    </comment>
    <comment ref="C20" authorId="0" shapeId="0" xr:uid="{00000000-0006-0000-0000-000008000000}">
      <text>
        <r>
          <rPr>
            <sz val="10"/>
            <color rgb="FF000000"/>
            <rFont val="Arial"/>
          </rPr>
          <t>I'm legitimately asking.</t>
        </r>
      </text>
    </comment>
    <comment ref="C21" authorId="0" shapeId="0" xr:uid="{00000000-0006-0000-0000-000009000000}">
      <text>
        <r>
          <rPr>
            <sz val="10"/>
            <color rgb="FF000000"/>
            <rFont val="Arial"/>
          </rPr>
          <t>I've updated a couple of talents.  Not sure what else has changed.</t>
        </r>
      </text>
    </comment>
    <comment ref="C28" authorId="0" shapeId="0" xr:uid="{00000000-0006-0000-0000-00000A000000}">
      <text>
        <r>
          <rPr>
            <sz val="10"/>
            <color rgb="FF000000"/>
            <rFont val="Arial"/>
          </rPr>
          <t>Bugs that need testing in Definitive Edition are highlighted in different colors.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100-000001000000}">
      <text>
        <r>
          <rPr>
            <sz val="10"/>
            <color rgb="FF000000"/>
            <rFont val="Arial"/>
          </rPr>
          <t xml:space="preserve">The name of the item or effect that is made from the crafting, as listed in the Recipes tab.
</t>
        </r>
        <r>
          <rPr>
            <sz val="10"/>
            <color rgb="FF000000"/>
            <rFont val="Arial"/>
          </rPr>
          <t xml:space="preserve">
</t>
        </r>
        <r>
          <rPr>
            <sz val="10"/>
            <color rgb="FF000000"/>
            <rFont val="Arial"/>
          </rPr>
          <t xml:space="preserve">Anything in brackets is not actually a part of the displayed name.
</t>
        </r>
        <r>
          <rPr>
            <sz val="10"/>
            <color rgb="FF000000"/>
            <rFont val="Arial"/>
          </rPr>
          <t xml:space="preserve">
</t>
        </r>
        <r>
          <rPr>
            <sz val="10"/>
            <color rgb="FF000000"/>
            <rFont val="Arial"/>
          </rPr>
          <t>Items highlighted in red are those I don't have base values for yet.</t>
        </r>
      </text>
    </comment>
    <comment ref="B1" authorId="0" shapeId="0" xr:uid="{00000000-0006-0000-0100-000002000000}">
      <text>
        <r>
          <rPr>
            <sz val="10"/>
            <color rgb="FF000000"/>
            <rFont val="Arial"/>
          </rPr>
          <t>Amount of Result 1 made.
Blank means 1.</t>
        </r>
      </text>
    </comment>
    <comment ref="C1" authorId="0" shapeId="0" xr:uid="{00000000-0006-0000-0100-000003000000}">
      <text>
        <r>
          <rPr>
            <sz val="10"/>
            <color rgb="FF000000"/>
            <rFont val="Arial"/>
          </rPr>
          <t>Base value of item produced (amount 1).
V = Variable (scales with level; see V tab).  Don't craft these to sell until you need the money.
Unmodified sell value: 40%
Unmodified vendor price: 250%
Buy and sell values are affected by your active character's Barter ability, as well as the NPC's Attitude towards the active character.</t>
        </r>
      </text>
    </comment>
    <comment ref="D1" authorId="0" shapeId="0" xr:uid="{00000000-0006-0000-0100-000004000000}">
      <text>
        <r>
          <rPr>
            <sz val="10"/>
            <color rgb="FF000000"/>
            <rFont val="Arial"/>
          </rPr>
          <t>[Some Skillbooks have incorrect values as I'm missing values for a lot of scrolls.]
Base Value of the crafted item minus the Base Value of its ingredients (except for those not consumed/transformed).
Not actual profit amounts.  This is just here to show whether the ingredients are worth more than the final product, or how much it costs to make something.</t>
        </r>
      </text>
    </comment>
    <comment ref="E1" authorId="0" shapeId="0" xr:uid="{00000000-0006-0000-0100-000005000000}">
      <text>
        <r>
          <rPr>
            <sz val="10"/>
            <color rgb="FF000000"/>
            <rFont val="Arial"/>
          </rPr>
          <t>Damage, healing and other such amounts are based on a level 10 character with +10 points in each attribute and 5 points in each combat skill ability, on Classic difficulty.
Potions and food are 1 AP to use.
Grenades are 2 AP to use.  Damage scales to level.
See Skills tab for Scroll effects and AP costs.  Scrolls do not use Source points.
For Runes, note that it only applies its effect to the item you socket it in, and it only applies one of the three effects (based on what equipment type you put it in).
Special arrows deal an initial amount of damage equal to your normal attack (except where noted).
Items highlighted in yellow are items I haven't checked in Definitive Edition yet, as the effects of those may have changed.  I don't expect many to be changed, but some are.</t>
        </r>
      </text>
    </comment>
    <comment ref="F1" authorId="0" shapeId="0" xr:uid="{00000000-0006-0000-0100-000006000000}">
      <text>
        <r>
          <rPr>
            <sz val="10"/>
            <color rgb="FF000000"/>
            <rFont val="Arial"/>
          </rPr>
          <t>This item is also made.
None of these items really  have an effect, so I didn't include an Effect 2 column.</t>
        </r>
      </text>
    </comment>
    <comment ref="G1" authorId="0" shapeId="0" xr:uid="{00000000-0006-0000-0100-000007000000}">
      <text>
        <r>
          <rPr>
            <sz val="10"/>
            <color rgb="FF000000"/>
            <rFont val="Arial"/>
          </rPr>
          <t>Amount of Result 2 made.
Blank means 1.</t>
        </r>
      </text>
    </comment>
    <comment ref="H1" authorId="0" shapeId="0" xr:uid="{00000000-0006-0000-0100-000008000000}">
      <text>
        <r>
          <rPr>
            <sz val="10"/>
            <color rgb="FF000000"/>
            <rFont val="Arial"/>
          </rPr>
          <t>Scrolls and Skillbooks are listed as "Grimoire".
"Boost" gives equipment a buff.
"Quest" is a category I've assigned for things that didn't have a category, but are specifically for quests.</t>
        </r>
      </text>
    </comment>
    <comment ref="I1" authorId="0" shapeId="0" xr:uid="{00000000-0006-0000-0100-000009000000}">
      <text>
        <r>
          <rPr>
            <sz val="10"/>
            <color rgb="FF000000"/>
            <rFont val="Arial"/>
          </rPr>
          <t>Sub-category.  Not from the editor, just here for sorting.  Mostly useful for separating scrolls from skillbooks.
Mats = Materials for crafting
Station = Crafting Station
Effect = Does not deal direct damage.
Damage = Does deal direct damage.
Herbmix = It's a buff, but you have to use it at a dreamer's pipe.</t>
        </r>
      </text>
    </comment>
    <comment ref="J1" authorId="0" shapeId="0" xr:uid="{00000000-0006-0000-0100-00000A000000}">
      <text>
        <r>
          <rPr>
            <sz val="10"/>
            <color rgb="FF000000"/>
            <rFont val="Arial"/>
          </rPr>
          <t>I removed "Well" entries since they all are duplicates from Water.</t>
        </r>
      </text>
    </comment>
    <comment ref="K1" authorId="0" shapeId="0" xr:uid="{00000000-0006-0000-0100-00000B000000}">
      <text>
        <r>
          <rPr>
            <sz val="10"/>
            <color rgb="FF000000"/>
            <rFont val="Arial"/>
          </rPr>
          <t>Base Value of Ingredient 1</t>
        </r>
      </text>
    </comment>
    <comment ref="L1" authorId="0" shapeId="0" xr:uid="{00000000-0006-0000-0100-00000C000000}">
      <text>
        <r>
          <rPr>
            <sz val="10"/>
            <color rgb="FF000000"/>
            <rFont val="Arial"/>
          </rPr>
          <t>You can also look up all the things you can make with a particular ingredient by looking on the "Recipes by Ingredient" tab at the bottom of the window.
Quantity is always 1.
For Essences and Augmentors, you can use the exact named one or any higher tier one.</t>
        </r>
      </text>
    </comment>
    <comment ref="M1" authorId="0" shapeId="0" xr:uid="{00000000-0006-0000-0100-00000D000000}">
      <text>
        <r>
          <rPr>
            <sz val="10"/>
            <color rgb="FF000000"/>
            <rFont val="Arial"/>
          </rPr>
          <t>"Consume" means the item is lost in crafting.
"Transform" means that the item is changed to whatever's in Result 1.
"None" means you keep the item as-is after crafting.
"Poison" means the item becomes poisonous.
"Boost" means the item is modified with whatever's in Effect 1.</t>
        </r>
      </text>
    </comment>
    <comment ref="N1" authorId="0" shapeId="0" xr:uid="{00000000-0006-0000-0100-00000E000000}">
      <text>
        <r>
          <rPr>
            <sz val="10"/>
            <color rgb="FF000000"/>
            <rFont val="Arial"/>
          </rPr>
          <t>Base Value of Ingredient 2</t>
        </r>
      </text>
    </comment>
    <comment ref="O1" authorId="0" shapeId="0" xr:uid="{00000000-0006-0000-0100-00000F000000}">
      <text>
        <r>
          <rPr>
            <sz val="10"/>
            <color rgb="FF000000"/>
            <rFont val="Arial"/>
          </rPr>
          <t>You can also look up all the things you can make with a particular ingredient by looking on the "Recipes by Ingredient" tab at the bottom of the window.
Quantity is always 1.
For Essences, you can use the exact named one or any higher tier one.</t>
        </r>
      </text>
    </comment>
    <comment ref="P1" authorId="0" shapeId="0" xr:uid="{00000000-0006-0000-0100-000010000000}">
      <text>
        <r>
          <rPr>
            <sz val="10"/>
            <color rgb="FF000000"/>
            <rFont val="Arial"/>
          </rPr>
          <t>"Consume" means the item is lost in crafting.
"Transform" means that the item is changed to whatever's in Result 1.
"None" means you keep the item as-is after crafting.
"Poison" means the item becomes poisonous.
"Boost" means the item is modified with whatever's in Effect 1.</t>
        </r>
      </text>
    </comment>
    <comment ref="Q1" authorId="0" shapeId="0" xr:uid="{00000000-0006-0000-0100-000011000000}">
      <text>
        <r>
          <rPr>
            <sz val="10"/>
            <color rgb="FF000000"/>
            <rFont val="Arial"/>
          </rPr>
          <t>Base Value of Ingredient 3</t>
        </r>
      </text>
    </comment>
    <comment ref="R1" authorId="0" shapeId="0" xr:uid="{00000000-0006-0000-0100-000012000000}">
      <text>
        <r>
          <rPr>
            <sz val="10"/>
            <color rgb="FF000000"/>
            <rFont val="Arial"/>
          </rPr>
          <t>You can also look up all the things you can make with a particular ingredient by looking on the "Recipes by Ingredient" tab at the bottom of the window.
Quantity is always 1.
For Essences, you can use the exact named one or any higher tier one.</t>
        </r>
      </text>
    </comment>
    <comment ref="S1" authorId="0" shapeId="0" xr:uid="{00000000-0006-0000-0100-000013000000}">
      <text>
        <r>
          <rPr>
            <sz val="10"/>
            <color rgb="FF000000"/>
            <rFont val="Arial"/>
          </rPr>
          <t>"Consume" means the item is lost in crafting.
"Transform" means that the item is changed to whatever's in Result 1.
"None" means you keep the item as-is after crafting.
"Poison" means the item becomes poisonous.
"Boost" means the item is modified with whatever's in Effect 1.</t>
        </r>
      </text>
    </comment>
    <comment ref="T1" authorId="0" shapeId="0" xr:uid="{00000000-0006-0000-0100-000014000000}">
      <text>
        <r>
          <rPr>
            <sz val="10"/>
            <color rgb="FF000000"/>
            <rFont val="Arial"/>
          </rPr>
          <t>Base Value of Ingredient 4</t>
        </r>
      </text>
    </comment>
    <comment ref="W1" authorId="0" shapeId="0" xr:uid="{00000000-0006-0000-0100-000015000000}">
      <text>
        <r>
          <rPr>
            <sz val="10"/>
            <color rgb="FF000000"/>
            <rFont val="Arial"/>
          </rPr>
          <t>Base Value of Ingredient 5</t>
        </r>
      </text>
    </comment>
    <comment ref="X1" authorId="0" shapeId="0" xr:uid="{00000000-0006-0000-0100-000016000000}">
      <text>
        <r>
          <rPr>
            <sz val="10"/>
            <color rgb="FF000000"/>
            <rFont val="Arial"/>
          </rPr>
          <t>There is only 1 thing in this column.</t>
        </r>
      </text>
    </comment>
    <comment ref="Z1" authorId="0" shapeId="0" xr:uid="{00000000-0006-0000-0100-000017000000}">
      <text>
        <r>
          <rPr>
            <sz val="10"/>
            <color rgb="FF000000"/>
            <rFont val="Arial"/>
          </rPr>
          <t>I assume a 1 here means that the item is crafted at your current level.  I say "I assume" because I got this from the editor.
Like, when you craft a sword, it's better than it would be if you'd crafted it before you last leveled up.</t>
        </r>
      </text>
    </comment>
    <comment ref="A2" authorId="0" shapeId="0" xr:uid="{00000000-0006-0000-0100-000018000000}">
      <text>
        <r>
          <rPr>
            <sz val="10"/>
            <color rgb="FF000000"/>
            <rFont val="Arial"/>
          </rPr>
          <t>If this recipe doesn't work, you need to reinstall your game.  That worked for me.</t>
        </r>
      </text>
    </comment>
    <comment ref="E2" authorId="0" shapeId="0" xr:uid="{00000000-0006-0000-0100-000019000000}">
      <text>
        <r>
          <rPr>
            <sz val="10"/>
            <color rgb="FF000000"/>
            <rFont val="Arial"/>
          </rPr>
          <t>If the total armor provided was 100, it would be 13 Magic Armor and 87 Physical Armor.
At level 14 the total armor is 205 (279 in Classic Edition).
+HP seems to be ~25% of the total armor.</t>
        </r>
      </text>
    </comment>
    <comment ref="L2" authorId="0" shapeId="0" xr:uid="{00000000-0006-0000-0100-00001A000000}">
      <text>
        <r>
          <rPr>
            <sz val="10"/>
            <color rgb="FF000000"/>
            <rFont val="Arial"/>
          </rPr>
          <t>I think I read somewhere that for Definitive Edition it didn't matter if you used the A or C Eternal Artefact.  I haven't confirmed this in game.</t>
        </r>
      </text>
    </comment>
    <comment ref="A3" authorId="0" shapeId="0" xr:uid="{00000000-0006-0000-0100-00001B000000}">
      <text>
        <r>
          <rPr>
            <sz val="10"/>
            <color rgb="FF000000"/>
            <rFont val="Arial"/>
          </rPr>
          <t>If this recipe doesn't work, you need to reinstall your game.  That' worked for me.</t>
        </r>
      </text>
    </comment>
    <comment ref="E14" authorId="0" shapeId="0" xr:uid="{00000000-0006-0000-0100-00001C000000}">
      <text>
        <r>
          <rPr>
            <sz val="10"/>
            <color rgb="FF000000"/>
            <rFont val="Arial"/>
          </rPr>
          <t>You can change into an elf and eat a body part to gain the ability it grants (if it grants one).
When you change race, NPCs will not recognize you as the same person, so if you raised someone's attitude towards you, they will not have that attitude towards you while you are a different race than the one you raised it with.  So, if you donate to someone while shapeshifted to Elf, then turn back to non-Elf, you will not see the increased attitude until you shapeshift back to Elf.</t>
        </r>
      </text>
    </comment>
    <comment ref="M20" authorId="0" shapeId="0" xr:uid="{00000000-0006-0000-0100-00001D000000}">
      <text>
        <r>
          <rPr>
            <sz val="10"/>
            <color rgb="FF000000"/>
            <rFont val="Arial"/>
          </rPr>
          <t>If you use honey in a jar, you get to keep the empty jar so you can fill it up again.</t>
        </r>
      </text>
    </comment>
    <comment ref="E21" authorId="0" shapeId="0" xr:uid="{00000000-0006-0000-0100-00001E000000}">
      <text>
        <r>
          <rPr>
            <sz val="10"/>
            <color rgb="FF000000"/>
            <rFont val="Arial"/>
          </rPr>
          <t>Seems like it deals ~43% more damage than a normal attack.</t>
        </r>
      </text>
    </comment>
    <comment ref="E22" authorId="0" shapeId="0" xr:uid="{00000000-0006-0000-0100-00001F000000}">
      <text>
        <r>
          <rPr>
            <sz val="10"/>
            <color rgb="FF000000"/>
            <rFont val="Arial"/>
          </rPr>
          <t>Seems like it deals ~43% more damage than a normal attack.</t>
        </r>
      </text>
    </comment>
    <comment ref="E23" authorId="0" shapeId="0" xr:uid="{00000000-0006-0000-0100-000020000000}">
      <text>
        <r>
          <rPr>
            <sz val="10"/>
            <color rgb="FF000000"/>
            <rFont val="Arial"/>
          </rPr>
          <t>Given the existence of Explosive Arrows, and that these do exactly what those do, I think these are bugged.  I think Fire Arrows are supposed to be single-target damage.  For now, though, they function exactly as Explosive Arrows.</t>
        </r>
      </text>
    </comment>
    <comment ref="E24" authorId="0" shapeId="0" xr:uid="{00000000-0006-0000-0100-000021000000}">
      <text>
        <r>
          <rPr>
            <sz val="10"/>
            <color rgb="FF000000"/>
            <rFont val="Arial"/>
          </rPr>
          <t>Given the existence of Explosive Arrows, and that these do exactly what those do, I think these are bugged.  I think Fire Arrows are supposed to be single-target damage.  For now, though, they function exactly as Explosive Arrows.</t>
        </r>
      </text>
    </comment>
    <comment ref="E25" authorId="0" shapeId="0" xr:uid="{00000000-0006-0000-0100-000022000000}">
      <text>
        <r>
          <rPr>
            <sz val="10"/>
            <color rgb="FF000000"/>
            <rFont val="Arial"/>
          </rPr>
          <t>Given the existence of Explosive Arrows, and that these do exactly what those do, I think these are bugged.  I think Fire Arrows are supposed to be single-target damage.  For now, though, they function exactly as Explosive Arrows.</t>
        </r>
      </text>
    </comment>
    <comment ref="M48" authorId="0" shapeId="0" xr:uid="{00000000-0006-0000-0100-000023000000}">
      <text>
        <r>
          <rPr>
            <sz val="10"/>
            <color rgb="FF000000"/>
            <rFont val="Arial"/>
          </rPr>
          <t>If you use honey in a jar, you get to keep the empty jar so you can fill it up again.</t>
        </r>
      </text>
    </comment>
    <comment ref="O57" authorId="0" shapeId="0" xr:uid="{00000000-0006-0000-0100-000024000000}">
      <text>
        <r>
          <rPr>
            <sz val="10"/>
            <color rgb="FF000000"/>
            <rFont val="Arial"/>
          </rPr>
          <t>Sharp Tooth also works, but it's worth more than the arrow.  Only use a Sharp Tooth if you actually need the arrow.</t>
        </r>
      </text>
    </comment>
    <comment ref="E62" authorId="0" shapeId="0" xr:uid="{00000000-0006-0000-0100-000025000000}">
      <text>
        <r>
          <rPr>
            <sz val="10"/>
            <color rgb="FF000000"/>
            <rFont val="Arial"/>
          </rPr>
          <t>I think the Physical Armor is 10% of the amulet's Magic Armor.  I could be wrong.</t>
        </r>
      </text>
    </comment>
    <comment ref="L62" authorId="0" shapeId="0" xr:uid="{00000000-0006-0000-0100-000026000000}">
      <text>
        <r>
          <rPr>
            <sz val="10"/>
            <color rgb="FF000000"/>
            <rFont val="Arial"/>
          </rPr>
          <t>See Ingredients tab for what the icon looks like as it's the only way to tell the two apart.</t>
        </r>
      </text>
    </comment>
    <comment ref="L63" authorId="0" shapeId="0" xr:uid="{00000000-0006-0000-0100-000027000000}">
      <text>
        <r>
          <rPr>
            <sz val="10"/>
            <color rgb="FF000000"/>
            <rFont val="Arial"/>
          </rPr>
          <t>See Ingredients tab for what the icon looks like as it's the only way to tell the two apart.</t>
        </r>
      </text>
    </comment>
    <comment ref="L64" authorId="0" shapeId="0" xr:uid="{00000000-0006-0000-0100-000028000000}">
      <text>
        <r>
          <rPr>
            <sz val="10"/>
            <color rgb="FF000000"/>
            <rFont val="Arial"/>
          </rPr>
          <t>See Ingredients tab for what the icon looks like as it's the only way to tell the two apart.</t>
        </r>
      </text>
    </comment>
    <comment ref="L66" authorId="0" shapeId="0" xr:uid="{00000000-0006-0000-0100-000029000000}">
      <text>
        <r>
          <rPr>
            <sz val="10"/>
            <color rgb="FF000000"/>
            <rFont val="Arial"/>
          </rPr>
          <t>See Ingredients tab for what the icon looks like as it's the only way to tell the two apart.</t>
        </r>
      </text>
    </comment>
    <comment ref="L67" authorId="0" shapeId="0" xr:uid="{00000000-0006-0000-0100-00002A000000}">
      <text>
        <r>
          <rPr>
            <sz val="10"/>
            <color rgb="FF000000"/>
            <rFont val="Arial"/>
          </rPr>
          <t>See Ingredients tab for what the icon looks like as it's the only way to tell the two apart.</t>
        </r>
      </text>
    </comment>
    <comment ref="L68" authorId="0" shapeId="0" xr:uid="{00000000-0006-0000-0100-00002B000000}">
      <text>
        <r>
          <rPr>
            <sz val="10"/>
            <color rgb="FF000000"/>
            <rFont val="Arial"/>
          </rPr>
          <t>See Ingredients tab for what the icon looks like as it's the only way to tell the two apart.</t>
        </r>
      </text>
    </comment>
    <comment ref="L69" authorId="0" shapeId="0" xr:uid="{00000000-0006-0000-0100-00002C000000}">
      <text>
        <r>
          <rPr>
            <sz val="10"/>
            <color rgb="FF000000"/>
            <rFont val="Arial"/>
          </rPr>
          <t>See Ingredients tab for what the icon looks like as it's the only way to tell the two apart.</t>
        </r>
      </text>
    </comment>
    <comment ref="L70" authorId="0" shapeId="0" xr:uid="{00000000-0006-0000-0100-00002D000000}">
      <text>
        <r>
          <rPr>
            <sz val="10"/>
            <color rgb="FF000000"/>
            <rFont val="Arial"/>
          </rPr>
          <t>See Ingredients tab for what the icon looks like as it's the only way to tell the two apart.</t>
        </r>
      </text>
    </comment>
    <comment ref="E71" authorId="0" shapeId="0" xr:uid="{00000000-0006-0000-0100-00002E000000}">
      <text>
        <r>
          <rPr>
            <sz val="10"/>
            <color rgb="FF000000"/>
            <rFont val="Arial"/>
          </rPr>
          <t>Stacks with bonus Air damage that the weapon came with.
A weapon can only have one permanent Boost on it at a time.
Bonus amount based off base weapon damage.</t>
        </r>
      </text>
    </comment>
    <comment ref="L71" authorId="0" shapeId="0" xr:uid="{00000000-0006-0000-0100-00002F000000}">
      <text>
        <r>
          <rPr>
            <sz val="10"/>
            <color rgb="FF000000"/>
            <rFont val="Arial"/>
          </rPr>
          <t>See Ingredients tab for what the icon looks like as it's the only way to tell the two apart.</t>
        </r>
      </text>
    </comment>
    <comment ref="O71" authorId="0" shapeId="0" xr:uid="{00000000-0006-0000-0100-000030000000}">
      <text>
        <r>
          <rPr>
            <sz val="10"/>
            <color rgb="FF000000"/>
            <rFont val="Arial"/>
          </rPr>
          <t>Unlike Add Poison Damage, this one actually can't be applied to Staffs, but it can be applied to 2H Axes and 2H Maces just fine.  Still can't be applied to forks, brooms, and other useless weapons, though.</t>
        </r>
      </text>
    </comment>
    <comment ref="E72" authorId="0" shapeId="0" xr:uid="{00000000-0006-0000-0100-000031000000}">
      <text>
        <r>
          <rPr>
            <sz val="10"/>
            <color rgb="FF000000"/>
            <rFont val="Arial"/>
          </rPr>
          <t>Stacks with bonus Poison damage that the weapon came with.
A weapon can only have one permanent Boost on it at a time.
This also increases the value of the item, so if you've got an Ooze Barrel handy, boost all your weapons before you sell them.
If a weapon has a 20% chance to set Poisoned, it will be changed to a 10% chance.</t>
        </r>
      </text>
    </comment>
    <comment ref="L72" authorId="0" shapeId="0" xr:uid="{00000000-0006-0000-0100-000032000000}">
      <text>
        <r>
          <rPr>
            <sz val="10"/>
            <color rgb="FF000000"/>
            <rFont val="Arial"/>
          </rPr>
          <t>Zaikk's Talon doesn't seem to work for this in Definitive Edition.</t>
        </r>
      </text>
    </comment>
    <comment ref="M72" authorId="0" shapeId="0" xr:uid="{00000000-0006-0000-0100-000033000000}">
      <text>
        <r>
          <rPr>
            <sz val="10"/>
            <color rgb="FF000000"/>
            <rFont val="Arial"/>
          </rPr>
          <t xml:space="preserve">Poison Bottles are consumed.  Ooze Barrels are not.   </t>
        </r>
      </text>
    </comment>
    <comment ref="O72" authorId="0" shapeId="0" xr:uid="{00000000-0006-0000-0100-000034000000}">
      <text>
        <r>
          <rPr>
            <sz val="10"/>
            <color rgb="FF000000"/>
            <rFont val="Arial"/>
          </rPr>
          <t>The editor does not have Staff as one of the listed combination, but it always seems to work for Staffs.  However, sometimes it doesn't work with 2H Axes and 2H Maces (haven't confirmed this in DE).  It works for some, but not all.  Also doesn't work for forks and sheep shears, which are listed as daggers, but it seems to work for every other dagger.</t>
        </r>
      </text>
    </comment>
    <comment ref="E101" authorId="0" shapeId="0" xr:uid="{00000000-0006-0000-0100-000035000000}">
      <text>
        <r>
          <rPr>
            <sz val="10"/>
            <color rgb="FF000000"/>
            <rFont val="Arial"/>
          </rPr>
          <t>This is a downgrade in effect, but an improvement on price.  If you use a beer barrel, you can increase the price of your dinners at 0 cost, but only do this if you intend to sell.</t>
        </r>
      </text>
    </comment>
    <comment ref="A135" authorId="0" shapeId="0" xr:uid="{00000000-0006-0000-0100-000036000000}">
      <text>
        <r>
          <rPr>
            <sz val="10"/>
            <color rgb="FF000000"/>
            <rFont val="Arial"/>
          </rPr>
          <t>If you begin crafting this from your inventory, select the empty canister first, otherwise you might accidentally eat the intestines (why is that even an option?!).</t>
        </r>
      </text>
    </comment>
    <comment ref="O160" authorId="0" shapeId="0" xr:uid="{00000000-0006-0000-0100-000037000000}">
      <text>
        <r>
          <rPr>
            <sz val="10"/>
            <color rgb="FF000000"/>
            <rFont val="Arial"/>
          </rPr>
          <t>Any size will do.</t>
        </r>
      </text>
    </comment>
    <comment ref="A161" authorId="0" shapeId="0" xr:uid="{00000000-0006-0000-0100-000038000000}">
      <text>
        <r>
          <rPr>
            <sz val="10"/>
            <color rgb="FF000000"/>
            <rFont val="Arial"/>
          </rPr>
          <t>This recipe doesn't seem to work in DE.</t>
        </r>
      </text>
    </comment>
    <comment ref="C367" authorId="0" shapeId="0" xr:uid="{00000000-0006-0000-0100-000039000000}">
      <text>
        <r>
          <rPr>
            <sz val="10"/>
            <color rgb="FF000000"/>
            <rFont val="Arial"/>
          </rPr>
          <t>Yes, 0.</t>
        </r>
      </text>
    </comment>
    <comment ref="A423" authorId="0" shapeId="0" xr:uid="{00000000-0006-0000-0100-00003A000000}">
      <text>
        <r>
          <rPr>
            <sz val="10"/>
            <color rgb="FF000000"/>
            <rFont val="Arial"/>
          </rPr>
          <t>As far as I can tell, you cannot craft this from the Recipes tab.  If you try to, you'll just lose your ingredients.</t>
        </r>
      </text>
    </comment>
    <comment ref="E452" authorId="0" shapeId="0" xr:uid="{00000000-0006-0000-0100-00003B000000}">
      <text>
        <r>
          <rPr>
            <sz val="10"/>
            <color rgb="FF000000"/>
            <rFont val="Arial"/>
          </rPr>
          <t>It's not consumed when used, it just turns back into an Ashen Idol of Rebirth.
Will not trigger if Comeback Kid can save you instead.
If you're doing a one-man run, it kinda resets combat when you die.  Enemies gain a little of their vitality and armor back, and the turn order resets.
Since dying still counts as dying  even if this resurrects you, you will still lose the Blood Rose buff, and you'll still trigger the Unstable talent.</t>
        </r>
      </text>
    </comment>
    <comment ref="E470" authorId="0" shapeId="0" xr:uid="{00000000-0006-0000-0100-00003C000000}">
      <text>
        <r>
          <rPr>
            <sz val="10"/>
            <color rgb="FF000000"/>
            <rFont val="Arial"/>
          </rPr>
          <t xml:space="preserve">Right under "Set Poisoned for 5 turn(s)." it says "Duration 6 turn(s)". </t>
        </r>
      </text>
    </comment>
    <comment ref="M479" authorId="0" shapeId="0" xr:uid="{00000000-0006-0000-0100-00003D000000}">
      <text>
        <r>
          <rPr>
            <sz val="10"/>
            <color rgb="FF000000"/>
            <rFont val="Arial"/>
          </rPr>
          <t>Can someone look up what this is in the editor for me?</t>
        </r>
      </text>
    </comment>
    <comment ref="P479" authorId="0" shapeId="0" xr:uid="{00000000-0006-0000-0100-00003E000000}">
      <text>
        <r>
          <rPr>
            <sz val="10"/>
            <color rgb="FF000000"/>
            <rFont val="Arial"/>
          </rPr>
          <t>Can someone look up what this is in the editor for me?</t>
        </r>
      </text>
    </comment>
    <comment ref="E498" authorId="0" shapeId="0" xr:uid="{00000000-0006-0000-0100-00003F000000}">
      <text>
        <r>
          <rPr>
            <sz val="10"/>
            <color rgb="FF000000"/>
            <rFont val="Arial"/>
          </rPr>
          <t>Adds above your current maximum.  Armor above your maximum lasts 5 turns.</t>
        </r>
      </text>
    </comment>
    <comment ref="E499" authorId="0" shapeId="0" xr:uid="{00000000-0006-0000-0100-000040000000}">
      <text>
        <r>
          <rPr>
            <sz val="10"/>
            <color rgb="FF000000"/>
            <rFont val="Arial"/>
          </rPr>
          <t>Adds above your current maximum.  Armor above your maximum lasts 5 turns.</t>
        </r>
      </text>
    </comment>
    <comment ref="E500" authorId="0" shapeId="0" xr:uid="{00000000-0006-0000-0100-000041000000}">
      <text>
        <r>
          <rPr>
            <sz val="10"/>
            <color rgb="FF000000"/>
            <rFont val="Arial"/>
          </rPr>
          <t>Adds above your current maximum.  Armor above your maximum lasts 5 turns.</t>
        </r>
      </text>
    </comment>
    <comment ref="E501" authorId="0" shapeId="0" xr:uid="{00000000-0006-0000-0100-000042000000}">
      <text>
        <r>
          <rPr>
            <sz val="10"/>
            <color rgb="FF000000"/>
            <rFont val="Arial"/>
          </rPr>
          <t>Adds above your current maximum.  Armor above your maximum lasts 5 turns.</t>
        </r>
      </text>
    </comment>
    <comment ref="O501" authorId="0" shapeId="0" xr:uid="{00000000-0006-0000-0100-000043000000}">
      <text>
        <r>
          <rPr>
            <sz val="10"/>
            <color rgb="FF000000"/>
            <rFont val="Arial"/>
          </rPr>
          <t>HQ or higher.</t>
        </r>
      </text>
    </comment>
    <comment ref="E512" authorId="0" shapeId="0" xr:uid="{00000000-0006-0000-0100-000044000000}">
      <text>
        <r>
          <rPr>
            <sz val="10"/>
            <color rgb="FF000000"/>
            <rFont val="Arial"/>
          </rPr>
          <t>Adds above your current maximum.  Armor above your maximum lasts 5 turns.</t>
        </r>
      </text>
    </comment>
    <comment ref="E513" authorId="0" shapeId="0" xr:uid="{00000000-0006-0000-0100-000045000000}">
      <text>
        <r>
          <rPr>
            <sz val="10"/>
            <color rgb="FF000000"/>
            <rFont val="Arial"/>
          </rPr>
          <t>Adds above your current maximum.  Armor above your maximum lasts 5 turns.</t>
        </r>
      </text>
    </comment>
    <comment ref="E514" authorId="0" shapeId="0" xr:uid="{00000000-0006-0000-0100-000046000000}">
      <text>
        <r>
          <rPr>
            <sz val="10"/>
            <color rgb="FF000000"/>
            <rFont val="Arial"/>
          </rPr>
          <t>Adds above your current maximum.  Armor above your maximum lasts 5 turns.</t>
        </r>
      </text>
    </comment>
    <comment ref="E515" authorId="0" shapeId="0" xr:uid="{00000000-0006-0000-0100-000047000000}">
      <text>
        <r>
          <rPr>
            <sz val="10"/>
            <color rgb="FF000000"/>
            <rFont val="Arial"/>
          </rPr>
          <t>Adds above your current maximum.  Armor above your maximum lasts 5 turns.</t>
        </r>
      </text>
    </comment>
    <comment ref="E516" authorId="0" shapeId="0" xr:uid="{00000000-0006-0000-0100-000048000000}">
      <text>
        <r>
          <rPr>
            <sz val="10"/>
            <color rgb="FF000000"/>
            <rFont val="Arial"/>
          </rPr>
          <t>Adds above your current maximum.  Armor above your maximum lasts 5 turns.</t>
        </r>
      </text>
    </comment>
    <comment ref="E517" authorId="0" shapeId="0" xr:uid="{00000000-0006-0000-0100-000049000000}">
      <text>
        <r>
          <rPr>
            <sz val="10"/>
            <color rgb="FF000000"/>
            <rFont val="Arial"/>
          </rPr>
          <t>Adds above your current maximum.  Armor above your maximum lasts 5 turns.</t>
        </r>
      </text>
    </comment>
    <comment ref="E528" authorId="0" shapeId="0" xr:uid="{00000000-0006-0000-0100-00004A000000}">
      <text>
        <r>
          <rPr>
            <sz val="10"/>
            <color rgb="FF000000"/>
            <rFont val="Arial"/>
          </rPr>
          <t>Adds above your current maximum.  Armor above your maximum lasts 5 turns.</t>
        </r>
      </text>
    </comment>
    <comment ref="E533" authorId="0" shapeId="0" xr:uid="{00000000-0006-0000-0100-00004B000000}">
      <text>
        <r>
          <rPr>
            <sz val="10"/>
            <color rgb="FF000000"/>
            <rFont val="Arial"/>
          </rPr>
          <t>Adds above your current maximum.  Armor above your maximum lasts 5 turns.</t>
        </r>
      </text>
    </comment>
    <comment ref="E534" authorId="0" shapeId="0" xr:uid="{00000000-0006-0000-0100-00004C000000}">
      <text>
        <r>
          <rPr>
            <sz val="10"/>
            <color rgb="FF000000"/>
            <rFont val="Arial"/>
          </rPr>
          <t>Adds armor above your current maximum.</t>
        </r>
      </text>
    </comment>
    <comment ref="A536" authorId="0" shapeId="0" xr:uid="{00000000-0006-0000-0100-00004D000000}">
      <text>
        <r>
          <rPr>
            <sz val="10"/>
            <color rgb="FF000000"/>
            <rFont val="Arial"/>
          </rPr>
          <t>16 Minor Healing Potions to make this.</t>
        </r>
      </text>
    </comment>
    <comment ref="A537" authorId="0" shapeId="0" xr:uid="{00000000-0006-0000-0100-00004E000000}">
      <text>
        <r>
          <rPr>
            <sz val="10"/>
            <color rgb="FF000000"/>
            <rFont val="Arial"/>
          </rPr>
          <t>16 Minor Healing Potions to make this.</t>
        </r>
      </text>
    </comment>
    <comment ref="A548" authorId="0" shapeId="0" xr:uid="{00000000-0006-0000-0100-00004F000000}">
      <text>
        <r>
          <rPr>
            <sz val="10"/>
            <color rgb="FF000000"/>
            <rFont val="Arial"/>
          </rPr>
          <t>You can buy these for 150 gold from Effie, by the pipe.</t>
        </r>
      </text>
    </comment>
    <comment ref="A549" authorId="0" shapeId="0" xr:uid="{00000000-0006-0000-0100-000050000000}">
      <text>
        <r>
          <rPr>
            <sz val="10"/>
            <color rgb="FF000000"/>
            <rFont val="Arial"/>
          </rPr>
          <t>There is no "potent" version of this herbmix.
You can buy these for 150 gold from Effie, by the pipe.</t>
        </r>
      </text>
    </comment>
    <comment ref="A550" authorId="0" shapeId="0" xr:uid="{00000000-0006-0000-0100-000051000000}">
      <text>
        <r>
          <rPr>
            <sz val="10"/>
            <color rgb="FF000000"/>
            <rFont val="Arial"/>
          </rPr>
          <t>You can buy these for 150 gold from Effie, by the pipe.</t>
        </r>
      </text>
    </comment>
    <comment ref="A551" authorId="0" shapeId="0" xr:uid="{00000000-0006-0000-0100-000052000000}">
      <text>
        <r>
          <rPr>
            <sz val="10"/>
            <color rgb="FF000000"/>
            <rFont val="Arial"/>
          </rPr>
          <t>You can buy these for 150 gold from Effie, by the pipe.</t>
        </r>
      </text>
    </comment>
    <comment ref="E555" authorId="0" shapeId="0" xr:uid="{00000000-0006-0000-0100-000053000000}">
      <text>
        <r>
          <rPr>
            <sz val="10"/>
            <color rgb="FF000000"/>
            <rFont val="Arial"/>
          </rPr>
          <t>Currently, Poison Bottles do half the effect they claim.  I reported this as a bug before Definitive Edition was a thing, but it's still a thing in Definitive Edition.</t>
        </r>
      </text>
    </comment>
    <comment ref="E556" authorId="0" shapeId="0" xr:uid="{00000000-0006-0000-0100-000054000000}">
      <text>
        <r>
          <rPr>
            <sz val="10"/>
            <color rgb="FF000000"/>
            <rFont val="Arial"/>
          </rPr>
          <t>Currently, Poison Bottles do half the effect they claim.  I reported this as a bug.</t>
        </r>
      </text>
    </comment>
    <comment ref="E557" authorId="0" shapeId="0" xr:uid="{00000000-0006-0000-0100-000055000000}">
      <text>
        <r>
          <rPr>
            <sz val="10"/>
            <color rgb="FF000000"/>
            <rFont val="Arial"/>
          </rPr>
          <t>Currently, Poison Bottles do half the effect they claim.  I reported this as a bug.</t>
        </r>
      </text>
    </comment>
    <comment ref="E558" authorId="0" shapeId="0" xr:uid="{00000000-0006-0000-0100-000056000000}">
      <text>
        <r>
          <rPr>
            <sz val="10"/>
            <color rgb="FF000000"/>
            <rFont val="Arial"/>
          </rPr>
          <t>Currently, Poison Bottles do half the effect they claim.  I reported this as a bug.</t>
        </r>
      </text>
    </comment>
    <comment ref="E559" authorId="0" shapeId="0" xr:uid="{00000000-0006-0000-0100-000057000000}">
      <text>
        <r>
          <rPr>
            <sz val="10"/>
            <color rgb="FF000000"/>
            <rFont val="Arial"/>
          </rPr>
          <t>Currently, Poison Bottles do half the effect they claim.  I reported this as a bug.</t>
        </r>
      </text>
    </comment>
    <comment ref="E560" authorId="0" shapeId="0" xr:uid="{00000000-0006-0000-0100-000058000000}">
      <text>
        <r>
          <rPr>
            <sz val="10"/>
            <color rgb="FF000000"/>
            <rFont val="Arial"/>
          </rPr>
          <t>Currently, Poison Bottles do half the effect they claim.  I reported this as a bug.</t>
        </r>
      </text>
    </comment>
    <comment ref="E561" authorId="0" shapeId="0" xr:uid="{00000000-0006-0000-0100-000059000000}">
      <text>
        <r>
          <rPr>
            <sz val="10"/>
            <color rgb="FF000000"/>
            <rFont val="Arial"/>
          </rPr>
          <t>Currently, Poison Bottles do half the effect they claim.  I reported this as a bug.</t>
        </r>
      </text>
    </comment>
    <comment ref="E563" authorId="0" shapeId="0" xr:uid="{00000000-0006-0000-0100-00005A000000}">
      <text>
        <r>
          <rPr>
            <sz val="10"/>
            <color rgb="FF000000"/>
            <rFont val="Arial"/>
          </rPr>
          <t>Currently, Poison Bottles do half the effect they claim.  I reported this as a bug.</t>
        </r>
      </text>
    </comment>
    <comment ref="E564" authorId="0" shapeId="0" xr:uid="{00000000-0006-0000-0100-00005B000000}">
      <text>
        <r>
          <rPr>
            <sz val="10"/>
            <color rgb="FF000000"/>
            <rFont val="Arial"/>
          </rPr>
          <t>Currently, Poison Bottles do half the effect they claim.  I reported this as a bug.</t>
        </r>
      </text>
    </comment>
    <comment ref="E565" authorId="0" shapeId="0" xr:uid="{00000000-0006-0000-0100-00005C000000}">
      <text>
        <r>
          <rPr>
            <sz val="10"/>
            <color rgb="FF000000"/>
            <rFont val="Arial"/>
          </rPr>
          <t>Currently, Poison Bottles do half the effect they claim.  I reported this as a bug.</t>
        </r>
      </text>
    </comment>
    <comment ref="E566" authorId="0" shapeId="0" xr:uid="{00000000-0006-0000-0100-00005D000000}">
      <text>
        <r>
          <rPr>
            <sz val="10"/>
            <color rgb="FF000000"/>
            <rFont val="Arial"/>
          </rPr>
          <t>Currently, Poison Bottles do half the effect they claim.  I reported this as a bug.</t>
        </r>
      </text>
    </comment>
    <comment ref="E567" authorId="0" shapeId="0" xr:uid="{00000000-0006-0000-0100-00005E000000}">
      <text>
        <r>
          <rPr>
            <sz val="10"/>
            <color rgb="FF000000"/>
            <rFont val="Arial"/>
          </rPr>
          <t>Currently, Poison Bottles do half the effect they claim.  I reported this as a bug.</t>
        </r>
      </text>
    </comment>
    <comment ref="E568" authorId="0" shapeId="0" xr:uid="{00000000-0006-0000-0100-00005F000000}">
      <text>
        <r>
          <rPr>
            <sz val="10"/>
            <color rgb="FF000000"/>
            <rFont val="Arial"/>
          </rPr>
          <t>Currently, Poison Bottles do half the effect they claim.  I reported this as a bug.</t>
        </r>
      </text>
    </comment>
    <comment ref="E569" authorId="0" shapeId="0" xr:uid="{00000000-0006-0000-0100-000060000000}">
      <text>
        <r>
          <rPr>
            <sz val="10"/>
            <color rgb="FF000000"/>
            <rFont val="Arial"/>
          </rPr>
          <t>Currently, Poison Bottles do half the effect they claim.  I reported this as a bug.</t>
        </r>
      </text>
    </comment>
    <comment ref="E570" authorId="0" shapeId="0" xr:uid="{00000000-0006-0000-0100-000061000000}">
      <text>
        <r>
          <rPr>
            <sz val="10"/>
            <color rgb="FF000000"/>
            <rFont val="Arial"/>
          </rPr>
          <t>Currently, Poison Bottles do half the effect they claim.  I reported this as a bug.</t>
        </r>
      </text>
    </comment>
    <comment ref="E571" authorId="0" shapeId="0" xr:uid="{00000000-0006-0000-0100-000062000000}">
      <text>
        <r>
          <rPr>
            <sz val="10"/>
            <color rgb="FF000000"/>
            <rFont val="Arial"/>
          </rPr>
          <t>Currently, Poison Bottles do half the effect they claim.  I reported this as a bug.</t>
        </r>
      </text>
    </comment>
    <comment ref="E572" authorId="0" shapeId="0" xr:uid="{00000000-0006-0000-0100-000063000000}">
      <text>
        <r>
          <rPr>
            <sz val="10"/>
            <color rgb="FF000000"/>
            <rFont val="Arial"/>
          </rPr>
          <t>Currently, Poison Bottles do half the effect they claim.  I reported this as a bug.</t>
        </r>
      </text>
    </comment>
    <comment ref="E573" authorId="0" shapeId="0" xr:uid="{00000000-0006-0000-0100-000064000000}">
      <text>
        <r>
          <rPr>
            <sz val="10"/>
            <color rgb="FF000000"/>
            <rFont val="Arial"/>
          </rPr>
          <t>Currently, Poison Bottles do half the effect they claim.  I reported this as a bug.</t>
        </r>
      </text>
    </comment>
    <comment ref="E574" authorId="0" shapeId="0" xr:uid="{00000000-0006-0000-0100-000065000000}">
      <text>
        <r>
          <rPr>
            <sz val="10"/>
            <color rgb="FF000000"/>
            <rFont val="Arial"/>
          </rPr>
          <t>Currently, Poison Bottles do half the effect they claim.  I reported this as a bug.</t>
        </r>
      </text>
    </comment>
    <comment ref="E575" authorId="0" shapeId="0" xr:uid="{00000000-0006-0000-0100-000066000000}">
      <text>
        <r>
          <rPr>
            <sz val="10"/>
            <color rgb="FF000000"/>
            <rFont val="Arial"/>
          </rPr>
          <t>Currently, Poison Bottles do half the effect they claim.  I reported this as a bug.</t>
        </r>
      </text>
    </comment>
    <comment ref="E576" authorId="0" shapeId="0" xr:uid="{00000000-0006-0000-0100-000067000000}">
      <text>
        <r>
          <rPr>
            <sz val="10"/>
            <color rgb="FF000000"/>
            <rFont val="Arial"/>
          </rPr>
          <t>Currently, Poison Bottles do half the effect they claim.  I reported this as a bug.</t>
        </r>
      </text>
    </comment>
    <comment ref="A577" authorId="0" shapeId="0" xr:uid="{00000000-0006-0000-0100-000068000000}">
      <text>
        <r>
          <rPr>
            <sz val="10"/>
            <color rgb="FF000000"/>
            <rFont val="Arial"/>
          </rPr>
          <t>It doesn't actually make an item, it just immediately applies the drudanae buff.</t>
        </r>
      </text>
    </comment>
    <comment ref="E577" authorId="0" shapeId="0" xr:uid="{00000000-0006-0000-0100-000069000000}">
      <text>
        <r>
          <rPr>
            <sz val="10"/>
            <color rgb="FF000000"/>
            <rFont val="Arial"/>
          </rPr>
          <t>Same as just eating it.
I think smoking it this way was part of a quest I already did, so now it just does this.</t>
        </r>
      </text>
    </comment>
    <comment ref="C578" authorId="0" shapeId="0" xr:uid="{00000000-0006-0000-0100-00006A000000}">
      <text>
        <r>
          <rPr>
            <sz val="10"/>
            <color rgb="FF000000"/>
            <rFont val="Arial"/>
          </rPr>
          <t>I got it at level 30 (cheating) and it was level 16, so I'm thinking it's always level 16.</t>
        </r>
      </text>
    </comment>
    <comment ref="I578" authorId="0" shapeId="0" xr:uid="{00000000-0006-0000-0100-00006B000000}">
      <text>
        <r>
          <rPr>
            <sz val="10"/>
            <color rgb="FF000000"/>
            <rFont val="Arial"/>
          </rPr>
          <t>Weapon?  Quest item?  I haven't gotten that far yet.
Edit:  OK, so definitely quest item.  I still don't have one, yet, though.</t>
        </r>
      </text>
    </comment>
    <comment ref="H579" authorId="0" shapeId="0" xr:uid="{00000000-0006-0000-0100-00006C000000}">
      <text>
        <r>
          <rPr>
            <sz val="10"/>
            <color rgb="FF000000"/>
            <rFont val="Arial"/>
          </rPr>
          <t>The editor had this as "Potion", but I changed it to Quest to match its brothers.</t>
        </r>
      </text>
    </comment>
    <comment ref="L579" authorId="0" shapeId="0" xr:uid="{00000000-0006-0000-0100-00006D000000}">
      <text>
        <r>
          <rPr>
            <sz val="10"/>
            <color rgb="FF000000"/>
            <rFont val="Arial"/>
          </rPr>
          <t>World Object</t>
        </r>
      </text>
    </comment>
    <comment ref="L580" authorId="0" shapeId="0" xr:uid="{00000000-0006-0000-0100-00006E000000}">
      <text>
        <r>
          <rPr>
            <sz val="10"/>
            <color rgb="FF000000"/>
            <rFont val="Arial"/>
          </rPr>
          <t>World Object</t>
        </r>
      </text>
    </comment>
    <comment ref="L581" authorId="0" shapeId="0" xr:uid="{00000000-0006-0000-0100-00006F000000}">
      <text>
        <r>
          <rPr>
            <sz val="10"/>
            <color rgb="FF000000"/>
            <rFont val="Arial"/>
          </rPr>
          <t>World Object</t>
        </r>
      </text>
    </comment>
    <comment ref="E590" authorId="0" shapeId="0" xr:uid="{00000000-0006-0000-0100-000070000000}">
      <text>
        <r>
          <rPr>
            <sz val="10"/>
            <color rgb="FF000000"/>
            <rFont val="Arial"/>
          </rPr>
          <t>Spoiler:
*
*
*
*
*
*
*
*
*
*
*
*
*
If you give the cows both potions at once, you get half the XP.  Give one a potion, then give the other the other potion.</t>
        </r>
      </text>
    </comment>
    <comment ref="O590" authorId="0" shapeId="0" xr:uid="{00000000-0006-0000-0100-000071000000}">
      <text>
        <r>
          <rPr>
            <sz val="10"/>
            <color rgb="FF000000"/>
            <rFont val="Arial"/>
          </rPr>
          <t>Despite the editor listing this as "Boletus [Alt]", a regular Boletus will work just fine.  I haven't checked the editor in DE, so it may have just been a bug in the older version that got fixed.</t>
        </r>
      </text>
    </comment>
    <comment ref="A601" authorId="0" shapeId="0" xr:uid="{00000000-0006-0000-0100-000072000000}">
      <text>
        <r>
          <rPr>
            <sz val="10"/>
            <color rgb="FF000000"/>
            <rFont val="Arial"/>
          </rPr>
          <t>Despite the Transform for Oil being "none", it will transform the oil source.  So, if you use an Oil Barrel, the Oil Barrel will disappear, and the rune will be on the ground where it was.  I've submitted a bug report for this.</t>
        </r>
      </text>
    </comment>
    <comment ref="O601" authorId="0" shapeId="0" xr:uid="{00000000-0006-0000-0100-000073000000}">
      <text>
        <r>
          <rPr>
            <sz val="10"/>
            <color rgb="FF000000"/>
            <rFont val="Arial"/>
          </rPr>
          <t>Despite the transform showing "None", Oil items (including Oil Barrels) are transformed when crafting this.  If you combine an oil barrel outside of your inventory, your rune will appear on the ground instead of in your bag.</t>
        </r>
      </text>
    </comment>
    <comment ref="E669" authorId="0" shapeId="0" xr:uid="{00000000-0006-0000-0100-000074000000}">
      <text>
        <r>
          <rPr>
            <sz val="10"/>
            <color rgb="FF000000"/>
            <rFont val="Arial"/>
          </rPr>
          <t>Weapon Ranges:
Ranged &amp; Wands = 13m
2H Spear = 3m
2H Other Melee = 2m
1H Non-Dagger Melee = 1.5m
1H Dagger = 1m</t>
        </r>
      </text>
    </comment>
    <comment ref="E670" authorId="0" shapeId="0" xr:uid="{00000000-0006-0000-0100-000075000000}">
      <text>
        <r>
          <rPr>
            <sz val="10"/>
            <color rgb="FF000000"/>
            <rFont val="Arial"/>
          </rPr>
          <t>Weapon Ranges:
Ranged &amp; Wands = 13m
2H Spear = 3m
2H Other Melee = 2m
1H Non-Dagger Melee = 1.5m
1H Dagger = 1m</t>
        </r>
      </text>
    </comment>
    <comment ref="A671" authorId="0" shapeId="0" xr:uid="{00000000-0006-0000-0100-000076000000}">
      <text>
        <r>
          <rPr>
            <sz val="10"/>
            <color rgb="FF000000"/>
            <rFont val="Arial"/>
          </rPr>
          <t>Makes the same Crossbow as the Toy Crossbow entry, but is listed in Recipes as just "Crossbow".</t>
        </r>
      </text>
    </comment>
    <comment ref="E671" authorId="0" shapeId="0" xr:uid="{00000000-0006-0000-0100-000077000000}">
      <text>
        <r>
          <rPr>
            <sz val="10"/>
            <color rgb="FF000000"/>
            <rFont val="Arial"/>
          </rPr>
          <t>Weapon Ranges:
Ranged &amp; Wands = 13m
2H Spear = 3m
2H Other Melee = 2m
1H Non-Dagger Melee = 1.5m
1H Dagger = 1m</t>
        </r>
      </text>
    </comment>
    <comment ref="A672" authorId="0" shapeId="0" xr:uid="{00000000-0006-0000-0100-000078000000}">
      <text>
        <r>
          <rPr>
            <sz val="10"/>
            <color rgb="FF000000"/>
            <rFont val="Arial"/>
          </rPr>
          <t>Same stats as Knife on a Stick, but higher base value.</t>
        </r>
      </text>
    </comment>
    <comment ref="E672" authorId="0" shapeId="0" xr:uid="{00000000-0006-0000-0100-000079000000}">
      <text>
        <r>
          <rPr>
            <sz val="10"/>
            <color rgb="FF000000"/>
            <rFont val="Arial"/>
          </rPr>
          <t>Weapon Ranges:
Ranged &amp; Wands = 13m
2H Spear = 3m
2H Other Melee = 2m
1H Non-Dagger Melee = 1.5m
1H Dagger = 1m</t>
        </r>
      </text>
    </comment>
    <comment ref="E673" authorId="0" shapeId="0" xr:uid="{00000000-0006-0000-0100-00007A000000}">
      <text>
        <r>
          <rPr>
            <sz val="10"/>
            <color rgb="FF000000"/>
            <rFont val="Arial"/>
          </rPr>
          <t>Weapon Ranges:
Ranged &amp; Wands = 13m
2H Spear = 3m
2H Other Melee = 2m
1H Non-Dagger Melee = 1.5m
1H Dagger = 1m</t>
        </r>
      </text>
    </comment>
    <comment ref="A674" authorId="0" shapeId="0" xr:uid="{00000000-0006-0000-0100-00007B000000}">
      <text>
        <r>
          <rPr>
            <sz val="10"/>
            <color rgb="FF000000"/>
            <rFont val="Arial"/>
          </rPr>
          <t>Same stats as Handmade Sword, but lower base value.</t>
        </r>
      </text>
    </comment>
    <comment ref="E674" authorId="0" shapeId="0" xr:uid="{00000000-0006-0000-0100-00007C000000}">
      <text>
        <r>
          <rPr>
            <sz val="10"/>
            <color rgb="FF000000"/>
            <rFont val="Arial"/>
          </rPr>
          <t>Weapon Ranges:
Ranged &amp; Wands = 13m
2H Spear = 3m
2H Other Melee = 2m
1H Non-Dagger Melee = 1.5m
1H Dagger = 1m</t>
        </r>
      </text>
    </comment>
    <comment ref="A675" authorId="0" shapeId="0" xr:uid="{00000000-0006-0000-0100-00007D000000}">
      <text>
        <r>
          <rPr>
            <sz val="10"/>
            <color rgb="FF000000"/>
            <rFont val="Arial"/>
          </rPr>
          <t>Same stats as Handmade Sword, but lower base value.</t>
        </r>
      </text>
    </comment>
    <comment ref="E675" authorId="0" shapeId="0" xr:uid="{00000000-0006-0000-0100-00007E000000}">
      <text>
        <r>
          <rPr>
            <sz val="10"/>
            <color rgb="FF000000"/>
            <rFont val="Arial"/>
          </rPr>
          <t>Weapon Ranges:
Ranged &amp; Wands = 13m
2H Spear = 3m
2H Other Melee = 2m
1H Non-Dagger Melee = 1.5m
1H Dagger = 1m</t>
        </r>
      </text>
    </comment>
    <comment ref="E676" authorId="0" shapeId="0" xr:uid="{00000000-0006-0000-0100-00007F000000}">
      <text>
        <r>
          <rPr>
            <sz val="10"/>
            <color rgb="FF000000"/>
            <rFont val="Arial"/>
          </rPr>
          <t>Weapon Ranges:
Ranged &amp; Wands = 13m
2H Spear = 3m
2H Other Melee = 2m
1H Non-Dagger Melee = 1.5m
1H Dagger = 1m</t>
        </r>
      </text>
    </comment>
    <comment ref="E677" authorId="0" shapeId="0" xr:uid="{00000000-0006-0000-0100-000080000000}">
      <text>
        <r>
          <rPr>
            <sz val="10"/>
            <color rgb="FF000000"/>
            <rFont val="Arial"/>
          </rPr>
          <t>Weapon Ranges:
Ranged &amp; Wands = 13m
2H Spear = 3m
2H Other Melee = 2m
1H Non-Dagger Melee = 1.5m
1H Dagger = 1m</t>
        </r>
      </text>
    </comment>
    <comment ref="E678" authorId="0" shapeId="0" xr:uid="{00000000-0006-0000-0100-000081000000}">
      <text>
        <r>
          <rPr>
            <sz val="10"/>
            <color rgb="FF000000"/>
            <rFont val="Arial"/>
          </rPr>
          <t>Weapon Ranges:
Ranged &amp; Wands = 13m
2H Spear = 3m
2H Other Melee = 2m
1H Non-Dagger Melee = 1.5m
1H Dagger = 1m</t>
        </r>
      </text>
    </comment>
    <comment ref="E679" authorId="0" shapeId="0" xr:uid="{00000000-0006-0000-0100-000082000000}">
      <text>
        <r>
          <rPr>
            <sz val="10"/>
            <color rgb="FF000000"/>
            <rFont val="Arial"/>
          </rPr>
          <t>Weapon Ranges:
Ranged &amp; Wands = 13m
2H Spear = 3m
2H Other Melee = 2m
1H Non-Dagger Melee = 1.5m
1H Dagger = 1m</t>
        </r>
      </text>
    </comment>
    <comment ref="E680" authorId="0" shapeId="0" xr:uid="{00000000-0006-0000-0100-000083000000}">
      <text>
        <r>
          <rPr>
            <sz val="10"/>
            <color rgb="FF000000"/>
            <rFont val="Arial"/>
          </rPr>
          <t>Weapon Ranges:
Ranged &amp; Wands = 13m
2H Spear = 3m
2H Other Melee = 2m
1H Non-Dagger Melee = 1.5m
1H Dagger = 1m</t>
        </r>
      </text>
    </comment>
    <comment ref="E681" authorId="0" shapeId="0" xr:uid="{00000000-0006-0000-0100-000084000000}">
      <text>
        <r>
          <rPr>
            <sz val="10"/>
            <color rgb="FF000000"/>
            <rFont val="Arial"/>
          </rPr>
          <t>Weapon Ranges:
Ranged &amp; Wands = 13m
2H Spear = 3m
2H Other Melee = 2m
1H Non-Dagger Melee = 1.5m
1H Dagger = 1m</t>
        </r>
      </text>
    </comment>
    <comment ref="E682" authorId="0" shapeId="0" xr:uid="{00000000-0006-0000-0100-000085000000}">
      <text>
        <r>
          <rPr>
            <sz val="10"/>
            <color rgb="FF000000"/>
            <rFont val="Arial"/>
          </rPr>
          <t>Weapon Ranges:
Ranged &amp; Wands = 13m
2H Spear = 3m
2H Other Melee = 2m
1H Non-Dagger Melee = 1.5m
1H Dagger = 1m</t>
        </r>
      </text>
    </comment>
    <comment ref="A683" authorId="0" shapeId="0" xr:uid="{00000000-0006-0000-0100-000086000000}">
      <text>
        <r>
          <rPr>
            <sz val="10"/>
            <color rgb="FF000000"/>
            <rFont val="Arial"/>
          </rPr>
          <t>Instead of using this recipe, you can use a knife on the sharp piece of metal to get two arrowheads and combine one of those with the long branch.</t>
        </r>
      </text>
    </comment>
    <comment ref="E683" authorId="0" shapeId="0" xr:uid="{00000000-0006-0000-0100-000087000000}">
      <text>
        <r>
          <rPr>
            <sz val="10"/>
            <color rgb="FF000000"/>
            <rFont val="Arial"/>
          </rPr>
          <t>Weapon Ranges:
Ranged &amp; Wands = 13m
2H Spear = 3m
2H Other Melee = 2m
1H Non-Dagger Melee = 1.5m
1H Dagger = 1m</t>
        </r>
      </text>
    </comment>
    <comment ref="E684" authorId="0" shapeId="0" xr:uid="{00000000-0006-0000-0100-000088000000}">
      <text>
        <r>
          <rPr>
            <sz val="10"/>
            <color rgb="FF000000"/>
            <rFont val="Arial"/>
          </rPr>
          <t>Weapon Ranges:
Ranged &amp; Wands = 13m
2H Spear = 3m
2H Other Melee = 2m
1H Non-Dagger Melee = 1.5m
1H Dagger = 1m</t>
        </r>
      </text>
    </comment>
    <comment ref="E685" authorId="0" shapeId="0" xr:uid="{00000000-0006-0000-0100-000089000000}">
      <text>
        <r>
          <rPr>
            <sz val="10"/>
            <color rgb="FF000000"/>
            <rFont val="Arial"/>
          </rPr>
          <t>Weapon Ranges:
Ranged &amp; Wands = 13m
2H Spear = 3m
2H Other Melee = 2m
1H Non-Dagger Melee = 1.5m
1H Dagger = 1m</t>
        </r>
      </text>
    </comment>
    <comment ref="E686" authorId="0" shapeId="0" xr:uid="{00000000-0006-0000-0100-00008A000000}">
      <text>
        <r>
          <rPr>
            <sz val="10"/>
            <color rgb="FF000000"/>
            <rFont val="Arial"/>
          </rPr>
          <t>Weapon Ranges:
Ranged &amp; Wands = 13m
2H Spear = 3m
2H Other Melee = 2m
1H Non-Dagger Melee = 1.5m
1H Dagger = 1m</t>
        </r>
      </text>
    </comment>
    <comment ref="E687" authorId="0" shapeId="0" xr:uid="{00000000-0006-0000-0100-00008B000000}">
      <text>
        <r>
          <rPr>
            <sz val="10"/>
            <color rgb="FF000000"/>
            <rFont val="Arial"/>
          </rPr>
          <t>Weapon Ranges:
Ranged &amp; Wands = 13m
2H Spear = 3m
2H Other Melee = 2m
1H Non-Dagger Melee = 1.5m
1H Dagger = 1m</t>
        </r>
      </text>
    </comment>
    <comment ref="E688" authorId="0" shapeId="0" xr:uid="{00000000-0006-0000-0100-00008C000000}">
      <text>
        <r>
          <rPr>
            <sz val="10"/>
            <color rgb="FF000000"/>
            <rFont val="Arial"/>
          </rPr>
          <t>Weapon Ranges:
Ranged &amp; Wands = 13m
2H Spear = 3m
2H Other Melee = 2m
1H Non-Dagger Melee = 1.5m
1H Dagger = 1m</t>
        </r>
      </text>
    </comment>
    <comment ref="E689" authorId="0" shapeId="0" xr:uid="{00000000-0006-0000-0100-00008D000000}">
      <text>
        <r>
          <rPr>
            <sz val="10"/>
            <color rgb="FF000000"/>
            <rFont val="Arial"/>
          </rPr>
          <t>Weapon Ranges:
Ranged &amp; Wands = 13m
2H Spear = 3m
2H Other Melee = 2m
1H Non-Dagger Melee = 1.5m
1H Dagger = 1m</t>
        </r>
      </text>
    </comment>
    <comment ref="A690" authorId="0" shapeId="0" xr:uid="{00000000-0006-0000-0100-00008E000000}">
      <text>
        <r>
          <rPr>
            <sz val="10"/>
            <color rgb="FF000000"/>
            <rFont val="Arial"/>
          </rPr>
          <t>Makes the exact same crossbow as the Crossbow entry, it's just listed separately for some reason.</t>
        </r>
      </text>
    </comment>
    <comment ref="E690" authorId="0" shapeId="0" xr:uid="{00000000-0006-0000-0100-00008F000000}">
      <text>
        <r>
          <rPr>
            <sz val="10"/>
            <color rgb="FF000000"/>
            <rFont val="Arial"/>
          </rPr>
          <t>Weapon Ranges:
Ranged &amp; Wands = 13m
2H Spear = 3m
2H Other Melee = 2m
1H Non-Dagger Melee = 1.5m
1H Dagger = 1m</t>
        </r>
      </text>
    </comment>
    <comment ref="E691" authorId="0" shapeId="0" xr:uid="{00000000-0006-0000-0100-000090000000}">
      <text>
        <r>
          <rPr>
            <sz val="10"/>
            <color rgb="FF000000"/>
            <rFont val="Arial"/>
          </rPr>
          <t>Weapon Ranges:
Ranged &amp; Wands = 13m
2H Spear = 3m
2H Other Melee = 2m
1H Non-Dagger Melee = 1.5m
1H Dagger = 1m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200-000001000000}">
      <text>
        <r>
          <rPr>
            <sz val="10"/>
            <color rgb="FF000000"/>
            <rFont val="Arial"/>
          </rPr>
          <t>Numbers in brackets are the base value of the named item minus the base value of its ingredients.  This lets you know  which item will give you the highest return if you're just crafting items to sell.
The numbers are about 98% accurate.  There's a few items I don't have values for yet, but also, because it pulls the numbers automatically, sometimes it pulls them from the wrong recipe if there's more than one recipe for crafting the item.
"Profit" is not the actual gold amount you would get, since the amount of gold an NPC gives you for an item is a fraction of the base value.
Items without brackets are either not salable items, or do not yet have a determined profit value.
[V] means the value scales to level.  Check the V tab for values.  Except when you're starting out, these are usually the best profits you can get.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300-000001000000}">
      <text>
        <r>
          <rPr>
            <sz val="10"/>
            <color rgb="FF000000"/>
            <rFont val="Arial"/>
          </rPr>
          <t>Red highlight means I don't have a base value for it yet.
If it's not listed here, you can't make anything with it.  Not all items with a "Combine With" option can actually be combined with anything.  Some items aren't specifically listed here because their category is listed here (e.g. [Meat]) which should be in be listed here in brackets, and near the top.</t>
        </r>
      </text>
    </comment>
    <comment ref="B1" authorId="0" shapeId="0" xr:uid="{00000000-0006-0000-0300-000002000000}">
      <text>
        <r>
          <rPr>
            <sz val="10"/>
            <color rgb="FF000000"/>
            <rFont val="Arial"/>
          </rPr>
          <t>A dash either means that the value varies, or it's not an item you can buy or sell.
Items with a value of 0 are listed as 1 if they can be sold for 1 gold.
Comment on a cell in this column if you know the value.</t>
        </r>
      </text>
    </comment>
    <comment ref="C1" authorId="0" shapeId="0" xr:uid="{00000000-0006-0000-0300-000003000000}">
      <text>
        <r>
          <rPr>
            <sz val="10"/>
            <color rgb="FF000000"/>
            <rFont val="Arial"/>
          </rPr>
          <t>Ingredient Category.  These are determined separately from those on the Recipes tab since this tab provides different information.  I mostly just wanted to filter out scrolls.
Edible items may be listed as Mats if they're more useful for making non-food items.</t>
        </r>
      </text>
    </comment>
    <comment ref="D1" authorId="0" shapeId="0" xr:uid="{00000000-0006-0000-0300-000004000000}">
      <text>
        <r>
          <rPr>
            <sz val="10"/>
            <color rgb="FF000000"/>
            <rFont val="Arial"/>
          </rPr>
          <t>Many things say "Sell to vendor", but by mid-Act 2, you'll probably have a shitload of money, so you may as well craft and use grenades and scrolls to your heart's content.  By the end of Act 2, you'll have more money than you can spend.
Source Scrolls are scrolls for skills that would normally cost Source Points to use, but don't cost any when you're using the scrolls.
Grayed out boxes are for scrolls.  You can see what they do on the Skills tab.</t>
        </r>
      </text>
    </comment>
    <comment ref="D4" authorId="0" shapeId="0" xr:uid="{00000000-0006-0000-0300-000005000000}">
      <text>
        <r>
          <rPr>
            <sz val="10"/>
            <color rgb="FF000000"/>
            <rFont val="Arial"/>
          </rPr>
          <t>Honey = Charming Arrowhead.  This is the most profitable, and you get to keep the empty honey jar after combining.
Ooze Barrel = Poison Arrowhead
Oil Barrel = Slowdown Arrowhead
Water Barrel = Water Arrowhead</t>
        </r>
      </text>
    </comment>
    <comment ref="D58" authorId="0" shapeId="0" xr:uid="{00000000-0006-0000-0300-000006000000}">
      <text>
        <r>
          <rPr>
            <sz val="10"/>
            <color rgb="FF000000"/>
            <rFont val="Arial"/>
          </rPr>
          <t>I apologize for the pun.</t>
        </r>
      </text>
    </comment>
    <comment ref="B90" authorId="0" shapeId="0" xr:uid="{00000000-0006-0000-0300-000007000000}">
      <text>
        <r>
          <rPr>
            <sz val="10"/>
            <color rgb="FF000000"/>
            <rFont val="Arial"/>
          </rPr>
          <t>I'm not sure if I tried gold cutlery for these recipes.  Gold cutlery has a lower base value.</t>
        </r>
      </text>
    </comment>
    <comment ref="B91" authorId="0" shapeId="0" xr:uid="{00000000-0006-0000-0300-000008000000}">
      <text>
        <r>
          <rPr>
            <sz val="10"/>
            <color rgb="FF000000"/>
            <rFont val="Arial"/>
          </rPr>
          <t>Using base value of Sharp Piece of Metal since that can be used for it.</t>
        </r>
      </text>
    </comment>
    <comment ref="D91" authorId="0" shapeId="0" xr:uid="{00000000-0006-0000-0300-000009000000}">
      <text>
        <r>
          <rPr>
            <sz val="10"/>
            <color rgb="FF000000"/>
            <rFont val="Arial"/>
          </rPr>
          <t>Things I've tried that didn't work:  
Empty Cannister
Empty Grenade
Fork
Keys
Kitchen Pot
Metal equipment (all slots)
Metal-looking Plate
Nails
Needle
Quest items
Repair Hammer
Shovel
Silver/Gold objects
Tongs</t>
        </r>
      </text>
    </comment>
    <comment ref="D102" authorId="0" shapeId="0" xr:uid="{00000000-0006-0000-0300-00000A000000}">
      <text>
        <r>
          <rPr>
            <sz val="10"/>
            <color rgb="FF000000"/>
            <rFont val="Arial"/>
          </rPr>
          <t>If Comeback Kid can trigger, it will do that instead of use the idol.  If you then die again, the idol will bring you back, and then if you die a third time (same combat), Comeback Kid will trigger again.  If you die a 4th time, though, someone else has to res you.</t>
        </r>
      </text>
    </comment>
    <comment ref="A138" authorId="0" shapeId="0" xr:uid="{00000000-0006-0000-0300-00000B000000}">
      <text>
        <r>
          <rPr>
            <sz val="10"/>
            <color rgb="FF000000"/>
            <rFont val="Arial"/>
          </rPr>
          <t>It's C because that's how it's listed in the editor.  There is a B, but it's not used for any recipes.</t>
        </r>
      </text>
    </comment>
    <comment ref="D145" authorId="0" shapeId="0" xr:uid="{00000000-0006-0000-0300-00000C000000}">
      <text>
        <r>
          <rPr>
            <sz val="10"/>
            <color rgb="FF000000"/>
            <rFont val="Arial"/>
          </rPr>
          <t>Don't buy essences for this.</t>
        </r>
      </text>
    </comment>
    <comment ref="A185" authorId="0" shapeId="0" xr:uid="{00000000-0006-0000-0300-00000D000000}">
      <text>
        <r>
          <rPr>
            <sz val="10"/>
            <color rgb="FF000000"/>
            <rFont val="Arial"/>
          </rPr>
          <t>I've seen it listed as just "Bead" in a couple places, so that may be what it's called.  "Puppet Bead" was the display name from the editor, however a few items have different names than the display name (makes me wonder what that field is really for).
Apparently you can get one as a random drop in Arx from the toyseller's dolls.</t>
        </r>
      </text>
    </comment>
    <comment ref="A216" authorId="0" shapeId="0" xr:uid="{00000000-0006-0000-0300-00000E000000}">
      <text>
        <r>
          <rPr>
            <sz val="10"/>
            <color rgb="FF000000"/>
            <rFont val="Arial"/>
          </rPr>
          <t>Display name in editor was just "Tablet", although it may be called something else.</t>
        </r>
      </text>
    </comment>
    <comment ref="D233" authorId="0" shapeId="0" xr:uid="{00000000-0006-0000-0300-00000F000000}">
      <text>
        <r>
          <rPr>
            <sz val="10"/>
            <color rgb="FF000000"/>
            <rFont val="Arial"/>
          </rPr>
          <t>Number in [plus profit] tab is wrong, but it's still better to sell to vendor than to craft with it.</t>
        </r>
      </text>
    </comment>
    <comment ref="B400" authorId="0" shapeId="0" xr:uid="{00000000-0006-0000-0300-000010000000}">
      <text>
        <r>
          <rPr>
            <sz val="10"/>
            <color rgb="FF000000"/>
            <rFont val="Arial"/>
          </rPr>
          <t>Using lowest base value of applicable items.</t>
        </r>
      </text>
    </comment>
    <comment ref="B401" authorId="0" shapeId="0" xr:uid="{00000000-0006-0000-0300-000011000000}">
      <text>
        <r>
          <rPr>
            <sz val="10"/>
            <color rgb="FF000000"/>
            <rFont val="Arial"/>
          </rPr>
          <t>Using lowest base value of applicable items.</t>
        </r>
      </text>
    </comment>
    <comment ref="D401" authorId="0" shapeId="0" xr:uid="{00000000-0006-0000-0300-000012000000}">
      <text>
        <r>
          <rPr>
            <sz val="10"/>
            <color rgb="FF000000"/>
            <rFont val="Arial"/>
          </rPr>
          <t>See Skills tab.  Any skill that has 1+ Source is a Source skill.</t>
        </r>
      </text>
    </comment>
    <comment ref="B402" authorId="0" shapeId="0" xr:uid="{00000000-0006-0000-0300-000013000000}">
      <text>
        <r>
          <rPr>
            <sz val="10"/>
            <color rgb="FF000000"/>
            <rFont val="Arial"/>
          </rPr>
          <t>Using lowest base value of applicable items.</t>
        </r>
      </text>
    </comment>
    <comment ref="B403" authorId="0" shapeId="0" xr:uid="{00000000-0006-0000-0300-000014000000}">
      <text>
        <r>
          <rPr>
            <sz val="10"/>
            <color rgb="FF000000"/>
            <rFont val="Arial"/>
          </rPr>
          <t>Using lowest base value of applicable items.</t>
        </r>
      </text>
    </comment>
    <comment ref="D403" authorId="0" shapeId="0" xr:uid="{00000000-0006-0000-0300-000015000000}">
      <text>
        <r>
          <rPr>
            <sz val="10"/>
            <color rgb="FF000000"/>
            <rFont val="Arial"/>
          </rPr>
          <t>See Skills tab.  Any skill that has 1+ Source is a Source skill.</t>
        </r>
      </text>
    </comment>
    <comment ref="B404" authorId="0" shapeId="0" xr:uid="{00000000-0006-0000-0300-000016000000}">
      <text>
        <r>
          <rPr>
            <sz val="10"/>
            <color rgb="FF000000"/>
            <rFont val="Arial"/>
          </rPr>
          <t>Using lowest base value of applicable items.</t>
        </r>
      </text>
    </comment>
    <comment ref="B405" authorId="0" shapeId="0" xr:uid="{00000000-0006-0000-0300-000017000000}">
      <text>
        <r>
          <rPr>
            <sz val="10"/>
            <color rgb="FF000000"/>
            <rFont val="Arial"/>
          </rPr>
          <t>Using lowest base value of applicable items.</t>
        </r>
      </text>
    </comment>
    <comment ref="D405" authorId="0" shapeId="0" xr:uid="{00000000-0006-0000-0300-000018000000}">
      <text>
        <r>
          <rPr>
            <sz val="10"/>
            <color rgb="FF000000"/>
            <rFont val="Arial"/>
          </rPr>
          <t>See Skills tab.  Any skill that has 1+ Source is a Source skill.</t>
        </r>
      </text>
    </comment>
    <comment ref="B406" authorId="0" shapeId="0" xr:uid="{00000000-0006-0000-0300-000019000000}">
      <text>
        <r>
          <rPr>
            <sz val="10"/>
            <color rgb="FF000000"/>
            <rFont val="Arial"/>
          </rPr>
          <t>Using lowest base value of applicable items.</t>
        </r>
      </text>
    </comment>
    <comment ref="B407" authorId="0" shapeId="0" xr:uid="{00000000-0006-0000-0300-00001A000000}">
      <text>
        <r>
          <rPr>
            <sz val="10"/>
            <color rgb="FF000000"/>
            <rFont val="Arial"/>
          </rPr>
          <t>Using lowest base value of applicable items.</t>
        </r>
      </text>
    </comment>
    <comment ref="D407" authorId="0" shapeId="0" xr:uid="{00000000-0006-0000-0300-00001B000000}">
      <text>
        <r>
          <rPr>
            <sz val="10"/>
            <color rgb="FF000000"/>
            <rFont val="Arial"/>
          </rPr>
          <t>See Skills tab.  Any skill that has 1+ Source is a Source skill.</t>
        </r>
      </text>
    </comment>
    <comment ref="B408" authorId="0" shapeId="0" xr:uid="{00000000-0006-0000-0300-00001C000000}">
      <text>
        <r>
          <rPr>
            <sz val="10"/>
            <color rgb="FF000000"/>
            <rFont val="Arial"/>
          </rPr>
          <t>Using lowest base value of applicable items.</t>
        </r>
      </text>
    </comment>
    <comment ref="B409" authorId="0" shapeId="0" xr:uid="{00000000-0006-0000-0300-00001D000000}">
      <text>
        <r>
          <rPr>
            <sz val="10"/>
            <color rgb="FF000000"/>
            <rFont val="Arial"/>
          </rPr>
          <t>Using lowest base value of applicable items.</t>
        </r>
      </text>
    </comment>
    <comment ref="D409" authorId="0" shapeId="0" xr:uid="{00000000-0006-0000-0300-00001E000000}">
      <text>
        <r>
          <rPr>
            <sz val="10"/>
            <color rgb="FF000000"/>
            <rFont val="Arial"/>
          </rPr>
          <t>See Skills tab.  Any skill that has 1+ Source is a Source skill.</t>
        </r>
      </text>
    </comment>
    <comment ref="B410" authorId="0" shapeId="0" xr:uid="{00000000-0006-0000-0300-00001F000000}">
      <text>
        <r>
          <rPr>
            <sz val="10"/>
            <color rgb="FF000000"/>
            <rFont val="Arial"/>
          </rPr>
          <t>Using lowest base value of applicable items.</t>
        </r>
      </text>
    </comment>
    <comment ref="B411" authorId="0" shapeId="0" xr:uid="{00000000-0006-0000-0300-000020000000}">
      <text>
        <r>
          <rPr>
            <sz val="10"/>
            <color rgb="FF000000"/>
            <rFont val="Arial"/>
          </rPr>
          <t>Using lowest base value of applicable items.</t>
        </r>
      </text>
    </comment>
    <comment ref="D411" authorId="0" shapeId="0" xr:uid="{00000000-0006-0000-0300-000021000000}">
      <text>
        <r>
          <rPr>
            <sz val="10"/>
            <color rgb="FF000000"/>
            <rFont val="Arial"/>
          </rPr>
          <t>See Skills tab.  Any skill that has 1+ Source is a Source skill.</t>
        </r>
      </text>
    </comment>
    <comment ref="B412" authorId="0" shapeId="0" xr:uid="{00000000-0006-0000-0300-000022000000}">
      <text>
        <r>
          <rPr>
            <sz val="10"/>
            <color rgb="FF000000"/>
            <rFont val="Arial"/>
          </rPr>
          <t>Using lowest base value of applicable items.</t>
        </r>
      </text>
    </comment>
    <comment ref="B413" authorId="0" shapeId="0" xr:uid="{00000000-0006-0000-0300-000023000000}">
      <text>
        <r>
          <rPr>
            <sz val="10"/>
            <color rgb="FF000000"/>
            <rFont val="Arial"/>
          </rPr>
          <t>Using lowest base value of applicable items.</t>
        </r>
      </text>
    </comment>
    <comment ref="D413" authorId="0" shapeId="0" xr:uid="{00000000-0006-0000-0300-000024000000}">
      <text>
        <r>
          <rPr>
            <sz val="10"/>
            <color rgb="FF000000"/>
            <rFont val="Arial"/>
          </rPr>
          <t>See Skills tab.  Any skill that has 1+ Source is a Source skill.</t>
        </r>
      </text>
    </comment>
    <comment ref="B414" authorId="0" shapeId="0" xr:uid="{00000000-0006-0000-0300-000025000000}">
      <text>
        <r>
          <rPr>
            <sz val="10"/>
            <color rgb="FF000000"/>
            <rFont val="Arial"/>
          </rPr>
          <t>Using lowest base value of applicable items.</t>
        </r>
      </text>
    </comment>
    <comment ref="B415" authorId="0" shapeId="0" xr:uid="{00000000-0006-0000-0300-000026000000}">
      <text>
        <r>
          <rPr>
            <sz val="10"/>
            <color rgb="FF000000"/>
            <rFont val="Arial"/>
          </rPr>
          <t>Using lowest base value of applicable items.</t>
        </r>
      </text>
    </comment>
    <comment ref="D415" authorId="0" shapeId="0" xr:uid="{00000000-0006-0000-0300-000027000000}">
      <text>
        <r>
          <rPr>
            <sz val="10"/>
            <color rgb="FF000000"/>
            <rFont val="Arial"/>
          </rPr>
          <t>See Skills tab.  Any skill that has 1+ Source is a Source skill.</t>
        </r>
      </text>
    </comment>
    <comment ref="B416" authorId="0" shapeId="0" xr:uid="{00000000-0006-0000-0300-000028000000}">
      <text>
        <r>
          <rPr>
            <sz val="10"/>
            <color rgb="FF000000"/>
            <rFont val="Arial"/>
          </rPr>
          <t>Using lowest base value of applicable items.</t>
        </r>
      </text>
    </comment>
    <comment ref="B417" authorId="0" shapeId="0" xr:uid="{00000000-0006-0000-0300-000029000000}">
      <text>
        <r>
          <rPr>
            <sz val="10"/>
            <color rgb="FF000000"/>
            <rFont val="Arial"/>
          </rPr>
          <t>Using lowest base value of applicable items.</t>
        </r>
      </text>
    </comment>
    <comment ref="D417" authorId="0" shapeId="0" xr:uid="{00000000-0006-0000-0300-00002A000000}">
      <text>
        <r>
          <rPr>
            <sz val="10"/>
            <color rgb="FF000000"/>
            <rFont val="Arial"/>
          </rPr>
          <t>See Skills tab.  Any skill that has 1+ Source is a Source skill.</t>
        </r>
      </text>
    </comment>
    <comment ref="B418" authorId="0" shapeId="0" xr:uid="{00000000-0006-0000-0300-00002B000000}">
      <text>
        <r>
          <rPr>
            <sz val="10"/>
            <color rgb="FF000000"/>
            <rFont val="Arial"/>
          </rPr>
          <t>Using lowest base value of applicable items.</t>
        </r>
      </text>
    </comment>
    <comment ref="B419" authorId="0" shapeId="0" xr:uid="{00000000-0006-0000-0300-00002C000000}">
      <text>
        <r>
          <rPr>
            <sz val="10"/>
            <color rgb="FF000000"/>
            <rFont val="Arial"/>
          </rPr>
          <t>Using lowest base value of applicable items.</t>
        </r>
      </text>
    </comment>
    <comment ref="D419" authorId="0" shapeId="0" xr:uid="{00000000-0006-0000-0300-00002D000000}">
      <text>
        <r>
          <rPr>
            <sz val="10"/>
            <color rgb="FF000000"/>
            <rFont val="Arial"/>
          </rPr>
          <t>See Skills tab.  Any skill that has 1+ Source is a Source skill.</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400-000001000000}">
      <text>
        <r>
          <rPr>
            <sz val="10"/>
            <color rgb="FF000000"/>
            <rFont val="Arial"/>
          </rPr>
          <t>Yellow highlight indicates that it requires Source Points to use.
Pink highlight indicates that it still needs to be edited.
Some data is interpreted from the editor.
You gain an extra Memory slot every 2 levels.
The "aka" names come from the editor.</t>
        </r>
      </text>
    </comment>
    <comment ref="B1" authorId="0" shapeId="0" xr:uid="{00000000-0006-0000-0400-000002000000}">
      <text>
        <r>
          <rPr>
            <sz val="10"/>
            <color rgb="FF000000"/>
            <rFont val="Arial"/>
          </rPr>
          <t>"Summoning" is the ability.
"Summon" means it's a skill that only summoned creatures have.
"Misc" does not belong to one category.
For dual-ability skills, the elemental ability is listed under Ability 2.</t>
        </r>
      </text>
    </comment>
    <comment ref="C1" authorId="0" shapeId="0" xr:uid="{00000000-0006-0000-0400-000003000000}">
      <text>
        <r>
          <rPr>
            <sz val="10"/>
            <color rgb="FF000000"/>
            <rFont val="Arial"/>
          </rPr>
          <t>If a secondary ability is not required for a skill, the primary ability is listed so sorting can be done.
Also using this column for special cases.
"Misc" does not belong to one category.</t>
        </r>
      </text>
    </comment>
    <comment ref="D1" authorId="0" shapeId="0" xr:uid="{00000000-0006-0000-0400-000004000000}">
      <text>
        <r>
          <rPr>
            <sz val="10"/>
            <color rgb="FF000000"/>
            <rFont val="Arial"/>
          </rPr>
          <t>Level: How many points you need to have in both abilities to be able to use the skill.
Level 5 skills use 3 memory slots.</t>
        </r>
      </text>
    </comment>
    <comment ref="E1" authorId="0" shapeId="0" xr:uid="{00000000-0006-0000-0400-000005000000}">
      <text>
        <r>
          <rPr>
            <sz val="10"/>
            <color rgb="FF000000"/>
            <rFont val="Arial"/>
          </rPr>
          <t>AP Cost
Numbers pulled from other web sources.  Comment if you see one that's incorrect.
This is also the AP cost of any scrolls of these skills.</t>
        </r>
      </text>
    </comment>
    <comment ref="F1" authorId="0" shapeId="0" xr:uid="{00000000-0006-0000-0400-000006000000}">
      <text>
        <r>
          <rPr>
            <sz val="10"/>
            <color rgb="FF000000"/>
            <rFont val="Arial"/>
          </rPr>
          <t>Source Point Cost
Scrolls do not use Source Points.
Source skills on summons (other than incarnates) do not require Source to use.
Source Skills use 2 Memory slots, except level 5 Source skills which use 3 slots.</t>
        </r>
      </text>
    </comment>
    <comment ref="G1" authorId="0" shapeId="0" xr:uid="{00000000-0006-0000-0400-000007000000}">
      <text>
        <r>
          <rPr>
            <sz val="10"/>
            <color rgb="FF000000"/>
            <rFont val="Arial"/>
          </rPr>
          <t>Cooldown
Please comment if you see any that are incorrect.  I've checked most of these, but there may be a few incorrect ones still.
10-turn cooldowns are not shown in tooltips.</t>
        </r>
      </text>
    </comment>
    <comment ref="H1" authorId="0" shapeId="0" xr:uid="{00000000-0006-0000-0400-000008000000}">
      <text>
        <r>
          <rPr>
            <sz val="10"/>
            <color rgb="FF000000"/>
            <rFont val="Arial"/>
          </rPr>
          <t>Range in meters from the edge of your character.  Most are rounded off to the nearest .5.  In-game range in DE measures from the center of your character, so the numbers here are about 0.3m shorter than what you'd see in-game.
Range for cones is how far from your character they extend.
Range for melee-range weapon skills are based on the weapon's range +0.5, and are thus listed as M+X (where M is the weapon's range and X is the skill's range bonus, usually 0.5).  See the Weapons tab for weapon ranges.
Numbers are for orthagonal targeting; just keep in mind that they have slightly longer ranges diagonally.
Yellow = Empty (easier to spot)</t>
        </r>
      </text>
    </comment>
    <comment ref="I1" authorId="0" shapeId="0" xr:uid="{00000000-0006-0000-0400-000009000000}">
      <text>
        <r>
          <rPr>
            <sz val="10"/>
            <color rgb="FF000000"/>
            <rFont val="Arial"/>
          </rPr>
          <t>Radius of area in meters, either from the center of the target or the center of the caster.
- = Not an area effect.
? = I'm not really sure.
I'm using Range for cones because it makes more sense.
Radius for melee-range weapon skills are affected by the range of the weapon.  Listed numbers are for 1H Swords, so the range when using a Dagger would be shorter, a 2H Sword would be longer, and a Spear would be even longer.</t>
        </r>
      </text>
    </comment>
    <comment ref="J1" authorId="0" shapeId="0" xr:uid="{00000000-0006-0000-0400-00000A000000}">
      <text>
        <r>
          <rPr>
            <sz val="10"/>
            <color rgb="FF000000"/>
            <rFont val="Arial"/>
          </rPr>
          <t>Status effect resisted by:
P = Physical Armor
M = Magic Armor
- = Either no effects to resist, or the effect cannot be resisted.</t>
        </r>
      </text>
    </comment>
    <comment ref="K1" authorId="0" shapeId="0" xr:uid="{00000000-0006-0000-0400-00000B000000}">
      <text>
        <r>
          <rPr>
            <sz val="10"/>
            <color rgb="FF000000"/>
            <rFont val="Arial"/>
          </rPr>
          <t>Check the Status tab to find out what anything that's "set" is.
Damage/healing/etc numbers are in the numbers column.  Read the note on the numbers column header.
When something lasts for a number of turns, it does not count the current turn.  So, if you set a status on yourself that lasts 1 turn, you'll have it this turn and next turn.
"Gain" or "increase" armor can cause your armor to exceed your maximum.  "Restore" armor cannot.
Piercing damage bypasses armor and hits vitality directly.
Backstab occurs when you're using Daggers and you're standing in a cone behind the target.  A Backstab is a guaranteed critical hit.  Some skills specifically state that they can Backstab in their in-game description, but any skill that requires a melee weapon can.
Area measurements are radii.  So, a "2m area" would be 4m in diameter.
Skill weapon damage percentages are applied at the same time as other percentages affecting weapon damage.  So 150% Weapon Damage with +50% damage from attributes would just be 200% Weapon Damage.</t>
        </r>
      </text>
    </comment>
    <comment ref="L1" authorId="0" shapeId="0" xr:uid="{00000000-0006-0000-0400-00000C000000}">
      <text>
        <r>
          <rPr>
            <sz val="10"/>
            <color rgb="FF000000"/>
            <rFont val="Arial"/>
          </rPr>
          <t>This column currently only contains Classic Edition numbers.
Damage, healing, armor restored, whatever number is left out of the description, here it is.  Retrieved with a level 10 character with +10 points in each attribute and 5 points in each skill ability (no points in weapon abilities).  
This way the skills are mostly comparable.  It's best not compare weapon skills to non-weapon skills, nor necromancer skills to any other ability's skills, as the differences in actual gameplay would be significant.  Taken from Classic difficulty.
These numbers were primarily pulled from each skill's tooltips, although some had to be retrieved from actual testing.  Ranges were averaged and rounded (12-15 becomes 14) so they're easier to compare.
Values are per-hit or per-tick.
For most weapon-based skills, I had two crafted level 10 one-handed swords equipped (21-24 damage each). 
For Huntsman skills I had a crafted level 10 crossbow equipped (33-35 damage).  
For Scoundrel skills I had two crafted level 10 daggers equipped (18-19 damage).  
For shield-based skills, I had a crafted level 10 shield equipped (120 Physical Armor).
Yellow highlight indicates that the skill requires Source Points to use.
Numbers are higher on Explorer difficulty, lower on Tactician and Honor difficulty.
To scale weapon skills to your better-than-crafted weapon, use the Rarity Multipliers tab for the base damage.  You'll have to work out the additional elemental damage on your own.</t>
        </r>
      </text>
    </comment>
    <comment ref="M1" authorId="0" shapeId="0" xr:uid="{00000000-0006-0000-0400-00000D000000}">
      <text>
        <r>
          <rPr>
            <sz val="10"/>
            <color rgb="FF000000"/>
            <rFont val="Arial"/>
          </rPr>
          <t>Numbers for Definitive Edition (not overwriting the vanilla numbers so that it doesn't mess up comparisons before I'm done).</t>
        </r>
      </text>
    </comment>
    <comment ref="N1" authorId="0" shapeId="0" xr:uid="{00000000-0006-0000-0400-00000E000000}">
      <text>
        <r>
          <rPr>
            <sz val="10"/>
            <color rgb="FF000000"/>
            <rFont val="Arial"/>
          </rPr>
          <t>Weapon Required
"Ranged" does not include wands.
"Melee" is any melee weapon, including daggers.
Note that skillbooks' in-game descriptions do not include the weapon requirements.
Only the main hand needs to meet the requirement, however off-hand wands will not contribute to the skill in any way.  Skills that require a Dagger in the main hand will still benefit from a sword or axe in the off-hand, but it's usually best to use a Dagger in the off-hand for the Finesse bonus.
Check all Huntsman, Warfare, and Scoundrel skills for inaccuracies.</t>
        </r>
      </text>
    </comment>
    <comment ref="O1" authorId="0" shapeId="0" xr:uid="{00000000-0006-0000-0400-00000F000000}">
      <text>
        <r>
          <rPr>
            <sz val="10"/>
            <color rgb="FF000000"/>
            <rFont val="Arial"/>
          </rPr>
          <t>Receives a bonus from this Attribute.  
Wep = Your equipped main hand weapon's stat.  For example, if you have a dagger in your main hand, the skill would get a bonus from Finesse.
Summons' skills gain a bonus from their own stats, not yours.</t>
        </r>
      </text>
    </comment>
    <comment ref="P1" authorId="0" shapeId="0" xr:uid="{00000000-0006-0000-0400-000010000000}">
      <text>
        <r>
          <rPr>
            <sz val="10"/>
            <color rgb="FF000000"/>
            <rFont val="Arial"/>
          </rPr>
          <t>Details from the Status tab.  Notes do not carry over.
Keep in mind that damage/healing/etc numbers scale with level and sometimes abilities.
Which armor it's resisted by is on the Status tab.</t>
        </r>
      </text>
    </comment>
    <comment ref="Q1" authorId="0" shapeId="0" xr:uid="{00000000-0006-0000-0400-000011000000}">
      <text>
        <r>
          <rPr>
            <sz val="10"/>
            <color rgb="FF000000"/>
            <rFont val="Arial"/>
          </rPr>
          <t>Status 1 column.  Do not use.</t>
        </r>
      </text>
    </comment>
    <comment ref="R1" authorId="0" shapeId="0" xr:uid="{00000000-0006-0000-0400-000012000000}">
      <text>
        <r>
          <rPr>
            <sz val="10"/>
            <color rgb="FF000000"/>
            <rFont val="Arial"/>
          </rPr>
          <t>Status 2 column.  Do not use.</t>
        </r>
      </text>
    </comment>
    <comment ref="S1" authorId="0" shapeId="0" xr:uid="{00000000-0006-0000-0400-000013000000}">
      <text>
        <r>
          <rPr>
            <sz val="10"/>
            <color rgb="FF000000"/>
            <rFont val="Arial"/>
          </rPr>
          <t>Status 3 column.  Do not use.</t>
        </r>
      </text>
    </comment>
    <comment ref="T1" authorId="0" shapeId="0" xr:uid="{00000000-0006-0000-0400-000014000000}">
      <text>
        <r>
          <rPr>
            <sz val="10"/>
            <color rgb="FF000000"/>
            <rFont val="Arial"/>
          </rPr>
          <t>Numbers Type column.  Do not use.</t>
        </r>
      </text>
    </comment>
    <comment ref="U1" authorId="0" shapeId="0" xr:uid="{00000000-0006-0000-0400-000015000000}">
      <text>
        <r>
          <rPr>
            <sz val="10"/>
            <color rgb="FF000000"/>
            <rFont val="Arial"/>
          </rPr>
          <t>How many Skills I have listed so far.
This is to the right of the invisible columns to help remind me that they're there.</t>
        </r>
      </text>
    </comment>
    <comment ref="K4" authorId="0" shapeId="0" xr:uid="{00000000-0006-0000-0400-000016000000}">
      <text>
        <r>
          <rPr>
            <sz val="10"/>
            <color rgb="FF000000"/>
            <rFont val="Arial"/>
          </rPr>
          <t>You choose the target for the initial bolt, and then it forks and hits others.  Beyond the first target, it's out of your control.
"Fork" means that it hits the initial target, then hits another target within range of that target.  It doesn't actually split as the name suggests.</t>
        </r>
      </text>
    </comment>
    <comment ref="K7" authorId="0" shapeId="0" xr:uid="{00000000-0006-0000-0400-000017000000}">
      <text>
        <r>
          <rPr>
            <sz val="10"/>
            <color rgb="FF000000"/>
            <rFont val="Arial"/>
          </rPr>
          <t>Can be used to electrify surfaces and clouds.</t>
        </r>
      </text>
    </comment>
    <comment ref="K8" authorId="0" shapeId="0" xr:uid="{00000000-0006-0000-0400-000018000000}">
      <text>
        <r>
          <rPr>
            <sz val="10"/>
            <color rgb="FF000000"/>
            <rFont val="Arial"/>
          </rPr>
          <t>Some randomly generated boots will give this skill.</t>
        </r>
      </text>
    </comment>
    <comment ref="K9" authorId="0" shapeId="0" xr:uid="{00000000-0006-0000-0400-000019000000}">
      <text>
        <r>
          <rPr>
            <sz val="10"/>
            <color rgb="FF000000"/>
            <rFont val="Arial"/>
          </rPr>
          <t>Cannot teleport Fortified characters.</t>
        </r>
      </text>
    </comment>
    <comment ref="K10" authorId="0" shapeId="0" xr:uid="{00000000-0006-0000-0400-00001A000000}">
      <text>
        <r>
          <rPr>
            <sz val="10"/>
            <color rgb="FF000000"/>
            <rFont val="Arial"/>
          </rPr>
          <t>See the "Surfaces and Clouds" tab for Pressure Spike interactions.
The center of the target area must be touching the cloud you wish to convert.  It will not convert a cloud in the target area if the cloud isn't touching the center of the target area.  You basically target the cloud directly, regardless of the reticle.</t>
        </r>
      </text>
    </comment>
    <comment ref="K11" authorId="0" shapeId="0" xr:uid="{00000000-0006-0000-0400-00001B000000}">
      <text>
        <r>
          <rPr>
            <sz val="10"/>
            <color rgb="FF000000"/>
            <rFont val="Arial"/>
          </rPr>
          <t>Some randomly generated gloves will give this skill.</t>
        </r>
      </text>
    </comment>
    <comment ref="K13" authorId="0" shapeId="0" xr:uid="{00000000-0006-0000-0400-00001C000000}">
      <text>
        <r>
          <rPr>
            <sz val="10"/>
            <color rgb="FF000000"/>
            <rFont val="Arial"/>
          </rPr>
          <t>The space you target for the destination has to be vacant, but if it overlaps with another character at all, they'll take damage.  It's basically a really tight AoE.  Doesn't really work with large characters.
Cannot teleport Fortified characters.</t>
        </r>
      </text>
    </comment>
    <comment ref="K14" authorId="0" shapeId="0" xr:uid="{00000000-0006-0000-0400-00001D000000}">
      <text>
        <r>
          <rPr>
            <sz val="10"/>
            <color rgb="FF000000"/>
            <rFont val="Arial"/>
          </rPr>
          <t>Allies can still take damage if they're standing on a surface that's susceptible to being electrified and the surface gets hit.</t>
        </r>
      </text>
    </comment>
    <comment ref="L14" authorId="0" shapeId="0" xr:uid="{00000000-0006-0000-0400-00001E000000}">
      <text>
        <r>
          <rPr>
            <sz val="10"/>
            <color rgb="FF000000"/>
            <rFont val="Arial"/>
          </rPr>
          <t>Based on limited testing.  This number should be within 5 points of the true average.</t>
        </r>
      </text>
    </comment>
    <comment ref="K15" authorId="0" shapeId="0" xr:uid="{00000000-0006-0000-0400-00001F000000}">
      <text>
        <r>
          <rPr>
            <sz val="10"/>
            <color rgb="FF000000"/>
            <rFont val="Arial"/>
          </rPr>
          <t>It moves in a sort of zig-zag pattern along a straight line to the target.  The further away the target, the more it seems to zig-zag.  I think it just clears a cone.</t>
        </r>
      </text>
    </comment>
    <comment ref="K16" authorId="0" shapeId="0" xr:uid="{00000000-0006-0000-0400-000020000000}">
      <text>
        <r>
          <rPr>
            <sz val="10"/>
            <color rgb="FF000000"/>
            <rFont val="Arial"/>
          </rPr>
          <t>Some randomly generated boots will give this skill.</t>
        </r>
      </text>
    </comment>
    <comment ref="K20" authorId="0" shapeId="0" xr:uid="{00000000-0006-0000-0400-000021000000}">
      <text>
        <r>
          <rPr>
            <sz val="10"/>
            <color rgb="FF000000"/>
            <rFont val="Arial"/>
          </rPr>
          <t>There's a mod that increases the duration to 99 turns.  I honestly think of it as a quality of life mod, as it gives you no gameplay advantage.
I think the duration was changed in Definitive Edition.  I need to check.</t>
        </r>
      </text>
    </comment>
    <comment ref="K21" authorId="0" shapeId="0" xr:uid="{00000000-0006-0000-0400-000022000000}">
      <text>
        <r>
          <rPr>
            <sz val="10"/>
            <color rgb="FF000000"/>
            <rFont val="Arial"/>
          </rPr>
          <t>If you see this in your character's action bar and you don't know why it's there, chances are they unequipped their off-hand.  Temporary stat changes from debuffs can cause this to happen.
You can unequip one hand during combat so you can Sucker Punch someone.  Unequipping costs 0 AP.  Re-equipping costs 1 AP.  You won't recover armor lost from unequipping a shield when you re-equip it during combat.</t>
        </r>
      </text>
    </comment>
    <comment ref="N21" authorId="0" shapeId="0" xr:uid="{00000000-0006-0000-0400-000023000000}">
      <text>
        <r>
          <rPr>
            <sz val="10"/>
            <color rgb="FF000000"/>
            <rFont val="Arial"/>
          </rPr>
          <t>You have to have one hand that doesn't have a weapon or shield in it.</t>
        </r>
      </text>
    </comment>
    <comment ref="C23" authorId="0" shapeId="0" xr:uid="{00000000-0006-0000-0400-000024000000}">
      <text>
        <r>
          <rPr>
            <sz val="10"/>
            <color rgb="FF000000"/>
            <rFont val="Arial"/>
          </rPr>
          <t>You get this ability by creating a custom character during character creation, rather than using an Origins character.</t>
        </r>
      </text>
    </comment>
    <comment ref="K25" authorId="0" shapeId="0" xr:uid="{00000000-0006-0000-0400-000025000000}">
      <text>
        <r>
          <rPr>
            <sz val="10"/>
            <color rgb="FF000000"/>
            <rFont val="Arial"/>
          </rPr>
          <t>Flesh Sacrifice can force you to unequip your shield because shields have a Constitution requirement.
If your current health is below the new, reduced maximum health, you will not lose any current health.  However, when Flesh Sacrifice expires and your maximum health goes back up to normal, your current health will also go up by the same amount, effectively making Flesh Sacrifice a weak, delayed heal.</t>
        </r>
      </text>
    </comment>
    <comment ref="C30" authorId="0" shapeId="0" xr:uid="{00000000-0006-0000-0400-000026000000}">
      <text>
        <r>
          <rPr>
            <sz val="10"/>
            <color rgb="FF000000"/>
            <rFont val="Arial"/>
          </rPr>
          <t>Lohse is pretty in-game, but in the loading screen she looks like a man.  It was a while before I realized that was supposed to be her on the right.  I thought it was some random dude.</t>
        </r>
      </text>
    </comment>
    <comment ref="L31" authorId="0" shapeId="0" xr:uid="{00000000-0006-0000-0400-000027000000}">
      <text>
        <r>
          <rPr>
            <sz val="10"/>
            <color rgb="FF000000"/>
            <rFont val="Arial"/>
          </rPr>
          <t>Damage at level 20 is 478.
106 is an educated guess for level 10.  I got this at level 20, and since it's not affected by anything other than level, I compared the damage from Corrosive Touch (which is also only affected by level) at level 20 to it at level 10, and figured out the damage at level 10 for Deafening Shriek based on that.  It's probably accurate, but you can't get it at level 10, anyway.</t>
        </r>
      </text>
    </comment>
    <comment ref="K32" authorId="0" shapeId="0" xr:uid="{00000000-0006-0000-0400-000028000000}">
      <text>
        <r>
          <rPr>
            <sz val="10"/>
            <color rgb="FF000000"/>
            <rFont val="Arial"/>
          </rPr>
          <t>Plague is a status accessible to NPCs.  I do not think it's accessible to players.</t>
        </r>
      </text>
    </comment>
    <comment ref="K33" authorId="0" shapeId="0" xr:uid="{00000000-0006-0000-0400-000029000000}">
      <text>
        <r>
          <rPr>
            <sz val="10"/>
            <color rgb="FF000000"/>
            <rFont val="Arial"/>
          </rPr>
          <t>The in-game description implies that the Magic Armor restored is based on the damage dealt, however it is not.  You will gain the same amount of armor regardless of how much damage is dealt.</t>
        </r>
      </text>
    </comment>
    <comment ref="L33" authorId="0" shapeId="0" xr:uid="{00000000-0006-0000-0400-00002A000000}">
      <text>
        <r>
          <rPr>
            <sz val="10"/>
            <color rgb="FF000000"/>
            <rFont val="Arial"/>
          </rPr>
          <t>Patch notes say they increased the damage/restore amount by 50%, so I increased the number here from 80 to 120, but I'll need to confirm through testing that this is the correct new number, as other factors may apply.</t>
        </r>
      </text>
    </comment>
    <comment ref="K34" authorId="0" shapeId="0" xr:uid="{00000000-0006-0000-0400-00002B000000}">
      <text>
        <r>
          <rPr>
            <sz val="10"/>
            <color rgb="FF000000"/>
            <rFont val="Arial"/>
          </rPr>
          <t>Duration is accurate. At the end of the 3 turns, he stands right back up for whatever reason.</t>
        </r>
      </text>
    </comment>
    <comment ref="K35" authorId="0" shapeId="0" xr:uid="{00000000-0006-0000-0400-00002C000000}">
      <text>
        <r>
          <rPr>
            <sz val="10"/>
            <color rgb="FF000000"/>
            <rFont val="Arial"/>
          </rPr>
          <t>Magic Armor restored is increased by Hydrosophist.
Physical Armor restored is increased by Geomancer.</t>
        </r>
      </text>
    </comment>
    <comment ref="K36" authorId="0" shapeId="0" xr:uid="{00000000-0006-0000-0400-00002D000000}">
      <text>
        <r>
          <rPr>
            <sz val="10"/>
            <color rgb="FF000000"/>
            <rFont val="Arial"/>
          </rPr>
          <t>It's basically a normal attack that does 50% more damage, so you can use up that extra AP when you need to.
Backstab requires a dagger in the main hand.
Does not damage weapon durability when used to damage doors and such.</t>
        </r>
      </text>
    </comment>
    <comment ref="N36" authorId="0" shapeId="0" xr:uid="{00000000-0006-0000-0400-00002E000000}">
      <text>
        <r>
          <rPr>
            <sz val="10"/>
            <color rgb="FF000000"/>
            <rFont val="Arial"/>
          </rPr>
          <t>Not staff.</t>
        </r>
      </text>
    </comment>
    <comment ref="K37" authorId="0" shapeId="0" xr:uid="{00000000-0006-0000-0400-00002F000000}">
      <text>
        <r>
          <rPr>
            <sz val="10"/>
            <color rgb="FF000000"/>
            <rFont val="Arial"/>
          </rPr>
          <t>Deals all damage types of both weapons on each hit.
I don't know how procs are handled, but both weapons can proc.
Backstab requires a dagger in the main hand.
Does not damage weapon durability when used to damage doors and such.</t>
        </r>
      </text>
    </comment>
    <comment ref="N37" authorId="0" shapeId="0" xr:uid="{00000000-0006-0000-0400-000030000000}">
      <text>
        <r>
          <rPr>
            <sz val="10"/>
            <color rgb="FF000000"/>
            <rFont val="Arial"/>
          </rPr>
          <t>Two melee weapons.</t>
        </r>
      </text>
    </comment>
    <comment ref="K38" authorId="0" shapeId="0" xr:uid="{00000000-0006-0000-0400-000031000000}">
      <text>
        <r>
          <rPr>
            <sz val="10"/>
            <color rgb="FF000000"/>
            <rFont val="Arial"/>
          </rPr>
          <t>Same damage as if you walked up and whacked them in the face, just without the walking an whacking parts.
Does not damage weapon durability when used to damage doors and such.</t>
        </r>
      </text>
    </comment>
    <comment ref="K40" authorId="0" shapeId="0" xr:uid="{00000000-0006-0000-0400-000032000000}">
      <text>
        <r>
          <rPr>
            <sz val="10"/>
            <color rgb="FF000000"/>
            <rFont val="Arial"/>
          </rPr>
          <t>For susceptible surfaces that are only partially in the area of effect, the entire surface is converted to Poison, not just the part within the radius.
Water and blood in any form (even frozen) are susceptible to becoming Poison.</t>
        </r>
      </text>
    </comment>
    <comment ref="K42" authorId="0" shapeId="0" xr:uid="{00000000-0006-0000-0400-000033000000}">
      <text>
        <r>
          <rPr>
            <sz val="10"/>
            <color rgb="FF000000"/>
            <rFont val="Arial"/>
          </rPr>
          <t>Some randomly generated gloves will give this skill.</t>
        </r>
      </text>
    </comment>
    <comment ref="K45" authorId="0" shapeId="0" xr:uid="{00000000-0006-0000-0400-000034000000}">
      <text>
        <r>
          <rPr>
            <sz val="10"/>
            <color rgb="FF000000"/>
            <rFont val="Arial"/>
          </rPr>
          <t xml:space="preserve">You draw the wall by clicking the starting point and then clicking the end point. The wall is created in a straight line between the points.  </t>
        </r>
      </text>
    </comment>
    <comment ref="K49" authorId="0" shapeId="0" xr:uid="{00000000-0006-0000-0400-000035000000}">
      <text>
        <r>
          <rPr>
            <sz val="10"/>
            <color rgb="FF000000"/>
            <rFont val="Arial"/>
          </rPr>
          <t>The projectiles only launch at enemies in line of sight, and those that are launched can be blocked by obstacles.  It shows you the patch to each before finalizing casting it, so you can tell if you need to move first or not.</t>
        </r>
      </text>
    </comment>
    <comment ref="K50" authorId="0" shapeId="0" xr:uid="{00000000-0006-0000-0400-000036000000}">
      <text>
        <r>
          <rPr>
            <sz val="10"/>
            <color rgb="FF000000"/>
            <rFont val="Arial"/>
          </rPr>
          <t>Deals damage to self as well.
With the right armor, at higher levels, this is one of the two highest-damage skills in the game.</t>
        </r>
      </text>
    </comment>
    <comment ref="L51" authorId="0" shapeId="0" xr:uid="{00000000-0006-0000-0400-000037000000}">
      <text>
        <r>
          <rPr>
            <sz val="10"/>
            <color rgb="FF000000"/>
            <rFont val="Arial"/>
          </rPr>
          <t>I got damage ranges as low as 12-14 and as high as 14-18.  15 seems like a reasonable average.</t>
        </r>
      </text>
    </comment>
    <comment ref="K52" authorId="0" shapeId="0" xr:uid="{00000000-0006-0000-0400-000038000000}">
      <text>
        <r>
          <rPr>
            <sz val="10"/>
            <color rgb="FF000000"/>
            <rFont val="Arial"/>
          </rPr>
          <t>Acid Spores does not require source points to use.</t>
        </r>
      </text>
    </comment>
    <comment ref="J53" authorId="0" shapeId="0" xr:uid="{00000000-0006-0000-0400-000039000000}">
      <text>
        <r>
          <rPr>
            <sz val="10"/>
            <color rgb="FF000000"/>
            <rFont val="Arial"/>
          </rPr>
          <t>Entangled is not blocked by Magic Armor for Undead for some reason (probably because of the Poison damage; seems like a bug).
Note:  Need to re-check in DE.</t>
        </r>
      </text>
    </comment>
    <comment ref="K53" authorId="0" shapeId="0" xr:uid="{00000000-0006-0000-0400-00003A000000}">
      <text>
        <r>
          <rPr>
            <sz val="10"/>
            <color rgb="FF000000"/>
            <rFont val="Arial"/>
          </rPr>
          <t>Entangled is not blocked by Magic Armor for Undead for some reason (probably bugged).</t>
        </r>
      </text>
    </comment>
    <comment ref="K55" authorId="0" shapeId="0" xr:uid="{00000000-0006-0000-0400-00003B000000}">
      <text>
        <r>
          <rPr>
            <sz val="10"/>
            <color rgb="FF000000"/>
            <rFont val="Arial"/>
          </rPr>
          <t>In-game description fails to mention that the aura extends its benefits to nearby allies.</t>
        </r>
      </text>
    </comment>
    <comment ref="K56" authorId="0" shapeId="0" xr:uid="{00000000-0006-0000-0400-00003C000000}">
      <text>
        <r>
          <rPr>
            <sz val="10"/>
            <color rgb="FF000000"/>
            <rFont val="Arial"/>
          </rPr>
          <t>Does not remove surfaces or clouds.</t>
        </r>
      </text>
    </comment>
    <comment ref="I58" authorId="0" shapeId="0" xr:uid="{00000000-0006-0000-0400-00003D000000}">
      <text>
        <r>
          <rPr>
            <sz val="10"/>
            <color rgb="FF000000"/>
            <rFont val="Arial"/>
          </rPr>
          <t>See description.</t>
        </r>
      </text>
    </comment>
    <comment ref="K58" authorId="0" shapeId="0" xr:uid="{00000000-0006-0000-0400-00003E000000}">
      <text>
        <r>
          <rPr>
            <sz val="10"/>
            <color rgb="FF000000"/>
            <rFont val="Arial"/>
          </rPr>
          <t>Each shot will hit the first enemy in its path, however if you don't extend the shot out to its full range, the shots will fall short of their full potential.  This may come in handy when you want to avoid hitting barrels or something.</t>
        </r>
      </text>
    </comment>
    <comment ref="A59" authorId="0" shapeId="0" xr:uid="{00000000-0006-0000-0400-00003F000000}">
      <text>
        <r>
          <rPr>
            <sz val="10"/>
            <color rgb="FF000000"/>
            <rFont val="Arial"/>
          </rPr>
          <t>AKA "Rain of Arrows".</t>
        </r>
      </text>
    </comment>
    <comment ref="K61" authorId="0" shapeId="0" xr:uid="{00000000-0006-0000-0400-000040000000}">
      <text>
        <r>
          <rPr>
            <sz val="10"/>
            <color rgb="FF000000"/>
            <rFont val="Arial"/>
          </rPr>
          <t>The further away you are, the more damage it deals.</t>
        </r>
      </text>
    </comment>
    <comment ref="K62" authorId="0" shapeId="0" xr:uid="{00000000-0006-0000-0400-000041000000}">
      <text>
        <r>
          <rPr>
            <sz val="10"/>
            <color rgb="FF000000"/>
            <rFont val="Arial"/>
          </rPr>
          <t>It's basically the same as doing 3 normal ranged attacks for 1 AP each, except you have to choose all the targets up front.
If you choose the same target for all 3 shots, you still have to click 3 times.</t>
        </r>
      </text>
    </comment>
    <comment ref="K63" authorId="0" shapeId="0" xr:uid="{00000000-0006-0000-0400-000042000000}">
      <text>
        <r>
          <rPr>
            <sz val="10"/>
            <color rgb="FF000000"/>
            <rFont val="Arial"/>
          </rPr>
          <t>Does not appear to work with clouds.
Blood adds extra physical damage.</t>
        </r>
      </text>
    </comment>
    <comment ref="K65" authorId="0" shapeId="0" xr:uid="{00000000-0006-0000-0400-000043000000}">
      <text>
        <r>
          <rPr>
            <sz val="10"/>
            <color rgb="FF000000"/>
            <rFont val="Arial"/>
          </rPr>
          <t>Some randomly generated gloves will give this skill.</t>
        </r>
      </text>
    </comment>
    <comment ref="K69" authorId="0" shapeId="0" xr:uid="{00000000-0006-0000-0400-000044000000}">
      <text>
        <r>
          <rPr>
            <sz val="10"/>
            <color rgb="FF000000"/>
            <rFont val="Arial"/>
          </rPr>
          <t>Sets Reactive Shot on self, but from the player's perspective, that status doesn't do anything.</t>
        </r>
      </text>
    </comment>
    <comment ref="H71" authorId="0" shapeId="0" xr:uid="{00000000-0006-0000-0400-000045000000}">
      <text>
        <r>
          <rPr>
            <sz val="10"/>
            <color rgb="FF000000"/>
            <rFont val="Arial"/>
          </rPr>
          <t>Extra long range because of the high ground bonus.</t>
        </r>
      </text>
    </comment>
    <comment ref="K71" authorId="0" shapeId="0" xr:uid="{00000000-0006-0000-0400-000046000000}">
      <text>
        <r>
          <rPr>
            <sz val="10"/>
            <color rgb="FF000000"/>
            <rFont val="Arial"/>
          </rPr>
          <t>High Ground bonuses are granted regardless of elevation.
100% is before High Ground bonuses.
Some randomly generated ranged weapons will give this skill.</t>
        </r>
      </text>
    </comment>
    <comment ref="L71" authorId="0" shapeId="0" xr:uid="{00000000-0006-0000-0400-000047000000}">
      <text>
        <r>
          <rPr>
            <sz val="10"/>
            <color rgb="FF000000"/>
            <rFont val="Arial"/>
          </rPr>
          <t>Number from the tooltip.  It doesn't take high ground bonuses into account, even though you're guaranteed to get them.</t>
        </r>
      </text>
    </comment>
    <comment ref="K75" authorId="0" shapeId="0" xr:uid="{00000000-0006-0000-0400-000048000000}">
      <text>
        <r>
          <rPr>
            <sz val="10"/>
            <color rgb="FF000000"/>
            <rFont val="Arial"/>
          </rPr>
          <t>You choose each target location.
A trap will explode automatically at the beginning of the turn of any character that is within 3m of it.  If no characters are near it, it will wait until someone is.</t>
        </r>
      </text>
    </comment>
    <comment ref="K76" authorId="0" shapeId="0" xr:uid="{00000000-0006-0000-0400-000049000000}">
      <text>
        <r>
          <rPr>
            <sz val="10"/>
            <color rgb="FF000000"/>
            <rFont val="Arial"/>
          </rPr>
          <t>It will explode automatically at the beginning of the turn of any character that is within 3m of it.  If no characters are near it, it will wait until someone is.  This makes it a lot better than it's in-game description makes it out to be.</t>
        </r>
      </text>
    </comment>
    <comment ref="K77" authorId="0" shapeId="0" xr:uid="{00000000-0006-0000-0400-00004A000000}">
      <text>
        <r>
          <rPr>
            <sz val="10"/>
            <color rgb="FF000000"/>
            <rFont val="Arial"/>
          </rPr>
          <t>A number is displayed in the in-game description, but the number used changes based on the max Magic Armor of the target.  The number in the description is based on the caster's Magic Armor amount.  The amount restored seems to always be more than the target's max.</t>
        </r>
      </text>
    </comment>
    <comment ref="K78" authorId="0" shapeId="0" xr:uid="{00000000-0006-0000-0400-00004B000000}">
      <text>
        <r>
          <rPr>
            <sz val="10"/>
            <color rgb="FF000000"/>
            <rFont val="Arial"/>
          </rPr>
          <t>Some randomly generated gloves will give this skill.</t>
        </r>
      </text>
    </comment>
    <comment ref="K81" authorId="0" shapeId="0" xr:uid="{00000000-0006-0000-0400-00004C000000}">
      <text>
        <r>
          <rPr>
            <sz val="10"/>
            <color rgb="FF000000"/>
            <rFont val="Arial"/>
          </rPr>
          <t>Only freezes the portions of a susceptible surface that is within the 13m area.  If only half a Water surface is in the area, only half will be frozen.</t>
        </r>
      </text>
    </comment>
    <comment ref="K82" authorId="0" shapeId="0" xr:uid="{00000000-0006-0000-0400-00004D000000}">
      <text>
        <r>
          <rPr>
            <sz val="10"/>
            <color rgb="FF000000"/>
            <rFont val="Arial"/>
          </rPr>
          <t>It's almost always going to fill the target area with Ice surface.</t>
        </r>
      </text>
    </comment>
    <comment ref="L82" authorId="0" shapeId="0" xr:uid="{00000000-0006-0000-0400-00004E000000}">
      <text>
        <r>
          <rPr>
            <sz val="10"/>
            <color rgb="FF000000"/>
            <rFont val="Arial"/>
          </rPr>
          <t>This is the damage number for each ice shard.  It's a coincidence that it's the same as the number of ice shards.  A single target will usually get hit by 2-3 of them.</t>
        </r>
      </text>
    </comment>
    <comment ref="I83" authorId="0" shapeId="0" xr:uid="{00000000-0006-0000-0400-00004F000000}">
      <text>
        <r>
          <rPr>
            <sz val="10"/>
            <color rgb="FF000000"/>
            <rFont val="Arial"/>
          </rPr>
          <t>Each shard has a 1.25m radius, but they're automatically clustered together, so it's basically a 2.5m radius.</t>
        </r>
      </text>
    </comment>
    <comment ref="K83" authorId="0" shapeId="0" xr:uid="{00000000-0006-0000-0400-000050000000}">
      <text>
        <r>
          <rPr>
            <sz val="10"/>
            <color rgb="FF000000"/>
            <rFont val="Arial"/>
          </rPr>
          <t>The shards do not deal AoE damage.  The target reticles indicate where they will fall and what size the Ice surface will be.</t>
        </r>
      </text>
    </comment>
    <comment ref="K84" authorId="0" shapeId="0" xr:uid="{00000000-0006-0000-0400-000051000000}">
      <text>
        <r>
          <rPr>
            <sz val="10"/>
            <color rgb="FF000000"/>
            <rFont val="Arial"/>
          </rPr>
          <t>"Fork" means that it hits the initial target, then hits another target within range of that target.  It doesn't actually split as the name suggests.  Most instances where forking occurs there is a limit to how many times it can fork, but Healing Ritual does not seem to have one.
It seems to have no total range limit, as long as there are allied characters close enough to each other.  I've healed characters over 25m from the caster using this.
Does not hit allies that have Decaying or Decomposing on them.  Does hit non-allies that have Decaying or Decomposing, though (including neutrals, so be careful).</t>
        </r>
      </text>
    </comment>
    <comment ref="K85" authorId="0" shapeId="0" xr:uid="{00000000-0006-0000-0400-000052000000}">
      <text>
        <r>
          <rPr>
            <sz val="10"/>
            <color rgb="FF000000"/>
            <rFont val="Arial"/>
          </rPr>
          <t>For Ice surfaces that are only partially in the area of effect, the entire Ice surface is still exploded, and everyone on it takes damage.  Essentially, this skill can damage characters outside of its radius.</t>
        </r>
      </text>
    </comment>
    <comment ref="I86" authorId="0" shapeId="0" xr:uid="{00000000-0006-0000-0400-000053000000}">
      <text>
        <r>
          <rPr>
            <sz val="10"/>
            <color rgb="FF000000"/>
            <rFont val="Arial"/>
          </rPr>
          <t>Each target area has a 1m radius.</t>
        </r>
      </text>
    </comment>
    <comment ref="K86" authorId="0" shapeId="0" xr:uid="{00000000-0006-0000-0400-000054000000}">
      <text>
        <r>
          <rPr>
            <sz val="10"/>
            <color rgb="FF000000"/>
            <rFont val="Arial"/>
          </rPr>
          <t>Basically, only a direct hit from one of the ice shards will affect an allied character.  The AoE will not.  This is not represented in the in-game description.</t>
        </r>
      </text>
    </comment>
    <comment ref="I87" authorId="0" shapeId="0" xr:uid="{00000000-0006-0000-0400-000055000000}">
      <text>
        <r>
          <rPr>
            <sz val="10"/>
            <color rgb="FF000000"/>
            <rFont val="Arial"/>
          </rPr>
          <t>Radius is larger than the range, so you can't cast it out of range of yourself.</t>
        </r>
      </text>
    </comment>
    <comment ref="K87" authorId="0" shapeId="0" xr:uid="{00000000-0006-0000-0400-000056000000}">
      <text>
        <r>
          <rPr>
            <sz val="10"/>
            <color rgb="FF000000"/>
            <rFont val="Arial"/>
          </rPr>
          <t>Usually creates one big puddle in the middle, and a few unconnected smaller puddles around the edge.  Does not fill the target area.</t>
        </r>
      </text>
    </comment>
    <comment ref="K88" authorId="0" shapeId="0" xr:uid="{00000000-0006-0000-0400-000057000000}">
      <text>
        <r>
          <rPr>
            <sz val="10"/>
            <color rgb="FF000000"/>
            <rFont val="Arial"/>
          </rPr>
          <t>Some randomly generated gloves will give this skill.</t>
        </r>
      </text>
    </comment>
    <comment ref="K91" authorId="0" shapeId="0" xr:uid="{00000000-0006-0000-0400-000058000000}">
      <text>
        <r>
          <rPr>
            <sz val="10"/>
            <color rgb="FF000000"/>
            <rFont val="Arial"/>
          </rPr>
          <t>The in-game description says "characters", but in testing it only affects enemies, both in damage and setting Chilled.
Only the portions of the surfaces within the area of effect are frozen.</t>
        </r>
      </text>
    </comment>
    <comment ref="B92" authorId="0" shapeId="0" xr:uid="{00000000-0006-0000-0400-000059000000}">
      <text>
        <r>
          <rPr>
            <sz val="10"/>
            <color rgb="FF000000"/>
            <rFont val="Arial"/>
          </rPr>
          <t>Granted by Spread Your Wings from Polymorph, and at least one Summon has it.</t>
        </r>
      </text>
    </comment>
    <comment ref="J94" authorId="0" shapeId="0" xr:uid="{00000000-0006-0000-0400-00005A000000}">
      <text>
        <r>
          <rPr>
            <sz val="10"/>
            <color rgb="FF000000"/>
            <rFont val="Arial"/>
          </rPr>
          <t>Suffocating cannot be resisted.
Silenced is resisted.</t>
        </r>
      </text>
    </comment>
    <comment ref="K94" authorId="0" shapeId="0" xr:uid="{00000000-0006-0000-0400-00005B000000}">
      <text>
        <r>
          <rPr>
            <sz val="10"/>
            <color rgb="FF000000"/>
            <rFont val="Arial"/>
          </rPr>
          <t>While Suffocating is always applied, it doesn't do anything if they don't have any Magic Armor, so from a practical perspective, only one of these Statuses applies.</t>
        </r>
      </text>
    </comment>
    <comment ref="J95" authorId="0" shapeId="0" xr:uid="{00000000-0006-0000-0400-00005C000000}">
      <text>
        <r>
          <rPr>
            <sz val="10"/>
            <color rgb="FF000000"/>
            <rFont val="Arial"/>
          </rPr>
          <t>Acid cannot be resisted.
Atrophy is resisted by Physical Armor.</t>
        </r>
      </text>
    </comment>
    <comment ref="J96" authorId="0" shapeId="0" xr:uid="{00000000-0006-0000-0400-00005D000000}">
      <text>
        <r>
          <rPr>
            <sz val="10"/>
            <color rgb="FF000000"/>
            <rFont val="Arial"/>
          </rPr>
          <t>Acid cannot be resisted.</t>
        </r>
      </text>
    </comment>
    <comment ref="J97" authorId="0" shapeId="0" xr:uid="{00000000-0006-0000-0400-00005E000000}">
      <text>
        <r>
          <rPr>
            <sz val="10"/>
            <color rgb="FF000000"/>
            <rFont val="Arial"/>
          </rPr>
          <t>Both Diseased and Decaying are blocked by Physical Armor.</t>
        </r>
      </text>
    </comment>
    <comment ref="K97" authorId="0" shapeId="0" xr:uid="{00000000-0006-0000-0400-00005F000000}">
      <text>
        <r>
          <rPr>
            <sz val="10"/>
            <color rgb="FF000000"/>
            <rFont val="Arial"/>
          </rPr>
          <t>Damage is dealt when cast and at the start of each of the caster's turns (so it rains blood on 3 turns total).
This spell is so weird.</t>
        </r>
      </text>
    </comment>
    <comment ref="L97" authorId="0" shapeId="0" xr:uid="{00000000-0006-0000-0400-000060000000}">
      <text>
        <r>
          <rPr>
            <sz val="10"/>
            <color rgb="FF000000"/>
            <rFont val="Arial"/>
          </rPr>
          <t>Based on limited testing.  This number should be within 5 points of the true average.</t>
        </r>
      </text>
    </comment>
    <comment ref="K98" authorId="0" shapeId="0" xr:uid="{00000000-0006-0000-0400-000061000000}">
      <text>
        <r>
          <rPr>
            <sz val="10"/>
            <color rgb="FF000000"/>
            <rFont val="Arial"/>
          </rPr>
          <t>Does NOT set Wet or remove Burning.
Blood surface does not completely fill the target area.</t>
        </r>
      </text>
    </comment>
    <comment ref="J99" authorId="0" shapeId="0" xr:uid="{00000000-0006-0000-0400-000062000000}">
      <text>
        <r>
          <rPr>
            <sz val="10"/>
            <color rgb="FF000000"/>
            <rFont val="Arial"/>
          </rPr>
          <t>Suffocating cannot be resisted.
Blinded is resisted by Magic Armor.</t>
        </r>
      </text>
    </comment>
    <comment ref="K99" authorId="0" shapeId="0" xr:uid="{00000000-0006-0000-0400-000063000000}">
      <text>
        <r>
          <rPr>
            <sz val="10"/>
            <color rgb="FF000000"/>
            <rFont val="Arial"/>
          </rPr>
          <t>The duration of Blind and Suffocating does not reduce while a character remains in the cloud.</t>
        </r>
      </text>
    </comment>
    <comment ref="K100" authorId="0" shapeId="0" xr:uid="{00000000-0006-0000-0400-000064000000}">
      <text>
        <r>
          <rPr>
            <sz val="10"/>
            <color rgb="FF000000"/>
            <rFont val="Arial"/>
          </rPr>
          <t>Some randomly generated boots will give this skill.</t>
        </r>
      </text>
    </comment>
    <comment ref="K101" authorId="0" shapeId="0" xr:uid="{00000000-0006-0000-0400-000065000000}">
      <text>
        <r>
          <rPr>
            <sz val="10"/>
            <color rgb="FF000000"/>
            <rFont val="Arial"/>
          </rPr>
          <t>So, using the value from the Numbers column, if there were 3 corpses within 13 meters of you, you would gain 268 Physical Armor.  If there were 0 corpses in the area, you would only gain 67 armor.</t>
        </r>
      </text>
    </comment>
    <comment ref="L101" authorId="0" shapeId="0" xr:uid="{00000000-0006-0000-0400-000066000000}">
      <text>
        <r>
          <rPr>
            <sz val="10"/>
            <color rgb="FF000000"/>
            <rFont val="Arial"/>
          </rPr>
          <t>67 initial + 67 per corpse.</t>
        </r>
      </text>
    </comment>
    <comment ref="K102" authorId="0" shapeId="0" xr:uid="{00000000-0006-0000-0400-000067000000}">
      <text>
        <r>
          <rPr>
            <sz val="10"/>
            <color rgb="FF000000"/>
            <rFont val="Arial"/>
          </rPr>
          <t>If you're at 50% health, it would only take 2 attacks to make up the lost damage from the AP cost, so this is usually worth the AP cost.  The Memory cost is another question, however.</t>
        </r>
      </text>
    </comment>
    <comment ref="K104" authorId="0" shapeId="0" xr:uid="{00000000-0006-0000-0400-000068000000}">
      <text>
        <r>
          <rPr>
            <sz val="10"/>
            <color rgb="FF000000"/>
            <rFont val="Arial"/>
          </rPr>
          <t>Potentially the highest AoE damage in the game.</t>
        </r>
      </text>
    </comment>
    <comment ref="K107" authorId="0" shapeId="0" xr:uid="{00000000-0006-0000-0400-000069000000}">
      <text>
        <r>
          <rPr>
            <sz val="10"/>
            <color rgb="FF000000"/>
            <rFont val="Arial"/>
          </rPr>
          <t>Resist Death will keep you alive on Lava.
The first time I used this skill in DE I was immediately killed on my enemy's following turn by normal physical damage, so this skill might be broken.</t>
        </r>
      </text>
    </comment>
    <comment ref="K109" authorId="0" shapeId="0" xr:uid="{00000000-0006-0000-0400-00006A000000}">
      <text>
        <r>
          <rPr>
            <sz val="10"/>
            <color rgb="FF000000"/>
            <rFont val="Arial"/>
          </rPr>
          <t>The explosion of the corpse has no effect other than leaving the corpse in an exploded state, which pretty much just means you can't cast Corpse Explosion on it.
You can cast this on exploded corpses.</t>
        </r>
      </text>
    </comment>
    <comment ref="L109" authorId="0" shapeId="0" xr:uid="{00000000-0006-0000-0400-00006B000000}">
      <text>
        <r>
          <rPr>
            <sz val="10"/>
            <color rgb="FF000000"/>
            <rFont val="Arial"/>
          </rPr>
          <t>Vile Burst is 182.
Melee attack is 43.  If you can, you should get in a melee attack before bursting.</t>
        </r>
      </text>
    </comment>
    <comment ref="K110" authorId="0" shapeId="0" xr:uid="{00000000-0006-0000-0400-00006C000000}">
      <text>
        <r>
          <rPr>
            <sz val="10"/>
            <color rgb="FF000000"/>
            <rFont val="Arial"/>
          </rPr>
          <t>Has no Magic Armor, but has 20% Resistance to Air, Earth, Fire, and Water, and 100% Poison Resistance.
Bone Widow is deals more attack damage than Blood Incarnate.</t>
        </r>
      </text>
    </comment>
    <comment ref="L110" authorId="0" shapeId="0" xr:uid="{00000000-0006-0000-0400-00006D000000}">
      <text>
        <r>
          <rPr>
            <sz val="10"/>
            <color rgb="FF000000"/>
            <rFont val="Arial"/>
          </rPr>
          <t>Without factoring in movement, the Bone Widow would deal 940 Physical damage over its 5-turn duration.</t>
        </r>
      </text>
    </comment>
    <comment ref="K112" authorId="0" shapeId="0" xr:uid="{00000000-0006-0000-0400-00006E000000}">
      <text>
        <r>
          <rPr>
            <sz val="10"/>
            <color rgb="FF000000"/>
            <rFont val="Arial"/>
          </rPr>
          <t>Not sure what "destroy" means yet, whether it's a static amount of damage or if sets current Magic Armor to 0.  Will test.</t>
        </r>
      </text>
    </comment>
    <comment ref="K113" authorId="0" shapeId="0" xr:uid="{00000000-0006-0000-0400-00006F000000}">
      <text>
        <r>
          <rPr>
            <sz val="10"/>
            <color rgb="FF000000"/>
            <rFont val="Arial"/>
          </rPr>
          <t>Bones Totems do 50% more damage than Wood Totems.
Bones Totems are summoned on exploded corpses as well.</t>
        </r>
      </text>
    </comment>
    <comment ref="K114" authorId="0" shapeId="0" xr:uid="{00000000-0006-0000-0400-000070000000}">
      <text>
        <r>
          <rPr>
            <sz val="10"/>
            <color rgb="FF000000"/>
            <rFont val="Arial"/>
          </rPr>
          <t>Unlike Raise Bloated Corpse, you can't use this on an exploded corpse.
Also of note, you can use Teleportation and Nether Swap on Corpses. That is probably the only way you'll hit anything with this.</t>
        </r>
      </text>
    </comment>
    <comment ref="K116" authorId="0" shapeId="0" xr:uid="{00000000-0006-0000-0400-000071000000}">
      <text>
        <r>
          <rPr>
            <sz val="10"/>
            <color rgb="FF000000"/>
            <rFont val="Arial"/>
          </rPr>
          <t>In-game description says it sets Jellyfish Skin, but the status is actually called Electric Skin.</t>
        </r>
      </text>
    </comment>
    <comment ref="K117" authorId="0" shapeId="0" xr:uid="{00000000-0006-0000-0400-000072000000}">
      <text>
        <r>
          <rPr>
            <sz val="10"/>
            <color rgb="FF000000"/>
            <rFont val="Arial"/>
          </rPr>
          <t>See the "Surfaces and Clouds" tab for Vaporize interactions.
Targets an area, but I'm not sure if it remove Frozen and Petrified from everyone in the area or if the person has to be directly targeted for that part.  All applicable surfaces in the area are turned to clouds, though.</t>
        </r>
      </text>
    </comment>
    <comment ref="C118" authorId="0" shapeId="0" xr:uid="{00000000-0006-0000-0400-000073000000}">
      <text>
        <r>
          <rPr>
            <sz val="10"/>
            <color rgb="FF000000"/>
            <rFont val="Arial"/>
          </rPr>
          <t>Temporarily granted by the skill of the same name.</t>
        </r>
      </text>
    </comment>
    <comment ref="K118" authorId="0" shapeId="0" xr:uid="{00000000-0006-0000-0400-000074000000}">
      <text>
        <r>
          <rPr>
            <sz val="10"/>
            <color rgb="FF000000"/>
            <rFont val="Arial"/>
          </rPr>
          <t>Pure Damage means that it bypasses all armor and is not reduced by any resistances.</t>
        </r>
      </text>
    </comment>
    <comment ref="C123" authorId="0" shapeId="0" xr:uid="{00000000-0006-0000-0400-000075000000}">
      <text>
        <r>
          <rPr>
            <sz val="10"/>
            <color rgb="FF000000"/>
            <rFont val="Arial"/>
          </rPr>
          <t>Temporarily granted by the skill of the same name.</t>
        </r>
      </text>
    </comment>
    <comment ref="K125" authorId="0" shapeId="0" xr:uid="{00000000-0006-0000-0400-000076000000}">
      <text>
        <r>
          <rPr>
            <sz val="10"/>
            <color rgb="FF000000"/>
            <rFont val="Arial"/>
          </rPr>
          <t>Both Retribution and Bull Rush access are 4 turns.</t>
        </r>
      </text>
    </comment>
    <comment ref="K128" authorId="0" shapeId="0" xr:uid="{00000000-0006-0000-0400-000077000000}">
      <text>
        <r>
          <rPr>
            <sz val="10"/>
            <color rgb="FF000000"/>
            <rFont val="Arial"/>
          </rPr>
          <t>Note that characters with a Max Physical Armor or Max Magic Armor of 0 will still be at 0.  That's just how percentages work.</t>
        </r>
      </text>
    </comment>
    <comment ref="K130" authorId="0" shapeId="0" xr:uid="{00000000-0006-0000-0400-000078000000}">
      <text>
        <r>
          <rPr>
            <sz val="10"/>
            <color rgb="FF000000"/>
            <rFont val="Arial"/>
          </rPr>
          <t>If you were at 50% health and they were at 100% health, you're now at 100% health and they're now at 50% health.</t>
        </r>
      </text>
    </comment>
    <comment ref="A131" authorId="0" shapeId="0" xr:uid="{00000000-0006-0000-0400-000079000000}">
      <text>
        <r>
          <rPr>
            <sz val="10"/>
            <color rgb="FF000000"/>
            <rFont val="Arial"/>
          </rPr>
          <t>AKA "Steel Skin".</t>
        </r>
      </text>
    </comment>
    <comment ref="A133" authorId="0" shapeId="0" xr:uid="{00000000-0006-0000-0400-00007A000000}">
      <text>
        <r>
          <rPr>
            <sz val="10"/>
            <color rgb="FF000000"/>
            <rFont val="Arial"/>
          </rPr>
          <t>AKA "Shed Skin".</t>
        </r>
      </text>
    </comment>
    <comment ref="K135" authorId="0" shapeId="0" xr:uid="{00000000-0006-0000-0400-00007B000000}">
      <text>
        <r>
          <rPr>
            <sz val="10"/>
            <color rgb="FF000000"/>
            <rFont val="Arial"/>
          </rPr>
          <t>Flight is listed in "Misc" for ability since non-Polymorph characters can get it.</t>
        </r>
      </text>
    </comment>
    <comment ref="O136" authorId="0" shapeId="0" xr:uid="{00000000-0006-0000-0400-00007C000000}">
      <text>
        <r>
          <rPr>
            <sz val="10"/>
            <color rgb="FF000000"/>
            <rFont val="Arial"/>
          </rPr>
          <t>The initial damage receives a bonus from your Strength.</t>
        </r>
      </text>
    </comment>
    <comment ref="K138" authorId="0" shapeId="0" xr:uid="{00000000-0006-0000-0400-00007D000000}">
      <text>
        <r>
          <rPr>
            <sz val="10"/>
            <color rgb="FF000000"/>
            <rFont val="Arial"/>
          </rPr>
          <t>You can move lava with this.</t>
        </r>
      </text>
    </comment>
    <comment ref="J139" authorId="0" shapeId="0" xr:uid="{00000000-0006-0000-0400-00007E000000}">
      <text>
        <r>
          <rPr>
            <sz val="10"/>
            <color rgb="FF000000"/>
            <rFont val="Arial"/>
          </rPr>
          <t>Bleed Fire and Burning are both resisted by Magic Armor.</t>
        </r>
      </text>
    </comment>
    <comment ref="C141" authorId="0" shapeId="0" xr:uid="{00000000-0006-0000-0400-00007F000000}">
      <text>
        <r>
          <rPr>
            <sz val="10"/>
            <color rgb="FF000000"/>
            <rFont val="Arial"/>
          </rPr>
          <t>Temporarily granted by the skill of the same name.</t>
        </r>
      </text>
    </comment>
    <comment ref="K142" authorId="0" shapeId="0" xr:uid="{00000000-0006-0000-0400-000080000000}">
      <text>
        <r>
          <rPr>
            <sz val="10"/>
            <color rgb="FF000000"/>
            <rFont val="Arial"/>
          </rPr>
          <t>"Fork" means that it hits the initial target, then hits another target within range of that target.  It doesn't actually split as the name suggests.</t>
        </r>
      </text>
    </comment>
    <comment ref="J143" authorId="0" shapeId="0" xr:uid="{00000000-0006-0000-0400-000081000000}">
      <text>
        <r>
          <rPr>
            <sz val="10"/>
            <color rgb="FF000000"/>
            <rFont val="Arial"/>
          </rPr>
          <t>Both Burning and Blinded are resisted by Magic Armor.</t>
        </r>
      </text>
    </comment>
    <comment ref="K143" authorId="0" shapeId="0" xr:uid="{00000000-0006-0000-0400-000082000000}">
      <text>
        <r>
          <rPr>
            <sz val="10"/>
            <color rgb="FF000000"/>
            <rFont val="Arial"/>
          </rPr>
          <t>The description says "long-range", but it's only 8m.  Most other spells have a longer range.</t>
        </r>
      </text>
    </comment>
    <comment ref="I145" authorId="0" shapeId="0" xr:uid="{00000000-0006-0000-0400-000083000000}">
      <text>
        <r>
          <rPr>
            <sz val="10"/>
            <color rgb="FF000000"/>
            <rFont val="Arial"/>
          </rPr>
          <t>The aura has an 8m radius.</t>
        </r>
      </text>
    </comment>
    <comment ref="K147" authorId="0" shapeId="0" xr:uid="{00000000-0006-0000-0400-000084000000}">
      <text>
        <r>
          <rPr>
            <sz val="10"/>
            <color rgb="FF000000"/>
            <rFont val="Arial"/>
          </rPr>
          <t>The AI is aware of this status and will avoid walking into range of your characters that have it.  Think of this skill as more of a deterrent than a damage source.</t>
        </r>
      </text>
    </comment>
    <comment ref="K148" authorId="0" shapeId="0" xr:uid="{00000000-0006-0000-0400-000085000000}">
      <text>
        <r>
          <rPr>
            <sz val="10"/>
            <color rgb="FF000000"/>
            <rFont val="Arial"/>
          </rPr>
          <t>Some randomly generated boots will give this skill.</t>
        </r>
      </text>
    </comment>
    <comment ref="H150" authorId="0" shapeId="0" xr:uid="{00000000-0006-0000-0400-000086000000}">
      <text>
        <r>
          <rPr>
            <sz val="10"/>
            <color rgb="FF000000"/>
            <rFont val="Arial"/>
          </rPr>
          <t>This is correct.  Yeah, I was surprised, too.</t>
        </r>
      </text>
    </comment>
    <comment ref="K150" authorId="0" shapeId="0" xr:uid="{00000000-0006-0000-0400-000087000000}">
      <text>
        <r>
          <rPr>
            <sz val="10"/>
            <color rgb="FF000000"/>
            <rFont val="Arial"/>
          </rPr>
          <t>Fire cloud is 1m wide.</t>
        </r>
      </text>
    </comment>
    <comment ref="J151" authorId="0" shapeId="0" xr:uid="{00000000-0006-0000-0400-000088000000}">
      <text>
        <r>
          <rPr>
            <sz val="10"/>
            <color rgb="FF000000"/>
            <rFont val="Arial"/>
          </rPr>
          <t>The Fire surfaces try to set Burning.</t>
        </r>
      </text>
    </comment>
    <comment ref="K151" authorId="0" shapeId="0" xr:uid="{00000000-0006-0000-0400-000089000000}">
      <text>
        <r>
          <rPr>
            <sz val="10"/>
            <color rgb="FF000000"/>
            <rFont val="Arial"/>
          </rPr>
          <t>It's almost always going to fill the target area with Fire surface.</t>
        </r>
      </text>
    </comment>
    <comment ref="K153" authorId="0" shapeId="0" xr:uid="{00000000-0006-0000-0400-00008A000000}">
      <text>
        <r>
          <rPr>
            <sz val="10"/>
            <color rgb="FF000000"/>
            <rFont val="Arial"/>
          </rPr>
          <t>If the target areas overlap, characters in the overlapping portions will be hit multiple times.</t>
        </r>
      </text>
    </comment>
    <comment ref="L154" authorId="0" shapeId="0" xr:uid="{00000000-0006-0000-0400-00008B000000}">
      <text>
        <r>
          <rPr>
            <sz val="10"/>
            <color rgb="FF000000"/>
            <rFont val="Arial"/>
          </rPr>
          <t>60 damage initially, then 32 damage for each turn of Burning/Necrofire remaining (t).
If a character hit by this had 2 turns of Burning and 1 turn of Necrofire left, they'd take 156 Fire damage.</t>
        </r>
      </text>
    </comment>
    <comment ref="J156" authorId="0" shapeId="0" xr:uid="{00000000-0006-0000-0400-00008C000000}">
      <text>
        <r>
          <rPr>
            <sz val="10"/>
            <color rgb="FF000000"/>
            <rFont val="Arial"/>
          </rPr>
          <t>The Fire surface sets Burning, which can be resisted by Magic Armor.  I put a - because the skill itself does not set it.</t>
        </r>
      </text>
    </comment>
    <comment ref="K156" authorId="0" shapeId="0" xr:uid="{00000000-0006-0000-0400-00008D000000}">
      <text>
        <r>
          <rPr>
            <sz val="10"/>
            <color rgb="FF000000"/>
            <rFont val="Arial"/>
          </rPr>
          <t>The in-game description says "around" you, but it also damages you and doesn't leave a gap in the Fire surface for you.</t>
        </r>
      </text>
    </comment>
    <comment ref="K158" authorId="0" shapeId="0" xr:uid="{00000000-0006-0000-0400-00008E000000}">
      <text>
        <r>
          <rPr>
            <sz val="10"/>
            <color rgb="FF000000"/>
            <rFont val="Arial"/>
          </rPr>
          <t>I haven't cast it during combat so I'm not sure how long it really lasts.  Seems like 1 turn.</t>
        </r>
      </text>
    </comment>
    <comment ref="K161" authorId="0" shapeId="0" xr:uid="{00000000-0006-0000-0400-00008F000000}">
      <text>
        <r>
          <rPr>
            <sz val="10"/>
            <color rgb="FF000000"/>
            <rFont val="Arial"/>
          </rPr>
          <t>Says it sets Vampiric Hunger, but the status is actually just called "Vampire".</t>
        </r>
      </text>
    </comment>
    <comment ref="K163" authorId="0" shapeId="0" xr:uid="{00000000-0006-0000-0400-000090000000}">
      <text>
        <r>
          <rPr>
            <sz val="10"/>
            <color rgb="FF000000"/>
            <rFont val="Arial"/>
          </rPr>
          <t>Outside of what's described, the effect is whatever that arrow/grenade would've done.
Does not seem to affect single-target arrows, such as Knockdown Arrows.
Has no effect on characters not carrying any applicable items.</t>
        </r>
      </text>
    </comment>
    <comment ref="K164" authorId="0" shapeId="0" xr:uid="{00000000-0006-0000-0400-000091000000}">
      <text>
        <r>
          <rPr>
            <sz val="10"/>
            <color rgb="FF000000"/>
            <rFont val="Arial"/>
          </rPr>
          <t>Outside of what's described, the effect is whatever that arrow/grenade would've done.
Does not seem to affect single-target arrows, such as Knockdown Arrows.
Has no effect on characters not carrying any applicable items.</t>
        </r>
      </text>
    </comment>
    <comment ref="K165" authorId="0" shapeId="0" xr:uid="{00000000-0006-0000-0400-000092000000}">
      <text>
        <r>
          <rPr>
            <sz val="10"/>
            <color rgb="FF000000"/>
            <rFont val="Arial"/>
          </rPr>
          <t>Does not grant AP over maximum.
Stealth is Invisibility and Sneaking.</t>
        </r>
      </text>
    </comment>
    <comment ref="K166" authorId="0" shapeId="0" xr:uid="{00000000-0006-0000-0400-000093000000}">
      <text>
        <r>
          <rPr>
            <sz val="10"/>
            <color rgb="FF000000"/>
            <rFont val="Arial"/>
          </rPr>
          <t>It Backstabs even if you don't end up behind them (like if their back is against a wall or something).</t>
        </r>
      </text>
    </comment>
    <comment ref="K168" authorId="0" shapeId="0" xr:uid="{00000000-0006-0000-0400-000094000000}">
      <text>
        <r>
          <rPr>
            <sz val="10"/>
            <color rgb="FF000000"/>
            <rFont val="Arial"/>
          </rPr>
          <t>Stealth includes Invisible and Sneaking.
Cannot use when movement is 0.</t>
        </r>
      </text>
    </comment>
    <comment ref="J169" authorId="0" shapeId="0" xr:uid="{00000000-0006-0000-0400-000095000000}">
      <text>
        <r>
          <rPr>
            <sz val="10"/>
            <color rgb="FF000000"/>
            <rFont val="Arial"/>
          </rPr>
          <t>Both statuses are resisted by Physical Armor.</t>
        </r>
      </text>
    </comment>
    <comment ref="L170" authorId="0" shapeId="0" xr:uid="{00000000-0006-0000-0400-000096000000}">
      <text>
        <r>
          <rPr>
            <sz val="10"/>
            <color rgb="FF000000"/>
            <rFont val="Arial"/>
          </rPr>
          <t>Backstabbing at 175% critical damage, all 5 hits would total 262.5 damage.</t>
        </r>
      </text>
    </comment>
    <comment ref="K173" authorId="0" shapeId="0" xr:uid="{00000000-0006-0000-0400-000097000000}">
      <text>
        <r>
          <rPr>
            <sz val="10"/>
            <color rgb="FF000000"/>
            <rFont val="Arial"/>
          </rPr>
          <t>It checks the target's health after damage is dealt, so if they weren't below 20% before you hit them, but they are now, they dead.</t>
        </r>
      </text>
    </comment>
    <comment ref="K174" authorId="0" shapeId="0" xr:uid="{00000000-0006-0000-0400-000098000000}">
      <text>
        <r>
          <rPr>
            <sz val="10"/>
            <color rgb="FF000000"/>
            <rFont val="Arial"/>
          </rPr>
          <t>The weapon damage and the damage dealt by the Ruptured Tendons status are unrelated.</t>
        </r>
      </text>
    </comment>
    <comment ref="K175" authorId="0" shapeId="0" xr:uid="{00000000-0006-0000-0400-000099000000}">
      <text>
        <r>
          <rPr>
            <sz val="10"/>
            <color rgb="FF000000"/>
            <rFont val="Arial"/>
          </rPr>
          <t>Off-hand weapon does full damage for this.  Normally it would do 50% damage.
If you're not dual-wielding, this will do the same damage as Sleeping Arms.
Some randomly generated daggers will give this skill.</t>
        </r>
      </text>
    </comment>
    <comment ref="J177" authorId="0" shapeId="0" xr:uid="{00000000-0006-0000-0400-00009A000000}">
      <text>
        <r>
          <rPr>
            <sz val="10"/>
            <color rgb="FF000000"/>
            <rFont val="Arial"/>
          </rPr>
          <t>Terrified is blocked by Magic Armor.
Bleeding is blocked by Physical Armor.</t>
        </r>
      </text>
    </comment>
    <comment ref="K179" authorId="0" shapeId="0" xr:uid="{00000000-0006-0000-0400-00009B000000}">
      <text>
        <r>
          <rPr>
            <sz val="10"/>
            <color rgb="FF000000"/>
            <rFont val="Arial"/>
          </rPr>
          <t>It's recommended to manually activate Suicide, especially before combat ends.  If combat ends and your Wind-Up Toy still lives, it will run up to you and then explode.
Wind-Up Toy can attack, but it barely does any damage, and it's very easy to kill, so you should just Suicide it.</t>
        </r>
      </text>
    </comment>
    <comment ref="K181" authorId="0" shapeId="0" xr:uid="{00000000-0006-0000-0400-00009C000000}">
      <text>
        <r>
          <rPr>
            <sz val="10"/>
            <color rgb="FF000000"/>
            <rFont val="Arial"/>
          </rPr>
          <t>It dies in the process.</t>
        </r>
      </text>
    </comment>
    <comment ref="K183" authorId="0" shapeId="0" xr:uid="{00000000-0006-0000-0400-00009D000000}">
      <text>
        <r>
          <rPr>
            <sz val="10"/>
            <color rgb="FF000000"/>
            <rFont val="Arial"/>
          </rPr>
          <t>It's in-game description says it sets "Empowered", but the buff it receives is actually called "Consumed Corpse".</t>
        </r>
      </text>
    </comment>
    <comment ref="K184" authorId="0" shapeId="0" xr:uid="{00000000-0006-0000-0400-00009E000000}">
      <text>
        <r>
          <rPr>
            <sz val="10"/>
            <color rgb="FF000000"/>
            <rFont val="Arial"/>
          </rPr>
          <t>The skill won't damage allies, but the Fire surface it creates will.
It will replace any surface with a Fire surface, which is not what usually happens.</t>
        </r>
      </text>
    </comment>
    <comment ref="A187" authorId="0" shapeId="0" xr:uid="{00000000-0006-0000-0400-00009F000000}">
      <text>
        <r>
          <rPr>
            <sz val="10"/>
            <color rgb="FF000000"/>
            <rFont val="Arial"/>
          </rPr>
          <t>Yes, that's really the displayed name of the skill in-game.</t>
        </r>
      </text>
    </comment>
    <comment ref="K190" authorId="0" shapeId="0" xr:uid="{00000000-0006-0000-0400-0000A0000000}">
      <text>
        <r>
          <rPr>
            <sz val="10"/>
            <color rgb="FF000000"/>
            <rFont val="Arial"/>
          </rPr>
          <t>If they're too far apart, it won't let you do it.</t>
        </r>
      </text>
    </comment>
    <comment ref="C198" authorId="0" shapeId="0" xr:uid="{00000000-0006-0000-0400-0000A1000000}">
      <text>
        <r>
          <rPr>
            <sz val="10"/>
            <color rgb="FF000000"/>
            <rFont val="Arial"/>
          </rPr>
          <t>Granted by the skill Summon Inner Demon.</t>
        </r>
      </text>
    </comment>
    <comment ref="C199" authorId="0" shapeId="0" xr:uid="{00000000-0006-0000-0400-0000A2000000}">
      <text>
        <r>
          <rPr>
            <sz val="10"/>
            <color rgb="FF000000"/>
            <rFont val="Arial"/>
          </rPr>
          <t>Granted by the skill Summon Inner Demon.</t>
        </r>
      </text>
    </comment>
    <comment ref="C202" authorId="0" shapeId="0" xr:uid="{00000000-0006-0000-0400-0000A3000000}">
      <text>
        <r>
          <rPr>
            <sz val="10"/>
            <color rgb="FF000000"/>
            <rFont val="Arial"/>
          </rPr>
          <t>Black Cat that follows you in Fort Joy must survive until you escape.  Pet Pal is not required.</t>
        </r>
      </text>
    </comment>
    <comment ref="C203" authorId="0" shapeId="0" xr:uid="{00000000-0006-0000-0400-0000A4000000}">
      <text>
        <r>
          <rPr>
            <sz val="10"/>
            <color rgb="FF000000"/>
            <rFont val="Arial"/>
          </rPr>
          <t>Pet Pal is required.  It's not really a quest, you just talk to him and then you get the ability to summon him.</t>
        </r>
      </text>
    </comment>
    <comment ref="C204" authorId="0" shapeId="0" xr:uid="{00000000-0006-0000-0400-0000A5000000}">
      <text>
        <r>
          <rPr>
            <sz val="10"/>
            <color rgb="FF000000"/>
            <rFont val="Arial"/>
          </rPr>
          <t>I haven't encountered this yet.  It's part of The Red Prince's storyline, though.  I think only he can get it.</t>
        </r>
      </text>
    </comment>
    <comment ref="K204" authorId="0" shapeId="0" xr:uid="{00000000-0006-0000-0400-0000A6000000}">
      <text>
        <r>
          <rPr>
            <sz val="10"/>
            <color rgb="FF000000"/>
            <rFont val="Arial"/>
          </rPr>
          <t>Can someone get this and then send me their save game?  I haven't done any Red Prince stuff on my current run, and I'm at the point of no return in order to get this.  I'd have to start a new run specifically to get this.  This skill can only be acquired through the Red Prince storyline.
darxim@darkseam.com
Comment to let me know you sent it in case I don't receive it for some reason.</t>
        </r>
      </text>
    </comment>
    <comment ref="K205" authorId="0" shapeId="0" xr:uid="{00000000-0006-0000-0400-0000A7000000}">
      <text>
        <r>
          <rPr>
            <sz val="10"/>
            <color rgb="FF000000"/>
            <rFont val="Arial"/>
          </rPr>
          <t>In-game description includes totems, but all things that work on summons also work on totems.</t>
        </r>
      </text>
    </comment>
    <comment ref="B206" authorId="0" shapeId="0" xr:uid="{00000000-0006-0000-0400-0000A8000000}">
      <text>
        <r>
          <rPr>
            <sz val="10"/>
            <color rgb="FF000000"/>
            <rFont val="Arial"/>
          </rPr>
          <t>Don't play 4 summoners.  It's super-effective but also super-boring.</t>
        </r>
      </text>
    </comment>
    <comment ref="K206" authorId="0" shapeId="0" xr:uid="{00000000-0006-0000-0400-0000A9000000}">
      <text>
        <r>
          <rPr>
            <sz val="10"/>
            <color rgb="FF000000"/>
            <rFont val="Arial"/>
          </rPr>
          <t>At Summoning 10, the Incarnate changes to an Incarnate Champion, which is a big boost in base stats.
The type of incarnate determines the damage type.  For instance, an incarnate summoned on water will deal Water damage.  Does not work with clouds.
All incarnates get points in the Warfare skill (half level rounded up; max 10 at level 19), but only the uninfused and Blood incarnates actually benefit from it.
Blood Incarnates have the highest attack damage of the incarnates.
See the Summons Research tab for stats.</t>
        </r>
      </text>
    </comment>
    <comment ref="K207" authorId="0" shapeId="0" xr:uid="{00000000-0006-0000-0400-0000AA000000}">
      <text>
        <r>
          <rPr>
            <sz val="10"/>
            <color rgb="FF000000"/>
            <rFont val="Arial"/>
          </rPr>
          <t xml:space="preserve">Primarily used to create a surface to summon on, but it's usually better to use an ability that guarantees your surface type so you can get the incarnates and totems that work best.
Can do Physical damage, but won't create a blood surface unless it damages vitality.  When it does Electric damage, it will only affect existing surfaces, not create a new one.  </t>
        </r>
      </text>
    </comment>
    <comment ref="L207" authorId="0" shapeId="0" xr:uid="{00000000-0006-0000-0400-0000AB000000}">
      <text>
        <r>
          <rPr>
            <sz val="10"/>
            <color rgb="FF000000"/>
            <rFont val="Arial"/>
          </rPr>
          <t>Factors in ability bonuses (such as from Pyrokinetic or Hydrosophist).</t>
        </r>
      </text>
    </comment>
    <comment ref="K209" authorId="0" shapeId="0" xr:uid="{00000000-0006-0000-0400-0000AC000000}">
      <text>
        <r>
          <rPr>
            <sz val="10"/>
            <color rgb="FF000000"/>
            <rFont val="Arial"/>
          </rPr>
          <t>Does not prevent death from Supercharged.
I'm not 100% certain, but I think it only affects summons summoned by the character casting this.  Other allied summons are not affected.  I'm basing this is on the TargetConditions field in the editor.</t>
        </r>
      </text>
    </comment>
    <comment ref="K210" authorId="0" shapeId="0" xr:uid="{00000000-0006-0000-0400-0000AD000000}">
      <text>
        <r>
          <rPr>
            <sz val="10"/>
            <color rgb="FF000000"/>
            <rFont val="Arial"/>
          </rPr>
          <t>Newly summoned elemental totems will fire immediately after their summoner's turn.  After that, their low initiative usually puts them at the end of the turn.
Without some external influence, a character can only have 3 totems out a time simply due to their short duration.</t>
        </r>
      </text>
    </comment>
    <comment ref="K211" authorId="0" shapeId="0" xr:uid="{00000000-0006-0000-0400-0000AE000000}">
      <text>
        <r>
          <rPr>
            <sz val="10"/>
            <color rgb="FF000000"/>
            <rFont val="Arial"/>
          </rPr>
          <t>Just to clarify, that's 2 turns after the current one.  There's 3 total turns of ethereal bolt rain.
Whether a bolt deals damage or sets Healing is dependent on whether it hits an enemy or an ally.
"Lasts 2 turns" refers to the storm, not the Healing status (which also lasts 2 turns).</t>
        </r>
      </text>
    </comment>
    <comment ref="L211" authorId="0" shapeId="0" xr:uid="{00000000-0006-0000-0400-0000AF000000}">
      <text>
        <r>
          <rPr>
            <sz val="10"/>
            <color rgb="FF000000"/>
            <rFont val="Arial"/>
          </rPr>
          <t>This is the damage number.  The healing amount depends on the Healing status.
Based on limited testing.  This number should be within 5 points of the true average.</t>
        </r>
      </text>
    </comment>
    <comment ref="K212" authorId="0" shapeId="0" xr:uid="{00000000-0006-0000-0400-0000B0000000}">
      <text>
        <r>
          <rPr>
            <sz val="10"/>
            <color rgb="FF000000"/>
            <rFont val="Arial"/>
          </rPr>
          <t>Does not remove any existing infusions.
Lasts as long as your incarnate does.
Yes, that is really the displayed name of the skill it's granted.</t>
        </r>
      </text>
    </comment>
    <comment ref="K213" authorId="0" shapeId="0" xr:uid="{00000000-0006-0000-0400-0000B1000000}">
      <text>
        <r>
          <rPr>
            <sz val="10"/>
            <color rgb="FF000000"/>
            <rFont val="Arial"/>
          </rPr>
          <t>The AP cost of the gateways pretty much makes this skill completely worthless.  I really can't fathom what the devs were thinking when they made this.
The Gateways don't have to be placed in range of each other, just in range of the caster.</t>
        </r>
      </text>
    </comment>
    <comment ref="K214" authorId="0" shapeId="0" xr:uid="{00000000-0006-0000-0400-0000B2000000}">
      <text>
        <r>
          <rPr>
            <sz val="10"/>
            <color rgb="FF000000"/>
            <rFont val="Arial"/>
          </rPr>
          <t>Does not remove any existing infusions.
Lasts as long as your incarnate does.</t>
        </r>
      </text>
    </comment>
    <comment ref="K216" authorId="0" shapeId="0" xr:uid="{00000000-0006-0000-0400-0000B3000000}">
      <text>
        <r>
          <rPr>
            <sz val="10"/>
            <color rgb="FF000000"/>
            <rFont val="Arial"/>
          </rPr>
          <t>Does not remove any existing infusions.
Lasts as long as your incarnate does.</t>
        </r>
      </text>
    </comment>
    <comment ref="K217" authorId="0" shapeId="0" xr:uid="{00000000-0006-0000-0400-0000B4000000}">
      <text>
        <r>
          <rPr>
            <sz val="10"/>
            <color rgb="FF000000"/>
            <rFont val="Arial"/>
          </rPr>
          <t>If you put Soul Mate on an undead, they take damage when you heal.</t>
        </r>
      </text>
    </comment>
    <comment ref="K219" authorId="0" shapeId="0" xr:uid="{00000000-0006-0000-0400-0000B5000000}">
      <text>
        <r>
          <rPr>
            <sz val="10"/>
            <color rgb="FF000000"/>
            <rFont val="Arial"/>
          </rPr>
          <t>The in-game description says that the summon dies at the end of its next turn, but it actually dies at the end of the Supercharged's duration.
I think Door To Eternity will prevent the death.
Supercharged is +50% Damage.</t>
        </r>
      </text>
    </comment>
    <comment ref="K220" authorId="0" shapeId="0" xr:uid="{00000000-0006-0000-0400-0000B6000000}">
      <text>
        <r>
          <rPr>
            <sz val="10"/>
            <color rgb="FF000000"/>
            <rFont val="Arial"/>
          </rPr>
          <t>Does not remove any existing infusions.
Lasts as long as your incarnate does.</t>
        </r>
      </text>
    </comment>
    <comment ref="K224" authorId="0" shapeId="0" xr:uid="{00000000-0006-0000-0400-0000B7000000}">
      <text>
        <r>
          <rPr>
            <sz val="10"/>
            <color rgb="FF000000"/>
            <rFont val="Arial"/>
          </rPr>
          <t>Only removes the portion around you, not the entire connected surface.</t>
        </r>
      </text>
    </comment>
    <comment ref="K227" authorId="0" shapeId="0" xr:uid="{00000000-0006-0000-0400-0000B8000000}">
      <text>
        <r>
          <rPr>
            <sz val="10"/>
            <color rgb="FF000000"/>
            <rFont val="Arial"/>
          </rPr>
          <t>Not an aura. Each character gets their own copy of Sparkmaster when cast.</t>
        </r>
      </text>
    </comment>
    <comment ref="J229" authorId="0" shapeId="0" xr:uid="{00000000-0006-0000-0400-0000B9000000}">
      <text>
        <r>
          <rPr>
            <sz val="10"/>
            <color rgb="FF000000"/>
            <rFont val="Arial"/>
          </rPr>
          <t>Knocked Down is resisted by Physical Armor even if your attack doesn't deal Physical damage.</t>
        </r>
      </text>
    </comment>
    <comment ref="K229" authorId="0" shapeId="0" xr:uid="{00000000-0006-0000-0400-0000BA000000}">
      <text>
        <r>
          <rPr>
            <sz val="10"/>
            <color rgb="FF000000"/>
            <rFont val="Arial"/>
          </rPr>
          <t>Backstab requires a dagger in the main hand.
Some randomly generated boots will give this skill.</t>
        </r>
      </text>
    </comment>
    <comment ref="A230" authorId="0" shapeId="0" xr:uid="{00000000-0006-0000-0400-0000BB000000}">
      <text>
        <r>
          <rPr>
            <sz val="10"/>
            <color rgb="FF000000"/>
            <rFont val="Arial"/>
          </rPr>
          <t>AKA "Ground Smash".</t>
        </r>
      </text>
    </comment>
    <comment ref="J230" authorId="0" shapeId="0" xr:uid="{00000000-0006-0000-0400-0000BC000000}">
      <text>
        <r>
          <rPr>
            <sz val="10"/>
            <color rgb="FF000000"/>
            <rFont val="Arial"/>
          </rPr>
          <t>Knocked Down is resisted by Physical Armor even if your attack doesn't deal Physical damage.</t>
        </r>
      </text>
    </comment>
    <comment ref="K230" authorId="0" shapeId="0" xr:uid="{00000000-0006-0000-0400-0000BD000000}">
      <text>
        <r>
          <rPr>
            <sz val="10"/>
            <color rgb="FF000000"/>
            <rFont val="Arial"/>
          </rPr>
          <t>Backstab requires a dagger in the main hand.
Only clears the portion of the surfaces and clouds that are directly in Battle Stomp's cone.</t>
        </r>
      </text>
    </comment>
    <comment ref="K231" authorId="0" shapeId="0" xr:uid="{00000000-0006-0000-0400-0000BE000000}">
      <text>
        <r>
          <rPr>
            <sz val="10"/>
            <color rgb="FF000000"/>
            <rFont val="Arial"/>
          </rPr>
          <t>The initial target doesn't have to be an enemy, but the random target always is.  This can be useful sometimes for closing the gap.</t>
        </r>
      </text>
    </comment>
    <comment ref="K232" authorId="0" shapeId="0" xr:uid="{00000000-0006-0000-0400-0000BF000000}">
      <text>
        <r>
          <rPr>
            <sz val="10"/>
            <color rgb="FF000000"/>
            <rFont val="Arial"/>
          </rPr>
          <t>Does NOT count as a weapon skill, so it can't be dodged or blocked, but it also can't crit, and you can't use it while Enraged or Silenced.
Some randomly generated shields will give this skill.</t>
        </r>
      </text>
    </comment>
    <comment ref="L232" authorId="0" shapeId="0" xr:uid="{00000000-0006-0000-0400-0000C0000000}">
      <text>
        <r>
          <rPr>
            <sz val="10"/>
            <color rgb="FF000000"/>
            <rFont val="Arial"/>
          </rPr>
          <t>Each target takes 114 damage.</t>
        </r>
      </text>
    </comment>
    <comment ref="I234" authorId="0" shapeId="0" xr:uid="{00000000-0006-0000-0400-0000C1000000}">
      <text>
        <r>
          <rPr>
            <sz val="10"/>
            <color rgb="FF000000"/>
            <rFont val="Arial"/>
          </rPr>
          <t>Radius does not seem to be affected by weapon range.</t>
        </r>
      </text>
    </comment>
    <comment ref="J234" authorId="0" shapeId="0" xr:uid="{00000000-0006-0000-0400-0000C2000000}">
      <text>
        <r>
          <rPr>
            <sz val="10"/>
            <color rgb="FF000000"/>
            <rFont val="Arial"/>
          </rPr>
          <t>Crippled is resisted by Physical Armor even if your attack doesn't deal Physical damage.</t>
        </r>
      </text>
    </comment>
    <comment ref="K234" authorId="0" shapeId="0" xr:uid="{00000000-0006-0000-0400-0000C3000000}">
      <text>
        <r>
          <rPr>
            <sz val="10"/>
            <color rgb="FF000000"/>
            <rFont val="Arial"/>
          </rPr>
          <t>Does not hit all enemies in the highlighted area.  The actual AoE is not shown.
Backstab requires a dagger in the main hand.</t>
        </r>
      </text>
    </comment>
    <comment ref="K238" authorId="0" shapeId="0" xr:uid="{00000000-0006-0000-0400-0000C4000000}">
      <text>
        <r>
          <rPr>
            <sz val="10"/>
            <color rgb="FF000000"/>
            <rFont val="Arial"/>
          </rPr>
          <t>Backstab requires a dagger in the main hand.</t>
        </r>
      </text>
    </comment>
    <comment ref="L238" authorId="0" shapeId="0" xr:uid="{00000000-0006-0000-0400-0000C5000000}">
      <text>
        <r>
          <rPr>
            <sz val="10"/>
            <color rgb="FF000000"/>
            <rFont val="Arial"/>
          </rPr>
          <t>All 5 hits without crits would total 160 damage.</t>
        </r>
      </text>
    </comment>
    <comment ref="K239" authorId="0" shapeId="0" xr:uid="{00000000-0006-0000-0400-0000C6000000}">
      <text>
        <r>
          <rPr>
            <sz val="10"/>
            <color rgb="FF000000"/>
            <rFont val="Arial"/>
          </rPr>
          <t>Overpower does its initial damage before checking armor totals to see if you have more than your target.  This means you can break your target's armor even if they have slightly more physical armor than you before hitting them.
If Overpower destroys the target's Physical Armor because you have more Physical Armor than them, it will not set Knocked Down.
Backstab requires a dagger in the main hand.</t>
        </r>
      </text>
    </comment>
    <comment ref="K240" authorId="0" shapeId="0" xr:uid="{00000000-0006-0000-0400-0000C7000000}">
      <text>
        <r>
          <rPr>
            <sz val="10"/>
            <color rgb="FF000000"/>
            <rFont val="Arial"/>
          </rPr>
          <t>Fire surface surrounds you but is not actually under your feet.</t>
        </r>
      </text>
    </comment>
    <comment ref="A241" authorId="0" shapeId="0" xr:uid="{00000000-0006-0000-0400-0000C8000000}">
      <text>
        <r>
          <rPr>
            <sz val="10"/>
            <color rgb="FF000000"/>
            <rFont val="Arial"/>
          </rPr>
          <t>AKA "Provoke".</t>
        </r>
      </text>
    </comment>
    <comment ref="K241" authorId="0" shapeId="0" xr:uid="{00000000-0006-0000-0400-0000C9000000}">
      <text>
        <r>
          <rPr>
            <sz val="10"/>
            <color rgb="FF000000"/>
            <rFont val="Arial"/>
          </rPr>
          <t>Some randomly generated shields will give this skill.</t>
        </r>
      </text>
    </comment>
    <comment ref="I243" authorId="0" shapeId="0" xr:uid="{00000000-0006-0000-0400-0000CA000000}">
      <text>
        <r>
          <rPr>
            <sz val="10"/>
            <color rgb="FF000000"/>
            <rFont val="Arial"/>
          </rPr>
          <t>Base radius is 2.5, then add the weapon's range. 
A 1H Sword increases the radius to the displayed value of 4.
A spear would increase the radius to 5.5.</t>
        </r>
      </text>
    </comment>
    <comment ref="K243" authorId="0" shapeId="0" xr:uid="{00000000-0006-0000-0400-0000CB000000}">
      <text>
        <r>
          <rPr>
            <sz val="10"/>
            <color rgb="FF000000"/>
            <rFont val="Arial"/>
          </rPr>
          <t>Backstab requires a dagger in the main hand.
Radius is partly weapon-based.  See the note in the Rad column.
Some randomly generated 2H melee weapons (not staffs) will give this skill.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500-000001000000}">
      <text>
        <r>
          <rPr>
            <sz val="10"/>
            <color rgb="FF000000"/>
            <rFont val="Arial"/>
          </rPr>
          <t>Combine a non-source skillbook of each ability to get the cross-ability skillbook.  Cannot use blank skillbooks.</t>
        </r>
      </text>
    </comment>
    <comment ref="H1" authorId="0" shapeId="0" xr:uid="{00000000-0006-0000-0500-000002000000}">
      <text>
        <r>
          <rPr>
            <sz val="10"/>
            <color rgb="FF000000"/>
            <rFont val="Arial"/>
          </rPr>
          <t xml:space="preserve">If you want to use this, save a copy of this spreadsheet, then in your copy put however many points you have for each ability on your character below, and the cross-ability skills you can get will highlight green.  Highlighting may not work outside of Google Sheets.
If you leave it blank that counts as 0.  Nothing over 5 matters, so if you have more than 5 points in an ability, you can just put 5.
</t>
        </r>
      </text>
    </comment>
    <comment ref="K1" authorId="0" shapeId="0" xr:uid="{00000000-0006-0000-0500-000003000000}">
      <text>
        <r>
          <rPr>
            <sz val="10"/>
            <color rgb="FF000000"/>
            <rFont val="Arial"/>
          </rPr>
          <t>This section is needed because Conditional Formatting doesn't support looking up data in other sheets.  In Help it says to use INDIRECT to get around this, but I can't figure out how (I keep getting a #REF error).  If you know how to do it, let me know.  
Of course, I didn't need to do it this way.  I could've just done a separate thing for Blood Storm, but I had incorrect levels for some Summoning skills, so I thought I had to do it this way.  Then I checked the levels for those skills and they were all 1.  I should've checked that first.</t>
        </r>
      </text>
    </comment>
    <comment ref="A10" authorId="0" shapeId="0" xr:uid="{00000000-0006-0000-0500-000004000000}">
      <text>
        <r>
          <rPr>
            <sz val="10"/>
            <color rgb="FF000000"/>
            <rFont val="Arial"/>
          </rPr>
          <t>Combine a skillbook of each ability to get the cross-ability skillbook.  One of the combined skillbooks MUST be a source skillbook.</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600-000001000000}">
      <text>
        <r>
          <rPr>
            <sz val="10"/>
            <color rgb="FF000000"/>
            <rFont val="Arial"/>
          </rPr>
          <t>Cursed and Blessed surfaces and clouds coming eventually.</t>
        </r>
      </text>
    </comment>
    <comment ref="B1" authorId="0" shapeId="0" xr:uid="{00000000-0006-0000-0600-000002000000}">
      <text>
        <r>
          <rPr>
            <sz val="10"/>
            <color rgb="FF000000"/>
            <rFont val="Arial"/>
          </rPr>
          <t>S = Surface
C = Cloud</t>
        </r>
      </text>
    </comment>
    <comment ref="C1" authorId="0" shapeId="0" xr:uid="{00000000-0006-0000-0600-000003000000}">
      <text>
        <r>
          <rPr>
            <sz val="10"/>
            <color rgb="FF000000"/>
            <rFont val="Arial"/>
          </rPr>
          <t>Effects happen each turn and also occurs repeatedly during movement.
Surfaces can crit for 200%.  I don't know what the crit chance is.
Damage/Restore numbers are based on a level 10 character with no resistances.  Note that damage/restore numbers are increased by the Abilities of the surface's creator.  For instance, a Poison surface made by a person with Geomancer 1 will do less damage than a Poison surface made by a person with Geomancer 5.  Surfaces/clouds made by items (such as grenades) are also affected.
The in-game tooltips for surfaces and clouds do not account for ability bonuses.</t>
        </r>
      </text>
    </comment>
    <comment ref="D1" authorId="0" shapeId="0" xr:uid="{00000000-0006-0000-0600-000004000000}">
      <text>
        <r>
          <rPr>
            <sz val="10"/>
            <color rgb="FF000000"/>
            <rFont val="Arial"/>
          </rPr>
          <t>Duration.
∞ = Does not expire automatically.
(alt code is 236)
Blessed/Cursed surfaces and clouds turn back into their non-Blessed/Cursed form when their duration runs out (if they have a duration).  If the original surface or cloud had a duration, it's duration starts over at this time.</t>
        </r>
      </text>
    </comment>
    <comment ref="E1" authorId="0" shapeId="0" xr:uid="{00000000-0006-0000-0600-000005000000}">
      <text>
        <r>
          <rPr>
            <sz val="10"/>
            <color rgb="FF000000"/>
            <rFont val="Arial"/>
          </rPr>
          <t>Armor type it's resisted by:
M = Magic
P = Physical
- = Cannot be resisted</t>
        </r>
      </text>
    </comment>
    <comment ref="F1" authorId="0" shapeId="0" xr:uid="{00000000-0006-0000-0600-000006000000}">
      <text>
        <r>
          <rPr>
            <sz val="10"/>
            <color rgb="FF000000"/>
            <rFont val="Arial"/>
          </rPr>
          <t>All non-blessed, non-cursed surfaces and clouds can become blessed or cursed surfaces/clouds, except Lava.
"Susceptible" means something has to specifically change it's type, like Contamination.
Blessed and Cursed cancel each other out.</t>
        </r>
      </text>
    </comment>
    <comment ref="G1" authorId="0" shapeId="0" xr:uid="{00000000-0006-0000-0600-000007000000}">
      <text>
        <r>
          <rPr>
            <sz val="10"/>
            <color rgb="FF000000"/>
            <rFont val="Arial"/>
          </rPr>
          <t>When a cloud is hit with Pressure Spike or a surface is hit with Vaporize, what does it change into?
"unaffected" means nothing happens to it.
"removed" means it doesn't turn into anything, it just goes away.
When changing a surface to a cloud and vice versa, it resets the duration.</t>
        </r>
      </text>
    </comment>
    <comment ref="C2" authorId="0" shapeId="0" xr:uid="{00000000-0006-0000-0600-000008000000}">
      <text>
        <r>
          <rPr>
            <sz val="10"/>
            <color rgb="FF000000"/>
            <rFont val="Arial"/>
          </rPr>
          <t>Be careful with Undead party members when out of combat.  They won't avoid blessed surfaces.
Blessed Surfaces gain a healing bonus from the Hydrosophist level of the one who blesses it.</t>
        </r>
      </text>
    </comment>
    <comment ref="C3" authorId="0" shapeId="0" xr:uid="{00000000-0006-0000-0600-000009000000}">
      <text>
        <r>
          <rPr>
            <sz val="10"/>
            <color rgb="FF000000"/>
            <rFont val="Arial"/>
          </rPr>
          <t>Be careful with Undead party members when out of combat.  They won't avoid blessed surfaces.
Blessed Surfaces gain a healing bonus from the Hydrosophist level of the one who blesses it.</t>
        </r>
      </text>
    </comment>
    <comment ref="C4" authorId="0" shapeId="0" xr:uid="{00000000-0006-0000-0600-00000A000000}">
      <text>
        <r>
          <rPr>
            <sz val="10"/>
            <color rgb="FF000000"/>
            <rFont val="Arial"/>
          </rPr>
          <t>Be careful with Undead party members when out of combat.  They won't avoid blessed surfaces.
Blessed Surfaces gain a healing bonus from the Hydrosophist level of the one who blesses it.</t>
        </r>
      </text>
    </comment>
    <comment ref="C5" authorId="0" shapeId="0" xr:uid="{00000000-0006-0000-0600-00000B000000}">
      <text>
        <r>
          <rPr>
            <sz val="10"/>
            <color rgb="FF000000"/>
            <rFont val="Arial"/>
          </rPr>
          <t>Be careful with Undead party members when out of combat.  They won't avoid blessed surfaces.
Blessed Surfaces gain a healing bonus from the Hydrosophist level of the one who blesses it.</t>
        </r>
      </text>
    </comment>
    <comment ref="C6" authorId="0" shapeId="0" xr:uid="{00000000-0006-0000-0600-00000C000000}">
      <text>
        <r>
          <rPr>
            <sz val="10"/>
            <color rgb="FF000000"/>
            <rFont val="Arial"/>
          </rPr>
          <t>I don't know what the chance is, but it seems pretty high.  I think at least 50% is a safe estimate.
Does NOT cause Knocked Down.</t>
        </r>
      </text>
    </comment>
    <comment ref="C8" authorId="0" shapeId="0" xr:uid="{00000000-0006-0000-0600-00000D000000}">
      <text>
        <r>
          <rPr>
            <sz val="10"/>
            <color rgb="FF000000"/>
            <rFont val="Arial"/>
          </rPr>
          <t>Be careful with Undead party members when out of combat.  They won't avoid blessed surfaces.
Blessed Surfaces gain a healing bonus from the Hydrosophist level of the one who blesses it.</t>
        </r>
      </text>
    </comment>
    <comment ref="C9" authorId="0" shapeId="0" xr:uid="{00000000-0006-0000-0600-00000E000000}">
      <text>
        <r>
          <rPr>
            <sz val="10"/>
            <color rgb="FF000000"/>
            <rFont val="Arial"/>
          </rPr>
          <t>Be careful with Undead party members when out of combat.  They won't avoid blessed surfaces.
Blessed Surfaces gain a healing bonus from the Hydrosophist level of the one who blesses it.</t>
        </r>
      </text>
    </comment>
    <comment ref="C11" authorId="0" shapeId="0" xr:uid="{00000000-0006-0000-0600-00000F000000}">
      <text>
        <r>
          <rPr>
            <sz val="10"/>
            <color rgb="FF000000"/>
            <rFont val="Arial"/>
          </rPr>
          <t>Tooltip doesn't say it removes Burning, but it does.
Be careful with Undead party members when out of combat.  They won't avoid blessed surfaces.
Blessed Surfaces gain a healing bonus from the Hydrosophist level of the one who blesses it.</t>
        </r>
      </text>
    </comment>
    <comment ref="C12" authorId="0" shapeId="0" xr:uid="{00000000-0006-0000-0600-000010000000}">
      <text>
        <r>
          <rPr>
            <sz val="10"/>
            <color rgb="FF000000"/>
            <rFont val="Arial"/>
          </rPr>
          <t>Be careful with Undead party members when out of combat.  They won't avoid blessed surfaces.
Blessed Surfaces gain a healing bonus from the Hydrosophist level of the one who blesses it.</t>
        </r>
      </text>
    </comment>
    <comment ref="C14" authorId="0" shapeId="0" xr:uid="{00000000-0006-0000-0600-000011000000}">
      <text>
        <r>
          <rPr>
            <sz val="10"/>
            <color rgb="FF000000"/>
            <rFont val="Arial"/>
          </rPr>
          <t>Note that a character standing on a Blood surface that is Shocked will be Stunned instead, because when they are Shocked, the Blood becomes Electrified, which then reapplies Shocked.  When a character who is Shocked is Shocked again, Shocked becomes Stunned.</t>
        </r>
      </text>
    </comment>
    <comment ref="C15" authorId="0" shapeId="0" xr:uid="{00000000-0006-0000-0600-000012000000}">
      <text>
        <r>
          <rPr>
            <sz val="10"/>
            <color rgb="FF000000"/>
            <rFont val="Arial"/>
          </rPr>
          <t>Note that a character standing in a Blood Cloud that is Shocked will be Stunned instead, because when they are Shocked, the Blood Cloud becomes Electrified, which then reapplies Shocked.  When a character who is Shocked is Shocked again, Shocked becomes Stunned.</t>
        </r>
      </text>
    </comment>
    <comment ref="F15" authorId="0" shapeId="0" xr:uid="{00000000-0006-0000-0600-000013000000}">
      <text>
        <r>
          <rPr>
            <sz val="10"/>
            <color rgb="FF000000"/>
            <rFont val="Arial"/>
          </rPr>
          <t>The tooltip for Blood Cloud says it can be frozen, but if you cast Global Cooling, it just turns back into a Blood surface.</t>
        </r>
      </text>
    </comment>
    <comment ref="C18" authorId="0" shapeId="0" xr:uid="{00000000-0006-0000-0600-000014000000}">
      <text>
        <r>
          <rPr>
            <sz val="10"/>
            <color rgb="FF000000"/>
            <rFont val="Arial"/>
          </rPr>
          <t>Deals more Air damage than regular Electrified surfaces/clouds.
Numbers coming eventually.</t>
        </r>
      </text>
    </comment>
    <comment ref="A19" authorId="0" shapeId="0" xr:uid="{00000000-0006-0000-0600-000015000000}">
      <text>
        <r>
          <rPr>
            <sz val="10"/>
            <color rgb="FF000000"/>
            <rFont val="Arial"/>
          </rPr>
          <t>Name?  I think it's called Necrofire.  I know the status it inflicts is.</t>
        </r>
      </text>
    </comment>
    <comment ref="C19" authorId="0" shapeId="0" xr:uid="{00000000-0006-0000-0600-000016000000}">
      <text>
        <r>
          <rPr>
            <sz val="10"/>
            <color rgb="FF000000"/>
            <rFont val="Arial"/>
          </rPr>
          <t>Need damage and duration.</t>
        </r>
      </text>
    </comment>
    <comment ref="C21" authorId="0" shapeId="0" xr:uid="{00000000-0006-0000-0600-000017000000}">
      <text>
        <r>
          <rPr>
            <sz val="10"/>
            <color rgb="FF000000"/>
            <rFont val="Arial"/>
          </rPr>
          <t>The chance of Frozen seems pretty high.</t>
        </r>
      </text>
    </comment>
    <comment ref="E21" authorId="0" shapeId="0" xr:uid="{00000000-0006-0000-0600-000018000000}">
      <text>
        <r>
          <rPr>
            <sz val="10"/>
            <color rgb="FF000000"/>
            <rFont val="Arial"/>
          </rPr>
          <t>Chilled and Frozen set by Cursed Ice cannot be resisted.</t>
        </r>
      </text>
    </comment>
    <comment ref="C22" authorId="0" shapeId="0" xr:uid="{00000000-0006-0000-0600-000019000000}">
      <text>
        <r>
          <rPr>
            <sz val="10"/>
            <color rgb="FF000000"/>
            <rFont val="Arial"/>
          </rPr>
          <t>The chance of Frozen seems pretty high.</t>
        </r>
      </text>
    </comment>
    <comment ref="E22" authorId="0" shapeId="0" xr:uid="{00000000-0006-0000-0600-00001A000000}">
      <text>
        <r>
          <rPr>
            <sz val="10"/>
            <color rgb="FF000000"/>
            <rFont val="Arial"/>
          </rPr>
          <t>Chilled and Frozen set by Cursed Ice cannot be resisted.</t>
        </r>
      </text>
    </comment>
    <comment ref="C23" authorId="0" shapeId="0" xr:uid="{00000000-0006-0000-0600-00001B000000}">
      <text>
        <r>
          <rPr>
            <sz val="10"/>
            <color rgb="FF000000"/>
            <rFont val="Arial"/>
          </rPr>
          <t>Chance to explode seems lower than other surface chance effects.</t>
        </r>
      </text>
    </comment>
    <comment ref="E23" authorId="0" shapeId="0" xr:uid="{00000000-0006-0000-0600-00001C000000}">
      <text>
        <r>
          <rPr>
            <sz val="10"/>
            <color rgb="FF000000"/>
            <rFont val="Arial"/>
          </rPr>
          <t>Slowed set by Oil cannot be resisted.</t>
        </r>
      </text>
    </comment>
    <comment ref="E24" authorId="0" shapeId="0" xr:uid="{00000000-0006-0000-0600-00001D000000}">
      <text>
        <r>
          <rPr>
            <sz val="10"/>
            <color rgb="FF000000"/>
            <rFont val="Arial"/>
          </rPr>
          <t>Poisoned is resisted by Magic Armor, but Acid cannot be resisted.</t>
        </r>
      </text>
    </comment>
    <comment ref="E25" authorId="0" shapeId="0" xr:uid="{00000000-0006-0000-0600-00001E000000}">
      <text>
        <r>
          <rPr>
            <sz val="10"/>
            <color rgb="FF000000"/>
            <rFont val="Arial"/>
          </rPr>
          <t>Poisoned can be resisted.
Acid cannot be resisted.</t>
        </r>
      </text>
    </comment>
    <comment ref="F25" authorId="0" shapeId="0" xr:uid="{00000000-0006-0000-0600-00001F000000}">
      <text>
        <r>
          <rPr>
            <sz val="10"/>
            <color rgb="FF000000"/>
            <rFont val="Arial"/>
          </rPr>
          <t>Might deal Poison damage when it explodes, too.  Not sure.  It definitely deals Fire damage, though.</t>
        </r>
      </text>
    </comment>
    <comment ref="E26" authorId="0" shapeId="0" xr:uid="{00000000-0006-0000-0600-000020000000}">
      <text>
        <r>
          <rPr>
            <sz val="10"/>
            <color rgb="FF000000"/>
            <rFont val="Arial"/>
          </rPr>
          <t>Blind is resisted by Magic Armor.
Suffocating cannot be resisted.</t>
        </r>
      </text>
    </comment>
    <comment ref="C29" authorId="0" shapeId="0" xr:uid="{00000000-0006-0000-0600-000021000000}">
      <text>
        <r>
          <rPr>
            <sz val="10"/>
            <color rgb="FF000000"/>
            <rFont val="Arial"/>
          </rPr>
          <t>Non-cursed web only has a chance to set Web, and only does so for 1 turn.  Cursed Web is guaranteed to set web, and it lasts 2 turns.</t>
        </r>
      </text>
    </comment>
    <comment ref="C33" authorId="0" shapeId="0" xr:uid="{00000000-0006-0000-0600-000022000000}">
      <text>
        <r>
          <rPr>
            <sz val="10"/>
            <color rgb="FF000000"/>
            <rFont val="Arial"/>
          </rPr>
          <t>I don't know what the chance is, but it seems pretty high.  I think at least 50% is a safe estimate.
Put nails in your shoes to avoid slipping on ice.</t>
        </r>
      </text>
    </comment>
    <comment ref="C34" authorId="0" shapeId="0" xr:uid="{00000000-0006-0000-0600-000023000000}">
      <text>
        <r>
          <rPr>
            <sz val="10"/>
            <color rgb="FF000000"/>
            <rFont val="Arial"/>
          </rPr>
          <t>I don't know what the chance is, but it seems pretty high.  I think at least 50% is a safe estimate.
Put nails in your shoes to avoid slipping on ice.</t>
        </r>
      </text>
    </comment>
    <comment ref="C35" authorId="0" shapeId="0" xr:uid="{00000000-0006-0000-0600-000024000000}">
      <text>
        <r>
          <rPr>
            <sz val="10"/>
            <color rgb="FF000000"/>
            <rFont val="Arial"/>
          </rPr>
          <t>The Resist Death status, granted by the Necromancer skill Living On The Edge, does prevent death by lava, as does 100+ Fire Resistance.
It's not always obvious that a surface is lava.  Be careful.</t>
        </r>
      </text>
    </comment>
    <comment ref="F35" authorId="0" shapeId="0" xr:uid="{00000000-0006-0000-0600-000025000000}">
      <text>
        <r>
          <rPr>
            <sz val="10"/>
            <color rgb="FF000000"/>
            <rFont val="Arial"/>
          </rPr>
          <t>Can be moved by Terrain Transformation, though.</t>
        </r>
      </text>
    </comment>
    <comment ref="E36" authorId="0" shapeId="0" xr:uid="{00000000-0006-0000-0600-000026000000}">
      <text>
        <r>
          <rPr>
            <sz val="10"/>
            <color rgb="FF000000"/>
            <rFont val="Arial"/>
          </rPr>
          <t>Slowed set by Oil cannot be resisted.</t>
        </r>
      </text>
    </comment>
    <comment ref="F38" authorId="0" shapeId="0" xr:uid="{00000000-0006-0000-0600-000027000000}">
      <text>
        <r>
          <rPr>
            <sz val="10"/>
            <color rgb="FF000000"/>
            <rFont val="Arial"/>
          </rPr>
          <t>Might deal Poison damage when it explodes, too.  Not sure.  It definitely deals Fire damage, though.</t>
        </r>
      </text>
    </comment>
    <comment ref="C39" authorId="0" shapeId="0" xr:uid="{00000000-0006-0000-0600-000028000000}">
      <text>
        <r>
          <rPr>
            <sz val="10"/>
            <color rgb="FF000000"/>
            <rFont val="Arial"/>
          </rPr>
          <t>You can't target characters your character can't see.  You also can't center an AoE reticle anywhere in a Smoke Cloud.</t>
        </r>
      </text>
    </comment>
    <comment ref="C40" authorId="0" shapeId="0" xr:uid="{00000000-0006-0000-0600-000029000000}">
      <text>
        <r>
          <rPr>
            <sz val="10"/>
            <color rgb="FF000000"/>
            <rFont val="Arial"/>
          </rPr>
          <t>Note that a character standing in a Steam Cloud that is Shocked will be Stunned instead, because when they are Shocked, the Steam Cloud becomes Electrified, which then reapplies Shocked.  When a character who is Shocked is Shocked again, Shocked becomes Stunned.</t>
        </r>
      </text>
    </comment>
    <comment ref="C41" authorId="0" shapeId="0" xr:uid="{00000000-0006-0000-0600-00002A000000}">
      <text>
        <r>
          <rPr>
            <sz val="10"/>
            <color rgb="FF000000"/>
            <rFont val="Arial"/>
          </rPr>
          <t>Note that a character standing on a Water surface that is Shocked will be Stunned instead, because when they are Shocked, the Water becomes Electrified, which then reapplies Shocked.  When a character who is Shocked is Shocked again, Shocked becomes Stunned.</t>
        </r>
      </text>
    </comment>
    <comment ref="C42" authorId="0" shapeId="0" xr:uid="{00000000-0006-0000-0600-00002B000000}">
      <text>
        <r>
          <rPr>
            <sz val="10"/>
            <color rgb="FF000000"/>
            <rFont val="Arial"/>
          </rPr>
          <t>I don't know what the chance is, but it seems pretty high.  I think at least 50% is a safe estimate.</t>
        </r>
      </text>
    </comment>
    <comment ref="F42" authorId="0" shapeId="0" xr:uid="{00000000-0006-0000-0600-00002C000000}">
      <text>
        <r>
          <rPr>
            <sz val="10"/>
            <color rgb="FF000000"/>
            <rFont val="Arial"/>
          </rPr>
          <t>Need to test to see if it can be blessed andor* cursed.
* "andor" is a new word to replace the awkward "and/or".  Let's all use it!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700-000001000000}">
      <text>
        <r>
          <rPr>
            <sz val="10"/>
            <color rgb="FF000000"/>
            <rFont val="Arial"/>
          </rPr>
          <t>Pink tint means description is missing (makes it easier to spot).
Status effects that are not relevant to skills, surfaces, clouds, or craftable items are not listed.</t>
        </r>
      </text>
    </comment>
    <comment ref="B1" authorId="0" shapeId="0" xr:uid="{00000000-0006-0000-0700-000002000000}">
      <text>
        <r>
          <rPr>
            <sz val="10"/>
            <color rgb="FF000000"/>
            <rFont val="Arial"/>
          </rPr>
          <t>Which armor type it is resisted by.
M = Magic Armor
P = Physical Armor.
- = Not Resistible
Blank = I don't know yet.</t>
        </r>
      </text>
    </comment>
    <comment ref="C1" authorId="0" shapeId="0" xr:uid="{00000000-0006-0000-0700-000003000000}">
      <text>
        <r>
          <rPr>
            <sz val="10"/>
            <color rgb="FF000000"/>
            <rFont val="Arial"/>
          </rPr>
          <t>No statuses stack with themselves.  If the same status is applied a second time, the new one replaces the old one unless otherwise specified.
Statuses that deal damage or restore health do so when set and again at the end of each turn they're applied.  For instance, a 2-turn Regeneration will heal 3 times.
Larger, non-percentile numbers are based on a level 10 character with 10 points in each attribute and 5 points in each skill ability.  Ranges are averaged.  Taken from Classic difficulty.
If you don't understand an effect, leave a comment on it and I'll try to reword it.
When it says "All Resistances", it does not include Piercing and Physical resistances unless otherwise noted, because those two are very rare.
Highlighted in pink means it's an incomplete description.  Usually it's just missing a number.</t>
        </r>
      </text>
    </comment>
    <comment ref="C3" authorId="0" shapeId="0" xr:uid="{00000000-0006-0000-0700-000004000000}">
      <text>
        <r>
          <rPr>
            <sz val="10"/>
            <color rgb="FF000000"/>
            <rFont val="Arial"/>
          </rPr>
          <t>Testing provided confusing results, so I don't know how much is damaged.</t>
        </r>
      </text>
    </comment>
    <comment ref="C6" authorId="0" shapeId="0" xr:uid="{00000000-0006-0000-0700-000005000000}">
      <text>
        <r>
          <rPr>
            <sz val="10"/>
            <color rgb="FF000000"/>
            <rFont val="Arial"/>
          </rPr>
          <t>Actually all of them, even Wits and Memory.</t>
        </r>
      </text>
    </comment>
    <comment ref="C8" authorId="0" shapeId="0" xr:uid="{00000000-0006-0000-0700-000006000000}">
      <text>
        <r>
          <rPr>
            <sz val="10"/>
            <color rgb="FF000000"/>
            <rFont val="Arial"/>
          </rPr>
          <t>The Fire surfaces don't seem to damage the bearer of the status when they're created.  Seems like kind of a waste.</t>
        </r>
      </text>
    </comment>
    <comment ref="C9" authorId="0" shapeId="0" xr:uid="{00000000-0006-0000-0700-000007000000}">
      <text>
        <r>
          <rPr>
            <sz val="10"/>
            <color rgb="FF000000"/>
            <rFont val="Arial"/>
          </rPr>
          <t>Piercing damage bypasses armor.</t>
        </r>
      </text>
    </comment>
    <comment ref="C10" authorId="0" shapeId="0" xr:uid="{00000000-0006-0000-0700-000008000000}">
      <text>
        <r>
          <rPr>
            <sz val="10"/>
            <color rgb="FF000000"/>
            <rFont val="Arial"/>
          </rPr>
          <t xml:space="preserve">Resistance over 100% heals you for the additional percentage of damage you would've taken.  For instance, 150% Fire Resistance would heal you 50% of the Fire damage you would've taken. </t>
        </r>
      </text>
    </comment>
    <comment ref="C13" authorId="0" shapeId="0" xr:uid="{00000000-0006-0000-0700-000009000000}">
      <text>
        <r>
          <rPr>
            <sz val="10"/>
            <color rgb="FF000000"/>
            <rFont val="Arial"/>
          </rPr>
          <t>The +10% base weapon damage is undocumented.  I found that by looking at the base weapon damage on each incarnate type, and only Blood's was higher.
While they get +15% max armor, they don't get +15% current armor.  They start with the same armor as other incarnates, they can just recover some from the start.  I think it's a bug.</t>
        </r>
      </text>
    </comment>
    <comment ref="C14" authorId="0" shapeId="0" xr:uid="{00000000-0006-0000-0700-00000A000000}">
      <text>
        <r>
          <rPr>
            <sz val="10"/>
            <color rgb="FF000000"/>
            <rFont val="Arial"/>
          </rPr>
          <t>Clouds do not apply their effects to the character with Breathing Bubbles on them.  Said character still can't see through Smoke, though.</t>
        </r>
      </text>
    </comment>
    <comment ref="C19" authorId="0" shapeId="0" xr:uid="{00000000-0006-0000-0700-00000B000000}">
      <text>
        <r>
          <rPr>
            <sz val="10"/>
            <color rgb="FF000000"/>
            <rFont val="Arial"/>
          </rPr>
          <t>The "challenger" is the person who set Challenged on this character.</t>
        </r>
      </text>
    </comment>
    <comment ref="C20" authorId="0" shapeId="0" xr:uid="{00000000-0006-0000-0700-00000C000000}">
      <text>
        <r>
          <rPr>
            <sz val="10"/>
            <color rgb="FF000000"/>
            <rFont val="Arial"/>
          </rPr>
          <t>I think this description is accurate, but there's something about it I don't like; I just can't quite place it.</t>
        </r>
      </text>
    </comment>
    <comment ref="C24" authorId="0" shapeId="0" xr:uid="{00000000-0006-0000-0700-00000D000000}">
      <text>
        <r>
          <rPr>
            <sz val="10"/>
            <color rgb="FF000000"/>
            <rFont val="Arial"/>
          </rPr>
          <t>Strength, Finesse, Intelligence, and Wits start at +1 each at level 1, and increase with level.</t>
        </r>
      </text>
    </comment>
    <comment ref="C27" authorId="0" shapeId="0" xr:uid="{00000000-0006-0000-0700-00000E000000}">
      <text>
        <r>
          <rPr>
            <sz val="10"/>
            <color rgb="FF000000"/>
            <rFont val="Arial"/>
          </rPr>
          <t>Negative resistance increases the damage taken from that source by that percentage (so, if you had -10% Fire Resistance would increase the damage you take from a Fire source by 10%).</t>
        </r>
      </text>
    </comment>
    <comment ref="C29" authorId="0" shapeId="0" xr:uid="{00000000-0006-0000-0700-00000F000000}">
      <text>
        <r>
          <rPr>
            <sz val="10"/>
            <color rgb="FF000000"/>
            <rFont val="Arial"/>
          </rPr>
          <t>X = 11 at level 20.  Probably coincides with other Wits penalties.</t>
        </r>
      </text>
    </comment>
    <comment ref="C30" authorId="0" shapeId="0" xr:uid="{00000000-0006-0000-0700-000010000000}">
      <text>
        <r>
          <rPr>
            <sz val="10"/>
            <color rgb="FF000000"/>
            <rFont val="Arial"/>
          </rPr>
          <t>So if you're at 30% health, you'd gain 70% damage.</t>
        </r>
      </text>
    </comment>
    <comment ref="C31" authorId="0" shapeId="0" xr:uid="{00000000-0006-0000-0700-000011000000}">
      <text>
        <r>
          <rPr>
            <sz val="10"/>
            <color rgb="FF000000"/>
            <rFont val="Arial"/>
          </rPr>
          <t>Undead will take Physical damage from Poison while under the influence of Decaying Touch.
Damage does not bypass armor.</t>
        </r>
      </text>
    </comment>
    <comment ref="C32" authorId="0" shapeId="0" xr:uid="{00000000-0006-0000-0700-000012000000}">
      <text>
        <r>
          <rPr>
            <sz val="10"/>
            <color rgb="FF000000"/>
            <rFont val="Arial"/>
          </rPr>
          <t>"Ranged attacks" includes wands and even the "Staff of the Magus" skill.</t>
        </r>
      </text>
    </comment>
    <comment ref="C33" authorId="0" shapeId="0" xr:uid="{00000000-0006-0000-0700-000013000000}">
      <text>
        <r>
          <rPr>
            <sz val="10"/>
            <color rgb="FF000000"/>
            <rFont val="Arial"/>
          </rPr>
          <t>While this is active, melee enemies will avoid walking into the range, instead lobbing grenades at you, or teleporting into melee range (which doesn't trigger the damage), or just attacking someone else.  This is basically a "keep-away" status.</t>
        </r>
      </text>
    </comment>
    <comment ref="C34" authorId="0" shapeId="0" xr:uid="{00000000-0006-0000-0700-000014000000}">
      <text>
        <r>
          <rPr>
            <sz val="10"/>
            <color rgb="FF000000"/>
            <rFont val="Arial"/>
          </rPr>
          <t>Constitution penalty scales with level.  It's -1 at level 1, -2 at level 5, and then another -1 every 5 levels.  I'm not sure where the exact level cutovers occur.
When Diseased is removed and the character's maximum health increases back to normal, their current health increases by the same amount.
Diseased can force you to unequip your shield because shields have a Constitution requirement.</t>
        </r>
      </text>
    </comment>
    <comment ref="C38" authorId="0" shapeId="0" xr:uid="{00000000-0006-0000-0700-000015000000}">
      <text>
        <r>
          <rPr>
            <sz val="10"/>
            <color rgb="FF000000"/>
            <rFont val="Arial"/>
          </rPr>
          <t>Resistance over 100% heals you for the additional percentage of damage you would've taken.  For instance, 150% Fire Resistance would heal you 50% of the Fire damage you would've taken.  
Likewise, negative resistance increases the damage taken from that source by that percentage (so, -10% Fire Resistance would increase the damage you take from a Fire source by 10%).</t>
        </r>
      </text>
    </comment>
    <comment ref="C39" authorId="0" shapeId="0" xr:uid="{00000000-0006-0000-0700-000016000000}">
      <text>
        <r>
          <rPr>
            <sz val="10"/>
            <color rgb="FF000000"/>
            <rFont val="Arial"/>
          </rPr>
          <t>Bonus Str/Fin/Int/Con per level:
Level 1 - 1/1/1/1
Level 5 - 1/1/1/2
Level 7 - 2/2/2/2
Level 9 - 2/2/2/3
Level 14 - 3/3/3/4
Level 18 - 3/3/3/5
Level 21 - 4/4/4/5
Level 23 - 4/4/4/6
Level 27 - 5/5/5/7</t>
        </r>
      </text>
    </comment>
    <comment ref="C45" authorId="0" shapeId="0" xr:uid="{00000000-0006-0000-0700-000017000000}">
      <text>
        <r>
          <rPr>
            <sz val="10"/>
            <color rgb="FF000000"/>
            <rFont val="Arial"/>
          </rPr>
          <t xml:space="preserve">As far as I can tell, as long as the initial range for a skill is more than 3m, it gets extended.  First Aid normally only has a range of 4m and it got extended to 7m.  Battering Ram was also extended even though it's a melee weapon skill.
Radii are not affected. </t>
        </r>
      </text>
    </comment>
    <comment ref="C46" authorId="0" shapeId="0" xr:uid="{00000000-0006-0000-0700-000018000000}">
      <text>
        <r>
          <rPr>
            <sz val="10"/>
            <color rgb="FF000000"/>
            <rFont val="Arial"/>
          </rPr>
          <t>Note that the 25% is added to existing damage bonuses, so it doesn't actually amount to much.  It's not +25% of what they were dealing before you infused them.  The damage bonus is also not mentioned in the in-game description of the skill.</t>
        </r>
      </text>
    </comment>
    <comment ref="A49" authorId="0" shapeId="0" xr:uid="{00000000-0006-0000-0700-000019000000}">
      <text>
        <r>
          <rPr>
            <sz val="10"/>
            <color rgb="FF000000"/>
            <rFont val="Arial"/>
          </rPr>
          <t>Both the aura and the buff granted by the aura are called "Firebrand".  The buff received by the aura does not buff anyone else.</t>
        </r>
      </text>
    </comment>
    <comment ref="C51" authorId="0" shapeId="0" xr:uid="{00000000-0006-0000-0700-00001A000000}">
      <text>
        <r>
          <rPr>
            <sz val="10"/>
            <color rgb="FF000000"/>
            <rFont val="Arial"/>
          </rPr>
          <t>Resistance over 100% heals you for the additional percentage of damage you would've taken.  For instance, 150% Fire Resistance would heal you 50% of the Fire damage you would've taken.  
Likewise, negative resistance increases the damage taken from that source by that percentage (so, -10% Fire Resistance would increase the damage you take from a Fire source by 10%).</t>
        </r>
      </text>
    </comment>
    <comment ref="C52" authorId="0" shapeId="0" xr:uid="{00000000-0006-0000-0700-00001B000000}">
      <text>
        <r>
          <rPr>
            <sz val="10"/>
            <color rgb="FF000000"/>
            <rFont val="Arial"/>
          </rPr>
          <t>Effect may as well be "Give your enemies infinite teleports and grenades" because that's all they're going to do while you've got this up.  It only hits enemies walking from outside the radius to inside the radius.  Walking within the radius, leaving the radius, and teleporting into the radius do NOT trigger it.</t>
        </r>
      </text>
    </comment>
    <comment ref="C53" authorId="0" shapeId="0" xr:uid="{00000000-0006-0000-0700-00001C000000}">
      <text>
        <r>
          <rPr>
            <sz val="10"/>
            <color rgb="FF000000"/>
            <rFont val="Arial"/>
          </rPr>
          <t>I don't know how much Dodging is reduced by or if it is based on how many enemies are surrounding you.</t>
        </r>
      </text>
    </comment>
    <comment ref="C54" authorId="0" shapeId="0" xr:uid="{00000000-0006-0000-0700-00001D000000}">
      <text>
        <r>
          <rPr>
            <sz val="10"/>
            <color rgb="FF000000"/>
            <rFont val="Arial"/>
          </rPr>
          <t>Constitution penalty scales with level.  It's probably the same as for Diseased, which is -1 at level 1, -2 at level 5, and then another -1 every 5 levels.  I'm not sure where the exact level cutovers occur.
Flesh Sacrifice can force you to unequip your shield because shields have a Constitution requirement.</t>
        </r>
      </text>
    </comment>
    <comment ref="C55" authorId="0" shapeId="0" xr:uid="{00000000-0006-0000-0700-00001E000000}">
      <text>
        <r>
          <rPr>
            <sz val="10"/>
            <color rgb="FF000000"/>
            <rFont val="Arial"/>
          </rPr>
          <t>I read the part about ground traps somewhere but did not confirm it.</t>
        </r>
      </text>
    </comment>
    <comment ref="C56" authorId="0" shapeId="0" xr:uid="{00000000-0006-0000-0700-00001F000000}">
      <text>
        <r>
          <rPr>
            <sz val="10"/>
            <color rgb="FF000000"/>
            <rFont val="Arial"/>
          </rPr>
          <t>When your maximum armor increases, your current armor increases by the same amount.</t>
        </r>
      </text>
    </comment>
    <comment ref="C59" authorId="0" shapeId="0" xr:uid="{00000000-0006-0000-0700-000020000000}">
      <text>
        <r>
          <rPr>
            <sz val="10"/>
            <color rgb="FF000000"/>
            <rFont val="Arial"/>
          </rPr>
          <t>The +1 Start AP only matters if you have Hasted when combat begins.</t>
        </r>
      </text>
    </comment>
    <comment ref="C65" authorId="0" shapeId="0" xr:uid="{00000000-0006-0000-0700-000021000000}">
      <text>
        <r>
          <rPr>
            <sz val="10"/>
            <color rgb="FF000000"/>
            <rFont val="Arial"/>
          </rPr>
          <t>Resistance over 100% heals you for the additional percentage of damage you would've taken.  For instance, 150% Fire Resistance would heal you 50% of the Fire damage you would've taken.  
Likewise, negative resistance increases the damage taken from that source by that percentage (so, -10% Fire Resistance would increase the damage you take from a Fire source by 10%).</t>
        </r>
      </text>
    </comment>
    <comment ref="C66" authorId="0" shapeId="0" xr:uid="{00000000-0006-0000-0700-000022000000}">
      <text>
        <r>
          <rPr>
            <sz val="10"/>
            <color rgb="FF000000"/>
            <rFont val="Arial"/>
          </rPr>
          <t>Duration is reset to 2 if it changes to Diseased.
Constitution penalty scales with level.  It's -1 at level 1, -2 at level 5, and then another -1 every 5 levels.  I'm not sure where the exact level cutovers occur.
When Infected is removed (unless replaced by Diseased) and the character's maximum health increases back to normal, their current health increases by the same amount.
Infected can force you to unequip your shield because shields have a Constitution requirement.</t>
        </r>
      </text>
    </comment>
    <comment ref="C67" authorId="0" shapeId="0" xr:uid="{00000000-0006-0000-0700-000023000000}">
      <text>
        <r>
          <rPr>
            <sz val="10"/>
            <color rgb="FF000000"/>
            <rFont val="Arial"/>
          </rPr>
          <t>Intelligence bonus scales with level.  
3 at 10
5 at 15
6 at 20
8 at 25</t>
        </r>
      </text>
    </comment>
    <comment ref="C68" authorId="0" shapeId="0" xr:uid="{00000000-0006-0000-0700-000024000000}">
      <text>
        <r>
          <rPr>
            <sz val="10"/>
            <color rgb="FF000000"/>
            <rFont val="Arial"/>
          </rPr>
          <t xml:space="preserve">Some skills specifically state that they do not break invisibility.  </t>
        </r>
      </text>
    </comment>
    <comment ref="B69" authorId="0" shapeId="0" xr:uid="{00000000-0006-0000-0700-000025000000}">
      <text>
        <r>
          <rPr>
            <sz val="10"/>
            <color rgb="FF000000"/>
            <rFont val="Arial"/>
          </rPr>
          <t>Sometimes cannot be resisted, such as when walking on an ice surface.</t>
        </r>
      </text>
    </comment>
    <comment ref="C71" authorId="0" shapeId="0" xr:uid="{00000000-0006-0000-0700-000026000000}">
      <text>
        <r>
          <rPr>
            <sz val="10"/>
            <color rgb="FF000000"/>
            <rFont val="Arial"/>
          </rPr>
          <t>When your maximum armor increases, your current armor increases by the same amount.</t>
        </r>
      </text>
    </comment>
    <comment ref="C78" authorId="0" shapeId="0" xr:uid="{00000000-0006-0000-0700-000027000000}">
      <text>
        <r>
          <rPr>
            <sz val="10"/>
            <color rgb="FF000000"/>
            <rFont val="Arial"/>
          </rPr>
          <t>Unlike other infusions, there doesn't seem to be a skill that sets this one.  You have to summon the incarnate on oil to get it.</t>
        </r>
      </text>
    </comment>
    <comment ref="C80" authorId="0" shapeId="0" xr:uid="{00000000-0006-0000-0700-000028000000}">
      <text>
        <r>
          <rPr>
            <sz val="10"/>
            <color rgb="FF000000"/>
            <rFont val="Arial"/>
          </rPr>
          <t>Does not prevent death from Supercharged or anything else that just outright kills something.</t>
        </r>
      </text>
    </comment>
    <comment ref="C84" authorId="0" shapeId="0" xr:uid="{00000000-0006-0000-0700-000029000000}">
      <text>
        <r>
          <rPr>
            <sz val="10"/>
            <color rgb="FF000000"/>
            <rFont val="Arial"/>
          </rPr>
          <t>Resistance over 100% heals you for the additional percentage of damage you would've taken.  For instance, 150% Fire Resistance would heal you 50% of the Fire damage you would've taken.  
Likewise, negative resistance increases the damage taken from that source by that percentage (so, -10% Fire Resistance would increase the damage you take from a Fire source by 10%).</t>
        </r>
      </text>
    </comment>
    <comment ref="C86" authorId="0" shapeId="0" xr:uid="{00000000-0006-0000-0700-00002A000000}">
      <text>
        <r>
          <rPr>
            <sz val="10"/>
            <color rgb="FF000000"/>
            <rFont val="Arial"/>
          </rPr>
          <t>Note that the 25% is added to existing damage bonuses, so it doesn't actually amount to much.  It's not +25% of what they were dealing before you infused them.  The damage bonus is also not mentioned in the in-game description of the skill.</t>
        </r>
      </text>
    </comment>
    <comment ref="C88" authorId="0" shapeId="0" xr:uid="{00000000-0006-0000-0700-00002B000000}">
      <text>
        <r>
          <rPr>
            <sz val="10"/>
            <color rgb="FF000000"/>
            <rFont val="Arial"/>
          </rPr>
          <t>You can still die, just not from health loss.
This will keep you alive on lava, in case you ever need to walk on lava for some reason.</t>
        </r>
      </text>
    </comment>
    <comment ref="C89" authorId="0" shapeId="0" xr:uid="{00000000-0006-0000-0700-00002C000000}">
      <text>
        <r>
          <rPr>
            <sz val="10"/>
            <color rgb="FF000000"/>
            <rFont val="Arial"/>
          </rPr>
          <t>This deals damage much more frequently than walking around on a damage surface.
Damage is not based on weapon damage.</t>
        </r>
      </text>
    </comment>
    <comment ref="C92" authorId="0" shapeId="0" xr:uid="{00000000-0006-0000-0700-00002D000000}">
      <text>
        <r>
          <rPr>
            <sz val="10"/>
            <color rgb="FF000000"/>
            <rFont val="Arial"/>
          </rPr>
          <t>When a surface/cloud is electrified, the Shocked status is immediately applied to all characters in that surface/cloud.  If the surface/cloud was electrified by a character in it becoming Shocked, that character will effectively get Shocked again, turning the Shocked status to Stunned.</t>
        </r>
      </text>
    </comment>
    <comment ref="C94" authorId="0" shapeId="0" xr:uid="{00000000-0006-0000-0700-00002E000000}">
      <text>
        <r>
          <rPr>
            <sz val="10"/>
            <color rgb="FF000000"/>
            <rFont val="Arial"/>
          </rPr>
          <t>The most I was able to get was 14-18, and that was a really big Poison surface.</t>
        </r>
      </text>
    </comment>
    <comment ref="C98" authorId="0" shapeId="0" xr:uid="{00000000-0006-0000-0700-00002F000000}">
      <text>
        <r>
          <rPr>
            <sz val="10"/>
            <color rgb="FF000000"/>
            <rFont val="Arial"/>
          </rPr>
          <t>Works even if the caster is at full health.  
Undead are damaged instead.</t>
        </r>
      </text>
    </comment>
    <comment ref="C99" authorId="0" shapeId="0" xr:uid="{00000000-0006-0000-0700-000030000000}">
      <text>
        <r>
          <rPr>
            <sz val="10"/>
            <color rgb="FF000000"/>
            <rFont val="Arial"/>
          </rPr>
          <t>Does not deal Fire damage to the melee target, so it's useless against a single opponent.
Range is at least 8m, but it could be longer.</t>
        </r>
      </text>
    </comment>
    <comment ref="C100" authorId="0" shapeId="0" xr:uid="{00000000-0006-0000-0700-000031000000}">
      <text>
        <r>
          <rPr>
            <sz val="10"/>
            <color rgb="FF000000"/>
            <rFont val="Arial"/>
          </rPr>
          <t>Does not deal Fire damage to the melee target, so it's useless against a single opponent.
Range is at least 8m, but it could be longer.</t>
        </r>
      </text>
    </comment>
    <comment ref="C106" authorId="0" shapeId="0" xr:uid="{00000000-0006-0000-0700-000032000000}">
      <text>
        <r>
          <rPr>
            <sz val="10"/>
            <color rgb="FF000000"/>
            <rFont val="Arial"/>
          </rPr>
          <t>I don't know if "prefer" means they'd rather attack that target, or they have to.
Taunted player characters will use consumable items.</t>
        </r>
      </text>
    </comment>
    <comment ref="C108" authorId="0" shapeId="0" xr:uid="{00000000-0006-0000-0700-000033000000}">
      <text>
        <r>
          <rPr>
            <sz val="10"/>
            <color rgb="FF000000"/>
            <rFont val="Arial"/>
          </rPr>
          <t>Non-allied characters are counted towards for this bonus.</t>
        </r>
      </text>
    </comment>
    <comment ref="C109" authorId="0" shapeId="0" xr:uid="{00000000-0006-0000-0700-000034000000}">
      <text>
        <r>
          <rPr>
            <sz val="10"/>
            <color rgb="FF000000"/>
            <rFont val="Arial"/>
          </rPr>
          <t>Status should only ever be set for 1 turn, so it should only grant one extra turn.</t>
        </r>
      </text>
    </comment>
    <comment ref="C110" authorId="0" shapeId="0" xr:uid="{00000000-0006-0000-0700-000035000000}">
      <text>
        <r>
          <rPr>
            <sz val="10"/>
            <color rgb="FF000000"/>
            <rFont val="Arial"/>
          </rPr>
          <t>Silenced is resisted by Magic Armor.
Suffocating cannot be resisted.</t>
        </r>
      </text>
    </comment>
    <comment ref="C113" authorId="0" shapeId="0" xr:uid="{00000000-0006-0000-0700-000036000000}">
      <text>
        <r>
          <rPr>
            <sz val="10"/>
            <color rgb="FF000000"/>
            <rFont val="Arial"/>
          </rPr>
          <t>Doesn't actually set the Venom Coating buff on self.  The aura provides the same benefit.</t>
        </r>
      </text>
    </comment>
    <comment ref="C115" authorId="0" shapeId="0" xr:uid="{00000000-0006-0000-0700-000037000000}">
      <text>
        <r>
          <rPr>
            <sz val="10"/>
            <color rgb="FF000000"/>
            <rFont val="Arial"/>
          </rPr>
          <t>As far as I can tell, the only way to get this status is to walk by a campfire.  In the first game there were some areas where you'd get it, too, but I haven't gotten that far in this one due to bugs.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800-000001000000}">
      <text>
        <r>
          <rPr>
            <sz val="10"/>
            <color rgb="FF000000"/>
            <rFont val="Arial"/>
          </rPr>
          <t>When you insert a rune into a piece of equipment, that piece of equipment gets a bonus based on what type of equipment it is.  So, a weapon would only get the Weapon bonus, but not the Armor or Amulet bonus.  Percentage increases are only a percentage of what that piece of equipment offers.
There is no drawback to inserting a rune, as you can remove it just as easily at no cost.</t>
        </r>
      </text>
    </comment>
    <comment ref="C1" authorId="0" shapeId="0" xr:uid="{00000000-0006-0000-0800-000002000000}">
      <text>
        <r>
          <rPr>
            <sz val="10"/>
            <color rgb="FF000000"/>
            <rFont val="Arial"/>
          </rPr>
          <t>Includes shields.</t>
        </r>
      </text>
    </comment>
    <comment ref="H1" authorId="0" shapeId="0" xr:uid="{00000000-0006-0000-0800-000003000000}">
      <text>
        <r>
          <rPr>
            <sz val="10"/>
            <color rgb="FF000000"/>
            <rFont val="Arial"/>
          </rPr>
          <t>Masterwork runes are 9, 13, 17, 
and 21 respectively.</t>
        </r>
      </text>
    </comment>
    <comment ref="I1" authorId="0" shapeId="0" xr:uid="{00000000-0006-0000-0800-000004000000}">
      <text>
        <r>
          <rPr>
            <sz val="10"/>
            <color rgb="FF000000"/>
            <rFont val="Arial"/>
          </rPr>
          <t>Amulets have varying effects, and thus varying numbers, so they can't be listed.  See the Recipes tab for specific rune effects.</t>
        </r>
      </text>
    </comment>
    <comment ref="C4" authorId="0" shapeId="0" xr:uid="{00000000-0006-0000-0800-000005000000}">
      <text>
        <r>
          <rPr>
            <sz val="10"/>
            <color rgb="FF000000"/>
            <rFont val="Arial"/>
          </rPr>
          <t>Since this increases the piece of armor directly, if you put it on a shield it will increase your Bouncing Shield damage.  Only Unique shields have rune slots, though.</t>
        </r>
      </text>
    </comment>
    <comment ref="A9" authorId="0" shapeId="0" xr:uid="{00000000-0006-0000-0800-000006000000}">
      <text>
        <r>
          <rPr>
            <sz val="10"/>
            <color rgb="FF000000"/>
            <rFont val="Arial"/>
          </rPr>
          <t>Except for Masterwork, all Mythic runes only give +1 of their additional stat, regardless of rune tier.</t>
        </r>
      </text>
    </comment>
    <comment ref="A12" authorId="0" shapeId="0" xr:uid="{00000000-0006-0000-0800-000007000000}">
      <text>
        <r>
          <rPr>
            <sz val="10"/>
            <color rgb="FF000000"/>
            <rFont val="Arial"/>
          </rPr>
          <t>Masterwork runes have the only Mythic stat that scales.  
Small +1
Medium/Large +2
Giant +3</t>
        </r>
      </text>
    </comment>
    <comment ref="A17" authorId="0" shapeId="0" xr:uid="{00000000-0006-0000-0800-000008000000}">
      <text>
        <r>
          <rPr>
            <sz val="10"/>
            <color rgb="FF000000"/>
            <rFont val="Arial"/>
          </rPr>
          <t>Attribute bonuses scale as such:
Small +1
Medium/Large +2
Giant +3
Attribute bonus applies regardless of equipment slot.</t>
        </r>
      </text>
    </comment>
    <comment ref="A25" authorId="0" shapeId="0" xr:uid="{00000000-0006-0000-0800-000009000000}">
      <text>
        <r>
          <rPr>
            <sz val="10"/>
            <color rgb="FF000000"/>
            <rFont val="Arial"/>
          </rPr>
          <t>Counts as a tier 5 rune.
Grants a skill depending on the type of equipment it's socketed in.
See the Skills tab for what the skills do.</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900-000001000000}">
      <text>
        <r>
          <rPr>
            <sz val="10"/>
            <color rgb="FF000000"/>
            <rFont val="Arial"/>
          </rPr>
          <t>Nothing's been updated for Definitive Edition yet, but I'll get to it.
I did not include the word "Champion" for Summoning 10 Incarnates because I didn't want to widen the column.  Just keep in mind that Summoning 10 incarnates are actually Incarnate Champions.
Yellow highlight means it uses Source Points to summon.  Gray highlight is when a new level bracket begins.</t>
        </r>
      </text>
    </comment>
    <comment ref="B1" authorId="0" shapeId="0" xr:uid="{00000000-0006-0000-0900-000002000000}">
      <text>
        <r>
          <rPr>
            <sz val="10"/>
            <color rgb="FF000000"/>
            <rFont val="Arial"/>
          </rPr>
          <t>Level of summoner, and hence the level of the summon.
Use 10 when comparing to skills.</t>
        </r>
      </text>
    </comment>
    <comment ref="C1" authorId="0" shapeId="0" xr:uid="{00000000-0006-0000-0900-000003000000}">
      <text>
        <r>
          <rPr>
            <sz val="10"/>
            <color rgb="FF000000"/>
            <rFont val="Arial"/>
          </rPr>
          <t>"Summoning" ability level.
Summoning ability level does not affect the attributes of a summon (such as Strength, Finesse, etc).
Use 5 when comparing to skills.</t>
        </r>
      </text>
    </comment>
    <comment ref="D1" authorId="0" shapeId="0" xr:uid="{00000000-0006-0000-0900-000004000000}">
      <text>
        <r>
          <rPr>
            <sz val="10"/>
            <color rgb="FF000000"/>
            <rFont val="Arial"/>
          </rPr>
          <t>Vitality (aka health)</t>
        </r>
      </text>
    </comment>
    <comment ref="E1" authorId="0" shapeId="0" xr:uid="{00000000-0006-0000-0900-000005000000}">
      <text>
        <r>
          <rPr>
            <sz val="10"/>
            <color rgb="FF000000"/>
            <rFont val="Arial"/>
          </rPr>
          <t>Physical Armor when summoned</t>
        </r>
      </text>
    </comment>
    <comment ref="F1" authorId="0" shapeId="0" xr:uid="{00000000-0006-0000-0900-000006000000}">
      <text>
        <r>
          <rPr>
            <sz val="10"/>
            <color rgb="FF000000"/>
            <rFont val="Arial"/>
          </rPr>
          <t>Magic Armor when summoned</t>
        </r>
      </text>
    </comment>
    <comment ref="G1" authorId="0" shapeId="0" xr:uid="{00000000-0006-0000-0900-000007000000}">
      <text>
        <r>
          <rPr>
            <sz val="10"/>
            <color rgb="FF000000"/>
            <rFont val="Arial"/>
          </rPr>
          <t>Initiative</t>
        </r>
      </text>
    </comment>
    <comment ref="H1" authorId="0" shapeId="0" xr:uid="{00000000-0006-0000-0900-000008000000}">
      <text>
        <r>
          <rPr>
            <sz val="10"/>
            <color rgb="FF000000"/>
            <rFont val="Arial"/>
          </rPr>
          <t>Normal attack's damage average.
Numbers shown include all bonuses that the summons come with.
Physical Damage unless otherwise noted under Type.
Yellow highlight is for summons that require Source to summon (highlighted in Damage to avoid bad comparisons).</t>
        </r>
      </text>
    </comment>
    <comment ref="I1" authorId="0" shapeId="0" xr:uid="{00000000-0006-0000-0900-000009000000}">
      <text>
        <r>
          <rPr>
            <sz val="10"/>
            <color rgb="FF000000"/>
            <rFont val="Arial"/>
          </rPr>
          <t>Damage Type
Blank means Physical.</t>
        </r>
      </text>
    </comment>
    <comment ref="J1" authorId="0" shapeId="0" xr:uid="{00000000-0006-0000-0900-00000A000000}">
      <text>
        <r>
          <rPr>
            <sz val="10"/>
            <color rgb="FF000000"/>
            <rFont val="Arial"/>
          </rPr>
          <t>Air Resistance
Blank is 0.</t>
        </r>
      </text>
    </comment>
    <comment ref="K1" authorId="0" shapeId="0" xr:uid="{00000000-0006-0000-0900-00000B000000}">
      <text>
        <r>
          <rPr>
            <sz val="10"/>
            <color rgb="FF000000"/>
            <rFont val="Arial"/>
          </rPr>
          <t>Earth Resistance
Blank is 0.</t>
        </r>
      </text>
    </comment>
    <comment ref="L1" authorId="0" shapeId="0" xr:uid="{00000000-0006-0000-0900-00000C000000}">
      <text>
        <r>
          <rPr>
            <sz val="10"/>
            <color rgb="FF000000"/>
            <rFont val="Arial"/>
          </rPr>
          <t>Fire Resistance
Blank is 0.</t>
        </r>
      </text>
    </comment>
    <comment ref="M1" authorId="0" shapeId="0" xr:uid="{00000000-0006-0000-0900-00000D000000}">
      <text>
        <r>
          <rPr>
            <sz val="10"/>
            <color rgb="FF000000"/>
            <rFont val="Arial"/>
          </rPr>
          <t>Poison Resistance
Blank is 0.</t>
        </r>
      </text>
    </comment>
    <comment ref="N1" authorId="0" shapeId="0" xr:uid="{00000000-0006-0000-0900-00000E000000}">
      <text>
        <r>
          <rPr>
            <sz val="10"/>
            <color rgb="FF000000"/>
            <rFont val="Arial"/>
          </rPr>
          <t>Water Resistance
Blank is 0.</t>
        </r>
      </text>
    </comment>
    <comment ref="Q1" authorId="0" shapeId="0" xr:uid="{00000000-0006-0000-0900-00000F000000}">
      <text>
        <r>
          <rPr>
            <sz val="10"/>
            <color rgb="FF000000"/>
            <rFont val="Arial"/>
          </rPr>
          <t>All totems have immunities to Stunned, Knocked Down, Bleeding, Crippled, Slowed, Suffocating, and Shocked, so I'm only listing the ones that aren't in that list for them.</t>
        </r>
      </text>
    </comment>
    <comment ref="R1" authorId="0" shapeId="0" xr:uid="{00000000-0006-0000-0900-000010000000}">
      <text>
        <r>
          <rPr>
            <sz val="10"/>
            <color rgb="FF000000"/>
            <rFont val="Arial"/>
          </rPr>
          <t>Blank if not updated for DE.
d is for done (or definitive).</t>
        </r>
      </text>
    </comment>
    <comment ref="S1" authorId="0" shapeId="0" xr:uid="{00000000-0006-0000-0900-000011000000}">
      <text>
        <r>
          <rPr>
            <sz val="10"/>
            <color rgb="FF000000"/>
            <rFont val="Arial"/>
          </rPr>
          <t>Yellow highlight indicates an element that can only be granted with a Source skill.  Summoning an incarnate on Necrofire will not produce a Necrofire-infused incarnate.</t>
        </r>
      </text>
    </comment>
    <comment ref="T1" authorId="0" shapeId="0" xr:uid="{00000000-0006-0000-0900-000012000000}">
      <text>
        <r>
          <rPr>
            <sz val="10"/>
            <color rgb="FF000000"/>
            <rFont val="Arial"/>
          </rPr>
          <t xml:space="preserve">Damage Type
</t>
        </r>
      </text>
    </comment>
    <comment ref="Q7" authorId="0" shapeId="0" xr:uid="{00000000-0006-0000-0900-000013000000}">
      <text>
        <r>
          <rPr>
            <sz val="10"/>
            <color rgb="FF000000"/>
            <rFont val="Arial"/>
          </rPr>
          <t>Despite being undead, it is not immune to bleeding.</t>
        </r>
      </text>
    </comment>
    <comment ref="Q9" authorId="0" shapeId="0" xr:uid="{00000000-0006-0000-0900-000014000000}">
      <text>
        <r>
          <rPr>
            <sz val="10"/>
            <color rgb="FF000000"/>
            <rFont val="Arial"/>
          </rPr>
          <t>Stunned, Knocked Down, Bleeding, Crippled, Slowed, Suffocating, Shocked, Decaying</t>
        </r>
      </text>
    </comment>
    <comment ref="A11" authorId="0" shapeId="0" xr:uid="{00000000-0006-0000-0900-000015000000}">
      <text>
        <r>
          <rPr>
            <sz val="10"/>
            <color rgb="FF000000"/>
            <rFont val="Arial"/>
          </rPr>
          <t>Summoned by "Totems of the Necromancer".</t>
        </r>
      </text>
    </comment>
    <comment ref="Q11" authorId="0" shapeId="0" xr:uid="{00000000-0006-0000-0900-000016000000}">
      <text>
        <r>
          <rPr>
            <sz val="10"/>
            <color rgb="FF000000"/>
            <rFont val="Arial"/>
          </rPr>
          <t>Stunned, Knocked Down, Bleeding, Crippled, Slowed, Suffocating, Shocked</t>
        </r>
      </text>
    </comment>
    <comment ref="Q14" authorId="0" shapeId="0" xr:uid="{00000000-0006-0000-0900-000017000000}">
      <text>
        <r>
          <rPr>
            <sz val="10"/>
            <color rgb="FF000000"/>
            <rFont val="Arial"/>
          </rPr>
          <t>Stunned, Knocked Down, Bleeding, Crippled, Slowed, Suffocating, Shocked</t>
        </r>
      </text>
    </comment>
    <comment ref="A15" authorId="0" shapeId="0" xr:uid="{00000000-0006-0000-0900-000018000000}">
      <text>
        <r>
          <rPr>
            <sz val="10"/>
            <color rgb="FF000000"/>
            <rFont val="Arial"/>
          </rPr>
          <t>See the "x Element" chart to the right for additional details on each incarnate.</t>
        </r>
      </text>
    </comment>
    <comment ref="I15" authorId="0" shapeId="0" xr:uid="{00000000-0006-0000-0900-000019000000}">
      <text>
        <r>
          <rPr>
            <sz val="10"/>
            <color rgb="FF000000"/>
            <rFont val="Arial"/>
          </rPr>
          <t>Damage type based on element.</t>
        </r>
      </text>
    </comment>
    <comment ref="Q17" authorId="0" shapeId="0" xr:uid="{00000000-0006-0000-0900-00001A000000}">
      <text>
        <r>
          <rPr>
            <sz val="10"/>
            <color rgb="FF000000"/>
            <rFont val="Arial"/>
          </rPr>
          <t>Stunned, Knocked Down, Bleeding, Crippled, Slowed, Suffocating, Shocked, Burning</t>
        </r>
      </text>
    </comment>
    <comment ref="A18" authorId="0" shapeId="0" xr:uid="{00000000-0006-0000-0900-00001B000000}">
      <text>
        <r>
          <rPr>
            <sz val="10"/>
            <color rgb="FF000000"/>
            <rFont val="Arial"/>
          </rPr>
          <t>Damage Type is Earth.</t>
        </r>
      </text>
    </comment>
    <comment ref="H18" authorId="0" shapeId="0" xr:uid="{00000000-0006-0000-0900-00001C000000}">
      <text>
        <r>
          <rPr>
            <sz val="10"/>
            <color rgb="FF000000"/>
            <rFont val="Arial"/>
          </rPr>
          <t>I don't know why this one has higher damage than the other elemental totems, but it does.</t>
        </r>
      </text>
    </comment>
    <comment ref="Q18" authorId="0" shapeId="0" xr:uid="{00000000-0006-0000-0900-00001D000000}">
      <text>
        <r>
          <rPr>
            <sz val="10"/>
            <color rgb="FF000000"/>
            <rFont val="Arial"/>
          </rPr>
          <t>Stunned, Knocked Down, Bleeding, Crippled, Slowed, Suffocating, Shocked, Poisoned</t>
        </r>
      </text>
    </comment>
    <comment ref="O19" authorId="0" shapeId="0" xr:uid="{00000000-0006-0000-0900-00001E000000}">
      <text>
        <r>
          <rPr>
            <sz val="10"/>
            <color rgb="FF000000"/>
            <rFont val="Arial"/>
          </rPr>
          <t>Oil Trials aren't noted anywhere, but it leaves a trail of Oil surface wherever it moves.  It also leaves a 3m-radius pool of Oil when it expires or dies.</t>
        </r>
      </text>
    </comment>
    <comment ref="Q20" authorId="0" shapeId="0" xr:uid="{00000000-0006-0000-0900-00001F000000}">
      <text>
        <r>
          <rPr>
            <sz val="10"/>
            <color rgb="FF000000"/>
            <rFont val="Arial"/>
          </rPr>
          <t>Stunned, Knocked Down, Bleeding, Crippled, Slowed, Suffocating, Shocked, Poisoned</t>
        </r>
      </text>
    </comment>
    <comment ref="Q21" authorId="0" shapeId="0" xr:uid="{00000000-0006-0000-0900-000020000000}">
      <text>
        <r>
          <rPr>
            <sz val="10"/>
            <color rgb="FF000000"/>
            <rFont val="Arial"/>
          </rPr>
          <t>Stunned, Knocked Down, Bleeding, Crippled, Slowed, Suffocating, Shocked, Frozen, Chilled</t>
        </r>
      </text>
    </comment>
    <comment ref="Q23" authorId="0" shapeId="0" xr:uid="{00000000-0006-0000-0900-000021000000}">
      <text>
        <r>
          <rPr>
            <sz val="10"/>
            <color rgb="FF000000"/>
            <rFont val="Arial"/>
          </rPr>
          <t>Stunned, Knocked Down, Bleeding, Crippled, Slowed, Suffocating, Shocked</t>
        </r>
      </text>
    </comment>
    <comment ref="Q26" authorId="0" shapeId="0" xr:uid="{00000000-0006-0000-0900-000022000000}">
      <text>
        <r>
          <rPr>
            <sz val="10"/>
            <color rgb="FF000000"/>
            <rFont val="Arial"/>
          </rPr>
          <t>Despite being undead, it is not immune to bleeding.</t>
        </r>
      </text>
    </comment>
    <comment ref="A31" authorId="0" shapeId="0" xr:uid="{00000000-0006-0000-0900-000023000000}">
      <text>
        <r>
          <rPr>
            <sz val="10"/>
            <color rgb="FF000000"/>
            <rFont val="Arial"/>
          </rPr>
          <t>See the "x Element" chart to the right for additional details on each incarnate.</t>
        </r>
      </text>
    </comment>
    <comment ref="I31" authorId="0" shapeId="0" xr:uid="{00000000-0006-0000-0900-000024000000}">
      <text>
        <r>
          <rPr>
            <sz val="10"/>
            <color rgb="FF000000"/>
            <rFont val="Arial"/>
          </rPr>
          <t>Damage type based on element.</t>
        </r>
      </text>
    </comment>
    <comment ref="O32" authorId="0" shapeId="0" xr:uid="{00000000-0006-0000-0900-000025000000}">
      <text>
        <r>
          <rPr>
            <sz val="10"/>
            <color rgb="FF000000"/>
            <rFont val="Arial"/>
          </rPr>
          <t>Fire Trails aren't noted anywhere, but Fire Slug leaves a trial of Fire surface where it moves.</t>
        </r>
      </text>
    </comment>
    <comment ref="O33" authorId="0" shapeId="0" xr:uid="{00000000-0006-0000-0900-000026000000}">
      <text>
        <r>
          <rPr>
            <sz val="10"/>
            <color rgb="FF000000"/>
            <rFont val="Arial"/>
          </rPr>
          <t>Oil Trials aren't noted anywhere, but it leaves a trail of Oil surface wherever it moves.  It also leaves a 3m-radius pool of Oil when it expires or dies.</t>
        </r>
      </text>
    </comment>
    <comment ref="P75" authorId="0" shapeId="0" xr:uid="{00000000-0006-0000-0900-000027000000}">
      <text>
        <r>
          <rPr>
            <sz val="10"/>
            <color rgb="FF000000"/>
            <rFont val="Arial"/>
          </rPr>
          <t>14 Damage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A00-000001000000}">
      <text>
        <r>
          <rPr>
            <sz val="10"/>
            <color rgb="FF000000"/>
            <rFont val="Arial"/>
          </rPr>
          <t>Numbers are base values, not profits.</t>
        </r>
      </text>
    </comment>
    <comment ref="O1" authorId="0" shapeId="0" xr:uid="{00000000-0006-0000-0A00-000002000000}">
      <text>
        <r>
          <rPr>
            <sz val="10"/>
            <color rgb="FF000000"/>
            <rFont val="Arial"/>
          </rPr>
          <t>Some of these might be level 13 values.  I wasn't paying close enough attention when copying them over.</t>
        </r>
      </text>
    </comment>
    <comment ref="A26" authorId="0" shapeId="0" xr:uid="{00000000-0006-0000-0A00-000003000000}">
      <text>
        <r>
          <rPr>
            <sz val="10"/>
            <color rgb="FF000000"/>
            <rFont val="Arial"/>
          </rPr>
          <t>Mage Armour, Plate Armour, and Scale Armour were left out because it's too hard (if possible at all) to get their mats at level 1.  Makeshift Club [1H] was left out because its extremely low value was throwing off the other numbers.</t>
        </r>
      </text>
    </comment>
    <comment ref="A28" authorId="0" shapeId="0" xr:uid="{00000000-0006-0000-0A00-000004000000}">
      <text>
        <r>
          <rPr>
            <sz val="10"/>
            <color rgb="FF000000"/>
            <rFont val="Arial"/>
          </rPr>
          <t>Below is where I'm trying to figure out how the base values of items scale.
There's a helpful graph below that's more or less figured it out on its own, although it doesn't give exact numbers.</t>
        </r>
      </text>
    </comment>
    <comment ref="A30" authorId="0" shapeId="0" xr:uid="{00000000-0006-0000-0A00-000005000000}">
      <text>
        <r>
          <rPr>
            <sz val="10"/>
            <color rgb="FF000000"/>
            <rFont val="Arial"/>
          </rPr>
          <t>Numbers are what percentage of the average of all the values at this level this item is.  These seem to be fairly consistent across the board.  Now if I can just figure out the formula for inflation so I can fill in the gaps, I'll have pretty close values at every level.</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B00-000001000000}">
      <text>
        <r>
          <rPr>
            <sz val="10"/>
            <color rgb="FF000000"/>
            <rFont val="Arial"/>
          </rPr>
          <t>You start with 10 points of each attribute, but those 10 points don't do anything (except Wits does give you Initiative).  You also start with 3 additional points, either determined by the starting class or you can allocate them for your primary character during character creation.
The Skills tab has a column for which attribute the skill gets a bonus from.</t>
        </r>
      </text>
    </comment>
    <comment ref="C1" authorId="0" shapeId="0" xr:uid="{00000000-0006-0000-0B00-000002000000}">
      <text>
        <r>
          <rPr>
            <sz val="10"/>
            <color rgb="FF000000"/>
            <rFont val="Arial"/>
          </rPr>
          <t>If you have gear equipped that requires a particular stat, that gear will be unequipped automatically if that stat drops below the gear's requirement, even if it drops from a temporary debuff (such as Diseased).</t>
        </r>
      </text>
    </comment>
    <comment ref="B2" authorId="0" shapeId="0" xr:uid="{00000000-0006-0000-0B00-000003000000}">
      <text>
        <r>
          <rPr>
            <sz val="10"/>
            <color rgb="FF000000"/>
            <rFont val="Arial"/>
          </rPr>
          <t xml:space="preserve">Only applies to base Vitality gained from level.  Does not apply to Vitality gained from bonuses. </t>
        </r>
      </text>
    </comment>
    <comment ref="C2" authorId="0" shapeId="0" xr:uid="{00000000-0006-0000-0B00-000004000000}">
      <text>
        <r>
          <rPr>
            <sz val="10"/>
            <color rgb="FF000000"/>
            <rFont val="Arial"/>
          </rPr>
          <t>When you gain Constitution, your max Vitality increases, and your current Vitality increases by the same amount immediately.  
When you lose Constitution, your max Vitality decreases, but your current Vitality will only decrease to your new maximum.  It will not decrease further as a result of the loss of Constitution.  This is especially important to Elves.</t>
        </r>
      </text>
    </comment>
    <comment ref="B3" authorId="0" shapeId="0" xr:uid="{00000000-0006-0000-0B00-000005000000}">
      <text>
        <r>
          <rPr>
            <sz val="10"/>
            <color rgb="FF000000"/>
            <rFont val="Arial"/>
          </rPr>
          <t>The weapon damage bonus applies to all damage types dealt by the weapon, not just Physical damage.  Weapon-based skills are affected accordingly.</t>
        </r>
      </text>
    </comment>
    <comment ref="C3" authorId="0" shapeId="0" xr:uid="{00000000-0006-0000-0B00-000006000000}">
      <text>
        <r>
          <rPr>
            <sz val="10"/>
            <color rgb="FF000000"/>
            <rFont val="Arial"/>
          </rPr>
          <t>Some Scale Armor is Finesse-based, but some of it's Strength-based.</t>
        </r>
      </text>
    </comment>
    <comment ref="B4" authorId="0" shapeId="0" xr:uid="{00000000-0006-0000-0B00-000007000000}">
      <text>
        <r>
          <rPr>
            <sz val="10"/>
            <color rgb="FF000000"/>
            <rFont val="Arial"/>
          </rPr>
          <t>The weapon damage bonus applies to all damage types dealt by the weapon, even Physical damage.  Weapon-based skills are affected accordingly.</t>
        </r>
      </text>
    </comment>
    <comment ref="A5" authorId="0" shapeId="0" xr:uid="{00000000-0006-0000-0B00-000008000000}">
      <text>
        <r>
          <rPr>
            <sz val="10"/>
            <color rgb="FF000000"/>
            <rFont val="Arial"/>
          </rPr>
          <t>If you're doing a 1-man army run, I recommend a Strength build as there's no other way to gain carrying capacity, so non-Strength builds severely limit your inventory.</t>
        </r>
      </text>
    </comment>
    <comment ref="B5" authorId="0" shapeId="0" xr:uid="{00000000-0006-0000-0B00-000009000000}">
      <text>
        <r>
          <rPr>
            <sz val="10"/>
            <color rgb="FF000000"/>
            <rFont val="Arial"/>
          </rPr>
          <t>Base carry capacity is 100kg.
Base move max is 75kg. 
Move max is irrelevant to characters with Telekinesis.
The weapon damage bonus applies to all damage types dealt by the weapon, not just Physical damage.  Weapon-based skills are affected accordingly.</t>
        </r>
      </text>
    </comment>
    <comment ref="C5" authorId="0" shapeId="0" xr:uid="{00000000-0006-0000-0B00-00000A000000}">
      <text>
        <r>
          <rPr>
            <sz val="10"/>
            <color rgb="FF000000"/>
            <rFont val="Arial"/>
          </rPr>
          <t>Some Scale Armor is Finesse-based, but some of it's Strength-based.</t>
        </r>
      </text>
    </comment>
    <comment ref="C6" authorId="0" shapeId="0" xr:uid="{00000000-0006-0000-0B00-00000B000000}">
      <text>
        <r>
          <rPr>
            <sz val="10"/>
            <color rgb="FF000000"/>
            <rFont val="Arial"/>
          </rPr>
          <t>For example, at level 8, you'd have 7 memory slots total from your level (3 base and 4 from level).  If at any time you invested 2 points in Memory, then you'd have 9 memory slots total.</t>
        </r>
      </text>
    </comment>
    <comment ref="B7" authorId="0" shapeId="0" xr:uid="{00000000-0006-0000-0B00-00000C000000}">
      <text>
        <r>
          <rPr>
            <sz val="10"/>
            <color rgb="FF000000"/>
            <rFont val="Arial"/>
          </rPr>
          <t>I don't think that the detection is actually chance-based.  Like, maybe there's a trap that requires 15 Wits to detect it, and if you have 14 Wits you just can't detect it, but if you have 15 you'll detect it every time.
Also, +1% Crit Chance is never better than +5% base damage.  At least, not in this game.  Don't put points in Wits unless you need Initiative.</t>
        </r>
      </text>
    </comment>
    <comment ref="B12" authorId="0" shapeId="0" xr:uid="{00000000-0006-0000-0B00-00000D000000}">
      <text>
        <r>
          <rPr>
            <sz val="10"/>
            <color rgb="FF000000"/>
            <rFont val="Arial"/>
          </rPr>
          <t>Does not affect non-weapon skills.  Those always hit.</t>
        </r>
      </text>
    </comment>
    <comment ref="B16" authorId="0" shapeId="0" xr:uid="{00000000-0006-0000-0B00-00000E000000}">
      <text>
        <r>
          <rPr>
            <sz val="10"/>
            <color rgb="FF000000"/>
            <rFont val="Arial"/>
          </rPr>
          <t>Non-weapon skills can crit if you get the Savage Sortilege talent.</t>
        </r>
      </text>
    </comment>
    <comment ref="B17" authorId="0" shapeId="0" xr:uid="{00000000-0006-0000-0B00-00000F000000}">
      <text>
        <r>
          <rPr>
            <sz val="10"/>
            <color rgb="FF000000"/>
            <rFont val="Arial"/>
          </rPr>
          <t>So, if you would have dealt 200 damage, and you have a critical multiplier of 150%, you deal 300 damage when landing a critical hit.</t>
        </r>
      </text>
    </comment>
    <comment ref="C17" authorId="0" shapeId="0" xr:uid="{00000000-0006-0000-0B00-000010000000}">
      <text>
        <r>
          <rPr>
            <sz val="10"/>
            <color rgb="FF000000"/>
            <rFont val="Arial"/>
          </rPr>
          <t>Base Critical Multiplier is 175% on Classic difficulty, 150% on Tactician.</t>
        </r>
      </text>
    </comment>
    <comment ref="C20" authorId="0" shapeId="0" xr:uid="{00000000-0006-0000-0B00-000011000000}">
      <text>
        <r>
          <rPr>
            <sz val="10"/>
            <color rgb="FF000000"/>
            <rFont val="Arial"/>
          </rPr>
          <t>There's supposedly a hard cap for resistances normally, as suggested by the descriptions of the Demon and Ice King talents, but I've gotten characters up to 230 resistances, so that may have been removed and the descriptions just never updated, or if it's bugged.  It's possible it's functionally capped at 200, but it'll display numbers over that.</t>
        </r>
      </text>
    </comment>
    <comment ref="C21" authorId="0" shapeId="0" xr:uid="{00000000-0006-0000-0B00-000012000000}">
      <text>
        <r>
          <rPr>
            <sz val="10"/>
            <color rgb="FF000000"/>
            <rFont val="Arial"/>
          </rPr>
          <t>There's supposedly a hard cap for resistances normally, as suggested by the descriptions of the Demon and Ice King talents, but I've gotten characters up to 230 resistances, so that may have been removed and the descriptions just never updated, or if it's bugged.  It's possible it's functionally capped at 200, but it'll display numbers over that.</t>
        </r>
      </text>
    </comment>
    <comment ref="C32" authorId="0" shapeId="0" xr:uid="{00000000-0006-0000-0B00-000013000000}">
      <text>
        <r>
          <rPr>
            <sz val="10"/>
            <color rgb="FF000000"/>
            <rFont val="Arial"/>
          </rPr>
          <t>There's supposedly a hard cap for resistances normally, as suggested by the descriptions of the Demon and Ice King talents, but I've gotten characters up to 230 resistances, so that may have been removed and the descriptions just never updated, or if it's bugged.  It's possible it's functionally capped at 200, but it'll display numbers over that.</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C00-000001000000}">
      <text>
        <r>
          <rPr>
            <sz val="10"/>
            <color rgb="FF000000"/>
            <rFont val="Arial"/>
          </rPr>
          <t>You can put up to 10 points in any combat skill. You can exceed 10 points with gear bonuses.</t>
        </r>
      </text>
    </comment>
    <comment ref="B1" authorId="0" shapeId="0" xr:uid="{00000000-0006-0000-0C00-000002000000}">
      <text>
        <r>
          <rPr>
            <sz val="10"/>
            <color rgb="FF000000"/>
            <rFont val="Arial"/>
          </rPr>
          <t>Only "Skill" abilities are required for skills.
You gain a combat ability (weapon/defense/skill) point each level.  You can invest up to 10 points in a combat skill (Lone Wolf points count towards this cap).
You gain a civil ability point at levels 2, 6, 10, 14, 18, 22, 26, 30, and 34.  You can invest up to 5 points in a civil skill.</t>
        </r>
      </text>
    </comment>
    <comment ref="C1" authorId="0" shapeId="0" xr:uid="{00000000-0006-0000-0C00-000003000000}">
      <text>
        <r>
          <rPr>
            <sz val="10"/>
            <color rgb="FF000000"/>
            <rFont val="Arial"/>
          </rPr>
          <t>Passive bonuses are not limited to skills of that ability.  For instance, 1 point of Warfare will improve the damage you deal with Scoundrel, Hunstman, and even Necromancer skills, as well as some grenades.</t>
        </r>
      </text>
    </comment>
    <comment ref="D2" authorId="0" shapeId="0" xr:uid="{00000000-0006-0000-0C00-000004000000}">
      <text>
        <r>
          <rPr>
            <sz val="10"/>
            <color rgb="FF000000"/>
            <rFont val="Arial"/>
          </rPr>
          <t>Make sure you have your higher-damage weapon in your main hand.
Off-hand weapon damage reduction is not based on the Dual Wielding ability.  That just always applies.</t>
        </r>
      </text>
    </comment>
    <comment ref="C8" authorId="0" shapeId="0" xr:uid="{00000000-0006-0000-0C00-000005000000}">
      <text>
        <r>
          <rPr>
            <sz val="10"/>
            <color rgb="FF000000"/>
            <rFont val="Arial"/>
          </rPr>
          <t>Damage dealt is the same type as the damage taken.
Damage dealt is unaffected by Ability bonuses (such as from Warfare).</t>
        </r>
      </text>
    </comment>
    <comment ref="D8" authorId="0" shapeId="0" xr:uid="{00000000-0006-0000-0C00-000006000000}">
      <text>
        <r>
          <rPr>
            <sz val="10"/>
            <color rgb="FF000000"/>
            <rFont val="Arial"/>
          </rPr>
          <t>"status effects" includes things like Poisoned and Burning.
Sucks against elementals because they heal from the reflected damage.</t>
        </r>
      </text>
    </comment>
    <comment ref="C12" authorId="0" shapeId="0" xr:uid="{00000000-0006-0000-0C00-000007000000}">
      <text>
        <r>
          <rPr>
            <sz val="10"/>
            <color rgb="FF000000"/>
            <rFont val="Arial"/>
          </rPr>
          <t>The in-game description says it increases the healing from potions, but it doesn't.  It does not mention that it affects Life Steal, arrows (Blessed Water Arrow) or grenades (Holy Hand Grenade), but it does.</t>
        </r>
      </text>
    </comment>
    <comment ref="C13" authorId="0" shapeId="0" xr:uid="{00000000-0006-0000-0C00-000008000000}">
      <text>
        <r>
          <rPr>
            <sz val="10"/>
            <color rgb="FF000000"/>
            <rFont val="Arial"/>
          </rPr>
          <t>When you deal non-passive damage to vitality, you recover health equal to the percentage of that damage.  So, if you did 120 damage to someone, and 20 of it was absorbed by armor (so only 100 damage to their vitality), with 10% Life Steal you would recover 10 health.</t>
        </r>
      </text>
    </comment>
    <comment ref="D13" authorId="0" shapeId="0" xr:uid="{00000000-0006-0000-0C00-000009000000}">
      <text>
        <r>
          <rPr>
            <sz val="10"/>
            <color rgb="FF000000"/>
            <rFont val="Arial"/>
          </rPr>
          <t>"status effects" includes things like Poisoned and Burning.</t>
        </r>
      </text>
    </comment>
    <comment ref="D19" authorId="0" shapeId="0" xr:uid="{00000000-0006-0000-0C00-00000A000000}">
      <text>
        <r>
          <rPr>
            <sz val="10"/>
            <color rgb="FF000000"/>
            <rFont val="Arial"/>
          </rPr>
          <t>With 0 attitude and 15 Bartering, the buy/sell prices would be the same.  Prices do not adjust beyond this point.
Percentile increases by Bartering level:
1	1.0425
2	1.0875
3	1.1375
4	1.19
5	1.25
6	1.315
7	1.39
8	1.47
9	1.5625
10	1.6675
11	1.785
12	1.9225
13	2.0825
14	2.2725
15	2.5
It's not possible to get 15 Bartering without cheating.</t>
        </r>
      </text>
    </comment>
    <comment ref="C21" authorId="0" shapeId="0" xr:uid="{00000000-0006-0000-0C00-00000B000000}">
      <text>
        <r>
          <rPr>
            <sz val="10"/>
            <color rgb="FF000000"/>
            <rFont val="Arial"/>
          </rPr>
          <t>I don't think anyone knows how the chance is affected by each point.  There's a chance it's in the editor somewhere, but I haven't found it.</t>
        </r>
      </text>
    </comment>
    <comment ref="D21" authorId="0" shapeId="0" xr:uid="{00000000-0006-0000-0C00-00000C000000}">
      <text>
        <r>
          <rPr>
            <sz val="10"/>
            <color rgb="FF000000"/>
            <rFont val="Arial"/>
          </rPr>
          <t>You used to have to have the character with Lucky Charm do all the looting, but that was changed in a patch on 12/5/2017.</t>
        </r>
      </text>
    </comment>
    <comment ref="C22" authorId="0" shapeId="0" xr:uid="{00000000-0006-0000-0C00-00000D000000}">
      <text>
        <r>
          <rPr>
            <sz val="10"/>
            <color rgb="FF000000"/>
            <rFont val="Arial"/>
          </rPr>
          <t>It seems that in one of the patches this was changed so that Persuasion attempts actually required a number of points in Persuasion or else they will always fail.</t>
        </r>
      </text>
    </comment>
    <comment ref="D22" authorId="0" shapeId="0" xr:uid="{00000000-0006-0000-0C00-00000E000000}">
      <text>
        <r>
          <rPr>
            <sz val="10"/>
            <color rgb="FF000000"/>
            <rFont val="Arial"/>
          </rPr>
          <t>100 (max) attitude gives a 25% increase to sell values and a 20% reduction in buy values.
Giving NPCs stuff through the trade window raises their attitude towards you.  If you're going to use a particular NPC a lot for trades, it's a good idea to max out their attitude.</t>
        </r>
      </text>
    </comment>
    <comment ref="C25" authorId="0" shapeId="0" xr:uid="{00000000-0006-0000-0C00-00000F000000}">
      <text>
        <r>
          <rPr>
            <sz val="10"/>
            <color rgb="FF000000"/>
            <rFont val="Arial"/>
          </rPr>
          <t>If your Thievery is high enough, when they ask to search your bags, you can let them, and even though the stolen items are there, they won't find them.</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D00-000001000000}">
      <text>
        <r>
          <rPr>
            <sz val="10"/>
            <color rgb="FF000000"/>
            <rFont val="Arial"/>
          </rPr>
          <t>Does not include racial talents since those are on the Race Traits tab already.</t>
        </r>
      </text>
    </comment>
    <comment ref="B3" authorId="0" shapeId="0" xr:uid="{00000000-0006-0000-0D00-000002000000}">
      <text>
        <r>
          <rPr>
            <sz val="10"/>
            <color rgb="FF000000"/>
            <rFont val="Arial"/>
          </rPr>
          <t>You can have something equipped in your off-hand until you need to use grenades/scrolls, then you can just unequip your offhand.  Unequipping does not cost AP.</t>
        </r>
      </text>
    </comment>
    <comment ref="B6" authorId="0" shapeId="0" xr:uid="{00000000-0006-0000-0D00-000003000000}">
      <text>
        <r>
          <rPr>
            <sz val="10"/>
            <color rgb="FF000000"/>
            <rFont val="Arial"/>
          </rPr>
          <t>Doesn't count as a resurrect, as you don't actually die when it triggers.
If you are resurrected, Comeback Kid will reset, saving you from death again during the same fight even though it already got you once.
ONLY works in combat.</t>
        </r>
      </text>
    </comment>
    <comment ref="B7" authorId="0" shapeId="0" xr:uid="{00000000-0006-0000-0D00-000004000000}">
      <text>
        <r>
          <rPr>
            <sz val="10"/>
            <color rgb="FF000000"/>
            <rFont val="Arial"/>
          </rPr>
          <t>Resistance over 100% heals you for the additional percentage of damage you would've taken.  For instance, 150% Fire Resistance would heal you 50% of the Fire damage you would've taken.  
Likewise, negative resistance increases the damage taken from that source by that percentage (so, -10% Fire Resistance would increase the damage you take from a Fire source by 10%).</t>
        </r>
      </text>
    </comment>
    <comment ref="B13" authorId="0" shapeId="0" xr:uid="{00000000-0006-0000-0D00-000005000000}">
      <text>
        <r>
          <rPr>
            <sz val="10"/>
            <color rgb="FF000000"/>
            <rFont val="Arial"/>
          </rPr>
          <t>"Radii" is the plural form of "radius", because English is stupid.</t>
        </r>
      </text>
    </comment>
    <comment ref="B18" authorId="0" shapeId="0" xr:uid="{00000000-0006-0000-0D00-000006000000}">
      <text>
        <r>
          <rPr>
            <sz val="10"/>
            <color rgb="FF000000"/>
            <rFont val="Arial"/>
          </rPr>
          <t>Resistance over 100% heals you for the additional percentage of damage you would've taken.  For instance, 150% Water Resistance would heal you 50% of the Water damage you would've taken.
Likewise, negative resistance increases the damage taken from that source by that percentage (so, -10% Water Resistance would increase the damage you take from a Water source by 10%).</t>
        </r>
      </text>
    </comment>
    <comment ref="B19" authorId="0" shapeId="0" xr:uid="{00000000-0006-0000-0D00-000007000000}">
      <text>
        <r>
          <rPr>
            <sz val="10"/>
            <color rgb="FF000000"/>
            <rFont val="Arial"/>
          </rPr>
          <t>Consumes the entire connected surface/cloud.
Heal amount is the same regardless of the amount of blood consumed, but is affected by Hydrosophist.
Immediately consumes the Blood surface created when taking damage, making it a lot harder to kill you.
Does not work for Undead.  It just doesn't do anything.  Either it's bugged or should be removed as an option for them.</t>
        </r>
      </text>
    </comment>
    <comment ref="B20" authorId="0" shapeId="0" xr:uid="{00000000-0006-0000-0D00-000008000000}">
      <text>
        <r>
          <rPr>
            <sz val="10"/>
            <color rgb="FF000000"/>
            <rFont val="Arial"/>
          </rPr>
          <t>Includes healing from lifesteal and necromancer.
Magic Armor gains are affected by Hydrosophist.</t>
        </r>
      </text>
    </comment>
    <comment ref="B21" authorId="0" shapeId="0" xr:uid="{00000000-0006-0000-0D00-000009000000}">
      <text>
        <r>
          <rPr>
            <sz val="10"/>
            <color rgb="FF000000"/>
            <rFont val="Arial"/>
          </rPr>
          <t>Does not make you a member of the Lone Wolves.
The armor bonus does not apply to equipment directly, so it won't improve your Bouncing Shield damage.  It also does not apply directly to buffs, so you never see the full amount of armor you get from something (ie Fortify gives more armor than it says in its tooltip).</t>
        </r>
      </text>
    </comment>
    <comment ref="B23" authorId="0" shapeId="0" xr:uid="{00000000-0006-0000-0D00-00000A000000}">
      <text>
        <r>
          <rPr>
            <sz val="10"/>
            <color rgb="FF000000"/>
            <rFont val="Arial"/>
          </rPr>
          <t>Does not restore you to full health when saved by Comeback Kid since Comeback Kid's effect doesn't count as a resurrect.
Does not restore armor, not even from Living Armour.
Idol of Rebirth already restores you to full health.</t>
        </r>
      </text>
    </comment>
    <comment ref="B24" authorId="0" shapeId="0" xr:uid="{00000000-0006-0000-0D00-00000B000000}">
      <text>
        <r>
          <rPr>
            <sz val="10"/>
            <color rgb="FF000000"/>
            <rFont val="Arial"/>
          </rPr>
          <t>Weapon range affects the radius this applies to.  Spear-wielders will generally get more attacks of opportunity in than other melee-weapon wielders.</t>
        </r>
      </text>
    </comment>
    <comment ref="B29" authorId="0" shapeId="0" xr:uid="{00000000-0006-0000-0D00-00000C000000}">
      <text>
        <r>
          <rPr>
            <sz val="10"/>
            <color rgb="FF000000"/>
            <rFont val="Arial"/>
          </rPr>
          <t>Keep in mind that Enrage prevents you from using non-weapon skills.</t>
        </r>
      </text>
    </comment>
    <comment ref="B32" authorId="0" shapeId="0" xr:uid="{00000000-0006-0000-0D00-00000D000000}">
      <text>
        <r>
          <rPr>
            <sz val="10"/>
            <color rgb="FF000000"/>
            <rFont val="Arial"/>
          </rPr>
          <t>Attitude only matters when that particular person is talking to someone, so if it's not your person with Persuasion, there's no drawback.</t>
        </r>
      </text>
    </comment>
    <comment ref="B34" authorId="0" shapeId="0" xr:uid="{00000000-0006-0000-0D00-00000E000000}">
      <text>
        <r>
          <rPr>
            <sz val="10"/>
            <color rgb="FF000000"/>
            <rFont val="Arial"/>
          </rPr>
          <t>This talent was different in Classic Edition.</t>
        </r>
      </text>
    </comment>
    <comment ref="B36" authorId="0" shapeId="0" xr:uid="{00000000-0006-0000-0D00-00000F000000}">
      <text>
        <r>
          <rPr>
            <sz val="10"/>
            <color rgb="FF000000"/>
            <rFont val="Arial"/>
          </rPr>
          <t>Does not trigger if Comeback Kid triggers, as that prevents you from dying.</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E00-000001000000}">
      <text>
        <r>
          <rPr>
            <sz val="10"/>
            <color rgb="FF000000"/>
            <rFont val="Arial"/>
          </rPr>
          <t>This sheet is just here for quick reference.</t>
        </r>
      </text>
    </comment>
    <comment ref="C6" authorId="0" shapeId="0" xr:uid="{00000000-0006-0000-0E00-000002000000}">
      <text>
        <r>
          <rPr>
            <sz val="10"/>
            <color rgb="FF000000"/>
            <rFont val="Arial"/>
          </rPr>
          <t>Skills gained from Corpse Eater cannot be used if you don't have the required Abilities.  For example, you'd still need 1 point in Huntsman to use the First Aid skill you got from eating someone.  Ability Points gained from gear are sufficient.
Skills gained are not random.
Skills gained when a character is temporarily an elf (Mask of the Shapeshifter) are retained when they stop being one.</t>
        </r>
      </text>
    </comment>
    <comment ref="C7" authorId="0" shapeId="0" xr:uid="{00000000-0006-0000-0E00-000003000000}">
      <text>
        <r>
          <rPr>
            <sz val="10"/>
            <color rgb="FF000000"/>
            <rFont val="Arial"/>
          </rPr>
          <t>Flesh Sacrifice can force you to unequip your shield if you no longer meet the Constitution requirement because of it.</t>
        </r>
      </text>
    </comment>
    <comment ref="C13" authorId="0" shapeId="0" xr:uid="{00000000-0006-0000-0E00-000004000000}">
      <text>
        <r>
          <rPr>
            <sz val="10"/>
            <color rgb="FF000000"/>
            <rFont val="Arial"/>
          </rPr>
          <t>Resistance over 100% heals you for the additional percentage of damage you would've taken.  For instance, 150% Fire Resistance would heal you 50% of the Fire damage you would've taken.</t>
        </r>
      </text>
    </comment>
    <comment ref="B17" authorId="0" shapeId="0" xr:uid="{00000000-0006-0000-0E00-000005000000}">
      <text>
        <r>
          <rPr>
            <sz val="10"/>
            <color rgb="FF000000"/>
            <rFont val="Arial"/>
          </rPr>
          <t>Undead are not really a race themself, but rather you have undead versions of the other races.  However, the undead have more in common with each other than their proper race, and don't gain all the benefits of that race, which is why I call it a "Secondary Race" here, as it makes more sense from a gameplay perspective.</t>
        </r>
      </text>
    </comment>
    <comment ref="C17" authorId="0" shapeId="0" xr:uid="{00000000-0006-0000-0E00-000006000000}">
      <text>
        <r>
          <rPr>
            <sz val="10"/>
            <color rgb="FF000000"/>
            <rFont val="Arial"/>
          </rPr>
          <t xml:space="preserve">Undead characters still choose to be either Human, Elf, Dwarf, or Lizard, just an undead version of them.  They gain one of these abilities based on that.  They do not gain any other traits of that race, though.
I'd recommend against Elf because you can just use Mask of the Shapeshifter to get Corpse Eater when you need it. </t>
        </r>
      </text>
    </comment>
    <comment ref="B18" authorId="0" shapeId="0" xr:uid="{00000000-0006-0000-0E00-000007000000}">
      <text>
        <r>
          <rPr>
            <sz val="10"/>
            <color rgb="FF000000"/>
            <rFont val="Arial"/>
          </rPr>
          <t>Yes, the trait is called "Undead", too.</t>
        </r>
      </text>
    </comment>
    <comment ref="C18" authorId="0" shapeId="0" xr:uid="{00000000-0006-0000-0E00-000008000000}">
      <text>
        <r>
          <rPr>
            <sz val="10"/>
            <color rgb="FF000000"/>
            <rFont val="Arial"/>
          </rPr>
          <t>Life Steal (such as from Necromancy and Mosquito Swarm) and Sleeping Bags still restore health as normal.</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F00-000001000000}">
      <text>
        <r>
          <rPr>
            <sz val="10"/>
            <color rgb="FF000000"/>
            <rFont val="Arial"/>
          </rPr>
          <t>All information is listed for Level 1 characters.  If you recruit a character at higher level, they come with level up choices already made.  I don't know how it chooses to assign points from leveling, but it's best to fill your party at level 1.
You can recruit 3 characters while at level 1.  Don't kill the dying magister on the ship.  Walk past the opening beach fight. Avoid Dalis by taking the nearby ladder to get into Fort Joy.  Then go around recruiting people.  The Red Prince is on the beach, so you could get him first.  If you do this, then you get to assign everyone's level-up points.  If you want to recruit Ifan, you might just walk past him and come back later when the elf is dead, otherwise you'll probably level up before he joins.</t>
        </r>
      </text>
    </comment>
    <comment ref="N1" authorId="0" shapeId="0" xr:uid="{00000000-0006-0000-0F00-000002000000}">
      <text>
        <r>
          <rPr>
            <sz val="10"/>
            <color rgb="FF000000"/>
            <rFont val="Arial"/>
          </rPr>
          <t>Your character does not get starting equipment; only characters you add to your party do.</t>
        </r>
      </text>
    </comment>
    <comment ref="O1" authorId="0" shapeId="0" xr:uid="{00000000-0006-0000-0F00-000003000000}">
      <text>
        <r>
          <rPr>
            <sz val="10"/>
            <color rgb="FF000000"/>
            <rFont val="Arial"/>
          </rPr>
          <t>Your character does not get starting equipment; only characters you add to your party do.</t>
        </r>
      </text>
    </comment>
    <comment ref="P1" authorId="0" shapeId="0" xr:uid="{00000000-0006-0000-0F00-000004000000}">
      <text>
        <r>
          <rPr>
            <sz val="10"/>
            <color rgb="FF000000"/>
            <rFont val="Arial"/>
          </rPr>
          <t>Every character comes with a Minor Healing Potion, Resurrect Scroll, and Backpack.
Undead start with a Small Poison Bottle instead of a Minor Healing Potion.
When making a custom class during character creation, you still get the extra item of your selected class before customizing, but not the weapon/shield.  (I keep forgetting to check if this is still the case.)</t>
        </r>
      </text>
    </comment>
    <comment ref="Q1" authorId="0" shapeId="0" xr:uid="{00000000-0006-0000-0F00-000005000000}">
      <text>
        <r>
          <rPr>
            <sz val="10"/>
            <color rgb="FF000000"/>
            <rFont val="Arial"/>
          </rPr>
          <t>Base value of the Extra Items you get.
Does not include weapons/armor since you wouldn't get those on your primary character. 
Recruited characters should be chosen based on abilities rather than monetary value.</t>
        </r>
      </text>
    </comment>
    <comment ref="N2" authorId="0" shapeId="0" xr:uid="{00000000-0006-0000-0F00-000006000000}">
      <text>
        <r>
          <rPr>
            <sz val="10"/>
            <color rgb="FF000000"/>
            <rFont val="Arial"/>
          </rPr>
          <t>1H Axes</t>
        </r>
      </text>
    </comment>
    <comment ref="N3" authorId="0" shapeId="0" xr:uid="{00000000-0006-0000-0F00-000007000000}">
      <text>
        <r>
          <rPr>
            <sz val="10"/>
            <color rgb="FF000000"/>
            <rFont val="Arial"/>
          </rPr>
          <t>1H Hammer</t>
        </r>
      </text>
    </comment>
    <comment ref="N4" authorId="0" shapeId="0" xr:uid="{00000000-0006-0000-0F00-000008000000}">
      <text>
        <r>
          <rPr>
            <sz val="10"/>
            <color rgb="FF000000"/>
            <rFont val="Arial"/>
          </rPr>
          <t>Fire Damage</t>
        </r>
      </text>
    </comment>
    <comment ref="N5" authorId="0" shapeId="0" xr:uid="{00000000-0006-0000-0F00-000009000000}">
      <text>
        <r>
          <rPr>
            <sz val="10"/>
            <color rgb="FF000000"/>
            <rFont val="Arial"/>
          </rPr>
          <t>Air Damage</t>
        </r>
      </text>
    </comment>
    <comment ref="N6" authorId="0" shapeId="0" xr:uid="{00000000-0006-0000-0F00-00000A000000}">
      <text>
        <r>
          <rPr>
            <sz val="10"/>
            <color rgb="FF000000"/>
            <rFont val="Arial"/>
          </rPr>
          <t>1H Sword</t>
        </r>
      </text>
    </comment>
    <comment ref="N7" authorId="0" shapeId="0" xr:uid="{00000000-0006-0000-0F00-00000B000000}">
      <text>
        <r>
          <rPr>
            <sz val="10"/>
            <color rgb="FF000000"/>
            <rFont val="Arial"/>
          </rPr>
          <t>2H Club</t>
        </r>
      </text>
    </comment>
    <comment ref="N8" authorId="0" shapeId="0" xr:uid="{00000000-0006-0000-0F00-00000C000000}">
      <text>
        <r>
          <rPr>
            <sz val="10"/>
            <color rgb="FF000000"/>
            <rFont val="Arial"/>
          </rPr>
          <t>2H Sword</t>
        </r>
      </text>
    </comment>
    <comment ref="G9" authorId="0" shapeId="0" xr:uid="{00000000-0006-0000-0F00-00000D000000}">
      <text>
        <r>
          <rPr>
            <sz val="10"/>
            <color rgb="FF000000"/>
            <rFont val="Arial"/>
          </rPr>
          <t>Each point in Polymorph grants an extra Attribute point, which is why Metamorph has 4 points.</t>
        </r>
      </text>
    </comment>
    <comment ref="N9" authorId="0" shapeId="0" xr:uid="{00000000-0006-0000-0F00-00000E000000}">
      <text>
        <r>
          <rPr>
            <sz val="10"/>
            <color rgb="FF000000"/>
            <rFont val="Arial"/>
          </rPr>
          <t>2H Spear (finesse)</t>
        </r>
      </text>
    </comment>
    <comment ref="N10" authorId="0" shapeId="0" xr:uid="{00000000-0006-0000-0F00-00000F000000}">
      <text>
        <r>
          <rPr>
            <sz val="10"/>
            <color rgb="FF000000"/>
            <rFont val="Arial"/>
          </rPr>
          <t>Bow</t>
        </r>
      </text>
    </comment>
    <comment ref="Q10" authorId="0" shapeId="0" xr:uid="{00000000-0006-0000-0F00-000010000000}">
      <text>
        <r>
          <rPr>
            <sz val="10"/>
            <color rgb="FF000000"/>
            <rFont val="Arial"/>
          </rPr>
          <t>Ranger is the best class to choose if you're going to customize your character, since you'd get the most valuable extra items, unless you actually intend to use the starting items.</t>
        </r>
      </text>
    </comment>
    <comment ref="N11" authorId="0" shapeId="0" xr:uid="{00000000-0006-0000-0F00-000011000000}">
      <text>
        <r>
          <rPr>
            <sz val="10"/>
            <color rgb="FF000000"/>
            <rFont val="Arial"/>
          </rPr>
          <t>Daggers</t>
        </r>
      </text>
    </comment>
    <comment ref="G12" authorId="0" shapeId="0" xr:uid="{00000000-0006-0000-0F00-000012000000}">
      <text>
        <r>
          <rPr>
            <sz val="10"/>
            <color rgb="FF000000"/>
            <rFont val="Arial"/>
          </rPr>
          <t>Each point in Polymorph grants an extra Attribute point, which is why Shadowblade has 4 points.</t>
        </r>
      </text>
    </comment>
    <comment ref="N12" authorId="0" shapeId="0" xr:uid="{00000000-0006-0000-0F00-000013000000}">
      <text>
        <r>
          <rPr>
            <sz val="10"/>
            <color rgb="FF000000"/>
            <rFont val="Arial"/>
          </rPr>
          <t>Dagger
Off-hand is empty.</t>
        </r>
      </text>
    </comment>
    <comment ref="N13" authorId="0" shapeId="0" xr:uid="{00000000-0006-0000-0F00-000014000000}">
      <text>
        <r>
          <rPr>
            <sz val="10"/>
            <color rgb="FF000000"/>
            <rFont val="Arial"/>
          </rPr>
          <t>Crossbow (duh)</t>
        </r>
      </text>
    </comment>
    <comment ref="N14" authorId="0" shapeId="0" xr:uid="{00000000-0006-0000-0F00-000015000000}">
      <text>
        <r>
          <rPr>
            <sz val="10"/>
            <color rgb="FF000000"/>
            <rFont val="Arial"/>
          </rPr>
          <t>Dagger
Off-hand is empty.</t>
        </r>
      </text>
    </comment>
    <comment ref="N15" authorId="0" shapeId="0" xr:uid="{00000000-0006-0000-0F00-000016000000}">
      <text>
        <r>
          <rPr>
            <sz val="10"/>
            <color rgb="FF000000"/>
            <rFont val="Arial"/>
          </rPr>
          <t>Poison Damage</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000-000001000000}">
      <text>
        <r>
          <rPr>
            <sz val="10"/>
            <color rgb="FF000000"/>
            <rFont val="Arial"/>
          </rPr>
          <t>All stats are for crafted weapons, which do not have bonus damage, and thus are the lowest damage amounts for each weapon type.</t>
        </r>
      </text>
    </comment>
    <comment ref="D1" authorId="0" shapeId="0" xr:uid="{00000000-0006-0000-1000-000002000000}">
      <text>
        <r>
          <rPr>
            <sz val="10"/>
            <color rgb="FF000000"/>
            <rFont val="Arial"/>
          </rPr>
          <t>Which attribute scales the damage for this weapon.</t>
        </r>
      </text>
    </comment>
    <comment ref="E1" authorId="0" shapeId="0" xr:uid="{00000000-0006-0000-1000-000003000000}">
      <text>
        <r>
          <rPr>
            <sz val="10"/>
            <color rgb="FF000000"/>
            <rFont val="Arial"/>
          </rPr>
          <t>The Range of melee weapons affects the range and radius of melee-ranged weapon skills.
The ranges displayed in the toolitps for these weapons do not jibe with the results of my testing.  I have used the numbers from testing, which make more sense in practice.</t>
        </r>
      </text>
    </comment>
    <comment ref="F1" authorId="0" shapeId="0" xr:uid="{00000000-0006-0000-1000-000004000000}">
      <text>
        <r>
          <rPr>
            <sz val="10"/>
            <color rgb="FF000000"/>
            <rFont val="Arial"/>
          </rPr>
          <t>Damage at level 1.  All numbers are from Common (white) weapons.
Damage ranges are averaged, but not rounded like they are in other tabs.
Weapons in the off-hand deal half damage.
Everything's got 175% Critical Damage at base (needs update).
Numbers updated for Definitive Edition.</t>
        </r>
      </text>
    </comment>
    <comment ref="K1" authorId="0" shapeId="0" xr:uid="{00000000-0006-0000-1000-000005000000}">
      <text>
        <r>
          <rPr>
            <sz val="10"/>
            <color rgb="FF000000"/>
            <rFont val="Arial"/>
          </rPr>
          <t>You can't get higher than level 22 without cheating.
Note: Above statement applies to Classic Edition.  Definitive Edition has additional content so you can probably get to level 23 or 24.</t>
        </r>
      </text>
    </comment>
    <comment ref="M5" authorId="0" shapeId="0" xr:uid="{00000000-0006-0000-1000-000006000000}">
      <text>
        <r>
          <rPr>
            <sz val="10"/>
            <color rgb="FF000000"/>
            <rFont val="Arial"/>
          </rPr>
          <t>"Backstab" means your melee attack or weapon skill will automatically be a critical hit if performed from behind the target.  You can only Backstab if you have a dagger in your main hand.
Any skill that requires a melee weapon can Backstab.</t>
        </r>
      </text>
    </comment>
    <comment ref="M6" authorId="0" shapeId="0" xr:uid="{00000000-0006-0000-1000-000007000000}">
      <text>
        <r>
          <rPr>
            <sz val="10"/>
            <color rgb="FF000000"/>
            <rFont val="Arial"/>
          </rPr>
          <t>Doesn't benefit from the Ranged ability, but does benefit from the Single-Handed ability.</t>
        </r>
      </text>
    </comment>
    <comment ref="M10" authorId="0" shapeId="0" xr:uid="{00000000-0006-0000-1000-000008000000}">
      <text>
        <r>
          <rPr>
            <sz val="10"/>
            <color rgb="FF000000"/>
            <rFont val="Arial"/>
          </rPr>
          <t>It's because they're Finesse-based weapons, and interchanging them with dual-wielding daggers is a bad idea because of the different skillsets the two have.</t>
        </r>
      </text>
    </comment>
    <comment ref="M13" authorId="0" shapeId="0" xr:uid="{00000000-0006-0000-1000-000009000000}">
      <text>
        <r>
          <rPr>
            <sz val="10"/>
            <color rgb="FF000000"/>
            <rFont val="Arial"/>
          </rPr>
          <t>You probably don't need to move around much, so between the +5% Accuracy and the +11% damage, this seems like a no-brainer.  Tactical Retreat is a necessity, anyway.</t>
        </r>
      </text>
    </comment>
    <comment ref="M15" authorId="0" shapeId="0" xr:uid="{00000000-0006-0000-1000-00000A000000}">
      <text>
        <r>
          <rPr>
            <sz val="10"/>
            <color rgb="FF000000"/>
            <rFont val="Arial"/>
          </rPr>
          <t>This can't be used as a direct comparison because the other values don't account for critical strikes, since we can't know the crit chance.  Also, getting backstabs 100% of the time would be very difficult.  This is just here so you can see why someone would choose daggers over Strength-based weapons.
If only 2 out of 5 attacks are backstabs, average damage is still higher than a two-hander.</t>
        </r>
      </text>
    </comment>
    <comment ref="M17" authorId="0" shapeId="0" xr:uid="{00000000-0006-0000-1000-00000B000000}">
      <text>
        <r>
          <rPr>
            <sz val="10"/>
            <color rgb="FF000000"/>
            <rFont val="Arial"/>
          </rPr>
          <t>Off-hand weapons always do half what they would do were they equipped in the main hand.  The -50% is not cumulative with other penalties and bonuses, so getting +50% would not cancel it out, but instead bring it to 75% damage.</t>
        </r>
      </text>
    </comment>
    <comment ref="M19" authorId="0" shapeId="0" xr:uid="{00000000-0006-0000-1000-00000C000000}">
      <text>
        <r>
          <rPr>
            <sz val="10"/>
            <color rgb="FF000000"/>
            <rFont val="Arial"/>
          </rPr>
          <t>Two-handers upgrade better, too, because you only need to find one upgrade.  Also, you only need one rune (you'd need 2 runes for the same impact on two one-handers), and they have slightly better range.  Unless you're doing daggers, it's generally better to have a 2H weapon than dual wielding 1H weapons.</t>
        </r>
      </text>
    </comment>
    <comment ref="M22" authorId="0" shapeId="0" xr:uid="{00000000-0006-0000-1000-00000D000000}">
      <text>
        <r>
          <rPr>
            <sz val="10"/>
            <color rgb="FF000000"/>
            <rFont val="Arial"/>
          </rPr>
          <t>As Rodrigo Consoli pointed out, dual-wielding wands can gain bonuses from certain elemental interactions, such as poison into fire (the fire ignites the poison for extra damage).
Wands do not use an ability to attack at range like Staffs do, so you can do multiple ranged attacks per turn.</t>
        </r>
      </text>
    </comment>
    <comment ref="M23" authorId="0" shapeId="0" xr:uid="{00000000-0006-0000-1000-00000E000000}">
      <text>
        <r>
          <rPr>
            <sz val="10"/>
            <color rgb="FF000000"/>
            <rFont val="Arial"/>
          </rPr>
          <t>Staffs can also have +1 to a Combat Skill Ability.  Wands cannot (not counting runes).  
Staffs can be poisoned; wands cannot.  If you poison a fire staff, you're going to do a lot of damage.
Staffs can only make one ranged attack per turn.  It can still do multiple melee attacks, though.</t>
        </r>
      </text>
    </comment>
    <comment ref="M24" authorId="0" shapeId="0" xr:uid="{00000000-0006-0000-1000-00000F000000}">
      <text>
        <r>
          <rPr>
            <sz val="10"/>
            <color rgb="FF000000"/>
            <rFont val="Arial"/>
          </rPr>
          <t>You can't deal any damage if you're dead.
Shields have a fuckton of armor.</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1100-000001000000}">
      <text>
        <r>
          <rPr>
            <sz val="10"/>
            <color rgb="FF000000"/>
            <rFont val="Arial"/>
          </rPr>
          <t>Some armor requires a minimum amount of an attribute in order to use it.</t>
        </r>
      </text>
    </comment>
    <comment ref="E1" authorId="0" shapeId="0" xr:uid="{00000000-0006-0000-1100-000002000000}">
      <text>
        <r>
          <rPr>
            <sz val="10"/>
            <color rgb="FF000000"/>
            <rFont val="Arial"/>
          </rPr>
          <t>Numbers updated for Definitive Edition. 
Values taken from Common (white) items.</t>
        </r>
      </text>
    </comment>
    <comment ref="A25" authorId="0" shapeId="0" xr:uid="{00000000-0006-0000-1100-000003000000}">
      <text>
        <r>
          <rPr>
            <sz val="10"/>
            <color rgb="FF000000"/>
            <rFont val="Arial"/>
          </rPr>
          <t>Shield increases total armor by 51% when in full cloth/plate.  Leather would get +60%, but Finesse-based characters shouldn't be using a shield.</t>
        </r>
      </text>
    </comment>
    <comment ref="A27" authorId="0" shapeId="0" xr:uid="{00000000-0006-0000-1100-000004000000}">
      <text>
        <r>
          <rPr>
            <sz val="10"/>
            <color rgb="FF000000"/>
            <rFont val="Arial"/>
          </rPr>
          <t>Cloth armor has the same armor values as plate, except the magic armor and physical armor values are swapped.</t>
        </r>
      </text>
    </comment>
    <comment ref="A28" authorId="0" shapeId="0" xr:uid="{00000000-0006-0000-1100-000005000000}">
      <text>
        <r>
          <rPr>
            <sz val="10"/>
            <color rgb="FF000000"/>
            <rFont val="Arial"/>
          </rPr>
          <t>Leather has 86% of the total armor value as cloth or plate.</t>
        </r>
      </text>
    </comment>
    <comment ref="A36" authorId="0" shapeId="0" xr:uid="{00000000-0006-0000-1100-000006000000}">
      <text>
        <r>
          <rPr>
            <sz val="10"/>
            <color rgb="FF000000"/>
            <rFont val="Arial"/>
          </rPr>
          <t>Leather has 86% of the total armor value as cloth or plate, but is better balanced.
You can get a better balance mixing cloth and plate, but this requires high Str and Int on the same character, which you usually don't want.</t>
        </r>
      </text>
    </comment>
    <comment ref="A41" authorId="0" shapeId="0" xr:uid="{00000000-0006-0000-1100-000007000000}">
      <text>
        <r>
          <rPr>
            <sz val="10"/>
            <color rgb="FF000000"/>
            <rFont val="Arial"/>
          </rPr>
          <t>I'm comparing to Crippling Blow because it's the highest-damage to a single target non-source Warfare ability (other than Bouncing Shield).  They both can hit more than one target (although Bouncing Shield is more likely to).</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200-000001000000}">
      <text>
        <r>
          <rPr>
            <sz val="10"/>
            <color rgb="FF000000"/>
            <rFont val="Arial"/>
          </rPr>
          <t>What this sheet lists is what random stats you can get on each type of equipment, since not every gear slot can have every random stat.  This lets you know what to look for on a piece of random gear.
Skills granted by gear do not use memory slots, nor do they require their ability to use them.
HP values are based on level 10 equipment.  Nothing else here scales to level, although some stats have higher maximums at higher item qualities.  
HP = Vitality
Unique items are not randomly generated, and therefore can have stats not listed here.</t>
        </r>
      </text>
    </comment>
    <comment ref="B1" authorId="0" shapeId="0" xr:uid="{00000000-0006-0000-1200-000002000000}">
      <text>
        <r>
          <rPr>
            <sz val="10"/>
            <color rgb="FF000000"/>
            <rFont val="Arial"/>
          </rPr>
          <t>"Inflict" applies a status effect to anyone that hits you with a normal attack (does not apply on skill use).  It is shown on the in-game tooltip as "Set [status] for X turns on contact."</t>
        </r>
      </text>
    </comment>
    <comment ref="I1" authorId="0" shapeId="0" xr:uid="{00000000-0006-0000-1200-000003000000}">
      <text>
        <r>
          <rPr>
            <sz val="10"/>
            <color rgb="FF000000"/>
            <rFont val="Arial"/>
          </rPr>
          <t>One-handed Swords, Maces, and Axes.
Epics and Legendaries always get +1 Strength.  Divines get +2-3.
"Set" effects have a chance to apply the named status effect on your target when hitting them with your normal attack or a weapon skill.</t>
        </r>
      </text>
    </comment>
    <comment ref="J1" authorId="0" shapeId="0" xr:uid="{00000000-0006-0000-1200-000004000000}">
      <text>
        <r>
          <rPr>
            <sz val="10"/>
            <color rgb="FF000000"/>
            <rFont val="Arial"/>
          </rPr>
          <t>"Can Backstab" is on all Daggers and no Wands, so it is not listed.
Epics and Legendaries always get +1 of the weapon's required attribute.  Divines get +2-3.
"Set" effects have a chance to apply the named status effect on your target when hitting them with your normal attack or a weapon skill.</t>
        </r>
      </text>
    </comment>
    <comment ref="K1" authorId="0" shapeId="0" xr:uid="{00000000-0006-0000-1200-000005000000}">
      <text>
        <r>
          <rPr>
            <sz val="10"/>
            <color rgb="FF000000"/>
            <rFont val="Arial"/>
          </rPr>
          <t>Includes two-handed Swords, Maces, Axes, Staffs, and Spears.
Epics and Legendaries always get +1-2 of the weapon's required attribute.  Divines get +3-5.
"Set" effects have a chance to apply the named status effect on your target when hitting them with your normal attack or a weapon skill.</t>
        </r>
      </text>
    </comment>
    <comment ref="L1" authorId="0" shapeId="0" xr:uid="{00000000-0006-0000-1200-000006000000}">
      <text>
        <r>
          <rPr>
            <sz val="10"/>
            <color rgb="FF000000"/>
            <rFont val="Arial"/>
          </rPr>
          <t>Epics and Legendaries always get +1-2 Intelligence.  Divines get +3-5.
"Set" effects have a chance to apply the named status effect on your target when hitting them with your normal attack or a weapon skill.</t>
        </r>
      </text>
    </comment>
    <comment ref="M1" authorId="0" shapeId="0" xr:uid="{00000000-0006-0000-1200-000007000000}">
      <text>
        <r>
          <rPr>
            <sz val="10"/>
            <color rgb="FF000000"/>
            <rFont val="Arial"/>
          </rPr>
          <t>Bows and Crossbows.
"-1 Movement" is on all Crossbows and no Bows so it is not listed.
Epics and Legendaries always get +1-2 Finesse.  Divines get +3-5.
"Set" effects have a chance to apply the named status effect on your target when hitting them with your normal attack or a weapon skill.</t>
        </r>
      </text>
    </comment>
    <comment ref="N1" authorId="0" shapeId="0" xr:uid="{00000000-0006-0000-1200-000008000000}">
      <text>
        <r>
          <rPr>
            <sz val="10"/>
            <color rgb="FF000000"/>
            <rFont val="Arial"/>
          </rPr>
          <t>Epics and legendaries get +1 Constitution.  Divines can get up to +10.
"Inflict" applies a status effect to anyone that hits you with a normal attack (does not apply on skill use).  It is shown on the in-game tooltip as "Set [status] for X turns on contact."</t>
        </r>
      </text>
    </comment>
    <comment ref="M2" authorId="0" shapeId="0" xr:uid="{00000000-0006-0000-1200-000009000000}">
      <text>
        <r>
          <rPr>
            <sz val="10"/>
            <color rgb="FF000000"/>
            <rFont val="Arial"/>
          </rPr>
          <t>Crossbows get 15 because they already have 5 by default.</t>
        </r>
      </text>
    </comment>
    <comment ref="I3" authorId="0" shapeId="0" xr:uid="{00000000-0006-0000-1200-00000A000000}">
      <text>
        <r>
          <rPr>
            <sz val="10"/>
            <color rgb="FF000000"/>
            <rFont val="Arial"/>
          </rPr>
          <t>Bonus damage is of one of the following types:
Air
Earth
Fire
Poison
Water</t>
        </r>
      </text>
    </comment>
    <comment ref="K3" authorId="0" shapeId="0" xr:uid="{00000000-0006-0000-1200-00000B000000}">
      <text>
        <r>
          <rPr>
            <sz val="10"/>
            <color rgb="FF000000"/>
            <rFont val="Arial"/>
          </rPr>
          <t>Bonus damage is of one of the following types:
Air
Earth
Fire
Poison
Water</t>
        </r>
      </text>
    </comment>
    <comment ref="M3" authorId="0" shapeId="0" xr:uid="{00000000-0006-0000-1200-00000C000000}">
      <text>
        <r>
          <rPr>
            <sz val="10"/>
            <color rgb="FF000000"/>
            <rFont val="Arial"/>
          </rPr>
          <t>Bonus damage is of one of the following types:
Air
Earth
Fire
Poison
Water</t>
        </r>
      </text>
    </comment>
    <comment ref="J10" authorId="0" shapeId="0" xr:uid="{00000000-0006-0000-1200-00000D000000}">
      <text>
        <r>
          <rPr>
            <sz val="10"/>
            <color rgb="FF000000"/>
            <rFont val="Arial"/>
          </rPr>
          <t>Cannot be resisted.</t>
        </r>
      </text>
    </comment>
    <comment ref="J11" authorId="0" shapeId="0" xr:uid="{00000000-0006-0000-1200-00000E000000}">
      <text>
        <r>
          <rPr>
            <sz val="10"/>
            <color rgb="FF000000"/>
            <rFont val="Arial"/>
          </rPr>
          <t>Resisted by Physical Armor.</t>
        </r>
      </text>
    </comment>
    <comment ref="K11" authorId="0" shapeId="0" xr:uid="{00000000-0006-0000-1200-00000F000000}">
      <text>
        <r>
          <rPr>
            <sz val="10"/>
            <color rgb="FF000000"/>
            <rFont val="Arial"/>
          </rPr>
          <t>Cannot be resisted.</t>
        </r>
      </text>
    </comment>
    <comment ref="N11" authorId="0" shapeId="0" xr:uid="{00000000-0006-0000-1200-000010000000}">
      <text>
        <r>
          <rPr>
            <sz val="10"/>
            <color rgb="FF000000"/>
            <rFont val="Arial"/>
          </rPr>
          <t>Damage is reflected as the specified type.</t>
        </r>
      </text>
    </comment>
    <comment ref="I12" authorId="0" shapeId="0" xr:uid="{00000000-0006-0000-1200-000011000000}">
      <text>
        <r>
          <rPr>
            <sz val="10"/>
            <color rgb="FF000000"/>
            <rFont val="Arial"/>
          </rPr>
          <t>Cannot be resisted.</t>
        </r>
      </text>
    </comment>
    <comment ref="J12" authorId="0" shapeId="0" xr:uid="{00000000-0006-0000-1200-000012000000}">
      <text>
        <r>
          <rPr>
            <sz val="10"/>
            <color rgb="FF000000"/>
            <rFont val="Arial"/>
          </rPr>
          <t>Resisted by Physical Armor.</t>
        </r>
      </text>
    </comment>
    <comment ref="K12" authorId="0" shapeId="0" xr:uid="{00000000-0006-0000-1200-000013000000}">
      <text>
        <r>
          <rPr>
            <sz val="10"/>
            <color rgb="FF000000"/>
            <rFont val="Arial"/>
          </rPr>
          <t>Resisted by Physical Armor.</t>
        </r>
      </text>
    </comment>
    <comment ref="M12" authorId="0" shapeId="0" xr:uid="{00000000-0006-0000-1200-000014000000}">
      <text>
        <r>
          <rPr>
            <sz val="10"/>
            <color rgb="FF000000"/>
            <rFont val="Arial"/>
          </rPr>
          <t>Cannot be resisted.</t>
        </r>
      </text>
    </comment>
    <comment ref="I13" authorId="0" shapeId="0" xr:uid="{00000000-0006-0000-1200-000015000000}">
      <text>
        <r>
          <rPr>
            <sz val="10"/>
            <color rgb="FF000000"/>
            <rFont val="Arial"/>
          </rPr>
          <t>Resisted by Physical Armor.</t>
        </r>
      </text>
    </comment>
    <comment ref="J13" authorId="0" shapeId="0" xr:uid="{00000000-0006-0000-1200-000016000000}">
      <text>
        <r>
          <rPr>
            <sz val="10"/>
            <color rgb="FF000000"/>
            <rFont val="Arial"/>
          </rPr>
          <t>Resisted by Magic Armor.</t>
        </r>
      </text>
    </comment>
    <comment ref="K13" authorId="0" shapeId="0" xr:uid="{00000000-0006-0000-1200-000017000000}">
      <text>
        <r>
          <rPr>
            <sz val="10"/>
            <color rgb="FF000000"/>
            <rFont val="Arial"/>
          </rPr>
          <t>Resisted by Physical Armor.</t>
        </r>
      </text>
    </comment>
    <comment ref="M13" authorId="0" shapeId="0" xr:uid="{00000000-0006-0000-1200-000018000000}">
      <text>
        <r>
          <rPr>
            <sz val="10"/>
            <color rgb="FF000000"/>
            <rFont val="Arial"/>
          </rPr>
          <t>Resisted by Physical Armor.</t>
        </r>
      </text>
    </comment>
    <comment ref="I14" authorId="0" shapeId="0" xr:uid="{00000000-0006-0000-1200-000019000000}">
      <text>
        <r>
          <rPr>
            <sz val="10"/>
            <color rgb="FF000000"/>
            <rFont val="Arial"/>
          </rPr>
          <t>Resisted by Physical Armor.</t>
        </r>
      </text>
    </comment>
    <comment ref="J14" authorId="0" shapeId="0" xr:uid="{00000000-0006-0000-1200-00001A000000}">
      <text>
        <r>
          <rPr>
            <sz val="10"/>
            <color rgb="FF000000"/>
            <rFont val="Arial"/>
          </rPr>
          <t>Resisted by Physical Armor.</t>
        </r>
      </text>
    </comment>
    <comment ref="K14" authorId="0" shapeId="0" xr:uid="{00000000-0006-0000-1200-00001B000000}">
      <text>
        <r>
          <rPr>
            <sz val="10"/>
            <color rgb="FF000000"/>
            <rFont val="Arial"/>
          </rPr>
          <t>Resisted by Magic Armor.</t>
        </r>
      </text>
    </comment>
    <comment ref="M14" authorId="0" shapeId="0" xr:uid="{00000000-0006-0000-1200-00001C000000}">
      <text>
        <r>
          <rPr>
            <sz val="10"/>
            <color rgb="FF000000"/>
            <rFont val="Arial"/>
          </rPr>
          <t>Resisted by Physical Armor.</t>
        </r>
      </text>
    </comment>
    <comment ref="I15" authorId="0" shapeId="0" xr:uid="{00000000-0006-0000-1200-00001D000000}">
      <text>
        <r>
          <rPr>
            <sz val="10"/>
            <color rgb="FF000000"/>
            <rFont val="Arial"/>
          </rPr>
          <t>Resisted by Magic Armor.</t>
        </r>
      </text>
    </comment>
    <comment ref="J15" authorId="0" shapeId="0" xr:uid="{00000000-0006-0000-1200-00001E000000}">
      <text>
        <r>
          <rPr>
            <sz val="10"/>
            <color rgb="FF000000"/>
            <rFont val="Arial"/>
          </rPr>
          <t>Resisted by Magic Armor.</t>
        </r>
      </text>
    </comment>
    <comment ref="K15" authorId="0" shapeId="0" xr:uid="{00000000-0006-0000-1200-00001F000000}">
      <text>
        <r>
          <rPr>
            <sz val="10"/>
            <color rgb="FF000000"/>
            <rFont val="Arial"/>
          </rPr>
          <t>Resisted by Magic Armor.</t>
        </r>
      </text>
    </comment>
    <comment ref="L15" authorId="0" shapeId="0" xr:uid="{00000000-0006-0000-1200-000020000000}">
      <text>
        <r>
          <rPr>
            <sz val="10"/>
            <color rgb="FF000000"/>
            <rFont val="Arial"/>
          </rPr>
          <t>Cannot be resisted.</t>
        </r>
      </text>
    </comment>
    <comment ref="M15" authorId="0" shapeId="0" xr:uid="{00000000-0006-0000-1200-000021000000}">
      <text>
        <r>
          <rPr>
            <sz val="10"/>
            <color rgb="FF000000"/>
            <rFont val="Arial"/>
          </rPr>
          <t>Resisted by Magic Armor.</t>
        </r>
      </text>
    </comment>
    <comment ref="I16" authorId="0" shapeId="0" xr:uid="{00000000-0006-0000-1200-000022000000}">
      <text>
        <r>
          <rPr>
            <sz val="10"/>
            <color rgb="FF000000"/>
            <rFont val="Arial"/>
          </rPr>
          <t>Resisted by Magic Armor.</t>
        </r>
      </text>
    </comment>
    <comment ref="J16" authorId="0" shapeId="0" xr:uid="{00000000-0006-0000-1200-000023000000}">
      <text>
        <r>
          <rPr>
            <sz val="10"/>
            <color rgb="FF000000"/>
            <rFont val="Arial"/>
          </rPr>
          <t>Cannot be resisted.</t>
        </r>
      </text>
    </comment>
    <comment ref="K16" authorId="0" shapeId="0" xr:uid="{00000000-0006-0000-1200-000024000000}">
      <text>
        <r>
          <rPr>
            <sz val="10"/>
            <color rgb="FF000000"/>
            <rFont val="Arial"/>
          </rPr>
          <t>Resisted by Magic Armor.</t>
        </r>
      </text>
    </comment>
    <comment ref="L16" authorId="0" shapeId="0" xr:uid="{00000000-0006-0000-1200-000025000000}">
      <text>
        <r>
          <rPr>
            <sz val="10"/>
            <color rgb="FF000000"/>
            <rFont val="Arial"/>
          </rPr>
          <t>Resisted by Physical Armor.</t>
        </r>
      </text>
    </comment>
    <comment ref="M16" authorId="0" shapeId="0" xr:uid="{00000000-0006-0000-1200-000026000000}">
      <text>
        <r>
          <rPr>
            <sz val="10"/>
            <color rgb="FF000000"/>
            <rFont val="Arial"/>
          </rPr>
          <t>Resisted by Magic Armor.</t>
        </r>
      </text>
    </comment>
    <comment ref="I17" authorId="0" shapeId="0" xr:uid="{00000000-0006-0000-1200-000027000000}">
      <text>
        <r>
          <rPr>
            <sz val="10"/>
            <color rgb="FF000000"/>
            <rFont val="Arial"/>
          </rPr>
          <t>Resisted by Magic Armor.</t>
        </r>
      </text>
    </comment>
    <comment ref="K17" authorId="0" shapeId="0" xr:uid="{00000000-0006-0000-1200-000028000000}">
      <text>
        <r>
          <rPr>
            <sz val="10"/>
            <color rgb="FF000000"/>
            <rFont val="Arial"/>
          </rPr>
          <t>Resisted by Physical Armor.</t>
        </r>
      </text>
    </comment>
    <comment ref="L17" authorId="0" shapeId="0" xr:uid="{00000000-0006-0000-1200-000029000000}">
      <text>
        <r>
          <rPr>
            <sz val="10"/>
            <color rgb="FF000000"/>
            <rFont val="Arial"/>
          </rPr>
          <t>Resisted by Physical Armor.</t>
        </r>
      </text>
    </comment>
    <comment ref="M17" authorId="0" shapeId="0" xr:uid="{00000000-0006-0000-1200-00002A000000}">
      <text>
        <r>
          <rPr>
            <sz val="10"/>
            <color rgb="FF000000"/>
            <rFont val="Arial"/>
          </rPr>
          <t>Resisted by Magic Armor.</t>
        </r>
      </text>
    </comment>
    <comment ref="I18" authorId="0" shapeId="0" xr:uid="{00000000-0006-0000-1200-00002B000000}">
      <text>
        <r>
          <rPr>
            <sz val="10"/>
            <color rgb="FF000000"/>
            <rFont val="Arial"/>
          </rPr>
          <t>Resisted by Physical Armor.</t>
        </r>
      </text>
    </comment>
    <comment ref="J18" authorId="0" shapeId="0" xr:uid="{00000000-0006-0000-1200-00002C000000}">
      <text>
        <r>
          <rPr>
            <sz val="10"/>
            <color rgb="FF000000"/>
            <rFont val="Arial"/>
          </rPr>
          <t>Only on Daggers.</t>
        </r>
      </text>
    </comment>
    <comment ref="K18" authorId="0" shapeId="0" xr:uid="{00000000-0006-0000-1200-00002D000000}">
      <text>
        <r>
          <rPr>
            <sz val="10"/>
            <color rgb="FF000000"/>
            <rFont val="Arial"/>
          </rPr>
          <t>Resisted by Magic Armor.</t>
        </r>
      </text>
    </comment>
    <comment ref="L18" authorId="0" shapeId="0" xr:uid="{00000000-0006-0000-1200-00002E000000}">
      <text>
        <r>
          <rPr>
            <sz val="10"/>
            <color rgb="FF000000"/>
            <rFont val="Arial"/>
          </rPr>
          <t>Resisted by Magic Armor.</t>
        </r>
      </text>
    </comment>
    <comment ref="M18" authorId="0" shapeId="0" xr:uid="{00000000-0006-0000-1200-00002F000000}">
      <text>
        <r>
          <rPr>
            <sz val="10"/>
            <color rgb="FF000000"/>
            <rFont val="Arial"/>
          </rPr>
          <t>Resisted by Physical Armor.</t>
        </r>
      </text>
    </comment>
    <comment ref="I19" authorId="0" shapeId="0" xr:uid="{00000000-0006-0000-1200-000030000000}">
      <text>
        <r>
          <rPr>
            <sz val="10"/>
            <color rgb="FF000000"/>
            <rFont val="Arial"/>
          </rPr>
          <t>Resisted by Magic Armor.</t>
        </r>
      </text>
    </comment>
    <comment ref="K19" authorId="0" shapeId="0" xr:uid="{00000000-0006-0000-1200-000031000000}">
      <text>
        <r>
          <rPr>
            <sz val="10"/>
            <color rgb="FF000000"/>
            <rFont val="Arial"/>
          </rPr>
          <t>Resisted by Magic Armor.</t>
        </r>
      </text>
    </comment>
    <comment ref="L19" authorId="0" shapeId="0" xr:uid="{00000000-0006-0000-1200-000032000000}">
      <text>
        <r>
          <rPr>
            <sz val="10"/>
            <color rgb="FF000000"/>
            <rFont val="Arial"/>
          </rPr>
          <t>Resisted by Physical Armor.</t>
        </r>
      </text>
    </comment>
    <comment ref="M19" authorId="0" shapeId="0" xr:uid="{00000000-0006-0000-1200-000033000000}">
      <text>
        <r>
          <rPr>
            <sz val="10"/>
            <color rgb="FF000000"/>
            <rFont val="Arial"/>
          </rPr>
          <t>Resisted by Magic Armor.</t>
        </r>
      </text>
    </comment>
    <comment ref="I20" authorId="0" shapeId="0" xr:uid="{00000000-0006-0000-1200-000034000000}">
      <text>
        <r>
          <rPr>
            <sz val="10"/>
            <color rgb="FF000000"/>
            <rFont val="Arial"/>
          </rPr>
          <t>Resisted by Magic Armor.</t>
        </r>
      </text>
    </comment>
    <comment ref="K20" authorId="0" shapeId="0" xr:uid="{00000000-0006-0000-1200-000035000000}">
      <text>
        <r>
          <rPr>
            <sz val="10"/>
            <color rgb="FF000000"/>
            <rFont val="Arial"/>
          </rPr>
          <t>Resisted by Magic Armor.</t>
        </r>
      </text>
    </comment>
    <comment ref="L20" authorId="0" shapeId="0" xr:uid="{00000000-0006-0000-1200-000036000000}">
      <text>
        <r>
          <rPr>
            <sz val="10"/>
            <color rgb="FF000000"/>
            <rFont val="Arial"/>
          </rPr>
          <t>Resisted by Magic Armor.</t>
        </r>
      </text>
    </comment>
    <comment ref="M20" authorId="0" shapeId="0" xr:uid="{00000000-0006-0000-1200-000037000000}">
      <text>
        <r>
          <rPr>
            <sz val="10"/>
            <color rgb="FF000000"/>
            <rFont val="Arial"/>
          </rPr>
          <t>Resisted by Magic Armor.</t>
        </r>
      </text>
    </comment>
    <comment ref="I21" authorId="0" shapeId="0" xr:uid="{00000000-0006-0000-1200-000038000000}">
      <text>
        <r>
          <rPr>
            <sz val="10"/>
            <color rgb="FF000000"/>
            <rFont val="Arial"/>
          </rPr>
          <t>Resisted by Magic Armor.</t>
        </r>
      </text>
    </comment>
    <comment ref="K21" authorId="0" shapeId="0" xr:uid="{00000000-0006-0000-1200-000039000000}">
      <text>
        <r>
          <rPr>
            <sz val="10"/>
            <color rgb="FF000000"/>
            <rFont val="Arial"/>
          </rPr>
          <t>Resisted by Magic Armor.</t>
        </r>
      </text>
    </comment>
    <comment ref="L21" authorId="0" shapeId="0" xr:uid="{00000000-0006-0000-1200-00003A000000}">
      <text>
        <r>
          <rPr>
            <sz val="10"/>
            <color rgb="FF000000"/>
            <rFont val="Arial"/>
          </rPr>
          <t>Cannot be resisted.</t>
        </r>
      </text>
    </comment>
    <comment ref="M21" authorId="0" shapeId="0" xr:uid="{00000000-0006-0000-1200-00003B000000}">
      <text>
        <r>
          <rPr>
            <sz val="10"/>
            <color rgb="FF000000"/>
            <rFont val="Arial"/>
          </rPr>
          <t>Resisted by Magic Armor.</t>
        </r>
      </text>
    </comment>
    <comment ref="I22" authorId="0" shapeId="0" xr:uid="{00000000-0006-0000-1200-00003C000000}">
      <text>
        <r>
          <rPr>
            <sz val="10"/>
            <color rgb="FF000000"/>
            <rFont val="Arial"/>
          </rPr>
          <t>Resisted by Magic Armor.</t>
        </r>
      </text>
    </comment>
    <comment ref="K22" authorId="0" shapeId="0" xr:uid="{00000000-0006-0000-1200-00003D000000}">
      <text>
        <r>
          <rPr>
            <sz val="10"/>
            <color rgb="FF000000"/>
            <rFont val="Arial"/>
          </rPr>
          <t>Cannot be resisted.</t>
        </r>
      </text>
    </comment>
    <comment ref="M22" authorId="0" shapeId="0" xr:uid="{00000000-0006-0000-1200-00003E000000}">
      <text>
        <r>
          <rPr>
            <sz val="10"/>
            <color rgb="FF000000"/>
            <rFont val="Arial"/>
          </rPr>
          <t>Resisted by Magic Armor.</t>
        </r>
      </text>
    </comment>
    <comment ref="I23" authorId="0" shapeId="0" xr:uid="{00000000-0006-0000-1200-00003F000000}">
      <text>
        <r>
          <rPr>
            <sz val="10"/>
            <color rgb="FF000000"/>
            <rFont val="Arial"/>
          </rPr>
          <t>Cannot be resisted.</t>
        </r>
      </text>
    </comment>
    <comment ref="M23" authorId="0" shapeId="0" xr:uid="{00000000-0006-0000-1200-000040000000}">
      <text>
        <r>
          <rPr>
            <sz val="10"/>
            <color rgb="FF000000"/>
            <rFont val="Arial"/>
          </rPr>
          <t>Cannot be resisted.</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300-000001000000}">
      <text>
        <r>
          <rPr>
            <sz val="10"/>
            <color rgb="FF000000"/>
            <rFont val="Arial"/>
          </rPr>
          <t>This sheet shows what you would multiply the base damage of a common weapon or the base armors of common armor by in order to see what it would have at a higher rarity.
If you want to convert from a rarity above common to another rarity above common, divide by the multiplier of the source and then multiply by the multiplier of the target. 
Armor values are Magic Armor + Physical Armor.</t>
        </r>
      </text>
    </comment>
    <comment ref="B1" authorId="0" shapeId="0" xr:uid="{00000000-0006-0000-1300-000002000000}">
      <text>
        <r>
          <rPr>
            <sz val="10"/>
            <color rgb="FF000000"/>
            <rFont val="Arial"/>
          </rPr>
          <t>All values at level 20.</t>
        </r>
      </text>
    </comment>
    <comment ref="E1" authorId="0" shapeId="0" xr:uid="{00000000-0006-0000-1300-000003000000}">
      <text>
        <r>
          <rPr>
            <sz val="10"/>
            <color rgb="FF000000"/>
            <rFont val="Arial"/>
          </rPr>
          <t>Numbers do not include bonus elemental damage since it's not guaranteed and also it often doesn't matter.</t>
        </r>
      </text>
    </comment>
    <comment ref="I1" authorId="0" shapeId="0" xr:uid="{00000000-0006-0000-1300-000004000000}">
      <text>
        <r>
          <rPr>
            <sz val="10"/>
            <color rgb="FF000000"/>
            <rFont val="Arial"/>
          </rPr>
          <t>Updated Legendary numbers.  These seem correct and didn't rely entirely on mods.</t>
        </r>
      </text>
    </comment>
    <comment ref="M1" authorId="0" shapeId="0" xr:uid="{00000000-0006-0000-1300-000005000000}">
      <text>
        <r>
          <rPr>
            <sz val="10"/>
            <color rgb="FF000000"/>
            <rFont val="Arial"/>
          </rPr>
          <t>This sheet shows what you would multiply the base damage of a common weapon or the base armors of common armor by in order to see what it would have at a higher rarity.
If you want to convert from a rarity above common to another rarity above common, divide by the multiplier of the source and then multiply by the multiplier of the target. 
Armor values are Magic Armor + Physical Armor.</t>
        </r>
      </text>
    </comment>
    <comment ref="A25" authorId="0" shapeId="0" xr:uid="{00000000-0006-0000-1300-000006000000}">
      <text>
        <r>
          <rPr>
            <sz val="10"/>
            <color rgb="FF000000"/>
            <rFont val="Arial"/>
          </rPr>
          <t>Not counting shields.</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400-000001000000}">
      <text>
        <r>
          <rPr>
            <sz val="10"/>
            <color rgb="FF000000"/>
            <rFont val="Arial"/>
          </rPr>
          <t>This is a list of potential bugs.  I'm putting it here just so it's easily accessible for me, but it could be good if other people saw these and were like "Hey, that's not a bug.  This is why it's happening." 
For instance, I used to think Sebille removing her shield randomly was a bug, then later realized she was doing it because of the Constitution penalty from Flesh Sacrifice.  So, some things listed might not actually be bugs.
Colored bugs have not been tested in Definitive Edition yet.
Green = Easy to test
Yellow = Specific conditions required
Red = Can't really test as it's semi-random</t>
        </r>
      </text>
    </comment>
    <comment ref="A5" authorId="0" shapeId="0" xr:uid="{00000000-0006-0000-1400-000002000000}">
      <text>
        <r>
          <rPr>
            <sz val="10"/>
            <color rgb="FF000000"/>
            <rFont val="Arial"/>
          </rPr>
          <t>Green instead of yellow because my first testing party is almost there.</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1500-000001000000}">
      <text>
        <r>
          <rPr>
            <sz val="10"/>
            <color rgb="FF000000"/>
            <rFont val="Arial"/>
          </rPr>
          <t>Ingredients tab</t>
        </r>
      </text>
    </comment>
    <comment ref="F1" authorId="0" shapeId="0" xr:uid="{00000000-0006-0000-1500-000002000000}">
      <text>
        <r>
          <rPr>
            <sz val="10"/>
            <color rgb="FF000000"/>
            <rFont val="Arial"/>
          </rPr>
          <t>Skills tab
Some just need additional details, such as Range and Duration.</t>
        </r>
      </text>
    </comment>
    <comment ref="H1" authorId="0" shapeId="0" xr:uid="{00000000-0006-0000-1500-000003000000}">
      <text>
        <r>
          <rPr>
            <sz val="10"/>
            <color rgb="FF000000"/>
            <rFont val="Arial"/>
          </rPr>
          <t>Status tab</t>
        </r>
      </text>
    </comment>
    <comment ref="J1" authorId="0" shapeId="0" xr:uid="{00000000-0006-0000-1500-000004000000}">
      <text>
        <r>
          <rPr>
            <sz val="10"/>
            <color rgb="FF000000"/>
            <rFont val="Arial"/>
          </rPr>
          <t>Thanks to these people who have contributed to this spreadsheet.</t>
        </r>
      </text>
    </comment>
    <comment ref="A8" authorId="0" shapeId="0" xr:uid="{00000000-0006-0000-1500-000005000000}">
      <text>
        <r>
          <rPr>
            <sz val="10"/>
            <color rgb="FF000000"/>
            <rFont val="Arial"/>
          </rPr>
          <t>So far it looks like they don't.</t>
        </r>
      </text>
    </comment>
    <comment ref="A12" authorId="0" shapeId="0" xr:uid="{00000000-0006-0000-1500-000006000000}">
      <text>
        <r>
          <rPr>
            <sz val="10"/>
            <color rgb="FF000000"/>
            <rFont val="Arial"/>
          </rPr>
          <t>Uncommon, Rare, and Epic weapons all have the same base damage.
Just do it for DE numbers since that's all anyone's using.  Needed updated numbers for that, anyway.</t>
        </r>
      </text>
    </comment>
    <comment ref="A14" authorId="0" shapeId="0" xr:uid="{00000000-0006-0000-1500-000007000000}">
      <text>
        <r>
          <rPr>
            <sz val="10"/>
            <color rgb="FF000000"/>
            <rFont val="Arial"/>
          </rPr>
          <t>It should be restricted to ranged weapons, but maybe not?  I just need to confirm it.</t>
        </r>
      </text>
    </comment>
    <comment ref="A15" authorId="0" shapeId="0" xr:uid="{00000000-0006-0000-1500-000008000000}">
      <text>
        <r>
          <rPr>
            <sz val="10"/>
            <color rgb="FF000000"/>
            <rFont val="Arial"/>
          </rPr>
          <t>I don't think so, but the wording I used is unclear on this.  I need to test it before I can fix it.</t>
        </r>
      </text>
    </comment>
    <comment ref="A23" authorId="0" shapeId="0" xr:uid="{00000000-0006-0000-1500-000009000000}">
      <text>
        <r>
          <rPr>
            <sz val="10"/>
            <color rgb="FF000000"/>
            <rFont val="Arial"/>
          </rPr>
          <t>If you use it and your screen turns black (or something else happens with the screen), exit the script, go into its cfg file, turn off tooltips, and restart it.</t>
        </r>
      </text>
    </comment>
    <comment ref="D23" authorId="0" shapeId="0" xr:uid="{00000000-0006-0000-1500-00000A000000}">
      <text>
        <r>
          <rPr>
            <sz val="10"/>
            <color rgb="FF000000"/>
            <rFont val="Arial"/>
          </rPr>
          <t>I heard you can get these from killing the dolls in Arx.</t>
        </r>
      </text>
    </comment>
    <comment ref="A26" authorId="0" shapeId="0" xr:uid="{00000000-0006-0000-1500-00000B000000}">
      <text>
        <r>
          <rPr>
            <sz val="10"/>
            <color rgb="FF000000"/>
            <rFont val="Arial"/>
          </rPr>
          <t>If you use this, keep in mind that the game has to be running before you start the script, or else you'll get an error.
It also lets you change the camera angle, so you can see the world from a different angle than you normally would be able to.  It's pretty cool, even if the sky is just black.  Maybe there's a mod for the sky?</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600-000001000000}">
      <text>
        <r>
          <rPr>
            <sz val="10"/>
            <color rgb="FF000000"/>
            <rFont val="Arial"/>
          </rPr>
          <t>I'm using this tab to more easily compare skills.  You can only use it if you save a copy of the spreadsheet for yourself and use that, since it requires editing rights to change the Skill field.</t>
        </r>
      </text>
    </comment>
    <comment ref="Y1" authorId="0" shapeId="0" xr:uid="{00000000-0006-0000-1600-000002000000}">
      <text>
        <r>
          <rPr>
            <sz val="10"/>
            <color rgb="FF000000"/>
            <rFont val="Arial"/>
          </rPr>
          <t>Column in use.  White text.</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700-000001000000}">
      <text>
        <r>
          <rPr>
            <sz val="10"/>
            <color rgb="FF000000"/>
            <rFont val="Arial"/>
          </rPr>
          <t>I'm attempting to compare damage per AP values of different skills.</t>
        </r>
      </text>
    </comment>
    <comment ref="C1" authorId="0" shapeId="0" xr:uid="{00000000-0006-0000-1700-000002000000}">
      <text>
        <r>
          <rPr>
            <sz val="10"/>
            <color rgb="FF000000"/>
            <rFont val="Arial"/>
          </rPr>
          <t>Adjusting these to be more of a damage total.  So, for something that does 3 hits, all 3 hits are totaled, unlike on the Skills tab.  If a skill has a set number of affected targets, # assumes all targets hit.
Also adding in damage from non-resistible status effects, half damage from resistible status effects, and damage from surfaces.</t>
        </r>
      </text>
    </comment>
    <comment ref="D1" authorId="0" shapeId="0" xr:uid="{00000000-0006-0000-1700-000003000000}">
      <text>
        <r>
          <rPr>
            <sz val="10"/>
            <color rgb="FF000000"/>
            <rFont val="Arial"/>
          </rPr>
          <t>Does not include incidental damage, like that from a surface or status that the skill causes.</t>
        </r>
      </text>
    </comment>
    <comment ref="E1" authorId="0" shapeId="0" xr:uid="{00000000-0006-0000-1700-000004000000}">
      <text>
        <r>
          <rPr>
            <sz val="10"/>
            <color rgb="FF000000"/>
            <rFont val="Arial"/>
          </rPr>
          <t>Using 1/2 Range value from Skills for cones, since that seems fair for comparison.</t>
        </r>
      </text>
    </comment>
    <comment ref="N1" authorId="0" shapeId="0" xr:uid="{00000000-0006-0000-1700-000005000000}">
      <text>
        <r>
          <rPr>
            <sz val="10"/>
            <color rgb="FF000000"/>
            <rFont val="Arial"/>
          </rPr>
          <t>Since larger AoEs are more likely to hit more targets, I'm using whichever # seems appropriate for the size of the AoE.
With a buff, you're probably going to hit at least 3 times, so I'm using 3 times for those.</t>
        </r>
      </text>
    </comment>
    <comment ref="B2" authorId="0" shapeId="0" xr:uid="{00000000-0006-0000-1700-000006000000}">
      <text>
        <r>
          <rPr>
            <sz val="10"/>
            <color rgb="FF000000"/>
            <rFont val="Arial"/>
          </rPr>
          <t>1 AP is both the cost of Raise Bloated Corpse and Vile Burst.  So, you could potentially get a melee attack in with the bloated corpse before bursting it, which would up the value a bit.</t>
        </r>
      </text>
    </comment>
    <comment ref="F2" authorId="0" shapeId="0" xr:uid="{00000000-0006-0000-1700-000007000000}">
      <text>
        <r>
          <rPr>
            <sz val="10"/>
            <color rgb="FF000000"/>
            <rFont val="Arial"/>
          </rPr>
          <t>Cooldown for Raise Bloated Corpse used since that's the one that matters here.</t>
        </r>
      </text>
    </comment>
    <comment ref="N2" authorId="0" shapeId="0" xr:uid="{00000000-0006-0000-1700-000008000000}">
      <text>
        <r>
          <rPr>
            <sz val="10"/>
            <color rgb="FF000000"/>
            <rFont val="Arial"/>
          </rPr>
          <t>Note that Vile Burst's damage is only affected by your Summoning ability, not Necromancy or Warfare.</t>
        </r>
      </text>
    </comment>
    <comment ref="B3" authorId="0" shapeId="0" xr:uid="{00000000-0006-0000-1700-000009000000}">
      <text>
        <r>
          <rPr>
            <sz val="10"/>
            <color rgb="FF000000"/>
            <rFont val="Arial"/>
          </rPr>
          <t>It's pretty hard to get this off without Global Cooling, so I've added it to the cost and #s.
It's also hard to get off without Rain, but you only need to cast that once, not each time.</t>
        </r>
      </text>
    </comment>
    <comment ref="C3" authorId="0" shapeId="0" xr:uid="{00000000-0006-0000-1700-00000A000000}">
      <text>
        <r>
          <rPr>
            <sz val="10"/>
            <color rgb="FF000000"/>
            <rFont val="Arial"/>
          </rPr>
          <t>It's pretty hard to get this off without Global Cooling, so I've added it to the cost and #s.
It's also hard to get off without Rain, but you only need to cast that once, not each time.</t>
        </r>
      </text>
    </comment>
    <comment ref="N4" authorId="0" shapeId="0" xr:uid="{00000000-0006-0000-1700-00000B000000}">
      <text>
        <r>
          <rPr>
            <sz val="10"/>
            <color rgb="FF000000"/>
            <rFont val="Arial"/>
          </rPr>
          <t xml:space="preserve">Highest likely damage/AP for a skill that doesn't require a setup (outside of movement), even before factoring in surface/status damage. </t>
        </r>
      </text>
    </comment>
    <comment ref="B5" authorId="0" shapeId="0" xr:uid="{00000000-0006-0000-1700-00000C000000}">
      <text>
        <r>
          <rPr>
            <sz val="10"/>
            <color rgb="FF000000"/>
            <rFont val="Arial"/>
          </rPr>
          <t>Reduced to match the cost to summon the Wind-Up Toy since Suicide is the only thing it's good for.</t>
        </r>
      </text>
    </comment>
    <comment ref="F5" authorId="0" shapeId="0" xr:uid="{00000000-0006-0000-1700-00000D000000}">
      <text>
        <r>
          <rPr>
            <sz val="10"/>
            <color rgb="FF000000"/>
            <rFont val="Arial"/>
          </rPr>
          <t>Using cooldown for the Wind-Up Toy skill since that's the one that matters here.</t>
        </r>
      </text>
    </comment>
    <comment ref="B6" authorId="0" shapeId="0" xr:uid="{00000000-0006-0000-1700-00000E000000}">
      <text>
        <r>
          <rPr>
            <sz val="10"/>
            <color rgb="FF000000"/>
            <rFont val="Arial"/>
          </rPr>
          <t>You're never going to get this off without Teleport, so I've added that into the AP cost.
You can also get it off with Nether Swap, but there's usually a point of movement involved there, so it'd still add 2 AP cost.</t>
        </r>
      </text>
    </comment>
    <comment ref="C6" authorId="0" shapeId="0" xr:uid="{00000000-0006-0000-1700-00000F000000}">
      <text>
        <r>
          <rPr>
            <sz val="10"/>
            <color rgb="FF000000"/>
            <rFont val="Arial"/>
          </rPr>
          <t>Since Teleportation is included in the AP cost, I've included it in the damage # as well.</t>
        </r>
      </text>
    </comment>
    <comment ref="N7" authorId="0" shapeId="0" xr:uid="{00000000-0006-0000-1700-000010000000}">
      <text>
        <r>
          <rPr>
            <sz val="10"/>
            <color rgb="FF000000"/>
            <rFont val="Arial"/>
          </rPr>
          <t>Highest likely damage/AP for a skill that doesn't require any preparation at all, not even movement (well, sometimes a little movement, but only sometimes), even before you factor in the damage from the Poisoned status.</t>
        </r>
      </text>
    </comment>
    <comment ref="N17" authorId="0" shapeId="0" xr:uid="{00000000-0006-0000-1700-000011000000}">
      <text>
        <r>
          <rPr>
            <sz val="10"/>
            <color rgb="FF000000"/>
            <rFont val="Arial"/>
          </rPr>
          <t>This moves up the ranks as you get higher-level shields, eventually taking the #1 spot.</t>
        </r>
      </text>
    </comment>
    <comment ref="C32" authorId="0" shapeId="0" xr:uid="{00000000-0006-0000-1700-000012000000}">
      <text>
        <r>
          <rPr>
            <sz val="10"/>
            <color rgb="FF000000"/>
            <rFont val="Arial"/>
          </rPr>
          <t>Changed from the Skills tab to represent the default of 175% crit damage.</t>
        </r>
      </text>
    </comment>
    <comment ref="N34" authorId="0" shapeId="0" xr:uid="{00000000-0006-0000-1700-000013000000}">
      <text>
        <r>
          <rPr>
            <sz val="10"/>
            <color rgb="FF000000"/>
            <rFont val="Arial"/>
          </rPr>
          <t>You'll probably hit 2 targets with this.</t>
        </r>
      </text>
    </comment>
    <comment ref="H51" authorId="0" shapeId="0" xr:uid="{00000000-0006-0000-1700-000014000000}">
      <text>
        <r>
          <rPr>
            <sz val="10"/>
            <color rgb="FF000000"/>
            <rFont val="Arial"/>
          </rPr>
          <t>This almost never damages another enemy, so I'm not listing it as an AoE even though it occasionally is one.</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1800-000001000000}">
      <text>
        <r>
          <rPr>
            <sz val="10"/>
            <color rgb="FF000000"/>
            <rFont val="Arial"/>
          </rPr>
          <t>150% bonus damage on Tactician.</t>
        </r>
      </text>
    </comment>
    <comment ref="A2" authorId="0" shapeId="0" xr:uid="{00000000-0006-0000-1800-000002000000}">
      <text>
        <r>
          <rPr>
            <sz val="10"/>
            <color rgb="FF000000"/>
            <rFont val="Arial"/>
          </rPr>
          <t>Only change this field and the one under Crit Damage.</t>
        </r>
      </text>
    </comment>
    <comment ref="A5" authorId="0" shapeId="0" xr:uid="{00000000-0006-0000-1800-000003000000}">
      <text>
        <r>
          <rPr>
            <sz val="10"/>
            <color rgb="FF000000"/>
            <rFont val="Arial"/>
          </rPr>
          <t>Tactician  = 0.5 (+50%)
Classic = 0.75 (+75%)
Explorer = GTFO n00b</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900-000001000000}">
      <text>
        <r>
          <rPr>
            <sz val="10"/>
            <color rgb="FF000000"/>
            <rFont val="Arial"/>
          </rPr>
          <t>This sheet is just used to provide the data for the "Craftables by Ingredient" sheet, since I can't add the prices there without having the exact item reference elsewhere.</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
  </authors>
  <commentList>
    <comment ref="I1" authorId="0" shapeId="0" xr:uid="{00000000-0006-0000-1A00-000001000000}">
      <text>
        <r>
          <rPr>
            <sz val="10"/>
            <color rgb="FF000000"/>
            <rFont val="Arial"/>
          </rPr>
          <t>Not in any kind of order.</t>
        </r>
      </text>
    </comment>
    <comment ref="J1" authorId="0" shapeId="0" xr:uid="{00000000-0006-0000-1A00-000002000000}">
      <text>
        <r>
          <rPr>
            <sz val="10"/>
            <color rgb="FF000000"/>
            <rFont val="Arial"/>
          </rPr>
          <t>Memory Slots needed for this many skills.</t>
        </r>
      </text>
    </comment>
    <comment ref="K1" authorId="0" shapeId="0" xr:uid="{00000000-0006-0000-1A00-000003000000}">
      <text>
        <r>
          <rPr>
            <sz val="10"/>
            <color rgb="FF000000"/>
            <rFont val="Arial"/>
          </rPr>
          <t>Level Requirement for this many slots without putting points in the Memory attribute.</t>
        </r>
      </text>
    </comment>
    <comment ref="A6" authorId="0" shapeId="0" xr:uid="{00000000-0006-0000-1A00-000004000000}">
      <text>
        <r>
          <rPr>
            <sz val="10"/>
            <color rgb="FF000000"/>
            <rFont val="Arial"/>
          </rPr>
          <t>Needed for The Pawn.  Also, Cloak and Dagger is preferred over Phoenix Dive, but maybe eventually get both.</t>
        </r>
      </text>
    </comment>
    <comment ref="D6" authorId="0" shapeId="0" xr:uid="{00000000-0006-0000-1A00-000005000000}">
      <text>
        <r>
          <rPr>
            <sz val="10"/>
            <color rgb="FF000000"/>
            <rFont val="Arial"/>
          </rPr>
          <t>Allows Bouncing Shield and Reactive Armor to crit.</t>
        </r>
      </text>
    </comment>
  </commentList>
</comments>
</file>

<file path=xl/sharedStrings.xml><?xml version="1.0" encoding="utf-8"?>
<sst xmlns="http://schemas.openxmlformats.org/spreadsheetml/2006/main" count="11522" uniqueCount="2997">
  <si>
    <t>Much of the information has been confirmed or updated for Definitive Edition, but there's much left cover, so it'll be a while, and some things may get missed.  Please comment if you see something is wrong or missing.</t>
  </si>
  <si>
    <t>Use the tabs at the bottom to get to different information.  Tabs to the right of Bugs are either to help in data processing, or for my own personal use.</t>
  </si>
  <si>
    <t>Make sure to mouse-over cells that have a triangle in the upper-right corner to get additional information.</t>
  </si>
  <si>
    <t>Tabs</t>
  </si>
  <si>
    <t>Updated to Definitive Edition?</t>
  </si>
  <si>
    <t>Recipes</t>
  </si>
  <si>
    <t>What can be crafted, what it does, how much it's worth, and what is required to make it.</t>
  </si>
  <si>
    <t>Ongoing</t>
  </si>
  <si>
    <t>Craftables by Ingredient</t>
  </si>
  <si>
    <t>What crafting recipes an item can be used in.</t>
  </si>
  <si>
    <t>Automatically generated</t>
  </si>
  <si>
    <t>Ingredients</t>
  </si>
  <si>
    <t>A list of all the items that are part of a crafting recipe, and some relevant details about that item.</t>
  </si>
  <si>
    <t>Is anything different?</t>
  </si>
  <si>
    <t>Skills</t>
  </si>
  <si>
    <t>Activated skills with descriptions, categories, and far more detail than what you get in-game.</t>
  </si>
  <si>
    <t>Needs updated numbers</t>
  </si>
  <si>
    <t>2-Ability Skills</t>
  </si>
  <si>
    <t>A quick reference of what skills you get when mixing abilities.</t>
  </si>
  <si>
    <t>Should be the same</t>
  </si>
  <si>
    <t>Surfaces/Clouds</t>
  </si>
  <si>
    <t>Details about the different surfaces and clouds, so you can find out what they do before deploying them.</t>
  </si>
  <si>
    <t>Status</t>
  </si>
  <si>
    <t>Status effects with descriptions of what they do.  A good reference for skills that apply status effects but don't tell you what they do.</t>
  </si>
  <si>
    <t>Runes</t>
  </si>
  <si>
    <t>A quick reference of what the different runes do.</t>
  </si>
  <si>
    <t>Updated</t>
  </si>
  <si>
    <t>Summons</t>
  </si>
  <si>
    <t>Details about the different things you can summon, including stats at different character and ability levels for comparison.</t>
  </si>
  <si>
    <t>In Progress</t>
  </si>
  <si>
    <t>V</t>
  </si>
  <si>
    <t>Values of craftable weapons and armor by level.  Incomplete, but useful for comparison.</t>
  </si>
  <si>
    <t>Attributes</t>
  </si>
  <si>
    <t>Attributes (such as Strength) and other stats along with details of what they do.  Much more information than what you get in-game.</t>
  </si>
  <si>
    <t>Abilities</t>
  </si>
  <si>
    <t>Passive abilities with details of what they do.  More accurate and detailed than the in-game descriptions.</t>
  </si>
  <si>
    <t>Talents</t>
  </si>
  <si>
    <t xml:space="preserve">Talents with details of what they do.  </t>
  </si>
  <si>
    <t>Race Traits</t>
  </si>
  <si>
    <t>A quick refernce for what traits each of the races get.</t>
  </si>
  <si>
    <t>Classes</t>
  </si>
  <si>
    <t>Shows the starting abilities, talents, attributes, skills, and equipment of each class at level 1.  This is useful when deciding on a class for new party members.</t>
  </si>
  <si>
    <t>Weapons</t>
  </si>
  <si>
    <t>Base weapon stats for comparing the different weapon types.</t>
  </si>
  <si>
    <t>Armor</t>
  </si>
  <si>
    <t>Base armor stats for comparing the different armor types.</t>
  </si>
  <si>
    <t>Gear Stats</t>
  </si>
  <si>
    <t>The different random stats and skills that equipment can have.  Saves you from looking for a piece of equipment with a random buff it can't have.</t>
  </si>
  <si>
    <t>Check HP numbers</t>
  </si>
  <si>
    <t>Rarity Multipliers</t>
  </si>
  <si>
    <t>Has the number to multiply the damage/armor values of "common" (white) equipment by to get their values for higher-rarities.  Mostly useful when trying to scale Skill numbers to better equipment.</t>
  </si>
  <si>
    <t>Done</t>
  </si>
  <si>
    <t>Bugs</t>
  </si>
  <si>
    <t xml:space="preserve">Bugs I've found and reported in the current game that haven't been fixed yet. </t>
  </si>
  <si>
    <t>Needs update</t>
  </si>
  <si>
    <t>Result 1</t>
  </si>
  <si>
    <t>Amt1</t>
  </si>
  <si>
    <t>Value 1</t>
  </si>
  <si>
    <t>Profit 1</t>
  </si>
  <si>
    <t>Effect 1</t>
  </si>
  <si>
    <t>Result 2</t>
  </si>
  <si>
    <t>Amt2</t>
  </si>
  <si>
    <t>Category</t>
  </si>
  <si>
    <t>SubCat</t>
  </si>
  <si>
    <t>Crafting Station</t>
  </si>
  <si>
    <t>Val 1</t>
  </si>
  <si>
    <t>Ingredient 1</t>
  </si>
  <si>
    <t>Transform 1</t>
  </si>
  <si>
    <t>Val 2</t>
  </si>
  <si>
    <t>Ingredient 2</t>
  </si>
  <si>
    <t>Transform 2</t>
  </si>
  <si>
    <t>Val 3</t>
  </si>
  <si>
    <t>Ingredient 3</t>
  </si>
  <si>
    <t>Transform 3</t>
  </si>
  <si>
    <t>Val 4</t>
  </si>
  <si>
    <t>Ingredient 4</t>
  </si>
  <si>
    <t>Transform 4</t>
  </si>
  <si>
    <t>Val 5</t>
  </si>
  <si>
    <t>Ingredient 5</t>
  </si>
  <si>
    <t>Transform 5</t>
  </si>
  <si>
    <t>AutoLevel</t>
  </si>
  <si>
    <t>This column intentionally blank and large.</t>
  </si>
  <si>
    <t>Armour of the Eternals</t>
  </si>
  <si>
    <t>[~13%] Magic Armor (scales with level)
[~87%] Physical Armor (scales with level)
+20% Air Resistance
+0.2 Movement
+HP (scales with level)
Immunity to Stunned
Inflict Stunned on contact
Immunity to Shocked
Reflect 10% of melee damage as Air Damage
Requires Strength
Rune Slot</t>
  </si>
  <si>
    <t>Armour</t>
  </si>
  <si>
    <t>Chest</t>
  </si>
  <si>
    <t>Eternal Artefact [A]</t>
  </si>
  <si>
    <t>Consume</t>
  </si>
  <si>
    <t>Eternal Plate</t>
  </si>
  <si>
    <t>Transform</t>
  </si>
  <si>
    <t>Metal Scraps</t>
  </si>
  <si>
    <t>Source Orb</t>
  </si>
  <si>
    <t>[see other "Armour of the Eternals" entry]</t>
  </si>
  <si>
    <t>Eternal Artefact [C]</t>
  </si>
  <si>
    <t>Handmade Cloth Shirt</t>
  </si>
  <si>
    <t>Chest Armor (no requirements; no stats either)</t>
  </si>
  <si>
    <t>Needle and Thread</t>
  </si>
  <si>
    <t>Cloth Scraps</t>
  </si>
  <si>
    <t>Handmade Leather Armour</t>
  </si>
  <si>
    <t>Finesse-based Chest Armor (no stats)</t>
  </si>
  <si>
    <t>Leather Scraps</t>
  </si>
  <si>
    <t>Handmade Mage Armour</t>
  </si>
  <si>
    <t>Intelligence-based Chest Armor (no stats)</t>
  </si>
  <si>
    <t>Pixie Dust</t>
  </si>
  <si>
    <t>Handmade Mail Armour</t>
  </si>
  <si>
    <t>Handmade Plate Armour</t>
  </si>
  <si>
    <t>Strength-based Chest Armor (no stats)</t>
  </si>
  <si>
    <t>Anvil</t>
  </si>
  <si>
    <t>Plate Scraps</t>
  </si>
  <si>
    <t>Handmade Scale Armour</t>
  </si>
  <si>
    <t>Scale Scraps</t>
  </si>
  <si>
    <t>Dwarven Mask of the Shapeshifter</t>
  </si>
  <si>
    <t>Change your race to Dwarf while equipped.</t>
  </si>
  <si>
    <t>Head</t>
  </si>
  <si>
    <t>Dwarf Face</t>
  </si>
  <si>
    <t>Elven Mask of the Shapeshifter</t>
  </si>
  <si>
    <t>Change your race to Elf while equipped.</t>
  </si>
  <si>
    <t>Elf Face</t>
  </si>
  <si>
    <t>Human Mask of the Shapeshifter</t>
  </si>
  <si>
    <t>Change your race to Human while equipped.</t>
  </si>
  <si>
    <t>Human Face</t>
  </si>
  <si>
    <t>Lizard Mask of the Shapeshifter</t>
  </si>
  <si>
    <t>Change your race to Lizard while equipped.</t>
  </si>
  <si>
    <t>Lizard Face</t>
  </si>
  <si>
    <t>Mask of the Shapeshifter</t>
  </si>
  <si>
    <t>Grants skills to turn into any non-undead race.  Racial perks change to that race.  Change is undone if you remove the mask.</t>
  </si>
  <si>
    <t>-</t>
  </si>
  <si>
    <t>Mats</t>
  </si>
  <si>
    <t>Cutting Tool</t>
  </si>
  <si>
    <t>None</t>
  </si>
  <si>
    <t>Animal Hide</t>
  </si>
  <si>
    <t>Makeshift Shield</t>
  </si>
  <si>
    <t>1H Shield (requires Constitution; no stats)</t>
  </si>
  <si>
    <t>Shield</t>
  </si>
  <si>
    <t>Wood Chips</t>
  </si>
  <si>
    <t>Blessed Water Arrow</t>
  </si>
  <si>
    <t>Create Blessed Water surface, douse fires, and set Healing on characters in 2m radius.</t>
  </si>
  <si>
    <t>Arrows</t>
  </si>
  <si>
    <t>Arrow</t>
  </si>
  <si>
    <t>Water Arrow</t>
  </si>
  <si>
    <t>Arrow Shaft</t>
  </si>
  <si>
    <t>Blessed Water Arrowhead</t>
  </si>
  <si>
    <t>Charming Arrow</t>
  </si>
  <si>
    <t>Set Charmed for 1 turn, resisted by Magic Armor.</t>
  </si>
  <si>
    <t>Charming Arrowhead</t>
  </si>
  <si>
    <t>Jar of Honey</t>
  </si>
  <si>
    <t>Cursed Fire Arrow</t>
  </si>
  <si>
    <t>Deal Fire damage (143%) and create a Cursed Fire surface in 2m radius.  Set Burning for 1 turn, resisted by Magic Armor.</t>
  </si>
  <si>
    <t>Fire Arrow</t>
  </si>
  <si>
    <t>Cursed Fire Arrowhead</t>
  </si>
  <si>
    <t>Explosive Arrow</t>
  </si>
  <si>
    <t>Deal Fire damage and set Burning for 1 turn (resisted by Magic Armor) on characters in 2m radius.  Creates a Fire surface.</t>
  </si>
  <si>
    <t>Explosive Arrowhead</t>
  </si>
  <si>
    <t>Fire Arrowhead</t>
  </si>
  <si>
    <t>Fire Essence</t>
  </si>
  <si>
    <t>Freezing Arrow</t>
  </si>
  <si>
    <t>Deal Water damage and set Chilled for 2 turns (resisted by Magic Armor) to characters in 2m radius.  Creates an Ice surface.</t>
  </si>
  <si>
    <t>Freezing Arrowhead</t>
  </si>
  <si>
    <t>Water Essence</t>
  </si>
  <si>
    <t>Knockdown Arrow</t>
  </si>
  <si>
    <t>Deal Physical damage.  Set Knocked Down for 1 turn, resisted by Physical Armor.</t>
  </si>
  <si>
    <t>Knockdown Arrowhead</t>
  </si>
  <si>
    <t>Poisoncloud Arrow</t>
  </si>
  <si>
    <t>Deal Poison damage. Set Poisoned for 2 turns, resisted by Magic Armor.  Create a Poison Cloud with a 2m radius.</t>
  </si>
  <si>
    <t>Poisoncloud Arrowhead</t>
  </si>
  <si>
    <t>Earth Essence</t>
  </si>
  <si>
    <t>Poisoned Arrow</t>
  </si>
  <si>
    <t>Deal Poison damage to characters in 2m radius. Set Poisoned for 3 turns, resisted by Magic Armor.  Creates a Poison surface.</t>
  </si>
  <si>
    <t>Poisoned Arrowhead</t>
  </si>
  <si>
    <t>Poison</t>
  </si>
  <si>
    <t>Shocking Arrow</t>
  </si>
  <si>
    <t>Deal Air damage and set Shocked for 1 turn (resisted by Magic Armor) on target.</t>
  </si>
  <si>
    <t>Shocking Arrowhead</t>
  </si>
  <si>
    <t>Air Essence</t>
  </si>
  <si>
    <t>Slowdown Arrow</t>
  </si>
  <si>
    <t>Deal Physical damage and set Slowed for 2 turns (resisted by Magic Armor) on target.</t>
  </si>
  <si>
    <t>Slowdown Arrowhead</t>
  </si>
  <si>
    <t>Oil</t>
  </si>
  <si>
    <t>Smokescreen Arrow</t>
  </si>
  <si>
    <t>Create a Smoke cloud in 3m radius.  Deal no damage.</t>
  </si>
  <si>
    <t>Smokescreen Arrowhead</t>
  </si>
  <si>
    <t>Static Cloud Arrow</t>
  </si>
  <si>
    <t>Deal Air damage and Create an Electrified Steam cloud in a 2m radius.</t>
  </si>
  <si>
    <t>Static Cloud Arrowhead</t>
  </si>
  <si>
    <t>Steamcloud Arrow</t>
  </si>
  <si>
    <t>Deal Water damage and set Wet for 2 turns on characters in a 3m radius.  Create a Steam Cloud.</t>
  </si>
  <si>
    <t>Steamcloud Arrowhead</t>
  </si>
  <si>
    <t>Deal Water damage and set Wet for 2 turns on characters in a 2m radius.</t>
  </si>
  <si>
    <t>Water Arrowhead</t>
  </si>
  <si>
    <t>Water</t>
  </si>
  <si>
    <t>Arrowhead</t>
  </si>
  <si>
    <t>Short Stick</t>
  </si>
  <si>
    <t>Bone</t>
  </si>
  <si>
    <t>Sharp Piece of Metal</t>
  </si>
  <si>
    <t>Sharp Rock</t>
  </si>
  <si>
    <t>Adult Antler</t>
  </si>
  <si>
    <t>Antler</t>
  </si>
  <si>
    <t>Tooth</t>
  </si>
  <si>
    <t>Boost Amulet</t>
  </si>
  <si>
    <t>+Physical Armor
+10% Fire Resistance
+2% Critical Chance
+5% Dodging</t>
  </si>
  <si>
    <t>Boost</t>
  </si>
  <si>
    <t>Amulet</t>
  </si>
  <si>
    <t>Boost Chest Armor</t>
  </si>
  <si>
    <t>+Physical Armor
+10% Air Resistance</t>
  </si>
  <si>
    <t>Chest Armor</t>
  </si>
  <si>
    <t>Boost Boots</t>
  </si>
  <si>
    <t>+Physical Armor
+1 Thievery
+0.1 Movement</t>
  </si>
  <si>
    <t>Feet</t>
  </si>
  <si>
    <t>Shoes</t>
  </si>
  <si>
    <t>Slipping Immunity</t>
  </si>
  <si>
    <t>Boots now prevent falling down from walking on ice.</t>
  </si>
  <si>
    <t>Nails</t>
  </si>
  <si>
    <t>Boost Gloves</t>
  </si>
  <si>
    <t>+Physical Armor
+10% Earth Resistance
+2 Constitution</t>
  </si>
  <si>
    <t>Hands</t>
  </si>
  <si>
    <t>Gloves</t>
  </si>
  <si>
    <t>Boost Helmet</t>
  </si>
  <si>
    <t>+Physical Armor
+2 Finesse
+1 Huntsman</t>
  </si>
  <si>
    <t>Helmet</t>
  </si>
  <si>
    <t>Boost Legs</t>
  </si>
  <si>
    <t>+Physical Armor
+10% Air Resistance
+1 Polymorph</t>
  </si>
  <si>
    <t>Legs</t>
  </si>
  <si>
    <t>Pants</t>
  </si>
  <si>
    <t>Boost Ring</t>
  </si>
  <si>
    <t>+Physical Armor
+10% Poison Resistance
+1 Scoundrel</t>
  </si>
  <si>
    <t>Ring</t>
  </si>
  <si>
    <t>Boost Belt</t>
  </si>
  <si>
    <t>+Physical Armor
+2 Strength
+1 Warfare</t>
  </si>
  <si>
    <t>Waist</t>
  </si>
  <si>
    <t>Belt</t>
  </si>
  <si>
    <t>Add Air Damage</t>
  </si>
  <si>
    <t>Adds 25% Air damage to your weapon and a 15% chance to set Shocked for 1 turn.</t>
  </si>
  <si>
    <t>Weapon</t>
  </si>
  <si>
    <t>Weapon (not staff or wand)</t>
  </si>
  <si>
    <t>Add Poison Damage</t>
  </si>
  <si>
    <t>Adds 10% Poison damage to your weapon and a 10% chance to set Poisoned for 2 turns.</t>
  </si>
  <si>
    <t>Mixed</t>
  </si>
  <si>
    <t>Weapon (not wand)</t>
  </si>
  <si>
    <t>Apple Juice</t>
  </si>
  <si>
    <t>Heals 10%.  +10% Poison Resistance for 6 turns.</t>
  </si>
  <si>
    <t>Food</t>
  </si>
  <si>
    <t>Drink</t>
  </si>
  <si>
    <t>Empty Cup</t>
  </si>
  <si>
    <t>Apple</t>
  </si>
  <si>
    <t>Bottle of Beer</t>
  </si>
  <si>
    <t>-1 Intelligence for 5 turns. Heals 20%. Set Drunk for 2 turns.</t>
  </si>
  <si>
    <t>Beer Barrel</t>
  </si>
  <si>
    <t>Empty Bottle</t>
  </si>
  <si>
    <t>Bottle of Water</t>
  </si>
  <si>
    <t>Heals 5%</t>
  </si>
  <si>
    <t>Bottle of Wine</t>
  </si>
  <si>
    <t>Heals 10%.  Set Drunk for 2 turns.</t>
  </si>
  <si>
    <t>Wine Barrel</t>
  </si>
  <si>
    <t>Cup of Tea</t>
  </si>
  <si>
    <t>Tea Herbs</t>
  </si>
  <si>
    <t>Cup of Water</t>
  </si>
  <si>
    <t>Glass of Wine</t>
  </si>
  <si>
    <t>Heals 5%.  Set Drunk for 2 turns.</t>
  </si>
  <si>
    <t>Grapes</t>
  </si>
  <si>
    <t>Lemonade</t>
  </si>
  <si>
    <t>Heals 5%.  +1 Wits for 5 turns.</t>
  </si>
  <si>
    <t>Lemon</t>
  </si>
  <si>
    <t>Empty Mug</t>
  </si>
  <si>
    <t>Milk and Honey</t>
  </si>
  <si>
    <t>Heals 15%. 20% Poison Resistance for 6 turns. Warm for 2 turns.</t>
  </si>
  <si>
    <t>Milk</t>
  </si>
  <si>
    <t>Mug of Beer</t>
  </si>
  <si>
    <t>-1 Intelligence for 5 turns. Heals 10%. Set Drunk for 2 turns.</t>
  </si>
  <si>
    <t>Mug of Tea</t>
  </si>
  <si>
    <t>Mug of Water</t>
  </si>
  <si>
    <t>Mug of Wine</t>
  </si>
  <si>
    <t>Orange Juice</t>
  </si>
  <si>
    <t>Heals 10%. +1 Finesse for 6 turns.</t>
  </si>
  <si>
    <t>Orange</t>
  </si>
  <si>
    <t>Apple Pie</t>
  </si>
  <si>
    <t>Heals 20%.  +10% Poison Resistance for 6 turns.</t>
  </si>
  <si>
    <t>Oven</t>
  </si>
  <si>
    <t>Apple Pie Dough</t>
  </si>
  <si>
    <t>Boiled Potato</t>
  </si>
  <si>
    <t>Heals 10%. +1 Constitution for 6 turns.</t>
  </si>
  <si>
    <t>Cooking Station</t>
  </si>
  <si>
    <t>Potato</t>
  </si>
  <si>
    <t>Bread</t>
  </si>
  <si>
    <t>Heals 10%.  +1 Strength for 6 turns.</t>
  </si>
  <si>
    <t>Dough</t>
  </si>
  <si>
    <t>Cheese Bread</t>
  </si>
  <si>
    <t>Cheese Bread Dough</t>
  </si>
  <si>
    <t>Dinner</t>
  </si>
  <si>
    <t>Heals 20%. +2 Strength for 6 turns.</t>
  </si>
  <si>
    <t>Meat</t>
  </si>
  <si>
    <t>Eggs</t>
  </si>
  <si>
    <t>Fish</t>
  </si>
  <si>
    <t>Dwarven Stew</t>
  </si>
  <si>
    <t>Heals 20%. +1 Strength for 6 turns.</t>
  </si>
  <si>
    <t>Beer</t>
  </si>
  <si>
    <t>Elven Stew</t>
  </si>
  <si>
    <t>Heals 20%. +2 Finesse for 6 turns.</t>
  </si>
  <si>
    <t>Tomato Sauce</t>
  </si>
  <si>
    <t>Fish Pie</t>
  </si>
  <si>
    <t>Heals 20%. +2 Intelligence for 6 turns.</t>
  </si>
  <si>
    <t>Fish Pie Dough</t>
  </si>
  <si>
    <t>Mashed Potatoes</t>
  </si>
  <si>
    <t>Heals 10%. +2 Strength for 6 turns.</t>
  </si>
  <si>
    <t>Cold Mashed Potatoes</t>
  </si>
  <si>
    <t>Pizza</t>
  </si>
  <si>
    <t>Heals 10%. +2 Constitution for 6 turns.</t>
  </si>
  <si>
    <t>Pizza Dough</t>
  </si>
  <si>
    <t>Porridge</t>
  </si>
  <si>
    <t>Wheat</t>
  </si>
  <si>
    <t>Potato Porridge</t>
  </si>
  <si>
    <t>Pumpkin Soup</t>
  </si>
  <si>
    <t>Heals 20%. +2 Wits for 6 turns.</t>
  </si>
  <si>
    <t>Pumpkin</t>
  </si>
  <si>
    <t>Pumpkin Part</t>
  </si>
  <si>
    <t>Pumpkin Peel</t>
  </si>
  <si>
    <t>Rivellon Fries</t>
  </si>
  <si>
    <t>Heals 20%. +2 Constitution for 6 turns.</t>
  </si>
  <si>
    <t>Cold Fries</t>
  </si>
  <si>
    <t>Heals 10%</t>
  </si>
  <si>
    <t>Cheese</t>
  </si>
  <si>
    <t>Dagger</t>
  </si>
  <si>
    <t>Knife</t>
  </si>
  <si>
    <t>Hammer</t>
  </si>
  <si>
    <t>Flour</t>
  </si>
  <si>
    <t>Mortar and Pestle</t>
  </si>
  <si>
    <t>Heals 20%. +2 Intelligence, 15% Poison Resistance for 6 turns.</t>
  </si>
  <si>
    <t>Beehive</t>
  </si>
  <si>
    <t>Empty Honey Jar</t>
  </si>
  <si>
    <t>Milk Churn</t>
  </si>
  <si>
    <t>Bucket</t>
  </si>
  <si>
    <t>Bucket with Milk</t>
  </si>
  <si>
    <t>Tomato</t>
  </si>
  <si>
    <t>Poisoned [Food]</t>
  </si>
  <si>
    <t>Deal Poison damage instead of healing.</t>
  </si>
  <si>
    <t>Zaikk's Talon</t>
  </si>
  <si>
    <t>Poisoned Drink</t>
  </si>
  <si>
    <t>Tainted Stew</t>
  </si>
  <si>
    <t>Deal 20-22 Poison damage.  +1 Strength for 3 turns.  Set Diseased for 4 turns.  Used for a quest, and can provide a hint for another quest.</t>
  </si>
  <si>
    <t>Quest</t>
  </si>
  <si>
    <t>Meaty Stew</t>
  </si>
  <si>
    <t>Void-Tainted Fish</t>
  </si>
  <si>
    <t>Crafting station.</t>
  </si>
  <si>
    <t>Station</t>
  </si>
  <si>
    <t>Cooking Pot</t>
  </si>
  <si>
    <t>Campfire</t>
  </si>
  <si>
    <t>Chemical Warfare Grenade</t>
  </si>
  <si>
    <t>Deal 29-35 Poison damage to Magic Armor. Set Diseased for 4 turns, resisted by Physical Armor.</t>
  </si>
  <si>
    <t>Grenades</t>
  </si>
  <si>
    <t>Damage</t>
  </si>
  <si>
    <t>Empty Canister</t>
  </si>
  <si>
    <t>Intestines</t>
  </si>
  <si>
    <t>Cluster Grenade</t>
  </si>
  <si>
    <t>In a 3m radius, rains 6 bolts of fire that either deal 43-48 Fire damage or create small Fire surfaces.  Set Burning for 2 turns, resisted by Magic Armor.</t>
  </si>
  <si>
    <t>Empty Grenade</t>
  </si>
  <si>
    <t>Cursed Cluster Grenade</t>
  </si>
  <si>
    <t>In a 3m radius, rains 6 balls of cursed fire that either deal 54-72 Fire damage or create small Cursed Fire surfaces. Set Burning for 2 turns, resisted by Magic Armor.</t>
  </si>
  <si>
    <t>Cursed Firestorm Grenade</t>
  </si>
  <si>
    <t>Deal 54-72 Fire damage and Create a Cursed Fire surface in a 2m radius.  Set Burning for 3 turns, resisted by Magic Armor.</t>
  </si>
  <si>
    <t>Firestorm Grenade</t>
  </si>
  <si>
    <t>Deal 29-35 Fire damage in a 2m radius.  Create a Fire surface in area.</t>
  </si>
  <si>
    <t>Bottle Filled With Oil</t>
  </si>
  <si>
    <t>Fuse</t>
  </si>
  <si>
    <t>Frost Grenade</t>
  </si>
  <si>
    <t>Deal 29-35 Water damage and set Chilled for 2 turns (resisted by Magic Armor) to characters in target 2m area.  Create an Ice surface in area.</t>
  </si>
  <si>
    <t>Nailbomb Grenade</t>
  </si>
  <si>
    <t>Deal 30-33 Physical damage and set Bleeding for 3 turns (resisted by Physical Armor) to target 4m area.</t>
  </si>
  <si>
    <t>Broken Bottle</t>
  </si>
  <si>
    <t>Thunderbolt Grenade</t>
  </si>
  <si>
    <t>Deal 29-35 Air damage and set Shocked on  for 2 turns (resisted by Magic Armor) to characters in target 4m area.</t>
  </si>
  <si>
    <t>Tremor Grenade</t>
  </si>
  <si>
    <t>Deal 29-35 Earth damage. Set Knocked Down for 1 turn in 4m radius, resisted by Physical Armor.</t>
  </si>
  <si>
    <t>Blessed Ice Grenade</t>
  </si>
  <si>
    <t>Create Blessed Ice surface in 2m radius.</t>
  </si>
  <si>
    <t>Effect</t>
  </si>
  <si>
    <t>Blessed Oil Flask</t>
  </si>
  <si>
    <t>Create Blessed Oil surface in 1m radius.</t>
  </si>
  <si>
    <t>Oil Flask</t>
  </si>
  <si>
    <t>Blessed Water Balloon</t>
  </si>
  <si>
    <t>Create Blessed Water surface in 3m radius.  Set Wet for 2 turns.</t>
  </si>
  <si>
    <t>Water Balloon</t>
  </si>
  <si>
    <t>Cursed Poison Flask</t>
  </si>
  <si>
    <t>Deal 45-59 Poison damage and Create a Cursed Poison surface in a 2m radius.  Set Poisoned for 2 turns, resisted by Magic Armor.</t>
  </si>
  <si>
    <t>Poison Flask</t>
  </si>
  <si>
    <t>Holy Hand Grenade</t>
  </si>
  <si>
    <t>Restore 84 vitality in a 4m radius.</t>
  </si>
  <si>
    <t>Sovereign's Orb</t>
  </si>
  <si>
    <t>Starfish</t>
  </si>
  <si>
    <t>Love Grenade</t>
  </si>
  <si>
    <t>Set Charmed for 2 turns in a 4m radius, resisted by Magic Armor.</t>
  </si>
  <si>
    <t>Empty Perfume Bottle</t>
  </si>
  <si>
    <t>Mind Maggot Grenade</t>
  </si>
  <si>
    <t>Set Charmed for 4 turns in 8m radius, resisted by Magic Armor.</t>
  </si>
  <si>
    <t>Jar of Mind Maggots</t>
  </si>
  <si>
    <t>Create Oil Surface with 2m radius.</t>
  </si>
  <si>
    <t>Empty Flask</t>
  </si>
  <si>
    <t>Poison Cloud Grenade</t>
  </si>
  <si>
    <t>Create a Poison Cloud with 4m radius.  Set Poisoned for 2 turns, resisted by Magic Armor.</t>
  </si>
  <si>
    <t>Rotten Eggs</t>
  </si>
  <si>
    <t>Create a Poison surface with 2m radius.  Set Poisoned for 2 turns, resisted by Magic Armor.</t>
  </si>
  <si>
    <t>Razze Dazzle Grenade</t>
  </si>
  <si>
    <t>Set Blind in a 4m radius for 2 turns, resisted by Magic Armor.</t>
  </si>
  <si>
    <t>Jellyroom</t>
  </si>
  <si>
    <t>Small Air Resistance Potion</t>
  </si>
  <si>
    <t>Terror Grenade</t>
  </si>
  <si>
    <t>Set Terrified for 1 turn in a 4m radius, resisted by Magic Armor.</t>
  </si>
  <si>
    <t>Tormented Soul</t>
  </si>
  <si>
    <t>Create a Water surface with 3m radius.  Set Wet for 2 turns.</t>
  </si>
  <si>
    <t>Don't drink it, you madman!  Combine with fuse instead.</t>
  </si>
  <si>
    <t>Rope</t>
  </si>
  <si>
    <t>Acid Infusion Skillbook</t>
  </si>
  <si>
    <t>Grimoire</t>
  </si>
  <si>
    <t>Book</t>
  </si>
  <si>
    <t>[Earth Source Skillbook]</t>
  </si>
  <si>
    <t>[Summoning Source Skillbook]</t>
  </si>
  <si>
    <t>[Summoning Skillbook]</t>
  </si>
  <si>
    <t>[Earth Skillbook]</t>
  </si>
  <si>
    <t>Acid Spores Skillbook</t>
  </si>
  <si>
    <t>High Tier Blank Skillbook Earth</t>
  </si>
  <si>
    <t>Acid Spores Scroll</t>
  </si>
  <si>
    <t>Apotheosis Skillbook</t>
  </si>
  <si>
    <t>High Tier Blank Skillbook Polymorph</t>
  </si>
  <si>
    <t>Apotheosis Scroll</t>
  </si>
  <si>
    <t>Apportation Skillbook</t>
  </si>
  <si>
    <t>Blank Skillbook Air</t>
  </si>
  <si>
    <t>Apportation Scroll</t>
  </si>
  <si>
    <t>Arcane Stitch Skillbook</t>
  </si>
  <si>
    <t>Blank Skillbook Water</t>
  </si>
  <si>
    <t>Arcane Stitch Scroll</t>
  </si>
  <si>
    <t>Armour of Frost Skillbook</t>
  </si>
  <si>
    <t>Armour of Frost Scroll</t>
  </si>
  <si>
    <t>Artillery Plant Skillbook</t>
  </si>
  <si>
    <t>Blank Skillbook Earth</t>
  </si>
  <si>
    <t>Artillery Plant Scroll</t>
  </si>
  <si>
    <t>Black Shroud Skillbook</t>
  </si>
  <si>
    <t>Blank Skillbook Necromancy</t>
  </si>
  <si>
    <t>Black Shroud Scroll</t>
  </si>
  <si>
    <t>Bleed Fire Skillbook</t>
  </si>
  <si>
    <t>Blank Skillbook Fire</t>
  </si>
  <si>
    <t>Bleed Fire Scroll</t>
  </si>
  <si>
    <t>[Fire Skillbook]</t>
  </si>
  <si>
    <t>[Polymorph Skillbook]</t>
  </si>
  <si>
    <t>Blessed Ice Infusion Skillbook</t>
  </si>
  <si>
    <t>[Water Source Skillbook]</t>
  </si>
  <si>
    <t>[Water Skillbook]</t>
  </si>
  <si>
    <t>Blessed Smoke Cloud Skillbook</t>
  </si>
  <si>
    <t>[Air Source Skillbook]</t>
  </si>
  <si>
    <t>[Scoundrel Source Skillbook]</t>
  </si>
  <si>
    <t>[Scoundrel Skillbook]</t>
  </si>
  <si>
    <t>[Air Skillbook]</t>
  </si>
  <si>
    <t>Blinding Radiance Skillbook</t>
  </si>
  <si>
    <t>High Tier Blank Skillbook Air</t>
  </si>
  <si>
    <t>Blinding Radiance Scroll</t>
  </si>
  <si>
    <t>Blood Storm Skillbook</t>
  </si>
  <si>
    <t>[Necromancy Source Skillbook]</t>
  </si>
  <si>
    <t>[Necromancy Skillbook]</t>
  </si>
  <si>
    <t>Blood Sucker Skillbook</t>
  </si>
  <si>
    <t>Blood Sucker Scroll</t>
  </si>
  <si>
    <t>Bone Cage Skillbook</t>
  </si>
  <si>
    <t>Bone Cage Scroll</t>
  </si>
  <si>
    <t>Breathing Bubble Skillbook</t>
  </si>
  <si>
    <t>[Warfare Skillbook]</t>
  </si>
  <si>
    <t>Bull Horns Skillbook</t>
  </si>
  <si>
    <t>Blank Skillbook Polymorph</t>
  </si>
  <si>
    <t>Bull Horns Scroll</t>
  </si>
  <si>
    <t>Cannibalize Skillbook</t>
  </si>
  <si>
    <t>High Tier Blank Skillbook Summoning</t>
  </si>
  <si>
    <t>Cannibalize Scroll</t>
  </si>
  <si>
    <t>Chain Lightning Skillbook</t>
  </si>
  <si>
    <t>Chain Lightning Scroll</t>
  </si>
  <si>
    <t>Chameleon Cloak Skillbook</t>
  </si>
  <si>
    <t>Chameleon Cloak Scroll</t>
  </si>
  <si>
    <t>Chicken Claw Skillbook</t>
  </si>
  <si>
    <t>Chicken Claw Scroll</t>
  </si>
  <si>
    <t>Cleanse Wounds Skillbook</t>
  </si>
  <si>
    <t>Closed Circuit Skillbook</t>
  </si>
  <si>
    <t>Closed Circuit Scroll</t>
  </si>
  <si>
    <t>Conjure Incarnate Skillbook</t>
  </si>
  <si>
    <t>Blank Skillbook Summoning</t>
  </si>
  <si>
    <t>Conjure Incarnate Scroll</t>
  </si>
  <si>
    <t>Contamination Skillbook</t>
  </si>
  <si>
    <t>Contamination Scroll</t>
  </si>
  <si>
    <t>Corpse Explosion Skillbook</t>
  </si>
  <si>
    <t>Corrosive Spray Skillbook</t>
  </si>
  <si>
    <t>Cryogenic Stasis Skillbook</t>
  </si>
  <si>
    <t>Cryogenic Stasis Scroll</t>
  </si>
  <si>
    <t>Cryotherapy Skillbook</t>
  </si>
  <si>
    <t>[Huntsman Skillbook]</t>
  </si>
  <si>
    <t>Cursed Electric Infusion Skillbook</t>
  </si>
  <si>
    <t>Dazing Bolt Skillbook</t>
  </si>
  <si>
    <t>Dazing Bolt Scroll</t>
  </si>
  <si>
    <t>Death Wish Skillbook</t>
  </si>
  <si>
    <t>Death Wish Scroll</t>
  </si>
  <si>
    <t>Decaying Touch Skillbook</t>
  </si>
  <si>
    <t>Decaying Touch Scroll</t>
  </si>
  <si>
    <t>Deep Freeze Skillbook</t>
  </si>
  <si>
    <t>High Tier Blank Skillbook Water</t>
  </si>
  <si>
    <t>Deep Freeze Scroll</t>
  </si>
  <si>
    <t>Deploy Mass Traps Skillbook</t>
  </si>
  <si>
    <t>[Fire Source Skillbook]</t>
  </si>
  <si>
    <t>[Huntsman Source Skillbook]</t>
  </si>
  <si>
    <t>Dimensional Bolt Skillbook</t>
  </si>
  <si>
    <t>Dimensional Bolt Scroll</t>
  </si>
  <si>
    <t>Dominate Mind Skillbook</t>
  </si>
  <si>
    <t>Charm Scroll</t>
  </si>
  <si>
    <t>Door to Eternity Skillbook</t>
  </si>
  <si>
    <t>Door to Eternity Scroll</t>
  </si>
  <si>
    <t>Dust Blast Skillbook</t>
  </si>
  <si>
    <t>Earthquake Skillbook</t>
  </si>
  <si>
    <t>Earthquake Scroll</t>
  </si>
  <si>
    <t>Electric Discharge Skillbook</t>
  </si>
  <si>
    <t>Electric Discharge Scroll</t>
  </si>
  <si>
    <t>Electric Infusion Skillbook</t>
  </si>
  <si>
    <t>Elemental Totem Skillbook</t>
  </si>
  <si>
    <t>Elemental Totem Scroll</t>
  </si>
  <si>
    <t>Epidemic of Fire Skillbook</t>
  </si>
  <si>
    <t>High Tier Blank Skillbook Fire</t>
  </si>
  <si>
    <t>Epidemic of Fire Scroll</t>
  </si>
  <si>
    <t>Equalise Skillbook</t>
  </si>
  <si>
    <t>Equalise Scroll</t>
  </si>
  <si>
    <t>Ethereal Storm Skillbook</t>
  </si>
  <si>
    <t>Ethereal Storm Scroll</t>
  </si>
  <si>
    <t>Explosive Trap Skillbook</t>
  </si>
  <si>
    <t>Farsight Infusion Skillbook</t>
  </si>
  <si>
    <t>Farsight Infusion Scroll</t>
  </si>
  <si>
    <t>Favourable Wind Skillbook</t>
  </si>
  <si>
    <t>Favourable Wind Scroll</t>
  </si>
  <si>
    <t>Fire Infusion Skillbook</t>
  </si>
  <si>
    <t>Fire Whip Skillbook</t>
  </si>
  <si>
    <t>Fire Whip Scroll</t>
  </si>
  <si>
    <t>Fireball Skillbook</t>
  </si>
  <si>
    <t>Fireball Scroll</t>
  </si>
  <si>
    <t>Firebrand Skillbook</t>
  </si>
  <si>
    <t>Firebrand Scroll</t>
  </si>
  <si>
    <t>Flaming Crescendo Skillbook</t>
  </si>
  <si>
    <t>Flaming Crescendo Scroll</t>
  </si>
  <si>
    <t>Flaming Skin Skillbook</t>
  </si>
  <si>
    <t>[Polymorph Source Skillbook]</t>
  </si>
  <si>
    <t>Flaming Tongues Skillbook</t>
  </si>
  <si>
    <t>Flaming Tongues Scroll</t>
  </si>
  <si>
    <t>Flay Skin Skillbook</t>
  </si>
  <si>
    <t>Flay Skin Scroll</t>
  </si>
  <si>
    <t>Forced Exchange Skillbook</t>
  </si>
  <si>
    <t>Forced Exchange Scroll</t>
  </si>
  <si>
    <t>Fortify Skillbook</t>
  </si>
  <si>
    <t>Fortify Scroll</t>
  </si>
  <si>
    <t>Fossil Strike Skillbook</t>
  </si>
  <si>
    <t>Fossil Strike Scroll</t>
  </si>
  <si>
    <t>Global Cooling Skillbook</t>
  </si>
  <si>
    <t>Global Cooling Scroll</t>
  </si>
  <si>
    <t>Grasp of the Starved Skillbook</t>
  </si>
  <si>
    <t>High Tier Blank Skillbook Necromancy</t>
  </si>
  <si>
    <t>Grasp of the Starved Scroll</t>
  </si>
  <si>
    <t>Hail Strike Skillbook</t>
  </si>
  <si>
    <t>Hail Strike Scroll</t>
  </si>
  <si>
    <t>Haste Skillbook</t>
  </si>
  <si>
    <t>Haste Scroll</t>
  </si>
  <si>
    <t>Healing Ritual Skillbook</t>
  </si>
  <si>
    <t>Healing Ritual Scroll</t>
  </si>
  <si>
    <t>Healing Tears Skillbook</t>
  </si>
  <si>
    <t>Heart of Steel Skillbook</t>
  </si>
  <si>
    <t>Heart of Steel Scroll</t>
  </si>
  <si>
    <t>Ice Breaker Skillbook</t>
  </si>
  <si>
    <t>Ice Breaker Scroll</t>
  </si>
  <si>
    <t>Ice Fan Skillbook</t>
  </si>
  <si>
    <t>Ice Fan Scroll</t>
  </si>
  <si>
    <t>Icy Skin Skillbook</t>
  </si>
  <si>
    <t>Ignition Skillbook</t>
  </si>
  <si>
    <t>Ignition Scroll</t>
  </si>
  <si>
    <t>Impalement Skillbook</t>
  </si>
  <si>
    <t>Impalement Scroll</t>
  </si>
  <si>
    <t>Infect Skillbook</t>
  </si>
  <si>
    <t>Infect Scroll</t>
  </si>
  <si>
    <t>Jellyfish Skin Skillbook</t>
  </si>
  <si>
    <t>Laser Ray Skillbook</t>
  </si>
  <si>
    <t>Laser Ray Scroll</t>
  </si>
  <si>
    <t>Living on the Edge Skillbook</t>
  </si>
  <si>
    <t>Living on the Edge Scroll</t>
  </si>
  <si>
    <t>Living Wall Skillbook</t>
  </si>
  <si>
    <t>Living Wall Scroll</t>
  </si>
  <si>
    <t>Mass Breathing Bubbles Skillbook</t>
  </si>
  <si>
    <t>[Warfare Source Skillbook]</t>
  </si>
  <si>
    <t>Mass Cleanse Wounds Skillbook</t>
  </si>
  <si>
    <t>Mass Corpse Explosion Skillbook</t>
  </si>
  <si>
    <t>Mass Cryotherapy Skillbook</t>
  </si>
  <si>
    <t>Mass Oily Carapace Skillbook</t>
  </si>
  <si>
    <t>Mass Sabotage Skillbook</t>
  </si>
  <si>
    <t>Master of Sparks Skillbook</t>
  </si>
  <si>
    <t>Medusa Head Skillbook</t>
  </si>
  <si>
    <t>Medusa Head Scroll</t>
  </si>
  <si>
    <t>Mend Metal Skillbook</t>
  </si>
  <si>
    <t>Mend Metal Scroll</t>
  </si>
  <si>
    <t>Meteor Shower Skillbook</t>
  </si>
  <si>
    <t>Meteor Shower Scroll</t>
  </si>
  <si>
    <t>Mosquito Swarm Skillbook</t>
  </si>
  <si>
    <t>Mosquito Swarm Scroll</t>
  </si>
  <si>
    <t>Necrofire Infusion Skillbook</t>
  </si>
  <si>
    <t>Netherswap Skillbook</t>
  </si>
  <si>
    <t>Netherswap Scroll</t>
  </si>
  <si>
    <t>Oily Carapace Skillbook</t>
  </si>
  <si>
    <t>Peace of Mind Skillbook</t>
  </si>
  <si>
    <t>Peace of Mind Scroll</t>
  </si>
  <si>
    <t>Planar Gateway Skillbook</t>
  </si>
  <si>
    <t>Planar Gateway Scroll</t>
  </si>
  <si>
    <t>Poison Dart Skillbook</t>
  </si>
  <si>
    <t>Poison Dart Scroll</t>
  </si>
  <si>
    <t>Poison Infusion Skillbook</t>
  </si>
  <si>
    <t>Poison Wave Skillbook</t>
  </si>
  <si>
    <t>Poison Wave Scroll</t>
  </si>
  <si>
    <t>Poisonous Skin Skillbook</t>
  </si>
  <si>
    <t>Power Infusion Skillbook</t>
  </si>
  <si>
    <t>Power Infusion Scroll</t>
  </si>
  <si>
    <t>Pressure Spike Skillbook</t>
  </si>
  <si>
    <t>Pressure Spike Scroll</t>
  </si>
  <si>
    <t>Pyroclastic Eruption Skillbook</t>
  </si>
  <si>
    <t>Pyroclastic Eruption Scroll</t>
  </si>
  <si>
    <t>Rain Skillbook</t>
  </si>
  <si>
    <t>Rain Scroll</t>
  </si>
  <si>
    <t>Raining Blood Skillbook</t>
  </si>
  <si>
    <t>Raining Blood Scroll</t>
  </si>
  <si>
    <t>Raise Bloated Corpse Skillbook</t>
  </si>
  <si>
    <t>Raise Bloated Corpse Scroll</t>
  </si>
  <si>
    <t>Raise Bone Widow Skillbook</t>
  </si>
  <si>
    <t>Raise Bone Widow Scroll</t>
  </si>
  <si>
    <t>Rallying Cry Skillbook</t>
  </si>
  <si>
    <t>Rallying Cry Scroll</t>
  </si>
  <si>
    <t>Reactive Armor Skillbook</t>
  </si>
  <si>
    <t>Reactive Armor Scroll</t>
  </si>
  <si>
    <t>Restoration Skillbook</t>
  </si>
  <si>
    <t>Restoration Scroll</t>
  </si>
  <si>
    <t>Sabotage Skillbook</t>
  </si>
  <si>
    <t>Searing Daggers Skillbook</t>
  </si>
  <si>
    <t>Searing Daggers Scroll</t>
  </si>
  <si>
    <t>Shackles of Pain Skillbook</t>
  </si>
  <si>
    <t>Shackles of Pain Scroll</t>
  </si>
  <si>
    <t>Shadow Infusion Skillbook</t>
  </si>
  <si>
    <t>Shadow Infusion Scroll</t>
  </si>
  <si>
    <t>Shocking Touch Skillbook</t>
  </si>
  <si>
    <t>Shocking Touch Scroll</t>
  </si>
  <si>
    <t>Silencing Stare Skillbook</t>
  </si>
  <si>
    <t>Silencing Stare Scroll</t>
  </si>
  <si>
    <t>Siphon Poison Skillbook</t>
  </si>
  <si>
    <t>Siphon Poison Scroll</t>
  </si>
  <si>
    <t>Skin Graft Skillbook</t>
  </si>
  <si>
    <t>Skin Graft Scroll</t>
  </si>
  <si>
    <t>Smoke Cover Skillbook</t>
  </si>
  <si>
    <t>Soothing Cold Skillbook</t>
  </si>
  <si>
    <t>Soothing Cold Scroll</t>
  </si>
  <si>
    <t>Soul Mate Skillbook</t>
  </si>
  <si>
    <t>Soul Mate Scroll</t>
  </si>
  <si>
    <t>Sparking Swings Skillbook</t>
  </si>
  <si>
    <t>Spider Legs Skillbook</t>
  </si>
  <si>
    <t>Spider Legs Scroll</t>
  </si>
  <si>
    <t>Spontaneous Combustion Skillbook</t>
  </si>
  <si>
    <t>Spontaneous Combustion Scroll</t>
  </si>
  <si>
    <t>Spread Your Wings Skillbook</t>
  </si>
  <si>
    <t>Spread Your Wings Scroll</t>
  </si>
  <si>
    <t>Steam Lance Skillbook</t>
  </si>
  <si>
    <t>Steam Lance Scroll</t>
  </si>
  <si>
    <t>Summon Fire Slug Skillbook</t>
  </si>
  <si>
    <t>Summon Fire Slug Scroll</t>
  </si>
  <si>
    <t>Summon Oily Blob Skillbook</t>
  </si>
  <si>
    <t>Summon Oily Blob Scroll</t>
  </si>
  <si>
    <t>Supercharger Skillbook</t>
  </si>
  <si>
    <t>Supercharger Scroll</t>
  </si>
  <si>
    <t>Superconductor Skillbook</t>
  </si>
  <si>
    <t>Superconductor Scroll</t>
  </si>
  <si>
    <t>Supernova Skillbook</t>
  </si>
  <si>
    <t>Supernova Scroll</t>
  </si>
  <si>
    <t>Teleportation Skillbook</t>
  </si>
  <si>
    <t>Teleportation Scroll</t>
  </si>
  <si>
    <t>Tentacle Lash Skillbook</t>
  </si>
  <si>
    <t>Tentacle Lash Scroll</t>
  </si>
  <si>
    <t>Throw Dust Skillbook</t>
  </si>
  <si>
    <t>Thunderstorm Skillbook</t>
  </si>
  <si>
    <t>Thunderstorm Scroll</t>
  </si>
  <si>
    <t>Tornado Skillbook</t>
  </si>
  <si>
    <t>Tornado Scroll</t>
  </si>
  <si>
    <t>Totems of the Necromancer Skillbook</t>
  </si>
  <si>
    <t>Totems of the Necromancer Scroll</t>
  </si>
  <si>
    <t>Turn To Oil Skillbook</t>
  </si>
  <si>
    <t>Uncanny Evasion Skillbook</t>
  </si>
  <si>
    <t>Vacuum Aura Skillbook</t>
  </si>
  <si>
    <t>Vacuum Touch Skillbook</t>
  </si>
  <si>
    <t>Vampiric Hunger Aura Skillbook</t>
  </si>
  <si>
    <t>Vampiric Hunger Skillbook</t>
  </si>
  <si>
    <t>Vaporize Skillbook</t>
  </si>
  <si>
    <t>Venom Coating Skillbook</t>
  </si>
  <si>
    <t>Venomous Aura Skillbook</t>
  </si>
  <si>
    <t>Warp Infusion Skillbook</t>
  </si>
  <si>
    <t>Warp Infusion Scroll</t>
  </si>
  <si>
    <t>Water Infusion Skillbook</t>
  </si>
  <si>
    <t>Windwalker Skillbook</t>
  </si>
  <si>
    <t>Winter Blast Skillbook</t>
  </si>
  <si>
    <t>Winter Blast Scroll</t>
  </si>
  <si>
    <t>Worm Tremor Skillbook</t>
  </si>
  <si>
    <t>Worm Tremor Scroll</t>
  </si>
  <si>
    <t>Scroll</t>
  </si>
  <si>
    <t>Sheet of Paper</t>
  </si>
  <si>
    <t>Livewood Log</t>
  </si>
  <si>
    <t>Puppet Bead</t>
  </si>
  <si>
    <t>High Quality Air Essence</t>
  </si>
  <si>
    <t>Bluegill Mushroom</t>
  </si>
  <si>
    <t>Earth Tongue Mushroom</t>
  </si>
  <si>
    <t>Creepy Eye</t>
  </si>
  <si>
    <t>Gold object (not money)</t>
  </si>
  <si>
    <t>Shadow Essence</t>
  </si>
  <si>
    <t>Penny Bun Mushroom</t>
  </si>
  <si>
    <t>High Quality Shadow Essence</t>
  </si>
  <si>
    <t>Fish Bone</t>
  </si>
  <si>
    <t>Life Essence</t>
  </si>
  <si>
    <t>Wool</t>
  </si>
  <si>
    <t>Yarn</t>
  </si>
  <si>
    <t>Long Rat Tail</t>
  </si>
  <si>
    <t>Alien Tormented Soul</t>
  </si>
  <si>
    <t>Big Chicken Foot</t>
  </si>
  <si>
    <t>Chicken Foot</t>
  </si>
  <si>
    <t>Lucky Rabbit's Paw</t>
  </si>
  <si>
    <t>Curse Scroll</t>
  </si>
  <si>
    <t>High Quality Tormented Soul</t>
  </si>
  <si>
    <t>Eye</t>
  </si>
  <si>
    <t>Alien Water Essence</t>
  </si>
  <si>
    <t>Mackerel</t>
  </si>
  <si>
    <t>Pepper</t>
  </si>
  <si>
    <t>High Quality Earth Essence</t>
  </si>
  <si>
    <t>Clay</t>
  </si>
  <si>
    <t>Rabbit's Paw</t>
  </si>
  <si>
    <t>Wooden Figurine</t>
  </si>
  <si>
    <t>Wooden Doll</t>
  </si>
  <si>
    <t>Large Tusk</t>
  </si>
  <si>
    <t>Alien Life Essence</t>
  </si>
  <si>
    <t>Pilgrim Shell</t>
  </si>
  <si>
    <t>Carrot</t>
  </si>
  <si>
    <t>Panties</t>
  </si>
  <si>
    <t>High Quality Fire Essence</t>
  </si>
  <si>
    <t>Voidwoken Spike</t>
  </si>
  <si>
    <t>Sharp Claw</t>
  </si>
  <si>
    <t>Alien Fire Essence</t>
  </si>
  <si>
    <t>Fang</t>
  </si>
  <si>
    <t>Needle</t>
  </si>
  <si>
    <t>Whisperwood</t>
  </si>
  <si>
    <t>Disembodied Hand</t>
  </si>
  <si>
    <t>High Quality Water Essence</t>
  </si>
  <si>
    <t>Chub Fish</t>
  </si>
  <si>
    <t>Claw</t>
  </si>
  <si>
    <t>Metal</t>
  </si>
  <si>
    <t>Tusk</t>
  </si>
  <si>
    <t>Raw Lumpy Giblets</t>
  </si>
  <si>
    <t>Dirty Socks</t>
  </si>
  <si>
    <t>Alien Earth Essence</t>
  </si>
  <si>
    <t>Augmentor</t>
  </si>
  <si>
    <t>Superior Stardust Herb</t>
  </si>
  <si>
    <t>Stardust Herb</t>
  </si>
  <si>
    <t>Chanterelle</t>
  </si>
  <si>
    <t>Crab's Claw</t>
  </si>
  <si>
    <t>Fly Agaric Mushroom</t>
  </si>
  <si>
    <t>Slime</t>
  </si>
  <si>
    <t>Handkerchief</t>
  </si>
  <si>
    <t>Tablet</t>
  </si>
  <si>
    <t>Herring</t>
  </si>
  <si>
    <t>Raw Slice of Meat</t>
  </si>
  <si>
    <t>Ancient Human Skull</t>
  </si>
  <si>
    <t>Garlic</t>
  </si>
  <si>
    <t>Trumpet of Death</t>
  </si>
  <si>
    <t>Resurrection Scroll</t>
  </si>
  <si>
    <t>Skull [Human]</t>
  </si>
  <si>
    <t>Alien Shadow Essence</t>
  </si>
  <si>
    <t>Goo</t>
  </si>
  <si>
    <t>Animal Scales</t>
  </si>
  <si>
    <t>Red Snapper</t>
  </si>
  <si>
    <t>High Quality Life Essence</t>
  </si>
  <si>
    <t>Arthropod Leg</t>
  </si>
  <si>
    <t>Sinew</t>
  </si>
  <si>
    <t>Alien Air Essence</t>
  </si>
  <si>
    <t>Sharp Tooth</t>
  </si>
  <si>
    <t>Feather</t>
  </si>
  <si>
    <t>Rat's Tail</t>
  </si>
  <si>
    <t>Fancy Feather</t>
  </si>
  <si>
    <t>Hair</t>
  </si>
  <si>
    <t>Plaice [Fish]</t>
  </si>
  <si>
    <t>Backpack</t>
  </si>
  <si>
    <t>Container</t>
  </si>
  <si>
    <t>Objects</t>
  </si>
  <si>
    <t>Glowing Idol of Rebirth</t>
  </si>
  <si>
    <t>Automatically resurrects the person carrying it when they die (to full vitality), then turns back to Ashen Idol of Rebirth.</t>
  </si>
  <si>
    <t>Heal</t>
  </si>
  <si>
    <t>Ashen Idol of Rebirth</t>
  </si>
  <si>
    <t>Sawmill</t>
  </si>
  <si>
    <t>Bucket of Water</t>
  </si>
  <si>
    <t>Bed Linen</t>
  </si>
  <si>
    <t>Pillow</t>
  </si>
  <si>
    <t>Long Branch</t>
  </si>
  <si>
    <t>Log</t>
  </si>
  <si>
    <t>Thread</t>
  </si>
  <si>
    <t>Oil Barrel</t>
  </si>
  <si>
    <t>Oil Pump</t>
  </si>
  <si>
    <t>Barrel</t>
  </si>
  <si>
    <t>Wood Pulp</t>
  </si>
  <si>
    <t>Spinning Wheel</t>
  </si>
  <si>
    <t>Void-Enhanced Poison</t>
  </si>
  <si>
    <t>13-13 Poison.  Set Poison for 5 turns.</t>
  </si>
  <si>
    <t>Void-Touched Livewood Fragments</t>
  </si>
  <si>
    <t>Small Poison Bottle</t>
  </si>
  <si>
    <t>[blank in editor]</t>
  </si>
  <si>
    <t>Head of Angelic Statue</t>
  </si>
  <si>
    <t>Broken Angelic Statue</t>
  </si>
  <si>
    <t>Ritual Bowl [Ready]</t>
  </si>
  <si>
    <t>Quest Item</t>
  </si>
  <si>
    <t>Obsidian Lancet</t>
  </si>
  <si>
    <t>Bloody Obsidian Lancet</t>
  </si>
  <si>
    <t>Ritual Bowl</t>
  </si>
  <si>
    <t>Blackroot</t>
  </si>
  <si>
    <t>Ritual Bowl with Blackroot</t>
  </si>
  <si>
    <t>Ritual Bowl [with Blackroot]</t>
  </si>
  <si>
    <t>Improvised Shovel</t>
  </si>
  <si>
    <t>Tool</t>
  </si>
  <si>
    <t>Bowl</t>
  </si>
  <si>
    <t>Lockpick</t>
  </si>
  <si>
    <t>Needed for picking locks unless you're Undead (Thievery).</t>
  </si>
  <si>
    <t>Soap</t>
  </si>
  <si>
    <t>Key</t>
  </si>
  <si>
    <t>Trap Disarming Kit</t>
  </si>
  <si>
    <t>Disarms a trap.  Can also disable a vent.</t>
  </si>
  <si>
    <t>Tongs</t>
  </si>
  <si>
    <t>Attar of the Blood Rose</t>
  </si>
  <si>
    <t>+1 Stength, +1 Intelligence, +1 Finesse, +1 Constitution, +1 Memory, +1 Wits.  Lasts until death.</t>
  </si>
  <si>
    <t>Potions</t>
  </si>
  <si>
    <t>Buff</t>
  </si>
  <si>
    <t>Empty Potion Bottle</t>
  </si>
  <si>
    <t>Blood Rose</t>
  </si>
  <si>
    <t>Earth Resistance Potion</t>
  </si>
  <si>
    <t>15% Earth Resistance for 3 turns.</t>
  </si>
  <si>
    <t>Fire Resistance Potion</t>
  </si>
  <si>
    <t>15% Fire Resistance for 3 turns.</t>
  </si>
  <si>
    <t>Guepinia Mushroom</t>
  </si>
  <si>
    <t>Huge Air Resistance Potion</t>
  </si>
  <si>
    <t>90% Air Resistance for 2 turns.</t>
  </si>
  <si>
    <t>Large Air Resistance Potion</t>
  </si>
  <si>
    <t>Ultimate Augmentor</t>
  </si>
  <si>
    <t>Huge Earth Resistance Potion</t>
  </si>
  <si>
    <t>90% Earth Resistance for 2 turns.</t>
  </si>
  <si>
    <t>Large Earth Resistance Potion</t>
  </si>
  <si>
    <t>Huge Fire Resistance Potion</t>
  </si>
  <si>
    <t>90% Fire Resistance for 2 turns.</t>
  </si>
  <si>
    <t>Large Fire Resistance Potion</t>
  </si>
  <si>
    <t>Huge Water Resistance Potion</t>
  </si>
  <si>
    <t>90% Water Resistance for 2 turns.</t>
  </si>
  <si>
    <t>Large Water Resistance Potion</t>
  </si>
  <si>
    <t>Invisibility Potion</t>
  </si>
  <si>
    <t>Set Invisible for 5 turns.</t>
  </si>
  <si>
    <t>75% Air Resistance for 2 turns.</t>
  </si>
  <si>
    <t>Medium Air Resistance Potion</t>
  </si>
  <si>
    <t>High Quality Augmentor</t>
  </si>
  <si>
    <t>75% Earth Resistance for 2 turns.</t>
  </si>
  <si>
    <t>Medium Earth Resistance Potion</t>
  </si>
  <si>
    <t>75% Fire Resistance for 2 turns.</t>
  </si>
  <si>
    <t>Medium Fire Resistance Potion</t>
  </si>
  <si>
    <t>Large Magic Armor Potion</t>
  </si>
  <si>
    <t>Gain 277 Magic Armor.</t>
  </si>
  <si>
    <t>Medium Magic Armor Potion</t>
  </si>
  <si>
    <t>Large Physical Armor Potion</t>
  </si>
  <si>
    <t>Gain 277 Physical Armor.</t>
  </si>
  <si>
    <t>Medium Physical Armor Potion</t>
  </si>
  <si>
    <t>Large Resist All Potion</t>
  </si>
  <si>
    <t>+75% Resistace: Fire, Earth, Water, Air, Poison for 2 turns.</t>
  </si>
  <si>
    <t>Medium Resist All Potion</t>
  </si>
  <si>
    <t>75% Water Resistance for 2 turns.</t>
  </si>
  <si>
    <t>Medium Water Resistance Potion</t>
  </si>
  <si>
    <t>50% Air Resistance for 3 turns.</t>
  </si>
  <si>
    <t>50% Earth Resistance for 3 turns.</t>
  </si>
  <si>
    <t>50% Fire Resistance for 3 turns.</t>
  </si>
  <si>
    <t>Gain 115 Magic Armor.</t>
  </si>
  <si>
    <t>Small Magic Armor Potion</t>
  </si>
  <si>
    <t>Gain 115 Physical Armor.</t>
  </si>
  <si>
    <t>Physical Armor Potion</t>
  </si>
  <si>
    <t>+50% Resistace: Fire, Earth, Water, Air, Poison for 3 turns.</t>
  </si>
  <si>
    <t>Minor Resist All Potion</t>
  </si>
  <si>
    <t>50% Water Resistance for 3 turns.</t>
  </si>
  <si>
    <t>Water Resistance Potion</t>
  </si>
  <si>
    <t>Minor Constitution Potion</t>
  </si>
  <si>
    <t>+1 Constitution for 3 turns.</t>
  </si>
  <si>
    <t>Farhangite</t>
  </si>
  <si>
    <t>Minor Finesse Potion</t>
  </si>
  <si>
    <t>+1 Finesse for 3 turns.</t>
  </si>
  <si>
    <t>Boletus</t>
  </si>
  <si>
    <t>Minor Intelligence Potion</t>
  </si>
  <si>
    <t>+1 Intelligence for 3 turns.</t>
  </si>
  <si>
    <t>Calocera</t>
  </si>
  <si>
    <t>+15% Resistace: Fire, Earth, Water, Air, Poison for 3 turns.</t>
  </si>
  <si>
    <t>Minor Strength Potion</t>
  </si>
  <si>
    <t>+1 Strength for 3 turns.</t>
  </si>
  <si>
    <t>Amethyst Deceiver</t>
  </si>
  <si>
    <t>Minor Wits Potion</t>
  </si>
  <si>
    <t>+1 Wits for 3 turns.</t>
  </si>
  <si>
    <t>Puffball</t>
  </si>
  <si>
    <t>Gain 33 Physical Armor.</t>
  </si>
  <si>
    <t>Amadouvier</t>
  </si>
  <si>
    <t>Potion of Jellyfish Skin</t>
  </si>
  <si>
    <t>Reflect 20% of melee damage as Air damage.
Inflict Stunned on contact, resisted by Magic Armor.
Lasts 3 turns.</t>
  </si>
  <si>
    <t>Potion of Nimble Tumble</t>
  </si>
  <si>
    <t>+50% Dodging for 2 turns.</t>
  </si>
  <si>
    <t>Potion of Strong Will</t>
  </si>
  <si>
    <t>Immune to: Charmed, Terrified, Silenced, Blinded, Cursed, Taunted, Sleeping.  Lasts 4 turns.</t>
  </si>
  <si>
    <t>15% Air Resistance for 3 turns.</t>
  </si>
  <si>
    <t>Gain 33 Magic Armor.</t>
  </si>
  <si>
    <t>Stoneskin Potion</t>
  </si>
  <si>
    <t>+184 Physical Armor, -50% Movement, and Immune to: Burning, Stunned, Poisoned, Bleeding, Petrified, Shocked.  Lasts 2 turns.</t>
  </si>
  <si>
    <t>15% Water Resistance for 3 turns.</t>
  </si>
  <si>
    <t>Giant Healing Potion</t>
  </si>
  <si>
    <t xml:space="preserve">Heals 1220 vitality.  </t>
  </si>
  <si>
    <t>Huge Healing Potion</t>
  </si>
  <si>
    <t>Healing Elixir</t>
  </si>
  <si>
    <t>Heals 70 vitality.</t>
  </si>
  <si>
    <t>Yarrow Flower</t>
  </si>
  <si>
    <t>Healing Potion [Large]</t>
  </si>
  <si>
    <t>Heals 290 vitality.</t>
  </si>
  <si>
    <t>Medium Healing Potion</t>
  </si>
  <si>
    <t>Heals 650 vitality.</t>
  </si>
  <si>
    <t>Heals 120 vitality.</t>
  </si>
  <si>
    <t>Minor Healing Potion</t>
  </si>
  <si>
    <t>Heals 30 vitality.</t>
  </si>
  <si>
    <t>Alertness Herbmix</t>
  </si>
  <si>
    <t>+7 Wits for 50 turns.  Use with Dreamer Pipe.</t>
  </si>
  <si>
    <t>Herbmix</t>
  </si>
  <si>
    <t>Drudanae</t>
  </si>
  <si>
    <t>Courage Herbmix</t>
  </si>
  <si>
    <t>+7 Constitution for 50 turns.  Use with Dreamer Pipe.</t>
  </si>
  <si>
    <t>Enlightenment Herbmix</t>
  </si>
  <si>
    <t>+7 Intelligence for 50 turns.  Use with Dreamer Pipe.</t>
  </si>
  <si>
    <t>Ferocity Herbmix</t>
  </si>
  <si>
    <t>+2 Start AP, +2 Recovery AP for 50 turns.  Use with Dreamer Pipe.</t>
  </si>
  <si>
    <t>Potent Alertness Herbmix</t>
  </si>
  <si>
    <t>+7 Wits for 100 turns.  Use with Dreamer Pipe.</t>
  </si>
  <si>
    <t>Void-Tainted Yellow Ridgeback</t>
  </si>
  <si>
    <t>Potent Enlightenment Herbmix</t>
  </si>
  <si>
    <t>+7 Intelligence for 100 turns.  Use with Dreamer Pipe.</t>
  </si>
  <si>
    <t>Void-Tainted Umber Monkfish</t>
  </si>
  <si>
    <t>Potent Ferocity Herbmix</t>
  </si>
  <si>
    <t>+2 Start AP, +2 Recovery AP for 100 turns.  Use with Dreamer Pipe.</t>
  </si>
  <si>
    <t>Void-Tainted Crimson Bream</t>
  </si>
  <si>
    <t>Giant Poison Bottle</t>
  </si>
  <si>
    <t>Deal 889-983 poison damage.  Set Poisoned for 3 turns.</t>
  </si>
  <si>
    <t>Huge Poison Vial</t>
  </si>
  <si>
    <t>Healing Potion [Poisoned]</t>
  </si>
  <si>
    <t>Deal 635-701 Poison damage. Set Poisoned for 4 turns.</t>
  </si>
  <si>
    <t>Large Poison Bottle</t>
  </si>
  <si>
    <t>Red Fabric Dye</t>
  </si>
  <si>
    <t>Deal 475-525 poison damage. Set Poisoned for 3 turns.</t>
  </si>
  <si>
    <t>Large Healing Potion [Poisoned]</t>
  </si>
  <si>
    <t>Deal 13 Poison damage.  Set Poisoned for 5 turns.</t>
  </si>
  <si>
    <t>Deal 213-235 poison damage.  Set Poisoned for 3 turns.</t>
  </si>
  <si>
    <t>Medium Poison Bottle</t>
  </si>
  <si>
    <t>Medium Healing Potion [Poisoned]</t>
  </si>
  <si>
    <t>Deal 243-269 Poison damage. Set Poisoned for 3 turns.</t>
  </si>
  <si>
    <t>Deal 110-122 poison damage.  Set Poisoned for 2 turns.</t>
  </si>
  <si>
    <t>Minor Healing Potion [Poisoned]</t>
  </si>
  <si>
    <t>Deal 103-113 Poison damage. Set Poisoned for 2 turns.</t>
  </si>
  <si>
    <t>Poison Elixir</t>
  </si>
  <si>
    <t>Deal 57-63 Poison damage.</t>
  </si>
  <si>
    <t>Deal 53-59 Poison damage. Set Poisoned for 2 turns.</t>
  </si>
  <si>
    <t>Ooze Barrel</t>
  </si>
  <si>
    <t>[immediately applies effect]</t>
  </si>
  <si>
    <t>Drudanae Buff: -1 Finesse, -1 Intelligence, +2 Wits.  Lasts 3 turns.</t>
  </si>
  <si>
    <t>?</t>
  </si>
  <si>
    <t>Dreamer Pipe</t>
  </si>
  <si>
    <t>The Swornbreaker</t>
  </si>
  <si>
    <t>Blade of the Promise Breaker</t>
  </si>
  <si>
    <t>Haft of the Promise Breaker</t>
  </si>
  <si>
    <t>Swornbreaker Schematic</t>
  </si>
  <si>
    <t>[world object]</t>
  </si>
  <si>
    <t>Broken Lever [A]</t>
  </si>
  <si>
    <t>Silver Lever Shaft</t>
  </si>
  <si>
    <t>Broken Lever [B]</t>
  </si>
  <si>
    <t>Broken Lever [C]</t>
  </si>
  <si>
    <t>Black Tea</t>
  </si>
  <si>
    <t>Black Tea Leaves</t>
  </si>
  <si>
    <t>Teapot</t>
  </si>
  <si>
    <t>Green Tea</t>
  </si>
  <si>
    <t>Green Tea Leaves</t>
  </si>
  <si>
    <t>Huge Healing Potion [Masked | Witch]</t>
  </si>
  <si>
    <t>Witch Potion</t>
  </si>
  <si>
    <t>Used for a quest.  I found one, but you need another.</t>
  </si>
  <si>
    <t>Ancient Forge</t>
  </si>
  <si>
    <t>Silver Glass</t>
  </si>
  <si>
    <t>Silver Bar</t>
  </si>
  <si>
    <t>Silver Cup</t>
  </si>
  <si>
    <t>Silver Ore</t>
  </si>
  <si>
    <t>White Tea</t>
  </si>
  <si>
    <t>White Tea Leaves</t>
  </si>
  <si>
    <t>Witch's Eye</t>
  </si>
  <si>
    <t>Giant Flame Rune</t>
  </si>
  <si>
    <t>Weapon: +15% damage as Fire
Armor: +11% Fire Resistance
Amulet: +6% Critical Chance</t>
  </si>
  <si>
    <t>Flame</t>
  </si>
  <si>
    <t>Pouch of Superior Pixie Dust</t>
  </si>
  <si>
    <t>Large Flame Rune</t>
  </si>
  <si>
    <t>Giant Flame Rune of Power</t>
  </si>
  <si>
    <t>Intelligence: +3
Weapon: +15% damage as Fire
Armor: +11% Fire Resistance
Amulet: +6% Critical Chance</t>
  </si>
  <si>
    <t>Rune Frame of Power</t>
  </si>
  <si>
    <t>Weapon: +13% damage as Fire
Armor: +9% Fire Resistance
Amulet: +5% Critical Chance</t>
  </si>
  <si>
    <t>Medium Flame Rune</t>
  </si>
  <si>
    <t>Large Flame Rune of Power</t>
  </si>
  <si>
    <t>Intelligence +2
Weapon: +13% damage as Fire
Armor: +9% Fire Resistance
Amulet: +5% Critical Chance</t>
  </si>
  <si>
    <t>Weapon: +11% damage as Fire
Armor: +7% Fire Resistance
Amulet: +4% Critical Chance</t>
  </si>
  <si>
    <t>Small Flame Rune</t>
  </si>
  <si>
    <t>Medium Flame Rune of Power</t>
  </si>
  <si>
    <t>Intelligence +2
Weapon: +11% damage as Fire
Armor: +7% Fire Resistance
Amulet: +4% Critical Chance</t>
  </si>
  <si>
    <t>Mystical Giant Flame Rune</t>
  </si>
  <si>
    <t>Weapon: +1 Ranged, +15% damage as Fire
Armor: Huntsman +1, +11% Fire Resistance
Amulet: Pyrokinetic +1, +6% Critical Chance</t>
  </si>
  <si>
    <t>Mystical Rune Frame</t>
  </si>
  <si>
    <t>Mystical Large Flame Rune</t>
  </si>
  <si>
    <t>Weapon: +1 Ranged, +13% damage as Fire
Armor: Huntsman +1, +9% Fire Resistance
Amulet: Pyrokinetic +1, +5% Critical Chance</t>
  </si>
  <si>
    <t>Mystical Medium Flame Rune</t>
  </si>
  <si>
    <t>Weapon: +1 Ranged, +11% damage as Fire
Armor: Huntsman +1, +7% Fire Resistance
Amulet: Pyrokinetic +1, +4% Critical Chance</t>
  </si>
  <si>
    <t>Mystical Small Flame Rune</t>
  </si>
  <si>
    <t>Weapon: +1 Ranged, +9% damage as Fire
Armor: Huntsman +1, +5% Fire Resistance
Amulet: Pyrokinetic +1, +3% Critical Chance</t>
  </si>
  <si>
    <t>Weapon: +9% damage as Fire
Armor: +5% Fire Resistance
Amulet: +3% Critical Chance</t>
  </si>
  <si>
    <t>Wood</t>
  </si>
  <si>
    <t>Small Flame Rune of Power</t>
  </si>
  <si>
    <t>Intelligence +1
Weapon: +9% damage as Fire
Armor: +5% Fire Resistance
Amulet: +3% Critical Chance</t>
  </si>
  <si>
    <t>Giant Frost Rune</t>
  </si>
  <si>
    <t>Weapon: +15% damage as Water
Armor: +11% Water Resistance
Amulet: +1 Movement</t>
  </si>
  <si>
    <t>Frost</t>
  </si>
  <si>
    <t>Large Frost Rune</t>
  </si>
  <si>
    <t>Giant Frost Rune of Power</t>
  </si>
  <si>
    <t>Intelligence +3
Weapon: +15% damage as Water
Armor: +11% Water Resistance
Amulet: +1 Movement</t>
  </si>
  <si>
    <t>Weapon: +13% damage as Water
Armor: +9% Water Resistance
Amulet: +0.75 Movement</t>
  </si>
  <si>
    <t>Medium Frost Rune</t>
  </si>
  <si>
    <t>Large Frost Rune of Power</t>
  </si>
  <si>
    <t>Intelligence +2
Weapon: +13% damage as Water
Armor: +9% Water Resistance
Amulet: 0.75 Movement</t>
  </si>
  <si>
    <t>Weapon: +11% damage as Water
Armor: +7% Water Resistance
Amulet: +0.5 Movement</t>
  </si>
  <si>
    <t>Small Frost Rune</t>
  </si>
  <si>
    <t>Medium Frost Rune of Power</t>
  </si>
  <si>
    <t>Intelligence +2
Weapon: +11% damage as Water
Armor: +7% Water Resistance
Amulet: +0.5 Movement</t>
  </si>
  <si>
    <t>Mystical Giant Frost Rune</t>
  </si>
  <si>
    <t>Weapon: +1 Single-Handed, +15% damage as Water
Armor: +1 Leadership, +11% Water Resistance
Amulet: +1 Hydrosophist, +1 Movement</t>
  </si>
  <si>
    <t>Mystical Large Frost Rune</t>
  </si>
  <si>
    <t>Weapon: +1 Single-Handed, +13% damage as Water
Armor: +1 Leadership, +9% Water Resistance
Amulet: +1 Hydrosophist, +0.75 Movement</t>
  </si>
  <si>
    <t>Mystical Medium Frost Rune</t>
  </si>
  <si>
    <t>Weapon: +1 Single-Handed, +11% damage as Water
Armor: +1 Leadership, +7% Water Resistance
Amulet: +1 Hydrosophist, +0.5 Movement</t>
  </si>
  <si>
    <t>Mystical Small Frost Rune</t>
  </si>
  <si>
    <t>Weapon: +1 Single-Handed, +9% damage as Water
Armor: +1 Leadership, +5% Water Resistance
Amulet: +1 Hydrosophist, +0.25 Movement</t>
  </si>
  <si>
    <t>Weapon: +9% damage as Water
Armor: +5% Water Resistance
Amulet: +0.25 Movement</t>
  </si>
  <si>
    <t>Small Frost Rune of Power</t>
  </si>
  <si>
    <t>Intelligence +1
Weapon: +9% damage as Water
Armor: +5% Air Resistance
Amulet: +0.25 Movement</t>
  </si>
  <si>
    <t>Giant Masterwork Rune</t>
  </si>
  <si>
    <t>Weapon: +15% damage as Physical
Armor: +21% Physical Armor
Amulet: +21% Magic Armor</t>
  </si>
  <si>
    <t>Masterwork</t>
  </si>
  <si>
    <t>Large Masterwork Rune</t>
  </si>
  <si>
    <t>Giant Masterwork Rune of Power</t>
  </si>
  <si>
    <t>Strength +3
Weapon: +15% damage as Physical
Armor: +21% Physical Armor
Amulet: +21% Magic Armor</t>
  </si>
  <si>
    <t>Weapon: +13% damage as Physical
Armor: +17% Physical Armor
Amulet: +17% Magic Armor</t>
  </si>
  <si>
    <t>Medium Masterwork Rune</t>
  </si>
  <si>
    <t>Large Masterwork Rune of Power</t>
  </si>
  <si>
    <t>Strength +2
Weapon: +13% damage as Physical
Armor: +17% Physical Armor
Amulet: +17% Magic Armor</t>
  </si>
  <si>
    <t>Weapon: +11% damage as Physical
Armor: +13% Physical Armor
Amulet: +13% Magic Armor</t>
  </si>
  <si>
    <t>Small Masterwork Rune</t>
  </si>
  <si>
    <t>Medium Masterwork Rune of Power</t>
  </si>
  <si>
    <t>Strength +2
Weapon: +11% damage as Physical
Armor: +13% Physical Armor
Amulet: +13% Magic Armor</t>
  </si>
  <si>
    <t>Mystical Giant Masterwork Rune</t>
  </si>
  <si>
    <t>Weapon: +3 Wits, +15% damage as Physical
Armor: Constitution +3, +21% Physical Armor
Amulet: Memory +3, +21% Magic Armor</t>
  </si>
  <si>
    <t>Mystical Large Masterwork Rune</t>
  </si>
  <si>
    <t>Weapon: +2 Wits, +13% damage as Physical
Armor: Constitution +2, +17% Physical Armor
Amulet: Memory +2, +17% Magic Armor</t>
  </si>
  <si>
    <t>Mystical Medium Masterwork Rune</t>
  </si>
  <si>
    <t>Weapon: +2 Wits, +11% damage as Physical
Armor: Constitution +2, +13% Physical Armor
Amulet: Memory +2, +13% Magic Armor</t>
  </si>
  <si>
    <t>Mystical Small Masterwork Rune</t>
  </si>
  <si>
    <t>Weapon: +1 Wits, +9% damage as Physical
Armor: Constitution +1, +9% Physical Armor
Amulet: Memory +1, +9% Magic Armor</t>
  </si>
  <si>
    <t>Weapon: +9% damage as Physical
Armor: +9% Physical Armor
Amulet: +9% Magic Armor</t>
  </si>
  <si>
    <t>Wine</t>
  </si>
  <si>
    <t>Small Masterwork Rune of Power</t>
  </si>
  <si>
    <t>Strength +1
Weapon: +9% damage as Physical
Armor: +9% Physical Armor
Amulet +9% Magic Armor</t>
  </si>
  <si>
    <t>Bone Dust</t>
  </si>
  <si>
    <t>Stardust</t>
  </si>
  <si>
    <t>Pouch of Superior Stardust</t>
  </si>
  <si>
    <t>Giant Rock Rune</t>
  </si>
  <si>
    <t>Weapon: +15% damage as Earth
Armor: +11% Earth Resistance
Amulet: +111 HP</t>
  </si>
  <si>
    <t>Rock</t>
  </si>
  <si>
    <t>Large Rock Rune</t>
  </si>
  <si>
    <t>Giant Rock Rune of Power</t>
  </si>
  <si>
    <t>Strength +3
Weapon: +15% damage as Earth
Armor: +11% Earth Resistance
Amulet: +111 HP</t>
  </si>
  <si>
    <t>Weapon: +13% damage as Earth
Armor: +9% Earth Resistance
Amulet: +55 HP</t>
  </si>
  <si>
    <t>Medium Rock Rune</t>
  </si>
  <si>
    <t>Large Rock Rune of Power</t>
  </si>
  <si>
    <t>Strength +2
Weapon: +13% damage as Earth
Armor: +9% Earth Resistance
Amulet: +55 HP</t>
  </si>
  <si>
    <t>Weapon: +11% damage as Earth
Armor: +7% Earth Resistance
Amulet: +23 HP</t>
  </si>
  <si>
    <t>Small Rock Rune</t>
  </si>
  <si>
    <t>Medium Rock Rune of Power</t>
  </si>
  <si>
    <t>Strength +2
Weapon: +11% damage as Earth
Armor: +7% Earth Resistance
Amulet: +23 HP</t>
  </si>
  <si>
    <t>Mystical Giant Rock Rune</t>
  </si>
  <si>
    <t>Weapon: +1 Two-Handed, +15% damage as Earth
Armor: Warfare +1, +15% Earth Resistance
Amulet: Geomancer +1, +203 HP</t>
  </si>
  <si>
    <t>Mystical Large Rock Rune</t>
  </si>
  <si>
    <t>Weapon: +1 Two-Handed, +13% damage as Earth
Armor: Warfare +1, +9% Earth Resistance
Amulet: Geomancer +1, +55 HP</t>
  </si>
  <si>
    <t>Mystical Medium Rock Rune</t>
  </si>
  <si>
    <t>Weapon: +1 Two-Handed, +11% damage as Earth
Armor: Warfare +1, +7% Earth Resistance
Amulet: Geomancer +1, +23 HP</t>
  </si>
  <si>
    <t>Mystical Small Rock Rune</t>
  </si>
  <si>
    <t>Weapon: +1 Two-Handed, +9% damage as Earth
Armor: Warfare +1, +5% Earth Resistance
Amulet: Geomancer +1, +9 HP</t>
  </si>
  <si>
    <t>Weapon: +9% damage as Earth
Armor: +5% Earth Resistance
Amulet: +9 HP</t>
  </si>
  <si>
    <t>Small Rock Rune of Power</t>
  </si>
  <si>
    <t>Strength +1
Weapon: +9% damage as Earth
Armor: +5% Earth Resistance
Amulet: +9 HP</t>
  </si>
  <si>
    <t>Giant Thunder Rune</t>
  </si>
  <si>
    <t>Weapon: +15% damage as Air
Armor: +11% Air Resistance
Amulet: +6% Dodging</t>
  </si>
  <si>
    <t>Thunder</t>
  </si>
  <si>
    <t>Large Thunder Rune</t>
  </si>
  <si>
    <t>Giant Thunder Rune of Power</t>
  </si>
  <si>
    <t>Finesse +3
Weapon: +15% damage as Air
Armor: +11% Air Resistance
Amulet: +6% Dodging</t>
  </si>
  <si>
    <t>Weapon: +13% damage as Air
Armor: +9% Air Resistance
Amulet: +5% Dodging</t>
  </si>
  <si>
    <t>Medium Thunder Rune</t>
  </si>
  <si>
    <t>Large Thunder Rune of Power</t>
  </si>
  <si>
    <t>Finesse +2
Weapon: +13% damage as Air
Armor: +9% Air Resistance
Amulet: +5% Dodging</t>
  </si>
  <si>
    <t>Weapon: +11% damage as Air
Armor: +7% Air Resistance
Amulet: +4% Dodging</t>
  </si>
  <si>
    <t>Small Thunder Rune</t>
  </si>
  <si>
    <t>Medium Thunder Rune of Power</t>
  </si>
  <si>
    <t>Finesse +2
Weapon: +11% damage as Air
Armor: +7% Air Resistance
Amulet: +4% Dodging</t>
  </si>
  <si>
    <t>Mystical Giant Thunder Rune</t>
  </si>
  <si>
    <t>Weapon: Dual Wielding +1, +15% damage as Air
Armor: Scoundrel +1, +11% Air Resistance
Amulet: Aerotheurge +1, +6% Dodging</t>
  </si>
  <si>
    <t>Mystical Large Thunder Rune</t>
  </si>
  <si>
    <t>Weapon: Dual Wielding +1, +13% damage as Air
Armor: Scoundrel +1, +9% Air Resistance
Amulet: Aerotheurge +1, +5% Dodging</t>
  </si>
  <si>
    <t>Mystical Medium Thunder Rune</t>
  </si>
  <si>
    <t>Weapon: Dual Wielding +1, +11% damage as Air
Armor: Scoundrel +1, +7% Air Resistance
Amulet: Aerotheurge +1, +4% Dodging</t>
  </si>
  <si>
    <t>Mystical Small Thunder Rune</t>
  </si>
  <si>
    <t>Weapon: Dual Wielding +1, +9% damage as Air
Armor: Scoundrel +1, +5% Air Resistance
Amulet: Aerotheurge +1, +3% Dodging</t>
  </si>
  <si>
    <t>Weapon: +9% damage as Air
Armor: +5% Air Resistance
Amulet: +3% Dodging</t>
  </si>
  <si>
    <t>Small Thunder Rune of Power</t>
  </si>
  <si>
    <t>Finesse +1
Weapon: +9% damage as Air
Armor: +5% Air Resistance
Amulet: +3% Dodging</t>
  </si>
  <si>
    <t>Giant Venom Rune</t>
  </si>
  <si>
    <t>Weapon: +15% damage as Poison
Armor: +11% Poison Resistance
Amulet: +16% Accuracy</t>
  </si>
  <si>
    <t>Venom</t>
  </si>
  <si>
    <t>Large Venom Rune</t>
  </si>
  <si>
    <t>Giant Venom Rune of Power</t>
  </si>
  <si>
    <t>Finesse +3
Weapon: +15% damage as Poison
Armor: +11% Poison Resistance
Amulet: +15% Accuracy</t>
  </si>
  <si>
    <t>Weapon: +13% damage as Poison
Armor: +9% Poison Resistance
Amulet: +12% Accuracy</t>
  </si>
  <si>
    <t>Medium Venom Rune</t>
  </si>
  <si>
    <t>Large Venom Rune of Power</t>
  </si>
  <si>
    <t>Finesse +2
Weapon: +13% damage as Poison
Armor: +9% Poison Resistance
Amulet: +12% Accuracy</t>
  </si>
  <si>
    <t>Weapon: +11% damage as Poison
Armor: +7% Poison Resistance
Amulet: +8% Accuracy</t>
  </si>
  <si>
    <t>Small Venom Rune</t>
  </si>
  <si>
    <t>Medium Venom Rune of Power</t>
  </si>
  <si>
    <t>Finesse +2
Weapon: +11% damage as Poison
Armor: +7% Poison Resistance
Amulet: +8% Accuracy</t>
  </si>
  <si>
    <t>Mystical Giant Venom Rune</t>
  </si>
  <si>
    <t>Weapon: +1 Perseverance, +15% damage as Poison
Armor: Summoning +1, +11% Poison Resistance
Amulet: Necromancer +1, +16% Accuracy</t>
  </si>
  <si>
    <t>Mystical Large Venom Rune</t>
  </si>
  <si>
    <t>Weapon: +1 Perseverance, +13% damage as Poison
Armor: Summoning +1, +9% Poison Resistance
Amulet: Necromancer +1, +12% Accuracy</t>
  </si>
  <si>
    <t>Mystical Medium Venom Rune</t>
  </si>
  <si>
    <t>Weapon: +1 Perseverance, +11% damage as Poison
Armor: Summoning +1, +7% Poison Resistance
Amulet: Necromancer +1, +8% Accuracy</t>
  </si>
  <si>
    <t>Mystical Small Venom Rune</t>
  </si>
  <si>
    <t>Weapon: +1 Perseverance, +9% damage as Poison
Armor: Summoning +1, +5% Poison Resistance
Amulet: Necromancer +1, +5% Accuracy</t>
  </si>
  <si>
    <t>Weapon: +9% damage as Poison
Armor: +5% Poison Resistance
Amulet: +5% Accuracy</t>
  </si>
  <si>
    <t>Small Venom Rune of Power</t>
  </si>
  <si>
    <t>Finesse +1
Weapon: +9% damage as Poison
Armor: +5% Poison Resistance
Amulet: +5% Accuracy</t>
  </si>
  <si>
    <t>Bow String</t>
  </si>
  <si>
    <t>Big Tongs Roped Together</t>
  </si>
  <si>
    <t>2H Mace (Strength; no stats)</t>
  </si>
  <si>
    <t>Crossbow</t>
  </si>
  <si>
    <t>2H Crossbow (Finesse; no stats)</t>
  </si>
  <si>
    <t>Crossbow Without Bowstring</t>
  </si>
  <si>
    <t>Handmade Sword</t>
  </si>
  <si>
    <t>1H Sword (Strength; no stats)</t>
  </si>
  <si>
    <t>Improvised Staff</t>
  </si>
  <si>
    <t>2H Staff (Intelligence; no stats)</t>
  </si>
  <si>
    <t>Shell</t>
  </si>
  <si>
    <t>Knife on a Stick</t>
  </si>
  <si>
    <t>Makeshift Club [1H]</t>
  </si>
  <si>
    <t>1H Mace (Strength; no stats)</t>
  </si>
  <si>
    <t>Makeshift Club [2H]</t>
  </si>
  <si>
    <t>Makeshift Wand</t>
  </si>
  <si>
    <t>1H Wand (Intelligence; no stats)</t>
  </si>
  <si>
    <t>Skull</t>
  </si>
  <si>
    <t>Primitive Harpoon</t>
  </si>
  <si>
    <t>2H Spear (Finesse; no stats)</t>
  </si>
  <si>
    <t>Sharp Stone on a Long Stick</t>
  </si>
  <si>
    <t>2H Axe (Strength; no stats)</t>
  </si>
  <si>
    <t>Sharp Stone on a Stick</t>
  </si>
  <si>
    <t>1H Axe (Strength; no stats)</t>
  </si>
  <si>
    <t>Shiv</t>
  </si>
  <si>
    <t>1H Dagger (Finesse; no stats)</t>
  </si>
  <si>
    <t>Toy Crossbow</t>
  </si>
  <si>
    <t>Twig with a String</t>
  </si>
  <si>
    <t>2H Bow (Finesse; no stats)</t>
  </si>
  <si>
    <t>Ingredient</t>
  </si>
  <si>
    <t>Used in part to make [Profit] &gt;&gt;&gt;</t>
  </si>
  <si>
    <t>Charming Arrow [144]</t>
  </si>
  <si>
    <t>Cursed Fire Arrow [79]</t>
  </si>
  <si>
    <t>Tornado Scroll [-175]</t>
  </si>
  <si>
    <t>Holy Hand Grenade [350]</t>
  </si>
  <si>
    <t>Base Value</t>
  </si>
  <si>
    <t>Ing Cat</t>
  </si>
  <si>
    <t>Notes</t>
  </si>
  <si>
    <t>Not needed to shoot a bow, surprisingly.  You can use it to make some of the special arrows.</t>
  </si>
  <si>
    <t>Combine with special arrowheads.</t>
  </si>
  <si>
    <t>Can be used to make some special arrowheads.  Can also be used to make a harpoon if you want one for some reason.</t>
  </si>
  <si>
    <t>Make arrows.</t>
  </si>
  <si>
    <t>Don't make Explosive Arrows.  They're effectively just the same as Fire Arrows.  I'm not sure Fire Arrows are supposed to do AoE damage, but they do.</t>
  </si>
  <si>
    <t>Not craftable.  There are recipes listed for this online elsewhere, but they do not work.</t>
  </si>
  <si>
    <t>Use it or sell it.</t>
  </si>
  <si>
    <t>Make arrows</t>
  </si>
  <si>
    <t>Equipment</t>
  </si>
  <si>
    <t>Become short.</t>
  </si>
  <si>
    <t>Be an elf or make a second Mask of the Shapeshifter.... or sell it.  Why did you even make this thing, anyway?</t>
  </si>
  <si>
    <t>When they said "Put on a happy face", this isn't what they meant.</t>
  </si>
  <si>
    <t>Make yourself look like one of the true leaders of this country. @_@</t>
  </si>
  <si>
    <t>Essence</t>
  </si>
  <si>
    <t>Craft Potion of Jellyfish skin either to sell or to use.  Craft Teleportation scrolls for use.</t>
  </si>
  <si>
    <t>Alien Essence can be used in place of high quality or regular essence.</t>
  </si>
  <si>
    <t>Alien Tormented Soul can be used in place of high quality or regular Tormented Soul.</t>
  </si>
  <si>
    <t>Craft Tremor Grenades or Stoneskin Potions.  I've found Tremor Grenades to be better in general.</t>
  </si>
  <si>
    <t>Either make Potion of Strong Will to use, or Cluster Grenade to sell.</t>
  </si>
  <si>
    <t>High Quality Essence can be used in place of regular essence.</t>
  </si>
  <si>
    <t>High Quality Tormented Soul can be used in place of regular Tormented Soul.</t>
  </si>
  <si>
    <t>Used to make Resurrect Scrolls.  Can be used for other scrolls, too, if you need them.</t>
  </si>
  <si>
    <t>Can be crafted into a few different useful scrolls.</t>
  </si>
  <si>
    <t>Make Terror Grenades for use or sale.</t>
  </si>
  <si>
    <t>Make Frost Grenades or Potions of Nimble Tumble.  Both are usable.  Make the potions if you're just going to sell.</t>
  </si>
  <si>
    <t>[Beer]</t>
  </si>
  <si>
    <t>Free from Beer Barrel.</t>
  </si>
  <si>
    <t>[Meat]</t>
  </si>
  <si>
    <t>Most any meat will do.  I think the cheapest non-fish cookable meat has a base value of 3.  Some fish have other uses as well.</t>
  </si>
  <si>
    <t>[Milk]</t>
  </si>
  <si>
    <t>Combine with Potato to make Potato porridge.</t>
  </si>
  <si>
    <t>Sell to vendor.</t>
  </si>
  <si>
    <t>Bake.</t>
  </si>
  <si>
    <t>Eat it.  Or don't, whatever.</t>
  </si>
  <si>
    <t>Make Cheese Bread Dough if you need +1 Con food.</t>
  </si>
  <si>
    <t>Make Cheese Bread.</t>
  </si>
  <si>
    <t>Cook.</t>
  </si>
  <si>
    <t>Eat it.  It may have been buffed in Definitive Edition to the point where, at high levels, it's better than healing potions.</t>
  </si>
  <si>
    <t>There's a few kinds of bread you can make.  Pick the one that gives the stats you need and make it.  Not Apple Pie, dough.  Nobody needs 10% poison resistance for 6 turns.</t>
  </si>
  <si>
    <t>Egg</t>
  </si>
  <si>
    <t>Make dinner.</t>
  </si>
  <si>
    <t>Fill at beehive (not all beehives can be used; none in act 1 that I've found).</t>
  </si>
  <si>
    <t xml:space="preserve">Chepest fish (Herring) has a base value of 1.  </t>
  </si>
  <si>
    <t>Bake</t>
  </si>
  <si>
    <t>Combine with a water source.</t>
  </si>
  <si>
    <r>
      <rPr>
        <sz val="10"/>
        <rFont val="Arial"/>
      </rPr>
      <t xml:space="preserve">Combine with arrow(head)s to make Charming Arrow(head)s.  You get to keep the emptied honey jar so you can refill it.
Do </t>
    </r>
    <r>
      <rPr>
        <b/>
        <sz val="10"/>
        <color rgb="FF5B0F00"/>
        <rFont val="Arial"/>
      </rPr>
      <t>NOT</t>
    </r>
    <r>
      <rPr>
        <sz val="10"/>
        <rFont val="Arial"/>
      </rPr>
      <t xml:space="preserve"> make Milk &amp; Honey because it consumes the jar.</t>
    </r>
  </si>
  <si>
    <t>Combine with cup to make lemonade if you intend to use it.  Otherwise sell to vendor.</t>
  </si>
  <si>
    <t>Purchased or otherwise received from NPCs.</t>
  </si>
  <si>
    <t>Sell to vendor.  Use Water Barrel or Well for crafting.</t>
  </si>
  <si>
    <t>Make Orange Juice if you need the Finesse buff.  Otherwise, sell to vendor.</t>
  </si>
  <si>
    <t>Make Cold Fries and cook them to make Rivellon Fries. In DE, they give +2 Con and heal 20%.</t>
  </si>
  <si>
    <t>Make Pumpkin Soup at a cooking station.  It has no other ingredients.</t>
  </si>
  <si>
    <t xml:space="preserve">Sell to vendor. </t>
  </si>
  <si>
    <t>Make Tomato Sauce if you have a Finesse-based character, especially if they use daggers.</t>
  </si>
  <si>
    <t>Make Elven Stew if you have a Finesse-based character, especially if they use daggers.</t>
  </si>
  <si>
    <t>Make bread for Strength.  Otherwise, sell to vendor.</t>
  </si>
  <si>
    <t>Combine with Fuse to make Firestorm Grenade.</t>
  </si>
  <si>
    <t>Don't combine grenades with Source Orbs.  It's not worth it.  Either sell them or use them.</t>
  </si>
  <si>
    <t>Junk</t>
  </si>
  <si>
    <t>Fill with oil at the oil machine if you need a bunch of oil barrels.  Otherwise, you don't need them for anything.</t>
  </si>
  <si>
    <t>Make lemonade if you have lemons already.  Otherwise, sell it.</t>
  </si>
  <si>
    <t>See Empty Cup</t>
  </si>
  <si>
    <t>[Gold object] (not money)</t>
  </si>
  <si>
    <t>[Metal]</t>
  </si>
  <si>
    <t>Includes: Metal Scraps, Plate Scraps, Scale Scraps, Sharp Piece of Metal, possibly other things.</t>
  </si>
  <si>
    <t>[Poison]</t>
  </si>
  <si>
    <t>Poison Bottles can be used but are consumed. Zaikk's Talon and Ooze Barrels can be used and are not consumed.  Poison Flasks and poisoned food cannot be used.</t>
  </si>
  <si>
    <t>[Wood]</t>
  </si>
  <si>
    <t>Includes: Cutting Board, Log, Long Branch, Short Stick, [Wooden] Spoon, Wood Chips, and more.</t>
  </si>
  <si>
    <t>Craft Physical Armor Potion for use, else sell to vendor.</t>
  </si>
  <si>
    <t>Combine with knife to make Leather Scraps.</t>
  </si>
  <si>
    <t>Make Knockdown Arrowhead for use.  Make it to sell if you for some reason have a lot of arrow shafts.  Sell to vendor otherwise.</t>
  </si>
  <si>
    <t>Combine with a resurrection scroll.  Get it from the Spider Lady in Undertavern by choosing the last desire option.</t>
  </si>
  <si>
    <t>Used to improve healing potions.  Don't buy them unless you're going through a lot of healing potions and need better ones.  Also Ferocity Herbamix.  Make sure to keep one to craft the Witch Potion.</t>
  </si>
  <si>
    <t>Cut up into cloth scraps.</t>
  </si>
  <si>
    <t>Combine with bottle.  Use resulting potion on whoever's least likely to die.</t>
  </si>
  <si>
    <t>Craft Water Resistance Potion.</t>
  </si>
  <si>
    <t>Grind into Bone Dust.</t>
  </si>
  <si>
    <t>Mix with Stardust to make Pixie Dust.</t>
  </si>
  <si>
    <t>Make bows if you're out of skulls.</t>
  </si>
  <si>
    <t>Sell to vendor unless you need Nailbomb Grenades for use.</t>
  </si>
  <si>
    <t>Sell to vendor unless you need an invisibility potion.</t>
  </si>
  <si>
    <t>Can make Chicken Claw scrolls if you need them, although the Life Essence is needed to make Resurrect Scrolls which are generally better.</t>
  </si>
  <si>
    <t>Used to craft Hail Strike scrolls unless you need the High Quality Water Essence to make Healing Ritual scrolls (I don't know if High Quality Water Essences have any other use).</t>
  </si>
  <si>
    <t>Icon is the same as Slime.</t>
  </si>
  <si>
    <t>Don't make armor.  It's not worth it.  Strangely enough it can be used to make weapons.</t>
  </si>
  <si>
    <t>Sell to a vendor unless in dire need of a cooking station.</t>
  </si>
  <si>
    <t>Combine with Bowstring.</t>
  </si>
  <si>
    <t>Feed to elf.  Can also make a Grasp of the Starved scroll if you have the ability to delve out blood surfaces.</t>
  </si>
  <si>
    <t>Don't make herbmixes with it, as you can just buy those for 150 right next to the place you need to use them.  I don't know if it has any other use.</t>
  </si>
  <si>
    <t>Unless you need more than one shapeshifting mask, don't bother harvesting these.</t>
  </si>
  <si>
    <t>Make Earth Resistance potions or sell to vendor.</t>
  </si>
  <si>
    <t>Fill with oil so you can make Firestorm Grenades.</t>
  </si>
  <si>
    <t>Worth buying to make Chemical Warfare Grenades to sell, or other things if you want to actually use grenades.</t>
  </si>
  <si>
    <t>Can only be filled with Oil or Poison.  Poison's worth more, but which is more useful depends on your build.</t>
  </si>
  <si>
    <t>For money, make Cluster Grenades.  For use, make Mind Maggot Grenades.</t>
  </si>
  <si>
    <t>If you normally do magic damage, fill at a beehive to make Love Grenades.  AoE charms are pretty good sometimes.</t>
  </si>
  <si>
    <t>Make a potion, duh.</t>
  </si>
  <si>
    <t>Used to make Armour of the Eternals.  No other use.</t>
  </si>
  <si>
    <t>Make Teleportation Scrolls if you desperately need them (another ingredient is Air Essence which can be used to make Jellyfish Skin Potions, which are high-value).  Otherwise sell to vendor.</t>
  </si>
  <si>
    <t>Combine with High Quality Shadow Essences you find and Paper to make Bone Cage scroll.  Sell the rest to vendor.</t>
  </si>
  <si>
    <t>Sell to vendor.  You can use an Ooze Barrel to make poison bottles instead.</t>
  </si>
  <si>
    <t>Make Firestorm Grenades.</t>
  </si>
  <si>
    <t>Make Fire Resistance Potions or sell to vendor.</t>
  </si>
  <si>
    <t>Craft Thread.  You can combine two Hairs to get Thread, but using a Spinning Wheel only uses one Hair at a time, doubling the amount of Thread you get.</t>
  </si>
  <si>
    <t>Craft Pressure Spike scroll to use, or Shiv to sell.</t>
  </si>
  <si>
    <t>Make Dinner.  Can also be used to make Rain scrolls if you need them.</t>
  </si>
  <si>
    <t>High Quality Augmentor can be used in place of regular Augmentor.</t>
  </si>
  <si>
    <t>Chemical Warfare Grenades sell to vendors for more than it costs to buy Empty Canisters.  Always buy Intestines when available.</t>
  </si>
  <si>
    <t>Craft Mind Maggot Grenades unless you're desperate for money or only do Physical damage.  MMGs are good for those tough fights.</t>
  </si>
  <si>
    <t>Make Razzle Dazzle Grenades or Air Resistance Potions if you need them for use.  Otherwise, sell to vendor.</t>
  </si>
  <si>
    <t xml:space="preserve">Craft armor when you need money (not desperately need, just kinda need).  Hold it until then. </t>
  </si>
  <si>
    <t>Cut it up.</t>
  </si>
  <si>
    <t>Combine with shells to make staffs.  Value scales with level.</t>
  </si>
  <si>
    <t>Make Deep Freeze scroll for use.  Otherwise, sell to vendor or make Dinner for use.</t>
  </si>
  <si>
    <t>Craft armor when you need money.  Hold it until then.</t>
  </si>
  <si>
    <t>Use on equipped boots.</t>
  </si>
  <si>
    <t>Combine with thread.  Buy needles when available.</t>
  </si>
  <si>
    <t>Used to make cloth or leather armor.  Consumed when combined.</t>
  </si>
  <si>
    <t>Parchment</t>
  </si>
  <si>
    <t>Same as Sheet of Paper, just a different icon and doesn't seem to stack at all.</t>
  </si>
  <si>
    <t>Make healing potions if you find yourself going through a lot of them.  Otherwise, sell to vendor.</t>
  </si>
  <si>
    <t>Make Equalise scrolls for use.</t>
  </si>
  <si>
    <t>Sell to vendor.  Feathers are the same base value.</t>
  </si>
  <si>
    <t>Use to upgrade runes.</t>
  </si>
  <si>
    <t>Buy as many as you can, craft Plate Armor at an anvil.  Holy shit, high profits!</t>
  </si>
  <si>
    <t>Upgrade Large Runes to Giant Runes.</t>
  </si>
  <si>
    <t>Mix with Bone Dust to make Pouch of Superior Pixie Dust.</t>
  </si>
  <si>
    <t>Make Minor Wits Potions.</t>
  </si>
  <si>
    <t>Sell to vendor.  Can make an Apotheosis scroll if you've got disposable Source Orbs.</t>
  </si>
  <si>
    <t>Craft Tentacle Lash scrolls if you have a character with high Strength.  Otherwise, sell to vendor.</t>
  </si>
  <si>
    <t>Also count as raw meat (you can cook them to make Dinner).</t>
  </si>
  <si>
    <t>Dye your clothes or sell to vendor.</t>
  </si>
  <si>
    <t>Combine two of them to make a fuse.  Buy ropes when available.</t>
  </si>
  <si>
    <t>Sell to vendor.  You can make Poison Cloud Grenades with Ooze Barrels instead.</t>
  </si>
  <si>
    <t>Buy as many as you can, craft Scale Armor at an anvil.  Holy shit, high profits!</t>
  </si>
  <si>
    <t>User hammer and anvil to make shivs when you need money.</t>
  </si>
  <si>
    <t>Make Sharp Stone on a Stick when you need money.</t>
  </si>
  <si>
    <t>Sell some of them.  You find a lot more of them than you'll need for crafting.</t>
  </si>
  <si>
    <t>Combine with Long Branch to make Staffs when you need money.</t>
  </si>
  <si>
    <t>Combine with skulls to make wands.  When you're out of skulls, combine with bowstrings to make bows. Value of both scales with level.</t>
  </si>
  <si>
    <t>If you've already done the quest involving silver lever shafts, sell it.  It's not useful for anything other than making silver lever shafts.</t>
  </si>
  <si>
    <t>Sell to vendor unless you've got a lot of short sticks.</t>
  </si>
  <si>
    <t>Non-human skulls I've found have a value of 10.  Any skull can be used for recipes where [Human] is not specified.</t>
  </si>
  <si>
    <t>You can tell it's human by looking at it, but it's not indicated in the in-game text.</t>
  </si>
  <si>
    <t>Combine with a key to make a lockpick.  Key is not consumed.</t>
  </si>
  <si>
    <t>BE CAREFUL!  It's also a consumable for some reason.  Make sure you don't select the Consume option when you bring up its context menu.
Source Orb is also a tier 5 rune:
Weapon: Grants skill Venomous Aura
Armor: Grants skill Mass Cleanse Wounds
Amulet: Grants skill Evasive Aura</t>
  </si>
  <si>
    <t>Combine with Bone Dust to make Pixie Dust.</t>
  </si>
  <si>
    <t>Grind into Stardust.</t>
  </si>
  <si>
    <t>Craft Holy Hand Grenade.  If you don't already have a Sovereign's Orb, just hold it, because you're bound to find one, but probably not another starfish.</t>
  </si>
  <si>
    <t>Grind into Pouch of Superior Stardust.</t>
  </si>
  <si>
    <t>Sell to vendor.   Its only use is to make a Pyroclastic Eruption scroll.  So, if you find something that makes that, let me know what it's called.</t>
  </si>
  <si>
    <t>Buy when available, but you can also make it running Hair through a Spinning Wheel (or combine 2 hair for less value).</t>
  </si>
  <si>
    <t>Craft Big Tongs Roped Together (best use of Cloth Scraps), but only after level 6 (mats are worth more up till then).</t>
  </si>
  <si>
    <t>Make Shocking Arrowhead (combine with knife; knife is not consumed).</t>
  </si>
  <si>
    <t>Make Minor Resist All potions.</t>
  </si>
  <si>
    <t>Ultimate Augmentor Herb</t>
  </si>
  <si>
    <t>Ultimate Augmentor can be used in place of high quality or regular augmentor (probably shouldn't, though).</t>
  </si>
  <si>
    <t>Sell to vendor.  The herbmix isn't worth bothering with unless you're about to do an Undertavern fight.</t>
  </si>
  <si>
    <t>Make Curse Scrolls.</t>
  </si>
  <si>
    <t>Combine with Small Poison Bottle to make Void-Enhanced Poison.</t>
  </si>
  <si>
    <t>Make Fortify Scrolls or Small Magic Armor Potions.</t>
  </si>
  <si>
    <t>Used to make Witch Potion for a quest.</t>
  </si>
  <si>
    <t>Mix with water to make wood pulp.</t>
  </si>
  <si>
    <t>Cook in oven, makes sheet of paper.</t>
  </si>
  <si>
    <t>Make yarn</t>
  </si>
  <si>
    <t>Make rope</t>
  </si>
  <si>
    <t>Craft Healing Elixirs if you've got a shitload of empty potion bottles, or if you're in Act 1 and run out of healing potions.</t>
  </si>
  <si>
    <t>Worth upgrading since it extends the duration to 100 turns.</t>
  </si>
  <si>
    <t>Combine two to get a medium version (it's a huge difference).</t>
  </si>
  <si>
    <t>Drink it! *slurp*</t>
  </si>
  <si>
    <t>Drink it if you're undead. Er... How does a skeleton drink?  Maybe they just pour it over themself?</t>
  </si>
  <si>
    <t>Make Huge Resistance potions if you intend to sell them (it's a 50% increase in base value).  For use, I'd stick with Larges.  75% is enough.</t>
  </si>
  <si>
    <t>Combine two to get a large version, or keep at medium if 50% is enough.</t>
  </si>
  <si>
    <t>Drink it!</t>
  </si>
  <si>
    <t>Save it for that epic boss battle that never comes.</t>
  </si>
  <si>
    <t>Combine two to get a medium version.</t>
  </si>
  <si>
    <t>Drink it!  Who needs to live, anyway?</t>
  </si>
  <si>
    <t>I think it's used in a quest somewhere.  Probably just sell it otherwise.</t>
  </si>
  <si>
    <t>You can use it until you can upgrade it.  Runes can be removed from equipment with no penalty.  Can be upgraded.</t>
  </si>
  <si>
    <t>Used to upgrade runes.  Check the Runes tab to see what to make.</t>
  </si>
  <si>
    <t>Source Scroll; Keep for use.</t>
  </si>
  <si>
    <t>Cannot be crafted. Source Scroll; Keep for use.</t>
  </si>
  <si>
    <t>Cannot be crafted.</t>
  </si>
  <si>
    <t>Cannot be crafted. Source Scroll. Keep for use.</t>
  </si>
  <si>
    <t>If you don't need these, you probably need to start over on a higher difficulty setting.</t>
  </si>
  <si>
    <t>Cannot be crafted.  Source Scroll; Keep for use.</t>
  </si>
  <si>
    <t>Skillbook</t>
  </si>
  <si>
    <t>Any non-blank skillbook for Air will do.</t>
  </si>
  <si>
    <t>Any non-blank skillbook for a Source skill for Air will do.</t>
  </si>
  <si>
    <t>Any non-blank skillbook for Earth will do.</t>
  </si>
  <si>
    <t>Any non-blank skillbook for a Source skill for Earth will do.</t>
  </si>
  <si>
    <t>Any non-blank skillbook for Fire will do.</t>
  </si>
  <si>
    <t>Any non-blank skillbook for a Source skill for Fire will do.</t>
  </si>
  <si>
    <t>Any non-blank skillbook for Huntsman will do.</t>
  </si>
  <si>
    <t>Any non-blank skillbook for a Source skill for Huntsman will do.</t>
  </si>
  <si>
    <t>Any non-blank skillbook for Necromancy will do.</t>
  </si>
  <si>
    <t>Any non-blank skillbook for a Source skill for Necromancy will do.</t>
  </si>
  <si>
    <t>Any non-blank skillbook for Polymorph will do.</t>
  </si>
  <si>
    <t>Any non-blank skillbook for a Source skill for Polymorph will do.</t>
  </si>
  <si>
    <t>Any non-blank skillbook for Scoundrel will do.</t>
  </si>
  <si>
    <t>Any non-blank skillbook for a Source skill for Scoundrel will do.</t>
  </si>
  <si>
    <t>Any non-blank skillbook for Summoning will do.</t>
  </si>
  <si>
    <t>Any non-blank skillbook for a Source skill for Summoning will do.</t>
  </si>
  <si>
    <t>Any non-blank skillbook for Warfare will do.</t>
  </si>
  <si>
    <t>Any non-blank skillbook for a Source skill for Warfare will do.</t>
  </si>
  <si>
    <t>Any non-blank skillbook for Water will do.</t>
  </si>
  <si>
    <t>Any non-blank skillbook for a Source skill for Water will do.</t>
  </si>
  <si>
    <t>Combine with a scroll to make a skillbook for that skill.</t>
  </si>
  <si>
    <t>[Water]</t>
  </si>
  <si>
    <t>You can combine directly with a well or Water Barrel to get water.</t>
  </si>
  <si>
    <t>Any mace seems to work for this.</t>
  </si>
  <si>
    <t>Combine with Soap to make lockpicks.  You get to keep the key!  Sell all your keys at the beginning of each act.</t>
  </si>
  <si>
    <t>Combine with a cup for a cup of milk if you want one.  Usable as a repeat milk source for recipes (except where bugged).</t>
  </si>
  <si>
    <t>Is never consumed on use.  You only need one.</t>
  </si>
  <si>
    <t>Skill</t>
  </si>
  <si>
    <t>Ability 1</t>
  </si>
  <si>
    <t>Ability 2</t>
  </si>
  <si>
    <t>Lvl</t>
  </si>
  <si>
    <t>AP</t>
  </si>
  <si>
    <t>Source</t>
  </si>
  <si>
    <t>CD</t>
  </si>
  <si>
    <t>Rng</t>
  </si>
  <si>
    <t>Rad</t>
  </si>
  <si>
    <t>Res</t>
  </si>
  <si>
    <t>Description</t>
  </si>
  <si>
    <t>Numbers</t>
  </si>
  <si>
    <t>DE</t>
  </si>
  <si>
    <t>Wep Req</t>
  </si>
  <si>
    <t>Bonus</t>
  </si>
  <si>
    <t>Status Quick-Reference</t>
  </si>
  <si>
    <t>Status 1</t>
  </si>
  <si>
    <t>Status 2</t>
  </si>
  <si>
    <t>Status 3</t>
  </si>
  <si>
    <t>Num Type</t>
  </si>
  <si>
    <t>Skill Count</t>
  </si>
  <si>
    <t>Apportation</t>
  </si>
  <si>
    <t>Aerotheurge</t>
  </si>
  <si>
    <t>Teleport all lootable items in a target 4m area into your inventory.</t>
  </si>
  <si>
    <t>Blinding Radiance</t>
  </si>
  <si>
    <t>M</t>
  </si>
  <si>
    <t>Deal Air damage to enemies within 5m.  Set Blinding Radiance for 1 turn on self.</t>
  </si>
  <si>
    <t>Int</t>
  </si>
  <si>
    <t>Blinded</t>
  </si>
  <si>
    <t>Chain Lightning</t>
  </si>
  <si>
    <t>Deal Air damage to target character, then forks to hit an enemy within 8m of target.  It will fork up to 7 additional times, hitting up to 9 characters total.  Set Shocked for 2 turns on all characters hit.</t>
  </si>
  <si>
    <t>Shocked</t>
  </si>
  <si>
    <t>Stunned</t>
  </si>
  <si>
    <t>Closed Circuit</t>
  </si>
  <si>
    <t>Deal Air damage and set Shocked for 2 turns on enemies within 4m.  Create a Cursed Electrified Steam cloud around you.  Set Air Immunity on self for 1 turn.</t>
  </si>
  <si>
    <t>Air Immunity</t>
  </si>
  <si>
    <t>Dazing Bolt</t>
  </si>
  <si>
    <t>Deal Air damage to characters in target 3m area and sets Shocked for 1 turn.</t>
  </si>
  <si>
    <t>Electric Discharge</t>
  </si>
  <si>
    <t>Deal Air damage and set Shocked for 2 turns on target.  Also seems to always damage nearby allies.</t>
  </si>
  <si>
    <t>Favourable Wind</t>
  </si>
  <si>
    <t>Set Favourable Wind Aura on self for 4 turns.</t>
  </si>
  <si>
    <t>Favourable Wind Aura</t>
  </si>
  <si>
    <t>Nether Swap</t>
  </si>
  <si>
    <t>Swap places of any two characters andor moveable objects (even yourself).</t>
  </si>
  <si>
    <t>Pressure Spike</t>
  </si>
  <si>
    <t>Convert clouds to ground surfaces, douse fires, and deal 57 Air damage to enemies in target 3m area.</t>
  </si>
  <si>
    <t>Shocking Touch</t>
  </si>
  <si>
    <t>Deal Air damage and set Shocked for 2 turns on target.</t>
  </si>
  <si>
    <t>Superconductor</t>
  </si>
  <si>
    <t>Deal Air damage and set Shocked for 1 turn on all enemies in line of sight within 8m.</t>
  </si>
  <si>
    <t>Teleportation</t>
  </si>
  <si>
    <t>Teleport target character or moveable object into the air above target destination.  Character falls, takes Physical damage, and deals Physical damage to characters within 1m of it.</t>
  </si>
  <si>
    <t>Thunderstorm</t>
  </si>
  <si>
    <t>Lightning bolts shoot at random spots in a 9.5m target area, dealing Air damage and setting Shocked for 1 turn if they hit an enemy.  Lasts 2 turns.  Lightning bolts can set Shocked for 1 turn.</t>
  </si>
  <si>
    <t>Tornado</t>
  </si>
  <si>
    <t>A tornado moves from self to target, removing surfaces.  Clears Invisible, Burning, and Slowed.</t>
  </si>
  <si>
    <t>Uncanny Evasion</t>
  </si>
  <si>
    <t>Set Evading on self for 1 turn.</t>
  </si>
  <si>
    <t>Evading</t>
  </si>
  <si>
    <t>Bless</t>
  </si>
  <si>
    <t>Character</t>
  </si>
  <si>
    <t>All</t>
  </si>
  <si>
    <t>Sets Blessed on target for 2 turns.  Removes Cursed.  Changes surfaces/clouds (except Lava) at target location to Blessed surfaces/clouds (except Lava).</t>
  </si>
  <si>
    <t>Blessed</t>
  </si>
  <si>
    <t>Curse</t>
  </si>
  <si>
    <t>Set Cursed on for 2 turns on target.  Changes surfaces/clouds (except Lava) at target location to Cursed surfaces/clouds.</t>
  </si>
  <si>
    <t>Cursed</t>
  </si>
  <si>
    <t>Source Vampirism</t>
  </si>
  <si>
    <t>Explode a non-exploded corpse or drain a Source point from a living target to gain 1 Source point.</t>
  </si>
  <si>
    <t>Spirit Vision</t>
  </si>
  <si>
    <t>Lets you see and interact with ghosts for way too short of a time (10 turns).</t>
  </si>
  <si>
    <t>Sucker Punch</t>
  </si>
  <si>
    <t>P</t>
  </si>
  <si>
    <t>Deal Physical damage and sets Knocked Down for 1 turn.  Gained from having an empty hand.</t>
  </si>
  <si>
    <t>Empty</t>
  </si>
  <si>
    <t>Knocked Down</t>
  </si>
  <si>
    <t>Blinding Squall</t>
  </si>
  <si>
    <t>Beast</t>
  </si>
  <si>
    <t>Deal Air damage and set Blinded for 1 turn in target 4m area.</t>
  </si>
  <si>
    <t>Dome of Protection</t>
  </si>
  <si>
    <t>Custom</t>
  </si>
  <si>
    <t>Create a magical field on target 3m area that sets Circle of Protection on allies while they are in it.  Lasts 5 turns.</t>
  </si>
  <si>
    <t>Circle of Protection</t>
  </si>
  <si>
    <t>Petrifying Touch</t>
  </si>
  <si>
    <t>Dwarf</t>
  </si>
  <si>
    <t>Deal Earth damage.  Set Petrified for 1 turn.  Removes Bleeding, Burning, Poisoned, and Crippled.</t>
  </si>
  <si>
    <t>Petrified</t>
  </si>
  <si>
    <t>Flesh Sacrifice</t>
  </si>
  <si>
    <t>Elf</t>
  </si>
  <si>
    <t>Gain 1 AP.  Set Flesh Sacrifice on self for 2 turns.</t>
  </si>
  <si>
    <t>Time Warp</t>
  </si>
  <si>
    <t>Fane</t>
  </si>
  <si>
    <t>Set Time-Warped for 1 turn on target character.  Can only be used once per combat.</t>
  </si>
  <si>
    <t>Time-Warped</t>
  </si>
  <si>
    <t>Encourage</t>
  </si>
  <si>
    <t>Human</t>
  </si>
  <si>
    <t>Set Encouraged on allies within 13m for 3 turns.</t>
  </si>
  <si>
    <t>Encouraged</t>
  </si>
  <si>
    <t>Summon Ifan's Soul Wolf</t>
  </si>
  <si>
    <t>Ifan</t>
  </si>
  <si>
    <t>Summon Wolf for 10 turns with the skills Vicious Bite and Wolf Howl.</t>
  </si>
  <si>
    <t>Dragon's Blaze</t>
  </si>
  <si>
    <t>Lizard</t>
  </si>
  <si>
    <t xml:space="preserve">Deal Fire damage in a cone, leaving a Fire surface.  Set Burning for 2 turns. </t>
  </si>
  <si>
    <t>Burning</t>
  </si>
  <si>
    <t>Maddening Song</t>
  </si>
  <si>
    <t>Lohse</t>
  </si>
  <si>
    <t>Set Madness for 1 turn to enemies in target 3m area.</t>
  </si>
  <si>
    <t>Madness</t>
  </si>
  <si>
    <t>Deafening Shriek</t>
  </si>
  <si>
    <t>Deal 106 damage to Magic Armor and set Deaf for 2 turns on enemies within 8m.</t>
  </si>
  <si>
    <t>Deaf</t>
  </si>
  <si>
    <t>Break the Shackles</t>
  </si>
  <si>
    <t>Sebille</t>
  </si>
  <si>
    <t>Remove from self Atrophy, Chilled, Crippled, Diseased, Infectious Diseased, Plague, Shackles of Pain, Shocked, Silenced, Slowed, and Suffocating.  Can be used while Silenced.</t>
  </si>
  <si>
    <t>Demonic Stare</t>
  </si>
  <si>
    <t>The Red Prince</t>
  </si>
  <si>
    <t>Deal damage to Magic Armor on target.  Restore Magic Armor to self.</t>
  </si>
  <si>
    <t>Play Dead</t>
  </si>
  <si>
    <t>Undead</t>
  </si>
  <si>
    <t>Pretend to be dead.  Enemies will ignore you.  Lasts 3 turns or until you move or act.</t>
  </si>
  <si>
    <t>Playing Dead</t>
  </si>
  <si>
    <t>Shields Up</t>
  </si>
  <si>
    <t>Restores Magic Armor and Physical Armor equal to your shield's.</t>
  </si>
  <si>
    <t>All In</t>
  </si>
  <si>
    <t>M+.5</t>
  </si>
  <si>
    <t>Melee attack that deals 150% weapon damage.  Can Backstab.</t>
  </si>
  <si>
    <t>2H Melee</t>
  </si>
  <si>
    <t>Flurry</t>
  </si>
  <si>
    <t>M+1</t>
  </si>
  <si>
    <t>Attack 3 times, each attack dealing an average of your main-hand and off-hand attacks.  Can Backstab.</t>
  </si>
  <si>
    <t>Two Melee</t>
  </si>
  <si>
    <t>Staff of Magus</t>
  </si>
  <si>
    <t>Perform a Ranged attack dealing 100% weapon damage.</t>
  </si>
  <si>
    <t>Staff</t>
  </si>
  <si>
    <t>Acid Spores</t>
  </si>
  <si>
    <t>Geomancer</t>
  </si>
  <si>
    <t>Deal Poison damage and set Poisoned for 3 turns on all characters in 3 target 3m areas.   Creates a Poison Surface filling each area.</t>
  </si>
  <si>
    <t>Poisoned</t>
  </si>
  <si>
    <t>Contamination</t>
  </si>
  <si>
    <t>Deal Poison damage and set Poisoned for 2 turns on non-undead enemies and undead allies within 8m.  Turns water and blood surfaces into poison surfaces, and clouds into poison clouds.</t>
  </si>
  <si>
    <t>Earthquake</t>
  </si>
  <si>
    <t>Deal Earth Damage and set Knocked Down for 1 turn on enemies within a 13m area around you.  Creates 8 oils surfaces randomly within the area.</t>
  </si>
  <si>
    <t>Fortify</t>
  </si>
  <si>
    <t>Increases Physical Armor on target and removes Acid, Bleeding, Burning, Decaying, and Poisoned.</t>
  </si>
  <si>
    <t>Restoration</t>
  </si>
  <si>
    <t>Fossil Strike</t>
  </si>
  <si>
    <t>Deal Earth damage and creates an Oil surface in target 2m area.</t>
  </si>
  <si>
    <t>Impalement</t>
  </si>
  <si>
    <t>Deal Earth damage, create an Oil surface, and set Crippled for 1 turn to target 3m area.</t>
  </si>
  <si>
    <t>Crippled</t>
  </si>
  <si>
    <t>Living Wall</t>
  </si>
  <si>
    <t>Create a 7m-long wall and a poison cloud around it.  The poison cloud lasts until it's removed.</t>
  </si>
  <si>
    <t>Mend Metal</t>
  </si>
  <si>
    <t>Sets Mending on allies within 5m for 3 turns.</t>
  </si>
  <si>
    <t>Mending</t>
  </si>
  <si>
    <t>Poison Dart</t>
  </si>
  <si>
    <t>Deal Poison damage and set Poisoned for 3 turns on all characters in target 1m area. Creates a Poison surface.</t>
  </si>
  <si>
    <t>Poison Wave</t>
  </si>
  <si>
    <t>Deal Poison damage and create a Poison cloud in a 4m area around you.  Set Earth Immunity on self for 1 turn.</t>
  </si>
  <si>
    <t>Earth Immunity</t>
  </si>
  <si>
    <t>Pyroclastic Eruption</t>
  </si>
  <si>
    <t>Launches arced projectiles that deal Earth damage at all enemies within 13m.  Create Oil surfaces with a 3m radius under each of them.</t>
  </si>
  <si>
    <t>Reactive Armour</t>
  </si>
  <si>
    <t>Deal Physical damage equal to 25% of your current Physical Armor to all characters within 3m.</t>
  </si>
  <si>
    <t>Siphon Poison</t>
  </si>
  <si>
    <t>Consumes Poison surfaces and Poison clouds within 8m.  Set Siphon Poison on self for 2 turns.  Poison damage from Siphon Poison is dependent on how much Poison was consumed.</t>
  </si>
  <si>
    <t>Summon Artillery Plant</t>
  </si>
  <si>
    <t xml:space="preserve">Summon a large plant that has the skills Acid Spores, Poison Wave, and All In for 5 turns. </t>
  </si>
  <si>
    <t>Worm Tremor</t>
  </si>
  <si>
    <t>Deal Earth damage and set Entangled for 2 turns on characters in target 4m area.</t>
  </si>
  <si>
    <t>Entangled</t>
  </si>
  <si>
    <t>Erratic Wisp</t>
  </si>
  <si>
    <t>Huntsman</t>
  </si>
  <si>
    <t>Set Erratic Wisp on self for 2 turns.</t>
  </si>
  <si>
    <t>Evasive Aura</t>
  </si>
  <si>
    <t>Set Evasive Aura on self for 1 turn.</t>
  </si>
  <si>
    <t>Dust Blast</t>
  </si>
  <si>
    <t>Deal Earth damage and set Blinded for 2 turns to all enemies within 13m.</t>
  </si>
  <si>
    <t>Throw Dust</t>
  </si>
  <si>
    <t>Deal Earth damage and set Blinded for 1 turn to characters in target 2m area.  Remove surfaces and clouds in the target area.</t>
  </si>
  <si>
    <t>Arrow Spray</t>
  </si>
  <si>
    <t>Fires 16 arrows one at a time in a 60° arc, spread evenly.  Each shot deals 40% weapon damage.</t>
  </si>
  <si>
    <t>Ranged</t>
  </si>
  <si>
    <t>Wep</t>
  </si>
  <si>
    <t>Arrow Storm</t>
  </si>
  <si>
    <t>16 arrows fall from the sky hitting random spots in the target 5m area.  Each arrow deals 50% weapon damage if it hits an enemy (does not damage allies).</t>
  </si>
  <si>
    <t>Assassinate</t>
  </si>
  <si>
    <t>Deal 115% weapon damage to target.  If stealthed, deal +50% damage.</t>
  </si>
  <si>
    <t>Ballistic Shot</t>
  </si>
  <si>
    <t>Deal 100% weapon damage with bonus damage of 5% per meter to target.</t>
  </si>
  <si>
    <t>Barrage</t>
  </si>
  <si>
    <t>Deal 60% weapon damage to 3 targets at once.  Choose up to 3 different targets.</t>
  </si>
  <si>
    <t>Elemental Arrowheads</t>
  </si>
  <si>
    <t>Set Elemental Arrowheads for 2 turns on self based on target nearby surface.</t>
  </si>
  <si>
    <t>[Element] Arrowhead</t>
  </si>
  <si>
    <t>Farsight</t>
  </si>
  <si>
    <t>Set Farsight for 3 turns on target.</t>
  </si>
  <si>
    <t>First Aid</t>
  </si>
  <si>
    <t>Restore vitality to target. Removes Bleeding, Blinded, Burning, Crippled, Diseased, Knocked Down, Poisoned, Silenced.</t>
  </si>
  <si>
    <t>Glitter Dust</t>
  </si>
  <si>
    <t>Set Marked for 3 turns on target.</t>
  </si>
  <si>
    <t>Marked</t>
  </si>
  <si>
    <t>Marksman's Fang</t>
  </si>
  <si>
    <t>Deal Piercing damage equal to 100% weapon damage to all targets in a line.</t>
  </si>
  <si>
    <t>Pin Down</t>
  </si>
  <si>
    <t>Deal 120% weapon damage and set Crippled on target for 1 turn.</t>
  </si>
  <si>
    <t>Reactive Shot</t>
  </si>
  <si>
    <t>Automatically perform a normal attack on any enemy that moves in target 4m area.  Lasts until your next turn or until 3 attacks have been performed, whichever comes first.</t>
  </si>
  <si>
    <t>Richochet</t>
  </si>
  <si>
    <t>Deal 90% weapon damage to target.  Hits an enemy within 5m of that target, then hits another within 5m of that enemy.  2nd and 3rd targets are determined randomly if multiple enemies are within range.</t>
  </si>
  <si>
    <t>Sky Shot</t>
  </si>
  <si>
    <t xml:space="preserve">Leap into the air gaining High Ground and then deal 100% weapon damage to a target while up there.  </t>
  </si>
  <si>
    <t>Tactical Retreat</t>
  </si>
  <si>
    <t>Teleport self to target.  Set Hasted for 1 turn.  Cannot use when movement is 0.</t>
  </si>
  <si>
    <t>Hasted</t>
  </si>
  <si>
    <t>Cryotherapy</t>
  </si>
  <si>
    <t>Hydrosophist</t>
  </si>
  <si>
    <t>Remove Ice surfaces within 2m radius and restore Magic Armor to self based on how much Ice was removed.  Removes Burning and Necrofire.</t>
  </si>
  <si>
    <t>up to 518</t>
  </si>
  <si>
    <t>Mass Cryotherapy</t>
  </si>
  <si>
    <t>Remove Ice surfaces within a 2m radius of you and each ally within 13m and restore Magic Armor to each ally within 13m based on how much Ice around them was removed.  Removes Burning and Necrofire.</t>
  </si>
  <si>
    <t>Deploy Mass Traps</t>
  </si>
  <si>
    <t>Pyrokinetic</t>
  </si>
  <si>
    <t>Throw 4 Explosive Traps on 4 target locations.  After your turn, the Explosive Traps arm, and each will explode when any character is within 3m of it, dealing Fire damage and setting Burning for 2 turns to all characters within 3m.</t>
  </si>
  <si>
    <t>Throw Explosive Trap</t>
  </si>
  <si>
    <t>Throw an Explosive Trap on target location.  After your turn, it will explode when any character is within 3m of it, dealing Fire damage and setting Burning for 2 turns to all characters within 3m.</t>
  </si>
  <si>
    <t>Arcane Stitch</t>
  </si>
  <si>
    <t>Fully restore Magic Armor on target character.  Removes Burning, Frozen, Mad, Necrofire, Petrified, Plague, Poisoned, Silenced, Stunned, Suffocating, Taunted, and Terrified.</t>
  </si>
  <si>
    <t>Armour Of Frost</t>
  </si>
  <si>
    <t>Set Magic Shell on target for 3 turns.  Removes Burning, Frozen, Petrified, Poisoned, Stunned, and Suffocating.</t>
  </si>
  <si>
    <t>Magic Shell</t>
  </si>
  <si>
    <t>Cryogenic Stasis</t>
  </si>
  <si>
    <t>Sets Permafrost on target ally for 1 turn.  Removes Shackles of Pain.</t>
  </si>
  <si>
    <t>Permafrost</t>
  </si>
  <si>
    <t>Deep Freeze</t>
  </si>
  <si>
    <t>Characters in cone that are Frozen and below 10% vitality die.  Other characters in cone take Water damage and are Frozen for 1 turn.</t>
  </si>
  <si>
    <t>Frozen</t>
  </si>
  <si>
    <t>Global Cooling</t>
  </si>
  <si>
    <t>Deal Water damage and set Chilled for 3 turns on enemies within 13m.  Freezes susceptible surfaces as well.</t>
  </si>
  <si>
    <t>Chilled</t>
  </si>
  <si>
    <t>Hail Storm</t>
  </si>
  <si>
    <t>20 ice shards fall on a large target area, dealing water damage and creating Ice surfaces where they land.  Set Chilled for 1 turn.</t>
  </si>
  <si>
    <t>Hail Strike</t>
  </si>
  <si>
    <t>3 ice shards fall from near each other, dealing water damage and creating 2.5m Ice surfaces where they land.  Set Chilled for 2 turns.</t>
  </si>
  <si>
    <t>Healing Ritual</t>
  </si>
  <si>
    <t>Restore vitality to target, then fork to a non-undead ally or an undead enemy within 13m of that target.  Keep forking until it can't fork again (it can't fork to a target it's already hit).</t>
  </si>
  <si>
    <t>Ice Breaker</t>
  </si>
  <si>
    <t>Deal Water damage and set Chilled for 2 turns to characters that are standing on Ice surfaces  that are at least partly within 13m.  Ice surfaces turn to Water surfaces.</t>
  </si>
  <si>
    <t>Ice Fan</t>
  </si>
  <si>
    <t>Deal Water damage and set Chilled for 1 turn on enemies in 3 target 1m areas.  Affects allied characters that are targeted directly.</t>
  </si>
  <si>
    <t>Rain</t>
  </si>
  <si>
    <t>Create one or more Water surfaces in target 9m area.  Douses fires and sets Wet on characters for 1 turn.</t>
  </si>
  <si>
    <t>Wet</t>
  </si>
  <si>
    <t>Set Regenerating on target for 2 turns.  Removes Bleeding, Burning, and Poisoned.</t>
  </si>
  <si>
    <t>Regenerating</t>
  </si>
  <si>
    <t>Soothing Cold</t>
  </si>
  <si>
    <t>Sets Soothing Cold for 3 turns on allies within 5m.</t>
  </si>
  <si>
    <t>Steam Lance</t>
  </si>
  <si>
    <t>Create a cone of Blessed Steam and set Steam Lance on characters within it for 3 turns.</t>
  </si>
  <si>
    <t>Winter Blast</t>
  </si>
  <si>
    <t>Deal Water damage and set Chilled for 2 turns to enemies in target 3m area.  Freeze Water and Blood surfaces in that area.</t>
  </si>
  <si>
    <t>Flight</t>
  </si>
  <si>
    <t>Misc</t>
  </si>
  <si>
    <t>Teleport self to target location.</t>
  </si>
  <si>
    <t>Vacuum Aura</t>
  </si>
  <si>
    <t>Necromancer</t>
  </si>
  <si>
    <t>Deal Air Damage to enemies within 8m of you.  Set Vacuum Aura for 3 turns on self.</t>
  </si>
  <si>
    <t>Suffocating</t>
  </si>
  <si>
    <t>Silenced</t>
  </si>
  <si>
    <t>Vacuum Touch</t>
  </si>
  <si>
    <t>Deal Air damage.  Set Suffocating for 2 turns and Silenced for 1 turn.</t>
  </si>
  <si>
    <t>Corrosive Spray</t>
  </si>
  <si>
    <t>Deal damage to Physical Armor and set Acid for 2 turns and Atrophy for 1 turn to all characters in a 7.5m cone.</t>
  </si>
  <si>
    <t>Acid</t>
  </si>
  <si>
    <t>Atrophy</t>
  </si>
  <si>
    <t>Corrosive Touch</t>
  </si>
  <si>
    <t>Deal damage to Physical Armor and set Acid for 2 turns on target.</t>
  </si>
  <si>
    <t>Blood Storm</t>
  </si>
  <si>
    <t>Blood falls from the sky hitting enemies within the target 9.5m area for Physical damage and setting Diseased andor Decaying on them for 2 turns.  The storm lasts 2 turns, and more blood falls each turn.  The blood blobs create 1m Blood surfaces where they land.  Enemies can be hit multiple times in a single turn.</t>
  </si>
  <si>
    <t>Diseased</t>
  </si>
  <si>
    <t>Decaying</t>
  </si>
  <si>
    <t>Raining Blood</t>
  </si>
  <si>
    <t>Create a large Blood surface, douse fires, set Bleeding on enemies for 2 turns in target 9m area.</t>
  </si>
  <si>
    <t>Bleeding</t>
  </si>
  <si>
    <t>Black Shroud</t>
  </si>
  <si>
    <t>Create a 4m Cursed Smoke Cloud that sets Blind for 1 turns and Suffocating for 2 turns.</t>
  </si>
  <si>
    <t>Blood Sucker</t>
  </si>
  <si>
    <t>Remove all Blood surface in a 2m radius around target and restore vitality to target based on how much Blood was removed.</t>
  </si>
  <si>
    <t>up to 259</t>
  </si>
  <si>
    <t>Bone Cage</t>
  </si>
  <si>
    <t>Increase Physical Armor on self, and then again for each corpse within 13m.</t>
  </si>
  <si>
    <t>67+67per</t>
  </si>
  <si>
    <t>Death Wish</t>
  </si>
  <si>
    <t>Set Death Wish on target for 2 turns.</t>
  </si>
  <si>
    <t>Drawback</t>
  </si>
  <si>
    <t>Decaying Touch</t>
  </si>
  <si>
    <t>Deal Physical damage and set Decaying for 2 turns on target.</t>
  </si>
  <si>
    <t>Grasp Of The Starved</t>
  </si>
  <si>
    <t>Deal Physical damage to all characters in Blood surfaces and Blood clouds in target 6m area.  Set Crippled for 2 turns.</t>
  </si>
  <si>
    <t>Infect</t>
  </si>
  <si>
    <t>Deal Physical damage and set Infected for 2 turns on target.</t>
  </si>
  <si>
    <t>Infected</t>
  </si>
  <si>
    <t>Last Rites</t>
  </si>
  <si>
    <t>Deal Piercing damage to self.  Resurrect target character.  Characters resurrected this way are restored to full vitality.</t>
  </si>
  <si>
    <t>Living On The Edge</t>
  </si>
  <si>
    <t>Set Resist Death for 2 turns on target character.</t>
  </si>
  <si>
    <t>Resist Death</t>
  </si>
  <si>
    <t>Mosquito Swarm</t>
  </si>
  <si>
    <t>Deal Physical damage and recover vitality based on the damage dealt.  Set Bleeding for 2 turns.</t>
  </si>
  <si>
    <t>Raise Bloated Corpse</t>
  </si>
  <si>
    <t>Explode target corpse, summoning a Bloated Corpse which deals Physical damage and has the Vile Burst skill and the Opportunist talent.  It leaves behind a Blood surface with a 3m radius when it dies or expires.  Lasts 10 turns.</t>
  </si>
  <si>
    <t>Raise Bone Widow</t>
  </si>
  <si>
    <t>Summon an undead Bone Widow which deals Physical damage, has the Devour Corpse and Burrow skills, and the Opportunist talent.  Lasts 5 turns.</t>
  </si>
  <si>
    <t>Shackles Of Pain</t>
  </si>
  <si>
    <t>Set Shackles of Pain on target for 3 turns.</t>
  </si>
  <si>
    <t>Shackles of Pain</t>
  </si>
  <si>
    <t>Silencing Stare</t>
  </si>
  <si>
    <t xml:space="preserve">Deal damage to Magic Armor and set Silenced for 1 turn on all enemies in a cone.  </t>
  </si>
  <si>
    <t>Totems Of The Necromancer</t>
  </si>
  <si>
    <t>Summon a Bones Totem on each corpse and next to each living enemy within 13m.  Lasts 3 turns.</t>
  </si>
  <si>
    <t>Corpse Explosion</t>
  </si>
  <si>
    <t>Explode target non-exploded corpse and deal Physical damage to characters within 4m of it.</t>
  </si>
  <si>
    <t>Mass Corpse Explosion</t>
  </si>
  <si>
    <t>Explode all non-exploded corpses in area, each dealing Physical damage to characters within 4m of it.</t>
  </si>
  <si>
    <t>Jellyfish Skin</t>
  </si>
  <si>
    <t>Polymorph</t>
  </si>
  <si>
    <t>Set Electric Skin on self for 2 turns.  Removes Icy Skin, Flaming Skin, and Poison Skin.</t>
  </si>
  <si>
    <t>Electric Skin</t>
  </si>
  <si>
    <t>Vaporize</t>
  </si>
  <si>
    <t>Remove Frozen and Petrified from characters in target 2m area.  Turns Blood, Fire, Poison, and Water surfaces into clouds (retains electrified status).</t>
  </si>
  <si>
    <t>Bull Rush</t>
  </si>
  <si>
    <t>Bull Horns</t>
  </si>
  <si>
    <t>Rush at a target dealing 75% Weapon Damage as Pure damage to each enemy in path.  Set Bleeding for 2 turns.</t>
  </si>
  <si>
    <t>Poisonous Skin</t>
  </si>
  <si>
    <t>Set Poison Skin on self for 2 turns.  Removes Electric Skin, Flaming Skin, and Icy Skin.</t>
  </si>
  <si>
    <t>Poison Skin</t>
  </si>
  <si>
    <t>Turn To Oil</t>
  </si>
  <si>
    <t>Turns Water and Blood surfaces to Oil in target 5m area.  Removes Stun and Shocked from characters in that area.</t>
  </si>
  <si>
    <t>Healing Tears</t>
  </si>
  <si>
    <t>Set Healing Tears on self for 3 turns.</t>
  </si>
  <si>
    <t>Healing</t>
  </si>
  <si>
    <t>Icy Skin</t>
  </si>
  <si>
    <t>Set Icy Skin on self for 2 turns.</t>
  </si>
  <si>
    <t>Petrifying Visage</t>
  </si>
  <si>
    <t>Medusa Head</t>
  </si>
  <si>
    <t>Deal Earth damage and set Petrified for 1 turn on enemies within 13m.</t>
  </si>
  <si>
    <t>Str</t>
  </si>
  <si>
    <t>Apotheosis</t>
  </si>
  <si>
    <t>Set Apotheosis for 2 turns on self.</t>
  </si>
  <si>
    <t>Set Bull Horns on self and gain the Bull Rush skill.  Lasts 4 turns.</t>
  </si>
  <si>
    <t>Chameleon Cloak</t>
  </si>
  <si>
    <t>Set Invisible on self for 2 turns.</t>
  </si>
  <si>
    <t>Invisible</t>
  </si>
  <si>
    <t>Chicken Claw</t>
  </si>
  <si>
    <t>Set Chicken Form on target for 2 turns.</t>
  </si>
  <si>
    <t>Chicken Form</t>
  </si>
  <si>
    <t>Equalise</t>
  </si>
  <si>
    <t>Vitality and Armor percentages of characters in target 5m area are summed up and redistributed equally.</t>
  </si>
  <si>
    <t>Flay Skin</t>
  </si>
  <si>
    <t>Damage Magic Armor and set Nullified Resistance for 3 turns on target.</t>
  </si>
  <si>
    <t>Nullified Resistance</t>
  </si>
  <si>
    <t>Forced Exchange</t>
  </si>
  <si>
    <t>Swap vitality percentages with target character.</t>
  </si>
  <si>
    <t>Heart Of Steel</t>
  </si>
  <si>
    <t>Set Heart of Steel on self or 4 turns.</t>
  </si>
  <si>
    <t>Heart of Steel</t>
  </si>
  <si>
    <t>Set Medusa's Head on self and gain the Petrifying Visage skill, both for 2 turns.</t>
  </si>
  <si>
    <t>Medusa's Head</t>
  </si>
  <si>
    <t>Skin Graft</t>
  </si>
  <si>
    <t>Reset all cooldowns on self.  Remove Bleeding, Burning, Necrofire, and Poisoned from self.  Can only be used once per combat.</t>
  </si>
  <si>
    <t>Spider Legs</t>
  </si>
  <si>
    <t>Set Spider Legs on self and gain the Spin Web skill for 3 turns.</t>
  </si>
  <si>
    <t>Spread Your Wings</t>
  </si>
  <si>
    <t>Set Floating on self and gain Flight skill for 3 turns.</t>
  </si>
  <si>
    <t>Floating</t>
  </si>
  <si>
    <t>Summon Oily Blob</t>
  </si>
  <si>
    <t>Summon an Oily Blob for 3 turns and deal Earth damage in target 3m area.  Oily Blob deals melee Earth damage.  Oily Blob leaves Oil surfaces wherever it goes, and leaves a 3m Oil puddle when it dies or expires.</t>
  </si>
  <si>
    <t>Tentacle Lash</t>
  </si>
  <si>
    <t>Deal Physical damage to target and set Atrophy for 1 turn.</t>
  </si>
  <si>
    <t>Terrain Transmutation</t>
  </si>
  <si>
    <t>Swap surfaces and clouds in two target 2.5m areas.</t>
  </si>
  <si>
    <t>Bleed Fire</t>
  </si>
  <si>
    <t>Set Bleed Fire for 3 turns on, and create 1m Fire surfaces under enemies in target 4m area.</t>
  </si>
  <si>
    <t>Flaming Skin</t>
  </si>
  <si>
    <t>Set Flaming Skin on self for 2 turns.  Removes Electric Skin, Icy Skin, and Poison Skin.</t>
  </si>
  <si>
    <t>Spin Web</t>
  </si>
  <si>
    <t>Create a Web surface on target 3m area.</t>
  </si>
  <si>
    <t>Epidemic Of Fire</t>
  </si>
  <si>
    <t>Deal Fire damage and set Necrofire for 2 turns on target, and create a 1m Necrofire surface beneath them.  This forks up to 5 times.</t>
  </si>
  <si>
    <t>Necrofire</t>
  </si>
  <si>
    <t>Fire Whip</t>
  </si>
  <si>
    <t>Deal Fire damage, set Burning for 1 turn, and set Blinded for 1 turn on target.</t>
  </si>
  <si>
    <t>Fireball</t>
  </si>
  <si>
    <t>Deal Fire damage and set Burning for 2 turns on characters in target 3m area.  Create a Fire surface in that area.</t>
  </si>
  <si>
    <t>Firebrand</t>
  </si>
  <si>
    <t>Set Firebrand [Aura] for 2 turns on self.</t>
  </si>
  <si>
    <t>Firebrand [Aura]</t>
  </si>
  <si>
    <t>Flaming Crescendo</t>
  </si>
  <si>
    <t>Sets Flaming Crescendo on target for 2 turns.</t>
  </si>
  <si>
    <t>Flaming Tongues</t>
  </si>
  <si>
    <t>Set Flaming Tongues on self for 3 turns.</t>
  </si>
  <si>
    <t>Haste</t>
  </si>
  <si>
    <t>Set Hasted for 2 turns on target.</t>
  </si>
  <si>
    <t>Ignition</t>
  </si>
  <si>
    <t>Deal Fire damage to enemies within 13m.  Ignites Oil and Poison surfaces and clouds.  Melts Ice surfaces.</t>
  </si>
  <si>
    <t>Laser Ray</t>
  </si>
  <si>
    <t>Deal Fire damage in a long line, creating a Fire cloud.  Set Burning for 2 turns.</t>
  </si>
  <si>
    <t>Meteor Shower</t>
  </si>
  <si>
    <t>25 fireballs rain down in a medium target 5m area, each dealing Fire damage to a 3m area and creating Fire surfaces.</t>
  </si>
  <si>
    <t>Peace Of Mind</t>
  </si>
  <si>
    <t>Set Clear-Minded on target for 3 turns.  Removes Blinded, Charmed, Enraged, Mad, Sleeping, Taunted, and Terrified.</t>
  </si>
  <si>
    <t>Clear-Minded</t>
  </si>
  <si>
    <t>Searing Daggers</t>
  </si>
  <si>
    <t>Deal Fire damage and set Burning for 2 turns on characters in 3 target 1m areas. Create Fire surfaces in each area.</t>
  </si>
  <si>
    <t>Spontaneous Combustion</t>
  </si>
  <si>
    <t>Deal Fire damage to target character. If the target is affected by Burning andor Necrofire, remove those statuses and do additional Fire damage for each turn that they had left when removed.</t>
  </si>
  <si>
    <t>60+(32*t)</t>
  </si>
  <si>
    <t>Summon Fire Slug</t>
  </si>
  <si>
    <t>Summon a Burning Slug with the Slug Rush and Laser Ray skills.  Slug has 120% Fire Resistance, -50% Water Resistance, Immunity to Burning and Slipping, and leaves a Fire surface behind wherever it moves.</t>
  </si>
  <si>
    <t>Supernova</t>
  </si>
  <si>
    <t>Deal Fire damage to all characters within 4m and create a Fire surface filling that area.</t>
  </si>
  <si>
    <t>Blessed Cloud Smoke</t>
  </si>
  <si>
    <t>Scoundrel</t>
  </si>
  <si>
    <t>Creates a Blessed Smoke Cloud filling target 4m area.</t>
  </si>
  <si>
    <t>Smoke Cover</t>
  </si>
  <si>
    <t>Creates a 3m smoke cloud centered on self that lasts 1 turn.</t>
  </si>
  <si>
    <t>Venom Coating</t>
  </si>
  <si>
    <t>Set Venom Coated for 2 turns on self.</t>
  </si>
  <si>
    <t>Venom Coated</t>
  </si>
  <si>
    <t>Venomous Aura</t>
  </si>
  <si>
    <t>Set Venom Aura for 4 turns on self.</t>
  </si>
  <si>
    <t>Venom Aura</t>
  </si>
  <si>
    <t>Vampiric Hunger</t>
  </si>
  <si>
    <t>Sets Vampire on target character for 2 turns.</t>
  </si>
  <si>
    <t>Vampire</t>
  </si>
  <si>
    <t>Vampiric Hunger Aura</t>
  </si>
  <si>
    <t>Sets Vampire [Aura] on self for 2 turns.</t>
  </si>
  <si>
    <t>Vampire [Aura]</t>
  </si>
  <si>
    <t>Mass Sabotage</t>
  </si>
  <si>
    <t>All enemies in target 9.5m area carrying grenades or special arrows in their inventories will have 2 random of those grenades andor arrows explode.</t>
  </si>
  <si>
    <t>Sabotage</t>
  </si>
  <si>
    <t>If target character is carrying grenades or special arrows, a random one explodes in their inventory.</t>
  </si>
  <si>
    <t>Adrenaline</t>
  </si>
  <si>
    <t>Gain 2 AP this turn, but lose 2 AP next turn.  Does not break stealth.</t>
  </si>
  <si>
    <t>Backlash</t>
  </si>
  <si>
    <t>Teleport self behind target enemy and then deal 85% weapon damage to target.  Guaranteed Backstab.</t>
  </si>
  <si>
    <t>Chloroform</t>
  </si>
  <si>
    <t>Deal damage to Magic Armor and sets Sleeping for 1 turn.  Does not break stealth.</t>
  </si>
  <si>
    <t>Fin</t>
  </si>
  <si>
    <t>Sleeping</t>
  </si>
  <si>
    <t>Cloak And Dagger</t>
  </si>
  <si>
    <t>Teleport self to target.  Does not break stealth.  Cannot use when movement is 0.</t>
  </si>
  <si>
    <t>Corrupted Blade</t>
  </si>
  <si>
    <t>Deal 150% weapon damage and set both Diseased and Decaying for 2 turns.  Can Backstab.</t>
  </si>
  <si>
    <t>Daggers Drawn</t>
  </si>
  <si>
    <t>Deal 55% weapon damage 5 times to target.  Can Backstab.</t>
  </si>
  <si>
    <t>Fan Of Knives</t>
  </si>
  <si>
    <t>Deal 125% weapon damage to enemies within 8m.  Can Backstab.</t>
  </si>
  <si>
    <t>Gag Order</t>
  </si>
  <si>
    <t>Deal damage to Magic Armor and set Silenced for 1 turn on target character.  Can Backstab.</t>
  </si>
  <si>
    <t>Mortal Blow</t>
  </si>
  <si>
    <t>Deal 140% weapon damage to target.  Double that damage if stealthed.  Target is killed if below 20% vitality.  Can Backstab.</t>
  </si>
  <si>
    <t>Rupture Tendons</t>
  </si>
  <si>
    <t>Deal 100% weapon damage and set Ruptured Tendons for 2 turns on target character.  Can Backstab.</t>
  </si>
  <si>
    <t>Ruptured Tendons</t>
  </si>
  <si>
    <t>Sawtooth Knife</t>
  </si>
  <si>
    <t>Deal Piercing damage equal to 100% weapon damage (no off-hand weapon damage penalty) and set Bleeding for 3 turns on target.  Can Backstab.</t>
  </si>
  <si>
    <t>Sleeping Arms</t>
  </si>
  <si>
    <t>Deal 100% weapon damage and set Atrophy for 2 turns on target.  Can Backstab.</t>
  </si>
  <si>
    <t>Terrifying Cruelty</t>
  </si>
  <si>
    <t>MP</t>
  </si>
  <si>
    <t>Deal 110% weapon damage and set Terrified for 1 turn and Bleeding for 3 turns on target.  Can Backstab.</t>
  </si>
  <si>
    <t>Terrified</t>
  </si>
  <si>
    <t>Throwing Knife</t>
  </si>
  <si>
    <t>Deal 85% weapon damage.  Can Backstab.</t>
  </si>
  <si>
    <t>Wind Up Toy</t>
  </si>
  <si>
    <t>Summon a Wind-Up Toy with the skill Suicide for 3 turns.  Wind-Up Toy will automatically Suicide when killed or expired.  Summoning Wind-Up Toy does not break stealth.</t>
  </si>
  <si>
    <t>Feline Leap</t>
  </si>
  <si>
    <t>Summon</t>
  </si>
  <si>
    <t>Black Cat</t>
  </si>
  <si>
    <t>Vile Burst</t>
  </si>
  <si>
    <t>Bloated Corpse</t>
  </si>
  <si>
    <t>Bloated Corpse explodes, dealing Physical damage to all characters within 3m.</t>
  </si>
  <si>
    <t>Burrow</t>
  </si>
  <si>
    <t>Bone Widow</t>
  </si>
  <si>
    <t>Devour Corpse</t>
  </si>
  <si>
    <t>Destroy a corpse to restore vitality to self.  Sets Consumed Corpse status for 3 turns.</t>
  </si>
  <si>
    <t>Consumed Corpse</t>
  </si>
  <si>
    <t>Slug Rush</t>
  </si>
  <si>
    <t>Burning Slug</t>
  </si>
  <si>
    <t xml:space="preserve">Rush in a line dealing Fire damage and setting Burning for 1 turn to all enemies in the path, and leaving behind a Fire surface.  </t>
  </si>
  <si>
    <t>Gust</t>
  </si>
  <si>
    <t>Condor</t>
  </si>
  <si>
    <t>Deal Air damage and clear non-cursed surfaces in a wide cone.</t>
  </si>
  <si>
    <t>Peck</t>
  </si>
  <si>
    <t>Deal Piercing damage and set Blinded for 1 turn to target.</t>
  </si>
  <si>
    <t>Incarnate Ranged Attack</t>
  </si>
  <si>
    <t>Farsight Infusion</t>
  </si>
  <si>
    <t>Deal damage to target.  Damage type depends on the Incarnate's element.</t>
  </si>
  <si>
    <t>Vicious Bite</t>
  </si>
  <si>
    <t>Ifan's Wolf</t>
  </si>
  <si>
    <t>Deal Physical damage and set Bleeding for 3 turns on target.</t>
  </si>
  <si>
    <t>Wolf Howl</t>
  </si>
  <si>
    <t>Set Taunted for 1 turn on enemies within 4m.</t>
  </si>
  <si>
    <t>Taunted</t>
  </si>
  <si>
    <t>Swap Places</t>
  </si>
  <si>
    <t>The summoned creature and its summoner swap places.</t>
  </si>
  <si>
    <t>Suicide</t>
  </si>
  <si>
    <t>Wind-Up Toy</t>
  </si>
  <si>
    <t>Explode, dealing Fire damage and creating a Fire surface within 4m.</t>
  </si>
  <si>
    <t>Cursed Electric Infusion</t>
  </si>
  <si>
    <t>Summoning</t>
  </si>
  <si>
    <t>Change your incarnate's elemental infusion to Cursed Electric Infusion.  Change its skills to Electric Discharge and Closed Circuit.</t>
  </si>
  <si>
    <t>Electric Infusion</t>
  </si>
  <si>
    <t>Change your incarnate's elemental infusion to Electric Infusion.  Change its skill to Electric Discharge.</t>
  </si>
  <si>
    <t>Acid Infusion</t>
  </si>
  <si>
    <t>Change your incarnate's elemental infusion to Acid Infusion.  Change it's skills to Poison Dart and Acid Spores.</t>
  </si>
  <si>
    <t>Poison Infusion</t>
  </si>
  <si>
    <t>Change your incarnate's elemental infusion to Poison Infusion.  Change its skill to Poison Dart.</t>
  </si>
  <si>
    <t>Ice Infusion</t>
  </si>
  <si>
    <t>Change your incarnate's elemental infusion to Ice Infusion.  Change its skills to Restoration and Steam Lance.</t>
  </si>
  <si>
    <t>Water Infusion</t>
  </si>
  <si>
    <t>Change your incarnate's elemental infusion to Water Infusion.  Change its skill to Restoration.</t>
  </si>
  <si>
    <t>Demonic Tutelage</t>
  </si>
  <si>
    <t>Inner Demon</t>
  </si>
  <si>
    <t>Set Demonic Tutelage on self for 3 turns.</t>
  </si>
  <si>
    <t>Terrify</t>
  </si>
  <si>
    <t>Deal damage to target's Magic Armor and sets Terrified for 2 turns.</t>
  </si>
  <si>
    <t>Fire Infusion</t>
  </si>
  <si>
    <t>Change your incarnate's elemental infusion to Fire Infusion.  Change its skill to Fireball.</t>
  </si>
  <si>
    <t>Necrofire Infusion</t>
  </si>
  <si>
    <t>Change your incarnate's elemental infusion to Necrofire Infusion.  Change its skills to Fireball and Epidemic of Fire.</t>
  </si>
  <si>
    <t>Summon Cat Familiar</t>
  </si>
  <si>
    <t>Summons a Cat for 10 turns.  Has Feline Leap and Swap Places skills.  Has a melee attack that deals Physical damage.</t>
  </si>
  <si>
    <t>Summon Condor</t>
  </si>
  <si>
    <t>Summons a Condor for 10 turns.  Has Flight, Peck, and Gust skills.  Has a melee attack that deals Physical damage.</t>
  </si>
  <si>
    <t>Summon Dragonling</t>
  </si>
  <si>
    <t>Summons a dragonling.</t>
  </si>
  <si>
    <t>Cannibalize</t>
  </si>
  <si>
    <t>Kill target allied summon.  Restore 100% of the killed summon's remaining Vitality, Physical Armor, and Magic Armor to self.</t>
  </si>
  <si>
    <t>Conjure Incarnate</t>
  </si>
  <si>
    <r>
      <rPr>
        <sz val="10"/>
        <rFont val="Arial"/>
      </rPr>
      <t xml:space="preserve">Summon an Incarnate with type and infusion based on the surface it's summoned on.  Lasts 10 turns.
They have a melee attack, the Opportunist talent, and a skill based on their infusion:
</t>
    </r>
    <r>
      <rPr>
        <b/>
        <sz val="10"/>
        <rFont val="Arial"/>
      </rPr>
      <t>No Surface (Uninfused):</t>
    </r>
    <r>
      <rPr>
        <sz val="10"/>
        <rFont val="Arial"/>
      </rPr>
      <t xml:space="preserve"> Physical Damage, no infusion, no extra skill
</t>
    </r>
    <r>
      <rPr>
        <b/>
        <sz val="10"/>
        <rFont val="Arial"/>
      </rPr>
      <t>Blood:</t>
    </r>
    <r>
      <rPr>
        <sz val="10"/>
        <rFont val="Arial"/>
      </rPr>
      <t xml:space="preserve">  Physical Damage (buffed), Mosquito Swarm
</t>
    </r>
    <r>
      <rPr>
        <b/>
        <sz val="10"/>
        <rFont val="Arial"/>
      </rPr>
      <t>Electrified:</t>
    </r>
    <r>
      <rPr>
        <sz val="10"/>
        <rFont val="Arial"/>
      </rPr>
      <t xml:space="preserve">  Electric Damage, Electric Discharge
</t>
    </r>
    <r>
      <rPr>
        <b/>
        <sz val="10"/>
        <rFont val="Arial"/>
      </rPr>
      <t>Fire:</t>
    </r>
    <r>
      <rPr>
        <sz val="10"/>
        <rFont val="Arial"/>
      </rPr>
      <t xml:space="preserve">  Fire Damage, Fireball
</t>
    </r>
    <r>
      <rPr>
        <b/>
        <sz val="10"/>
        <rFont val="Arial"/>
      </rPr>
      <t>Oil:</t>
    </r>
    <r>
      <rPr>
        <sz val="10"/>
        <rFont val="Arial"/>
      </rPr>
      <t xml:space="preserve">  Earth Damage, Fossil Strike
</t>
    </r>
    <r>
      <rPr>
        <b/>
        <sz val="10"/>
        <rFont val="Arial"/>
      </rPr>
      <t>Poison:</t>
    </r>
    <r>
      <rPr>
        <sz val="10"/>
        <rFont val="Arial"/>
      </rPr>
      <t xml:space="preserve">  Poison Damage, Poison Dart
</t>
    </r>
    <r>
      <rPr>
        <b/>
        <sz val="10"/>
        <rFont val="Arial"/>
      </rPr>
      <t>Water:</t>
    </r>
    <r>
      <rPr>
        <sz val="10"/>
        <rFont val="Arial"/>
      </rPr>
      <t xml:space="preserve">  Water Damage, Restoration</t>
    </r>
  </si>
  <si>
    <t>Dimensional Bolt</t>
  </si>
  <si>
    <t>Deal damage of a random type, then set a 1m surface of the corresponding type under the target.</t>
  </si>
  <si>
    <t>Dominate Mind</t>
  </si>
  <si>
    <t>Set Charmed on target for 2 turns.</t>
  </si>
  <si>
    <t>Charmed</t>
  </si>
  <si>
    <t>Door To Eternity</t>
  </si>
  <si>
    <t>Set Persisting for 2 turns on all your summons within 13m.</t>
  </si>
  <si>
    <t>Persisting</t>
  </si>
  <si>
    <t>Elemental Totem</t>
  </si>
  <si>
    <t>Summon a totem that deals ranged damage of corresponding surface type.  Totems choose their own targets.  Lasts 3 turns.  Totems do not count as summons as far as limits are concerned (so you can have a bunch out as well as a proper summon).</t>
  </si>
  <si>
    <t>Ethereal Storm</t>
  </si>
  <si>
    <t>Ethereal Bolts rain down in target area, dealing damage of a random type to enemies and creating 1m radius surfaces of the corresponding type, or setting Healing on allies for 2 turns.   Lasts 2 turns.</t>
  </si>
  <si>
    <t>Set Farsight Infusion on your incarnate and give it the Incarnate Ranged Attack skill.</t>
  </si>
  <si>
    <t>Planar Gateway</t>
  </si>
  <si>
    <t>Create two Gateways in range.  Using one Gateway will teleport you to the other.  Gateways cost 6 AP to use.</t>
  </si>
  <si>
    <t>Power Infusion</t>
  </si>
  <si>
    <t>Set Power Infusion on your incarnate and give it the Whirlwind and Battering Ram skills.</t>
  </si>
  <si>
    <t>Rallying Cry</t>
  </si>
  <si>
    <t>Restore vitality and magic armor to target for each ally within 6m of target.</t>
  </si>
  <si>
    <t>65 / 27</t>
  </si>
  <si>
    <t>Shadow Infusion</t>
  </si>
  <si>
    <t>Set Shadow Infusion on your incarnate and give it the Chameleon Cloak and Corrupted Blade skills.</t>
  </si>
  <si>
    <t>Soul Mate</t>
  </si>
  <si>
    <t>Set Soul Mate for 3 turns and remove Frozen, Knocked Down, Petrified, and Stunned from target character.</t>
  </si>
  <si>
    <t>Summon Innner Demon</t>
  </si>
  <si>
    <t>Sets Inner Demon on self.  Grants skills Demonic Tutelage and Terrify.  Lasts 3 turns.  Doesn't actually summon anything.</t>
  </si>
  <si>
    <t>Supercharger</t>
  </si>
  <si>
    <t>Set Supercharged on target summon for 2 turns.  Target dies at the end of the duration.</t>
  </si>
  <si>
    <t>Supercharged</t>
  </si>
  <si>
    <t>Warp Infusion</t>
  </si>
  <si>
    <t>Set Warp Infusion on your incarnate and give it the Tactical Retreat and Swap Places skills.</t>
  </si>
  <si>
    <t>Breathing Bubble</t>
  </si>
  <si>
    <t>Warfare</t>
  </si>
  <si>
    <t>Set Breathing Bubble on self for 5 turns.</t>
  </si>
  <si>
    <t>Mass Breathing Bubbles</t>
  </si>
  <si>
    <t>Set Breathing Bubble on allies in range for 5 turns.</t>
  </si>
  <si>
    <t>Mass Oily Carapace</t>
  </si>
  <si>
    <t>Remove Oil surfaces from a 2m radius around you and each ally within 13m, then restore Physical Armor to each character based on how much Oil was removed from around them.  Removes Slowed.</t>
  </si>
  <si>
    <t>Oily Carapace</t>
  </si>
  <si>
    <t>Remove Oil surface 2m around you and restore Physical Armor based on the amount of Oil removed.  Removes Slowed.</t>
  </si>
  <si>
    <t>Cleanse Wounds</t>
  </si>
  <si>
    <t>Restore vitality to target, and remove Acid, Bleeding, Burning, Decaying, Diseased, Poisoned, and Suffocating.  Create a 1m water surface under them.</t>
  </si>
  <si>
    <t>Mass Cleanse Wounds</t>
  </si>
  <si>
    <t>Restore vitality to allies within 8m, and remove Acid, Bleeding, Burning, Decaying, Diseased, Necrofire, Poisoned, and Suffocating.  Create a 1m water surface under each of them.</t>
  </si>
  <si>
    <t>Master Of Sparks</t>
  </si>
  <si>
    <t>Set Sparkmaster on target character and all allies within a 5.5m radius of that character.</t>
  </si>
  <si>
    <t>Sparkmaster</t>
  </si>
  <si>
    <t>Sparking Swings</t>
  </si>
  <si>
    <t>Set Sparkstriker for 3 turns on self.</t>
  </si>
  <si>
    <t>Sparkstriker</t>
  </si>
  <si>
    <t>Battering Ram</t>
  </si>
  <si>
    <t>Rush in a line dealing 50% weapon damage to all enemies in a path.  Sets Knocked Down on enemies hit for 1 turn.  Can Backstab.</t>
  </si>
  <si>
    <t>Melee</t>
  </si>
  <si>
    <t>Battle Stomp</t>
  </si>
  <si>
    <t>Deal 60% weapon and set Knocked Down for 1 turn to all enemies in a cone.  Clears non-cursed surfaces and clouds.  Can Backstab.</t>
  </si>
  <si>
    <t>Blitz Attack</t>
  </si>
  <si>
    <t>Deal 70% weapon damage to target, then jump to another random enemy within 10m of the target and deal 70% weapon damaage to them, too.</t>
  </si>
  <si>
    <t>Bouncing Shield</t>
  </si>
  <si>
    <t>Deal Physical damage to target and a random enemy within 5m of target.  Damage is 75% of the Physical Armor of your shield.</t>
  </si>
  <si>
    <t>Challenge</t>
  </si>
  <si>
    <t>Set Challenged on target enemy for 3 turns.</t>
  </si>
  <si>
    <t>Challenged</t>
  </si>
  <si>
    <t>Challenge Won</t>
  </si>
  <si>
    <t>Challenge Lost</t>
  </si>
  <si>
    <t>Crippling Blow</t>
  </si>
  <si>
    <t>Deal 115% weapon damage and set Crippled for 1 turn on target and all enemies within 1m of it.  Can Backstab.</t>
  </si>
  <si>
    <t>Deflective Barrier</t>
  </si>
  <si>
    <t xml:space="preserve">Set Deflecting for 3 turns on self. </t>
  </si>
  <si>
    <t>Deflecting</t>
  </si>
  <si>
    <t>Enrage</t>
  </si>
  <si>
    <t>Sets Enraged on allied target for 1 turn.  Removes Charmed, Clear-Minded, Taunted, and Terrified.</t>
  </si>
  <si>
    <t>Enraged</t>
  </si>
  <si>
    <t>Guardian Angel</t>
  </si>
  <si>
    <t>Sets Guardian Angel for 2 turns on self.</t>
  </si>
  <si>
    <t>Onslaught</t>
  </si>
  <si>
    <t>Deal 50% weapon damage 5 times to target.  Can Backstab.</t>
  </si>
  <si>
    <t>Overpower</t>
  </si>
  <si>
    <t>Deal 150% weapon damage.  Set Knocked Down for 1 turn.  If your Physical Armor is higher than the target's, destroy all their Physical Armor.  Can Backstab.</t>
  </si>
  <si>
    <t>Phoenix Dive</t>
  </si>
  <si>
    <t>Teleport self to target location and create a 2m fire surface there.  Cannot use when movement is 0.</t>
  </si>
  <si>
    <t>Provoke</t>
  </si>
  <si>
    <t>Thick Of The Fight</t>
  </si>
  <si>
    <t>Set Thick of the Fight on self for 2 turns.</t>
  </si>
  <si>
    <t>Thick of the Fight</t>
  </si>
  <si>
    <t>Whirlwind</t>
  </si>
  <si>
    <t>Deal 100% weapon damage to all nearby enemies.  Can Backstab.</t>
  </si>
  <si>
    <t>Non-Source</t>
  </si>
  <si>
    <t>Name</t>
  </si>
  <si>
    <t>S/C</t>
  </si>
  <si>
    <t>Dur</t>
  </si>
  <si>
    <t>Resist</t>
  </si>
  <si>
    <t>Elemental Interactions</t>
  </si>
  <si>
    <t>Vaporize/Spike</t>
  </si>
  <si>
    <t>Blessed Blood</t>
  </si>
  <si>
    <t>S</t>
  </si>
  <si>
    <t>Restores 27 vitality.</t>
  </si>
  <si>
    <t>Turns into a Blessed Blood Cloud when exposed to fire.</t>
  </si>
  <si>
    <t>Blessed Blood Cloud</t>
  </si>
  <si>
    <t>C</t>
  </si>
  <si>
    <t>Blessed Fire</t>
  </si>
  <si>
    <t>Restores 27 vitality.  Sets Holy Fire for 1 turn.</t>
  </si>
  <si>
    <t>Turns into Blessed Steam when exposed to water.</t>
  </si>
  <si>
    <t>Blessed Fire Cloud</t>
  </si>
  <si>
    <t>removed</t>
  </si>
  <si>
    <t>Blessed Ice</t>
  </si>
  <si>
    <t>Chance to set Magic Shell for 1 turn.</t>
  </si>
  <si>
    <t>Turns into Blessed Water when exposed to fire.</t>
  </si>
  <si>
    <t>unaffected</t>
  </si>
  <si>
    <t>Blessed Oil</t>
  </si>
  <si>
    <t>Sets Fortified for 1 turn.  Removes Stunned and Petrified.</t>
  </si>
  <si>
    <t>Turns into a Blessed Fire surface when exposed to fire.</t>
  </si>
  <si>
    <t>Blessed Poison</t>
  </si>
  <si>
    <t>Sets Regenerating for 1 turn.</t>
  </si>
  <si>
    <t>Blessed Poison Cloud</t>
  </si>
  <si>
    <t>Bursts into flames when exposed to fire, then disappears.</t>
  </si>
  <si>
    <t>Blessed Smoke Cloud</t>
  </si>
  <si>
    <t>Sets Invisible for 1 turn.  Removes Silence.</t>
  </si>
  <si>
    <t>Blessed Steam</t>
  </si>
  <si>
    <t>Restores 27 vitality.  Removes Burning and Necrofire.</t>
  </si>
  <si>
    <t>Blessed Water</t>
  </si>
  <si>
    <t>Restores 27 vitality.  Removes Necrofire.</t>
  </si>
  <si>
    <t>Turns into Blessed Steam when exposed to fire.</t>
  </si>
  <si>
    <t>Blessed Web</t>
  </si>
  <si>
    <t>Set Hasted for 1 turn.</t>
  </si>
  <si>
    <t>Blood</t>
  </si>
  <si>
    <t>Doesn't do anything.</t>
  </si>
  <si>
    <t>∞</t>
  </si>
  <si>
    <t>Can be electrified or frozen.
Susceptible to becoming Poison.
Creates a Blood Cloud for 1 turn when replaced with a Fire surface.</t>
  </si>
  <si>
    <t>Blood Cloud</t>
  </si>
  <si>
    <t>Can be electrified.  
Turns into Blood when frozen.</t>
  </si>
  <si>
    <t>Cursed Blood</t>
  </si>
  <si>
    <t>Sets Decaying for 1 turn.</t>
  </si>
  <si>
    <t>Can be electrified.</t>
  </si>
  <si>
    <t>Cursed Blood Cloud</t>
  </si>
  <si>
    <t>Cursed Electrified x</t>
  </si>
  <si>
    <t>Not a surface or cloud itself, but can be applied to Water and Blood surfaces and clouds as an additional effect.
Deals 15 Air damage.  Applies Shocked for 1 turn.</t>
  </si>
  <si>
    <t>Water and Blood retain the Cursed Electrified status when changing back and forth between being surfaces and clouds.</t>
  </si>
  <si>
    <t>n/a</t>
  </si>
  <si>
    <t>Cursed Fire</t>
  </si>
  <si>
    <t>Deals Fire damage.  Set Necrofire for 2 turns.</t>
  </si>
  <si>
    <t>Does not appear to be affected by any elemental effects.</t>
  </si>
  <si>
    <t>Cursed Fire Cloud</t>
  </si>
  <si>
    <t>Deals 30 Fire damage.  Sets Necrofire for 2 turns.</t>
  </si>
  <si>
    <t>Cursed Frozen Blood</t>
  </si>
  <si>
    <t>Set Chilled (chance of Frozen) for 2 turns.</t>
  </si>
  <si>
    <t>Turns into Frozen Blood when it expires.
Turns into Cursed Blood when exposed to fire.</t>
  </si>
  <si>
    <t>Cursed Ice</t>
  </si>
  <si>
    <t>Set Chilled (chance of Frozen) for 1 turn.</t>
  </si>
  <si>
    <t>Turns into Ice when it expires.
Turns into Cursed Water when exposed to fire.</t>
  </si>
  <si>
    <t>Cursed Oil</t>
  </si>
  <si>
    <t>Set Slowed for 1 turn.  Chance to explode on movement.</t>
  </si>
  <si>
    <t>Turns into Cursed Fire when exposed to fire.</t>
  </si>
  <si>
    <t>Cursed Poison</t>
  </si>
  <si>
    <t>Deals 18 Poison damage.  Sets Poisoned for 1 turn and Acid for 1 turn.</t>
  </si>
  <si>
    <t>Changes to Cursed Fire when exposed to fire.</t>
  </si>
  <si>
    <t>Cursed Poison Cloud</t>
  </si>
  <si>
    <t>Explodes, deals Fire damage, and then disappears when exposed to fire.</t>
  </si>
  <si>
    <t>Cursed Smoke Cloud</t>
  </si>
  <si>
    <t>Applies Blind for 1 turn and Suffocating for 2 turns.</t>
  </si>
  <si>
    <t>Cursed Steam</t>
  </si>
  <si>
    <t>Cursed Water</t>
  </si>
  <si>
    <t>Turns into Cursed Steam when exposed to fire.
Turns into Cursed Ice when frozen.</t>
  </si>
  <si>
    <t>Cursed Web</t>
  </si>
  <si>
    <t xml:space="preserve">Sets Web status for 2 turns. </t>
  </si>
  <si>
    <t>Turns into a Cursed Fire surface when exposed to fire.</t>
  </si>
  <si>
    <t>Electrified x</t>
  </si>
  <si>
    <t>Not a surface or cloud itself, but can be applied to Water and Blood surfaces and clouds as an additional effect.
Deals 10 Air damage.  Applies Shocked for 1 turn.</t>
  </si>
  <si>
    <t>Water and Blood retain the Electrified status when changing back and forth between being surfaces and clouds.
Does not work on Blessed surfaces or clouds.  Blessing an Electrified surface or cloud removes the Electrified status from it.</t>
  </si>
  <si>
    <t>Fire</t>
  </si>
  <si>
    <t>Deals 19 Fire damage.  Set Burning for 2 turns.</t>
  </si>
  <si>
    <t>Turned into Steam Cloud when exposed to water.
Turns into Smoke Cloud when it expires.</t>
  </si>
  <si>
    <t>Fire Cloud</t>
  </si>
  <si>
    <t>Turns into Smoke Cloud when it expires.
Removed by Raining Blood (but not regular Rain).</t>
  </si>
  <si>
    <t>Frozen Blood</t>
  </si>
  <si>
    <t>Chance to set Knocked Down for 1 turn (not resisted by armor).</t>
  </si>
  <si>
    <t>Turns to Blood surface when exposed to Fire or when it expires.
Susceptible to becoming Poison.</t>
  </si>
  <si>
    <t>Ice</t>
  </si>
  <si>
    <t>Turns into Water surface when exposed to Fire or when it expires.
Susceptible to becoming Poison.</t>
  </si>
  <si>
    <t>Lava</t>
  </si>
  <si>
    <t>Deals 3300 Fire damage.</t>
  </si>
  <si>
    <t>Cannot be changed.  Cannot be removed.</t>
  </si>
  <si>
    <t>Set Slowed for 1 turn.</t>
  </si>
  <si>
    <t>Turns into a Fire surface when exposed to fire.</t>
  </si>
  <si>
    <t>Deals 18 Poison damage.  Set Poisoned for 2 turns.</t>
  </si>
  <si>
    <t>Poison Cloud</t>
  </si>
  <si>
    <t>Smoke Cloud</t>
  </si>
  <si>
    <t>Obstructs vision.</t>
  </si>
  <si>
    <t>Steam Cloud</t>
  </si>
  <si>
    <t>Removes Burning.</t>
  </si>
  <si>
    <t>Can be electrified or frozen.
Turns into a Steam Cloud when exposed to Fire.
Susceptible to becoming Ice or Poison.</t>
  </si>
  <si>
    <t>Web</t>
  </si>
  <si>
    <t>Chance to set Web status for 1 turn.</t>
  </si>
  <si>
    <t>Adds 41 damage of the chosen type to your weapon damage.</t>
  </si>
  <si>
    <t>Statuses resisted by Physical</t>
  </si>
  <si>
    <t>Take 40 damage to Physical Armor each turn.  Removed by Fortify and Cleanse Wounds.</t>
  </si>
  <si>
    <t>Statuses resisted by Magic</t>
  </si>
  <si>
    <t>Incarnate's damage type is Poison.  +3 Geomancer, +2 Source Points, +120% Poison Resistance, -20% Air Resistance.  Immune to Poisoned.</t>
  </si>
  <si>
    <t>+100% Air Resistance.  Immune to Shocked and Stunned.</t>
  </si>
  <si>
    <t>-3 Source Point cost on all skills.  +4 to all Attributes.</t>
  </si>
  <si>
    <t>Cannot use weapon skills/attacks.</t>
  </si>
  <si>
    <t>Create Fire surfaces instead of Blood surfaces when hit.  -20% Fire Resistance.</t>
  </si>
  <si>
    <t>Take 28 Piercing damage each turn.  Removed by Cleanse Wounds, First Aid, Fortify, Mass Cleanse Wounds, Petrifying Touch, and Restoration.</t>
  </si>
  <si>
    <t>+20% Accuracy, +10% Dodging, +15% All Resistances.  Removes and Immune to: Diseased, Decaying, Petrified, and Stunned.</t>
  </si>
  <si>
    <t>-35% Accruacy.  Skill and attack range is limited to a maximum of 3m.  Prevents performing attacks of opportunity.  Removed by First Aid and Peace of Mind.</t>
  </si>
  <si>
    <t>+20% Air Resistance.  Set Blinded on enemies while they're within 5m of you (ends when you're out of range).</t>
  </si>
  <si>
    <t>Blood Infusion</t>
  </si>
  <si>
    <t>Incarnate's damage type is Physical.  +1 Warfare, +10% Base Weapon Damage, +15% Max Physical Armor, +15% Max Magic Armor.  Immune to Bleeding.</t>
  </si>
  <si>
    <t>Ignore the damage and effects of clouds on self.  Immune to Silenced and Suffocating.</t>
  </si>
  <si>
    <t>+1 Retribution</t>
  </si>
  <si>
    <t>Take 35 Fire damage each turn.  Removed by Armour of Frost, Blessed Steam (cloud), Cleanse Wounds, First Aid, Fortify, Mass Cleanse Wounds, Petrifying Touch, Rain, Restoration, and Steam Cloud (cloud).</t>
  </si>
  <si>
    <t>-15% Damage dealt</t>
  </si>
  <si>
    <t>+15% Damage dealt, +107 Physical Armor, +107 Magic Armor</t>
  </si>
  <si>
    <t>If this character dies, the challenger will recover 129 vitality and gain the Challenge Won status for 1 turn.  If this status expires, this character will be healed to full vitality, and the challenger will take 120 Piercing damage and gain the Challenge Lost status for 1 turn.</t>
  </si>
  <si>
    <t>Temporarily allied with the inflictor.  Character is not directly controlled by the player.  Removed by Enrage, Peace of Mind, or by killing the inflictor.</t>
  </si>
  <si>
    <t>Character is not controlled and will move around at random on their turn.  They also are a literal chicken.</t>
  </si>
  <si>
    <t>-35% Movement, -30% Dodging, +10% Fire Resistance, -20% Water Resistance, -10% Air Resistance.  Characters who were already Chilled or are Wet will be Frozen instead.</t>
  </si>
  <si>
    <t>Restores 129 Physical Armor and 129 Magic Armor each turn.  +10% All Resistances.</t>
  </si>
  <si>
    <t>Increases Strength, Finesse, and Intelligence.  Increases Wits by about twice as much.  +20% Accuracy.  Cannot be Charmed.</t>
  </si>
  <si>
    <t>+30% Damage dealt</t>
  </si>
  <si>
    <t>-100% Movement, -30% Dodging.  Removed by First Aid, Haste, and Petrifying Touch.</t>
  </si>
  <si>
    <t>-10% Accuracy, -30% Dodging, -15% All Resistances.  Removed by Bless.</t>
  </si>
  <si>
    <t>Incarnate's damage type is Electric.  +3 Aerotheurge, +2 Source Points, -20% Earth Resistance, +120% Air Resistance, -20% Poison Resistance. Immune to Stunned and Shocked.</t>
  </si>
  <si>
    <t>-X Wits, -20% Accuracy, -30% Dodging</t>
  </si>
  <si>
    <t>Increase damage dealt by the percentage of current vitality you are missing.</t>
  </si>
  <si>
    <t>100% of healing you receive will instead deal Physical damage to you.  Removed by Bless and Fortify.</t>
  </si>
  <si>
    <t>Ranged attacks against you also deal their damage and effect back at their source.  Also +134 Physical Armor.</t>
  </si>
  <si>
    <t>Deal 94 Physical damage to enemies that walk into a 3m radius around you.</t>
  </si>
  <si>
    <t>-X Constitution, -35% Damage dealt.  Removed by Bless, Cleanse Wounds, First Aid, Fortify, and Mass Cleanse Wounds.</t>
  </si>
  <si>
    <t>Drunk</t>
  </si>
  <si>
    <t>-5 Intelligence, +2 Lucky Charm, -5 Initiative, -5 Accuracy, +5% Dodging</t>
  </si>
  <si>
    <t>-100% Earth Damage, -100% Poison Damage.  Immune to Poisoned and Petrified.</t>
  </si>
  <si>
    <t>Incarnate's damage type is Electric.  +3 Aerotheurge, -20% Earth Resistance, +100% Air Resistance, -20% Poison Resistance. Immune to Stunned and Shocked.</t>
  </si>
  <si>
    <t>+100% Air Resistance, -30% Earth Resistance, -30% Poison Resistance.  Immune to Stunned and Shocked.  Bleed Electrified Water instead of Blood when hit.</t>
  </si>
  <si>
    <t>Increases Strength, Finesse, Intelligence, and Constitution.  Constitution gets a bigger increase than the others.  Scales to level somewhat.</t>
  </si>
  <si>
    <t>+100% Crit Chance.  Cannot use abilities that are not weapon-based.  Removed by Peace of Mind.</t>
  </si>
  <si>
    <t>-100% Movement, -70% Dodging. Immune to Teleport.  Take 31 Poison damage each turn.</t>
  </si>
  <si>
    <t>+40% Air Resistance.  Teleport randomly when hit with weapons or weapon skills.</t>
  </si>
  <si>
    <t>+90% Dodging and +1 Movement</t>
  </si>
  <si>
    <t>+1 Movement and +90% Dodging to self and all allies within 8m.</t>
  </si>
  <si>
    <t>+4m range on attacks and skills that have a range greater than 3m.</t>
  </si>
  <si>
    <t>+25% Damage dealt, +134 Magic Armor</t>
  </si>
  <si>
    <t>+1.5 Movement on self and allies within 10 meters.</t>
  </si>
  <si>
    <t>Incarnate's damage type is Fire.  +5 Pyrokinetic, -20% Water Resistance, +100% Fire Resistance.  Immune to Burning.</t>
  </si>
  <si>
    <t>Adds 21 Fire damage to your weapon and the weapons of your allies within 8m.</t>
  </si>
  <si>
    <t>When this chararcter dies or the status expires, character explodes dealing ~151 Fire damage to itself and all characters within a 3m radius.  Creates a Fire surface in affected area.</t>
  </si>
  <si>
    <t>+100% Fire Resistance, -30% Water Resistance.  Immune to Burning and Warm.  Bleed Fire surface instead of Blood when hit.</t>
  </si>
  <si>
    <t>Deal 120 Fire damage to enemies that come within 3m of you.</t>
  </si>
  <si>
    <t>Flanked</t>
  </si>
  <si>
    <t>Reduced Dodging.  Status is set automatically when more than one enemy is next to you.</t>
  </si>
  <si>
    <t>-X Constitution, +10% Damage dealt, +1 Start AP</t>
  </si>
  <si>
    <t>Immune to surfaces and ground traps.</t>
  </si>
  <si>
    <t>Fortified</t>
  </si>
  <si>
    <t>Increases maximum Physical Armor by 134.  Cannot be teleported.</t>
  </si>
  <si>
    <t>Cannot move or act.  -100% Dodging, -20% Water Resistance, +20% Fire Resistance, +20% Poison Resistance.  Immune to: Bleeding, Charmed, Petrified, Poisoned, Sleeping, Stunned, Taunted, and Terrified. Removed by Armour of Frost.</t>
  </si>
  <si>
    <t>50% of the damage that allies within 4m of you would take is redirected to you.</t>
  </si>
  <si>
    <t>+2 Movement, +1 Start AP, +1 AP Recovery.  Removes Slowed and Crippled.  Removed by Slowed.</t>
  </si>
  <si>
    <t>Restores 129 vitality per turn.</t>
  </si>
  <si>
    <t>Sets Healing for 3 turns on allies who walk into a 3m radius of you.  Expires after it does this 3 times.</t>
  </si>
  <si>
    <t>+100 Physical Armor.  Restores 52 Physical Armor per turn.</t>
  </si>
  <si>
    <t>Holy Fire</t>
  </si>
  <si>
    <t>+20% Fire Resistance.  Immune to Warm and Burning.</t>
  </si>
  <si>
    <t>Incarnate's damage type is Water.  +3 Hydrosophist, +2 Source Points, -20% Fire Resistance, +120% Water Resistance.  Immune to Frozen.</t>
  </si>
  <si>
    <t>+100% Water Resistance, -30% Fire Resistance.  Immune to Chilled and Frozen.  Bleed Ice surface instead of Blood when hit.</t>
  </si>
  <si>
    <t>-X Constitution, -35% Damage dealt, can spread to nearby characters.  Replaced with Diseased if it infects another character.</t>
  </si>
  <si>
    <t xml:space="preserve">Increases Intelligence by 3 and Magic Armor by 167.  Immune to Terrified. </t>
  </si>
  <si>
    <t>You are invisible.  Ends prematurely if you attack or use a skill.</t>
  </si>
  <si>
    <t>Cannot move or act.  Removed by First Aid.</t>
  </si>
  <si>
    <t>Character is not controlled, and will instead attack random characters, enemy or ally.  Removed by Peace of Mind.</t>
  </si>
  <si>
    <t>Increases maximum Magic Armor by 134.</t>
  </si>
  <si>
    <t>No damage bonus from high ground.  Enemies do not suffer damage penalty from low ground.  -100% Dodging.</t>
  </si>
  <si>
    <t>Petrifies enemies within 3m.  +1 Geomancer, +50% Earth Resistance, Immune to Petrify.</t>
  </si>
  <si>
    <t>Restores 39 Physical Armor each turn.</t>
  </si>
  <si>
    <t>Take 36 Fire damage each turn.  Cannot be extinguised.  -15% Fire Resistance, +20% Water Resistance.  Immune to: Frozen, Chilled, Wet, Warm.  Removed by Mass Cleanse Wounds.</t>
  </si>
  <si>
    <t>Incarnate's damage type is Fire.  +3 Pyrokinetic, +2 Source Points, -20% Water Resistance, +120% Fire Resistance.  Immune to Burning.</t>
  </si>
  <si>
    <t>-50% All Resistances</t>
  </si>
  <si>
    <t>Oil Infusion</t>
  </si>
  <si>
    <t>Incarnate's damage type is Earth.  +3 Geomancer, -20% Air Resistance, +120% Earth Resistance.  Immune to Slowed and Petrified.</t>
  </si>
  <si>
    <t>+100% All Resistances (including Physical and Piercing).  Immune to: Bleeding, Charmed, Petrified, Poisoned, Shocked, Sleeping, Stunned, Taunted, and Terrified.  Unable to move or act.  Restores 194 vitality when it expires (heals Undead rather than damages them).</t>
  </si>
  <si>
    <t>Cannot die from damage and won't die when the duration of the summon runs out.</t>
  </si>
  <si>
    <t>Cannot move or act.  -100% Dodging, -20% Earth Resistance, +30% Fire Reisistance, +30% Air Resistance.  Immune to:  Bleeding, Burning, Charmed, Chilled, Frozen, Knocked Down, Poisoned, Sleeping, Stunned, Taunted, Teleportation, Terrified, Warm.  Removed by Armour of Frost and Blessed Oil (surface).</t>
  </si>
  <si>
    <t>Enemies will treat you as if you are dead.  Moving or acting will remove this status.  If no other characters are active in combat, combat will end.</t>
  </si>
  <si>
    <t>Incarnate's damage type is Poison.  +3 Geomancer, -20% Air Resistance, +100% Poison Resistance.  Immune to Poisoned.</t>
  </si>
  <si>
    <t>+100% Poison Resistance, +100% Earth Resistance, -30% Air Resistance.  Immune to Acid, Petrified, Poisoned, and Slowed.  Bleed Poison surface instead of Blood when hit.</t>
  </si>
  <si>
    <t>Take 31 Poison damage each turn.  Damage scales to level and seems to be independent of the source of the poisoning.  Removed by Armour of Frost, First Aid, Fortify, Petrifying Touch, and Restoration.</t>
  </si>
  <si>
    <t>+25% Damage dealt, +134 Physical Armor</t>
  </si>
  <si>
    <t>Restores 98 vitality each turn.</t>
  </si>
  <si>
    <t>Vitality cannot be reduced below 1.</t>
  </si>
  <si>
    <t>Take 16 Piercing damage for each step taken when you move.</t>
  </si>
  <si>
    <t>When the one who set Shackles of Pain on you takes damage, you also take that damage.  Removed by Cryogenic Stasis.</t>
  </si>
  <si>
    <t>+1 Movement</t>
  </si>
  <si>
    <t>-1 AP, -1 AP Recovery, -30% Dodging, +15% Earth Resistance, -15% Air Resistance.  Characters who are Wet or are already Shocked will be Stunned instead.  If a character receiving this status is standing in a Water or Blood surface or cloud, the surface/cloud will be electrified.  Removed by Turn To Oil.</t>
  </si>
  <si>
    <t>Unable to use non-weapon skills.  Removed by Blessed Smoke Cloud (cloud) and First Aid.</t>
  </si>
  <si>
    <t>Adds ~15 Poison damage to your weapon attacks and weapon skills.</t>
  </si>
  <si>
    <t>Cannot move or act.  -100% Dodging.  Removed by damage, Peace of Mind, or Enrage.</t>
  </si>
  <si>
    <t>Slowed</t>
  </si>
  <si>
    <t>-50% Movement, -30% Dodging.  Removed by Haste.</t>
  </si>
  <si>
    <t>Restores 39 Magic Armor each turn.</t>
  </si>
  <si>
    <t>Receive 100% of the healing that the caster receives.</t>
  </si>
  <si>
    <t>When performing a melee attack, deal 79 Fire damage to a nearby enemy.  Forks to up to 2 additional enemies.</t>
  </si>
  <si>
    <t xml:space="preserve">When performing a melee attack, deal 79 Fire damage to a nearby enemy. </t>
  </si>
  <si>
    <t xml:space="preserve">When you would gain the Web status, gain the Hasted status instead.  </t>
  </si>
  <si>
    <t>Restores 98 vitality per turn.</t>
  </si>
  <si>
    <t>Cannot move or act.  -100% Dodging, +15% Earth Resistance, -15% Air Resistance.  Immune to:  Charmed, Frozen, Petrified, Taunted, Terrified, Sleeping.  Removed by Armour of Frost, Bless, Blessed Oil (surface), and Turn To Oil.</t>
  </si>
  <si>
    <t>Take 40 damage to Magic Armor each turn.  Removed by Armour of Frost.</t>
  </si>
  <si>
    <t>+70% Damage dealt</t>
  </si>
  <si>
    <t>This character is controlled by the AI and will prefer to attack the inflictor.  Removed by Peace of Mind and Enrage.</t>
  </si>
  <si>
    <t>Character cannot be controlled and will run away.  -20% Dodging.  Removed by Peace of Mind and Enrage.</t>
  </si>
  <si>
    <t>Increase Damage dealt by 10% for each character that was within 4m when the status was set (including you).</t>
  </si>
  <si>
    <t>Take an extra turn after the current turn.</t>
  </si>
  <si>
    <t>Enemies nearby are Suffocating and Silenced.</t>
  </si>
  <si>
    <t>+50% Life Steal</t>
  </si>
  <si>
    <t>+50% Life Steal for all allies within 13m.</t>
  </si>
  <si>
    <t>Grant Venom Coated to allies within 8m and self.</t>
  </si>
  <si>
    <t>Adds 41 Poison damage to weapon attacks and weapon skills.</t>
  </si>
  <si>
    <t>Warm</t>
  </si>
  <si>
    <t>-10% Fire Resistance, +15% Water Resistance</t>
  </si>
  <si>
    <t>+15% Dodging</t>
  </si>
  <si>
    <t>Incarnate's damage type is Water.  +3 Hydrosophist, -20% Fire Resistance, +100% Water Resistance.  Immune to Frozen.</t>
  </si>
  <si>
    <t>-100% Movement, -70% Dodging.  Immune to teleport.</t>
  </si>
  <si>
    <t>+10% Fire Resistance, -10% Water Resistance, -20% Air Resistance.  If Shocked andor Chilled are set on this character, Stunned andor Frozen (respectively) are set instead.</t>
  </si>
  <si>
    <t>Fire Damage</t>
  </si>
  <si>
    <t>Fire Resist</t>
  </si>
  <si>
    <t>Crit Chance</t>
  </si>
  <si>
    <t>Small</t>
  </si>
  <si>
    <t>Water Damage</t>
  </si>
  <si>
    <t>Water Resist</t>
  </si>
  <si>
    <t>Movement</t>
  </si>
  <si>
    <t>Medium</t>
  </si>
  <si>
    <t>Physical Damage</t>
  </si>
  <si>
    <t>Physical Armor</t>
  </si>
  <si>
    <t>Magic Armor</t>
  </si>
  <si>
    <t>Large</t>
  </si>
  <si>
    <t>Earth Damage</t>
  </si>
  <si>
    <t>Earth Resist</t>
  </si>
  <si>
    <t>HP</t>
  </si>
  <si>
    <t>Giant</t>
  </si>
  <si>
    <t>Electric Damage</t>
  </si>
  <si>
    <t>Electric Resist</t>
  </si>
  <si>
    <t>Dodging</t>
  </si>
  <si>
    <t>Poison Damage</t>
  </si>
  <si>
    <t>Poison Resist</t>
  </si>
  <si>
    <t>Accuracy</t>
  </si>
  <si>
    <t>v Mythics v</t>
  </si>
  <si>
    <t>Single-Handed</t>
  </si>
  <si>
    <t>Leadership</t>
  </si>
  <si>
    <t>Wits</t>
  </si>
  <si>
    <t>Constitution</t>
  </si>
  <si>
    <t>Memory</t>
  </si>
  <si>
    <t>Two-Handed</t>
  </si>
  <si>
    <t>Dual Wielding</t>
  </si>
  <si>
    <t>Perseverance</t>
  </si>
  <si>
    <t>v Power v</t>
  </si>
  <si>
    <t>Intelligence</t>
  </si>
  <si>
    <t>Strength</t>
  </si>
  <si>
    <t>Finesse</t>
  </si>
  <si>
    <t>Vemomous Aura skill</t>
  </si>
  <si>
    <t>Mass Cleanse Wounds skill</t>
  </si>
  <si>
    <t>Evasive Aura skill</t>
  </si>
  <si>
    <t>Sum</t>
  </si>
  <si>
    <t>Vitality</t>
  </si>
  <si>
    <t>Phys</t>
  </si>
  <si>
    <t>Mag</t>
  </si>
  <si>
    <t>Init</t>
  </si>
  <si>
    <t>Dmg</t>
  </si>
  <si>
    <t>Type</t>
  </si>
  <si>
    <t>AR</t>
  </si>
  <si>
    <t>ER</t>
  </si>
  <si>
    <t>FR</t>
  </si>
  <si>
    <t>PR</t>
  </si>
  <si>
    <t>WR</t>
  </si>
  <si>
    <t>Abilities/Talents</t>
  </si>
  <si>
    <t>Immunities</t>
  </si>
  <si>
    <t>&lt;DE</t>
  </si>
  <si>
    <t>x Element</t>
  </si>
  <si>
    <t>Special</t>
  </si>
  <si>
    <t>[Uninfused] Incarnate</t>
  </si>
  <si>
    <t>Warfare 1, Opportunist</t>
  </si>
  <si>
    <t>d</t>
  </si>
  <si>
    <t>Blood Incarnate</t>
  </si>
  <si>
    <t>Warfare 2, Necromancer 5, Opportunist</t>
  </si>
  <si>
    <t>Electric</t>
  </si>
  <si>
    <t>Air</t>
  </si>
  <si>
    <t>+5 Aerotheurge</t>
  </si>
  <si>
    <t>Shocked, Stunned</t>
  </si>
  <si>
    <t>Opportunist, Undead, Warfare 1</t>
  </si>
  <si>
    <t>Burrow, Devour Corpse</t>
  </si>
  <si>
    <t>+5 Pyromancer</t>
  </si>
  <si>
    <t>Warfare 5</t>
  </si>
  <si>
    <t>+5 Geomancer</t>
  </si>
  <si>
    <t>Poison Dart, Acid Spores</t>
  </si>
  <si>
    <t>+2 Source Points</t>
  </si>
  <si>
    <t>Artillery Plant</t>
  </si>
  <si>
    <t>Geomancer 5</t>
  </si>
  <si>
    <t>Acid Spore, Poison Wave</t>
  </si>
  <si>
    <t>Acid, Poisoned</t>
  </si>
  <si>
    <t>Cursed Electric</t>
  </si>
  <si>
    <t>Electric Discharge, Closed Circuit</t>
  </si>
  <si>
    <t>Opportunist, Undead, Warfare 2</t>
  </si>
  <si>
    <t>+5 Hydrosophist</t>
  </si>
  <si>
    <t>Restoration, Steam Lance</t>
  </si>
  <si>
    <t>Warfare 6</t>
  </si>
  <si>
    <t>Fireball, Epidemic of Fire</t>
  </si>
  <si>
    <t>Blood Totem</t>
  </si>
  <si>
    <t>Opportunist, Undead, Warfare 5</t>
  </si>
  <si>
    <t>Bones Totem</t>
  </si>
  <si>
    <t>Cat</t>
  </si>
  <si>
    <t>Swap Places, Feline Leap</t>
  </si>
  <si>
    <t>Flight, Gust, Peck</t>
  </si>
  <si>
    <t>Electric Totem</t>
  </si>
  <si>
    <t>Elemental Incarnate</t>
  </si>
  <si>
    <t>x</t>
  </si>
  <si>
    <t>Opportunist</t>
  </si>
  <si>
    <t>Fire Slug</t>
  </si>
  <si>
    <t>Pyrokinetic 6</t>
  </si>
  <si>
    <t>Slug Rush, Laser Ray</t>
  </si>
  <si>
    <t>Burning, Slipping</t>
  </si>
  <si>
    <t>Fire Totem</t>
  </si>
  <si>
    <t>Oil Totem</t>
  </si>
  <si>
    <t>Earth</t>
  </si>
  <si>
    <t>Oily Blob</t>
  </si>
  <si>
    <t>Geomancer 5, Oil Trails</t>
  </si>
  <si>
    <t>Slipping, Slowed</t>
  </si>
  <si>
    <t>Poison Totem</t>
  </si>
  <si>
    <t>Water Totem</t>
  </si>
  <si>
    <t>Chilled, Frozen</t>
  </si>
  <si>
    <t>Wind-up Toy</t>
  </si>
  <si>
    <t>Wood Totem</t>
  </si>
  <si>
    <t>Pyrokinetic 6, Fire Trails</t>
  </si>
  <si>
    <t>Laser Ray, Slug Rush</t>
  </si>
  <si>
    <t>Opportunist, Undead</t>
  </si>
  <si>
    <t>v Item \ Level &gt;</t>
  </si>
  <si>
    <t>[Race] Mask of the Shapeshifter</t>
  </si>
  <si>
    <t>Average of Blues</t>
  </si>
  <si>
    <t>v Testing Block v</t>
  </si>
  <si>
    <t>Attribute</t>
  </si>
  <si>
    <t>Effect per point over 10</t>
  </si>
  <si>
    <t>+7% Vitality</t>
  </si>
  <si>
    <t>Primary.  Required for Shields.</t>
  </si>
  <si>
    <t>+5% damage for Finesse-based weapons and Finesse-based skills.</t>
  </si>
  <si>
    <t>Primary.  Required for Mail/Leather Armor, Bows, Crossbows, Daggers, and Spears.</t>
  </si>
  <si>
    <t>+5% damage for Intelligence-based weapons and Intelligence-based skills.</t>
  </si>
  <si>
    <t>Primary.  Required for Cloth Armor, Wands, and Staffs.</t>
  </si>
  <si>
    <t>+5% damage for Strength-based weapons and Strength-based skills.
Increases weight of objects that you can pick up and move by 7.5kg.
Increases inventory carrying capacity by 10kg.</t>
  </si>
  <si>
    <t>Primary.  Required for Plate Armor, Swords, Clubs, Maces, and Axes.</t>
  </si>
  <si>
    <t>+1 Memory Slot</t>
  </si>
  <si>
    <t>You start with 3 Memory Slots and gain 1 every 2 levels.  Investing points in Memory just gives you a flat amount of additional slots on top of that.</t>
  </si>
  <si>
    <t>+1 Initiative, +1 Critical Chance
Increases odds of spotting traps and secrets.</t>
  </si>
  <si>
    <t>Investing points in Wits appropriately is a good way to ensure your party members take their turns in the order you want them to.</t>
  </si>
  <si>
    <t>Other Stats</t>
  </si>
  <si>
    <t>Chance of hitting a target with a basic attack or weapon skill.</t>
  </si>
  <si>
    <t>Chance is reduced by the target's Dodging stat.  
Accuracy is reduced by 10% for every level your weapon is over your character's level (so if you equip two level 8 weapons when you're level 6, you get -40 accuracy).</t>
  </si>
  <si>
    <t>Action Points</t>
  </si>
  <si>
    <t>Used for all actions in combat except unequipping items.  Regained each turn.</t>
  </si>
  <si>
    <t>Default is gain 4 AP (Action Points) each turn, up to a maximum of 6.  The Lone Wolf talent increases this to 6 AP per turn up to a maximum of 8.</t>
  </si>
  <si>
    <t>Air Resistance</t>
  </si>
  <si>
    <t>Reduces Air damage taken by this percentage.  When over 100%, you are healed by Air damage instead of damaged by it.</t>
  </si>
  <si>
    <t>You get healed for the percentage over 100 that this is.  For instance, if you have 150% Air Resistance and something deals 100 Air damage to you, you would be healed for 50 vitality instead of damaged.</t>
  </si>
  <si>
    <t>Block Chance</t>
  </si>
  <si>
    <t>Granted by some shields.  Adds a chance to take 0 damage from a basic attack or weapon skill.</t>
  </si>
  <si>
    <t>Basically works just like Dodging, as far as I can tell, but there aren't any statuses that negate block chance.  I don't know how it interacts with the attacker's accuracy stat, if at all.</t>
  </si>
  <si>
    <t>Critical Chance</t>
  </si>
  <si>
    <t>Chance of a basic attack or weapon skill gaining a damage bonus.</t>
  </si>
  <si>
    <t>Damage bonus is dictated by your weapon, as well as points in the Scoundrel and Two-Handed abilities (the latter only if you're using a 2H Melee weapon).
Backstabs are always critical hits, and therefore Critical Chance has no effect on them.  Backstab requires a dagger in the main hand.</t>
  </si>
  <si>
    <t>Critical Multiplier</t>
  </si>
  <si>
    <t>Percentage of the damage you would have dealt that is dealt instead when you land a critical hit.</t>
  </si>
  <si>
    <t>I'm pretty sure that the critical multiplier is applied after all other damage bonuses and penalties are determined.  So, if your critical multiplier is 175% and would would've done 100 damage normally, a critical hit would deal 175 damage instead.
Critical Multipliers can be increased by investing points in the Two-Handed and Scoundrel abilities.
You can see your total Critical Multipilier in the tooltip for Critical Chance and in the tooltip for your weapons.</t>
  </si>
  <si>
    <t>How much damage you deal with a basic attack.</t>
  </si>
  <si>
    <t>This is the primary factor in determining how much damage your weapon skills deal.</t>
  </si>
  <si>
    <t>Chance of avoiding a basic attack or weapon skill used against you.</t>
  </si>
  <si>
    <t>Chance is also affected by the attacker's Accuracy stat.</t>
  </si>
  <si>
    <t>Earth Resistance</t>
  </si>
  <si>
    <t>Reduces Earth damage taken by this percentage.  When over 100%, you are healed by Earth damage instead of damaged by it.</t>
  </si>
  <si>
    <t>You get healed for the percentage over 100 that this is.  For instance, if you have 150% Earth Resistance and something deals 100 Earth damage to you, you would be healed for 50 vitality instead of damaged.</t>
  </si>
  <si>
    <t>Fire Resistance</t>
  </si>
  <si>
    <t>Reduces Fire damage taken by this percentage.  When over 100%, you are healed by Fire damage instead of damaged by it.</t>
  </si>
  <si>
    <t>You get healed for the percentage over 100 that this is.  For instance, if you have 150% Fire Resistance and something deals 100 Fire damage to you, you would be healed for 50 vitality instead of damaged.</t>
  </si>
  <si>
    <t>Initiative</t>
  </si>
  <si>
    <t>Determines turn order.  Higher initiative characters go first.</t>
  </si>
  <si>
    <t>Does not grant additional turns.  Having 1 point of initiative more than your enemy is the same as having 100 points of initiative more.  Note that different enemies have different initiative values.</t>
  </si>
  <si>
    <t>Life Steal</t>
  </si>
  <si>
    <t>Recover health equal to a percentage of the damage you deal to Vitality.</t>
  </si>
  <si>
    <t>Affects all damage types.
If a portion of the damage you deal is dealt to armor, that portion is not used to determine how much health you restore.
Does not restore vitality from passive damage, such as from status effects, surfaces, or damage reflection effects (like Retribution).
Health restored is affected by Hydrosophist.</t>
  </si>
  <si>
    <t>Damage absorbed from Fire, Water, Earth, Air, and Poison damage before you start taking damage to Vitality.  Also prevents statuses from being applied if they are resisted by Magic Armor.</t>
  </si>
  <si>
    <t>Does not absorb Pure damage.</t>
  </si>
  <si>
    <t>How many meters you can move for 1 AP.</t>
  </si>
  <si>
    <t>Damage absorbed from Physical damage before you start taking damage to Vitality.  Also prevents statuses from being applied if they are resisted by Physical Armor.</t>
  </si>
  <si>
    <t>Does not absorb Piercing or Pure damage.</t>
  </si>
  <si>
    <t>Physical Resistance</t>
  </si>
  <si>
    <t>Reduces Physical damage taken by this percentage.</t>
  </si>
  <si>
    <t>This is a very rare stat.  You'll occasionally see it on enemies.  As far as I know, the only time PCs get it is from Cryogenic Stasis's Permafrost status.</t>
  </si>
  <si>
    <t>Piercing Resistance</t>
  </si>
  <si>
    <t>Reduces Piercing damage taken by this percentage.</t>
  </si>
  <si>
    <t>Poison Resistance</t>
  </si>
  <si>
    <t>Reduces Poison damage taken by this percentage.  When over 100%, you are healed by Poison damage instead of damaged by it.</t>
  </si>
  <si>
    <t>You get healed for the percentage over 100 that this is.  For instance, if you have 150% Poison Resistance and something deals 100 Poison damage to you, you would be healed for 50 vitality instead of damaged.</t>
  </si>
  <si>
    <t>Source Points</t>
  </si>
  <si>
    <t>Used for all Source skills.  Regained through special means only, such as the Source Vampirism skill and Source pools.</t>
  </si>
  <si>
    <t>There are a lot of ways to recover Source Points, so don't be too conservative with them.  There are some places you can recover Source Points infinitely.</t>
  </si>
  <si>
    <t>Non-armor health</t>
  </si>
  <si>
    <t>Referred to as "HP" in gear stats.
Character dies when this hits 0.</t>
  </si>
  <si>
    <t>Water Resistance</t>
  </si>
  <si>
    <t>Reduces Water damage taken by this percentage.  When over 100%, you are healed by Water damage instead of damaged by it.</t>
  </si>
  <si>
    <t>You get healed for the percentage over 100 that this is.  For instance, if you have 150% Water Resistance and something deals 100 Water damage to you, you would be healed for 50 vitality instead of damaged.</t>
  </si>
  <si>
    <t>Ability</t>
  </si>
  <si>
    <t>Passive Effect</t>
  </si>
  <si>
    <t>+5% Weapon Damage and +1% Dodge Chance when you have 2 weapons equipped.</t>
  </si>
  <si>
    <t>Wands count.  Weapon in off-hand deals half damage.</t>
  </si>
  <si>
    <t>+5% Weapon Damage and +1% Critical Chance when you have a ranged weapon equipped.</t>
  </si>
  <si>
    <t>Does not include wands.</t>
  </si>
  <si>
    <t>+5% Weapon Damage and +5% Accuracy when you only have only one one-handed weapon equipped.</t>
  </si>
  <si>
    <t>Wands count.</t>
  </si>
  <si>
    <t>+5% Weapon Damage and +5% Critical Multiplier when you have a two-handed melee weapon equipped.</t>
  </si>
  <si>
    <t>Defense</t>
  </si>
  <si>
    <t>+2% Dodging and +3% to all Resistances for everyone else in your party.</t>
  </si>
  <si>
    <t>Does not grant its bonuses to the person who actually has Leadership.</t>
  </si>
  <si>
    <t>5% Magic Armor restored after recovering from Frozen or Stunned.
5% Physical Armor restored after recovering from Knocked Down or Petrified.</t>
  </si>
  <si>
    <t>Rarely helpful.</t>
  </si>
  <si>
    <t>Retribution</t>
  </si>
  <si>
    <t>Deals 5% of damage taken back at its dealer.</t>
  </si>
  <si>
    <t>Does not reflect passive damage, such as from status effects, surfaces, or damage reflection effects (like Retribution).</t>
  </si>
  <si>
    <t>+5% Air damage</t>
  </si>
  <si>
    <t>+5% Poison and Earth damage. +5% Physical Armour from abilitys and potions.</t>
  </si>
  <si>
    <t>+5% Damage from high ground.</t>
  </si>
  <si>
    <t>Only worth putting points into to meet skill requirements.  For damage, choose Ranged or Warfare.</t>
  </si>
  <si>
    <t>+5% Water damage.  +5% vitality restored and +5% Magic Armour from skills and various non-potion sources.</t>
  </si>
  <si>
    <t>Also increases healing received from Life Steal, arrows, and grenades.
Does not affect healing from food or potions.</t>
  </si>
  <si>
    <t>+10% Life Steal</t>
  </si>
  <si>
    <t>Does not restore vitality from passive damage, such as from status effects, surfaces, or damage reflection effects (like Retribution).</t>
  </si>
  <si>
    <t>+1 Attribute Point</t>
  </si>
  <si>
    <t>Bonus Attribute Points not received when getting Polymorph from gear.</t>
  </si>
  <si>
    <t>+5% Fire Damage</t>
  </si>
  <si>
    <t>+5% Critical Multiplier, +0.3 Movement speed.</t>
  </si>
  <si>
    <t>Summons start with 5% more Vitality, Damage, Physical Armour and Magic Armour.</t>
  </si>
  <si>
    <t>This affects all summons, not just ones from skills that require Summoning ability.</t>
  </si>
  <si>
    <t>+5% Physical Damage</t>
  </si>
  <si>
    <t>Bartering</t>
  </si>
  <si>
    <t>Civil</t>
  </si>
  <si>
    <t>Reduces cost of buying an item from an NPC by 4% of the normal sale value.  
Increases the value of selling an item to an NPC by ~4.5% of the normal buy value.</t>
  </si>
  <si>
    <t>The cost of buying goes down exactly 4% of the original sale price per point.  However, the value of selling an item goes up slightly more than that, and how much it goes up increases with each point.
1 = +4.25%
2 = +4.5%  (+0.25 change)
3 = +5%  (+0.5 change)
4 = +5.25%  (+0.25 change)
5 = +6%  (+0.75 change)
So, at 5 Bartering, an item will sell to an NPC for 25% more than it would at 0 Bartering.
Keep in mind that attitude also affects price up to 25%.</t>
  </si>
  <si>
    <t>Loremaster</t>
  </si>
  <si>
    <t>Allows you to identify items.  Higher level items require more points in Loremaster.  
Provides additional information when Examining a character.</t>
  </si>
  <si>
    <t>"Additional information" is things like resistances and immunities.</t>
  </si>
  <si>
    <t>Lucky Charm</t>
  </si>
  <si>
    <t>Increases chance of finding extra items when looting.  Additional points also increase the quality of those extra items.</t>
  </si>
  <si>
    <t>The highest Lucky Charm ability of the characters in your party applies to whomever is looting.  You don't have to have the character that has the Lucky Charm points do the looting anymore.</t>
  </si>
  <si>
    <t>Persuasion</t>
  </si>
  <si>
    <t>+5 attitude with NPCs.  Required for Persuasion checks.</t>
  </si>
  <si>
    <t>Attitude affects prices (5 attitude has less impact than 1 Bartering) and Persuasion attempts.</t>
  </si>
  <si>
    <t>Sneaking</t>
  </si>
  <si>
    <t>While sneaking, shrinks NPC sight cones and improves your movement speed.</t>
  </si>
  <si>
    <t>Sneaking is an activated mode.
Despite being a "Civil" skill, increasing Sneaking has more impact in combat than out of combat.</t>
  </si>
  <si>
    <t>Telekinesis</t>
  </si>
  <si>
    <t>Allows you to move items at range regardless of weight.  +4m Range per point.</t>
  </si>
  <si>
    <t>Speeds up looting loose objects.</t>
  </si>
  <si>
    <t>Thievery</t>
  </si>
  <si>
    <t>Increases lockpicking level and improves pickpocketing.</t>
  </si>
  <si>
    <t>Level 1 allows up to 2kg weight or 300 gold of value to be pickpocketed.  Weight increases by 2kg per level.  Gold value increases seem inconsistent.
Lockpicking is a straight-up level comparison.</t>
  </si>
  <si>
    <t>Talent</t>
  </si>
  <si>
    <t>Requirements</t>
  </si>
  <si>
    <t>Talent Points Gained At Level</t>
  </si>
  <si>
    <t>Total Points</t>
  </si>
  <si>
    <t>All Skilled Up</t>
  </si>
  <si>
    <t>+1 Combat Ability point and +1 Civil Ability point</t>
  </si>
  <si>
    <t>Ambidextrous</t>
  </si>
  <si>
    <t>-1 AP cost of grenades and scrolls when your off-hand is empty.</t>
  </si>
  <si>
    <t>Arrow Recovery</t>
  </si>
  <si>
    <t>33% chance to recovery special arrows when fired.</t>
  </si>
  <si>
    <t>Bigger &amp; Better</t>
  </si>
  <si>
    <t>+2 Attribute points</t>
  </si>
  <si>
    <t>Comeback Kid</t>
  </si>
  <si>
    <t>Once per combat, if you would die, your vitality is set to 20% instead.</t>
  </si>
  <si>
    <t>Demon</t>
  </si>
  <si>
    <t>+15% Fire Resistance, -15% Water Resistance, +10 Max Fire Resistance.  Incompatible with Ice King.</t>
  </si>
  <si>
    <t>Pyrokinetic 1</t>
  </si>
  <si>
    <t>Duck Duck Goose</t>
  </si>
  <si>
    <t>Evade attacks of opportunity.</t>
  </si>
  <si>
    <t>Huntsman 1</t>
  </si>
  <si>
    <t>Elemental Affinity</t>
  </si>
  <si>
    <t>-1 AP cost of spells when standing in a surface of the same element.</t>
  </si>
  <si>
    <t>Elemental Ranger</t>
  </si>
  <si>
    <t>Arrows will deal bonus elemental damage depending on the surface the target is standing in.</t>
  </si>
  <si>
    <t>Escapist</t>
  </si>
  <si>
    <t>Allows you to Flee combat even when you're right up in someone's face.</t>
  </si>
  <si>
    <t>Executioner</t>
  </si>
  <si>
    <t>Once per round, gain 2 AP when you kill something.  Incompatible with The Pawn.</t>
  </si>
  <si>
    <t>Warfare 1</t>
  </si>
  <si>
    <t>Far Out Man</t>
  </si>
  <si>
    <t>Increases the range of skills and scrolls by 2m.  Does not affect melee and touch skills, nor cones and radii.</t>
  </si>
  <si>
    <t>Five-Star Diner</t>
  </si>
  <si>
    <t>Doubles the effect of food and potions.  Has no effect on poison bottles.</t>
  </si>
  <si>
    <t>Glass Cannon</t>
  </si>
  <si>
    <t>You start every combat round with max AP, but Magic and Physical Armour do not protect you from statuses.</t>
  </si>
  <si>
    <t>Guerilla</t>
  </si>
  <si>
    <t>While sneaking, your attack damage is increased by 40%.</t>
  </si>
  <si>
    <t>Sneaking 1</t>
  </si>
  <si>
    <t>Hothead</t>
  </si>
  <si>
    <t>While you are at maximum vitality, Hothead grants you an extra 10% critical chance and 10% more accuracy.</t>
  </si>
  <si>
    <t>Ice King</t>
  </si>
  <si>
    <t>+15% Water Resistance, -15% Fire Resistance, +10 Max Water Resistance.  Incompatible with Demon.</t>
  </si>
  <si>
    <t>Hydrosophist 1</t>
  </si>
  <si>
    <t>Leech</t>
  </si>
  <si>
    <t>Consume Blood surfaces and clouds when you touch them.  Restores 64 vitality when this happens.</t>
  </si>
  <si>
    <t>Living Armour</t>
  </si>
  <si>
    <t>35% of all healing you receive is also added to your Magic Armor.</t>
  </si>
  <si>
    <t>Lone Wolf</t>
  </si>
  <si>
    <t>+2 max AP, +2 Recovery AP, +30% max vitality, +60% Physical Armour, +60% Magic Armor, and doubles invested points in attributes and combat abilities (except Polymorph ability), while you are adventuring solo or with at most one companion. This bonus is temporarily removed while there are more than two members in the current party.</t>
  </si>
  <si>
    <t>Mnemonic</t>
  </si>
  <si>
    <t>+3 Memory</t>
  </si>
  <si>
    <t>Morning Person</t>
  </si>
  <si>
    <t>When resurrected, you are at full vitality.</t>
  </si>
  <si>
    <t>Once per round, when an enemy within melee range moves away from you, you automatically attack them at no AP cost.  Requires a melee weapon to function.</t>
  </si>
  <si>
    <t>Parry Master</t>
  </si>
  <si>
    <t>+10% Dodging when Dual Wielding</t>
  </si>
  <si>
    <t>Pet Pal</t>
  </si>
  <si>
    <t>Talk to animals.</t>
  </si>
  <si>
    <t>Picture of Health</t>
  </si>
  <si>
    <t>+3% maximum vitality for each point in Warfare</t>
  </si>
  <si>
    <t>Rooted</t>
  </si>
  <si>
    <t>+3 Memory.  Not available during character creation.</t>
  </si>
  <si>
    <t>Savage Sortilege</t>
  </si>
  <si>
    <t>Non-weapon skills can crit.</t>
  </si>
  <si>
    <t>Slingshot</t>
  </si>
  <si>
    <t>+5m Range on Grenades.</t>
  </si>
  <si>
    <t>Spider's Kiss</t>
  </si>
  <si>
    <t xml:space="preserve">-2 Constitution.  Also gives either +2 to Strength, Intelligence, Finesse, Wits, or Memory, depending on your dialogue choice.  Gives no attribute bonus if you received the Idol of Rebirth.  Not available during character creation.  </t>
  </si>
  <si>
    <t>Stench</t>
  </si>
  <si>
    <t>-25 Attitude with everyone, but less likely to be attacked in combat.</t>
  </si>
  <si>
    <t>The Pawn</t>
  </si>
  <si>
    <t>The first point of movement each turn costs 0 AP.  Incompatible with Executioner.</t>
  </si>
  <si>
    <t>Scoundrel 1</t>
  </si>
  <si>
    <t>Torturer</t>
  </si>
  <si>
    <t>Certain statuses you inflict now bypass armor and are extended by 1 turn.  These statuses are:  
Acid, Bleeding, Burning, Death Wish, Entangled, Necrofire, Poisoned, Ruptured Tendons, Suffocating</t>
  </si>
  <si>
    <t>Trader's Secrets</t>
  </si>
  <si>
    <t>+1 Bartering.  Not available during character creation.</t>
  </si>
  <si>
    <t>Unstable</t>
  </si>
  <si>
    <t>You explode upon death, dealing 50% of your max vitality as Physical damage in a 3m radius.</t>
  </si>
  <si>
    <t>Walk It Off</t>
  </si>
  <si>
    <t>Reduces the duration of all status effects on you by 1 turn to a minimum of 1 turn. This also affects positive statuses.</t>
  </si>
  <si>
    <t>What a Rush</t>
  </si>
  <si>
    <t>+1 Recovery and Maximum AP when your vitality is below 50%.</t>
  </si>
  <si>
    <t>Race</t>
  </si>
  <si>
    <t>Trait</t>
  </si>
  <si>
    <t>Guile</t>
  </si>
  <si>
    <t>+1 Sneaking</t>
  </si>
  <si>
    <t>See Skills tab in the Character category.</t>
  </si>
  <si>
    <t>Sturdy</t>
  </si>
  <si>
    <t>+10% Vitality and +5% Dodging</t>
  </si>
  <si>
    <t>Ancestral Knowledge</t>
  </si>
  <si>
    <t>+1 Loremaster</t>
  </si>
  <si>
    <t>Corpse Eater</t>
  </si>
  <si>
    <t>Allows you to eat body parts, which heals you, and sometimes grants a skill.</t>
  </si>
  <si>
    <t>Ingenious</t>
  </si>
  <si>
    <t>+2 Initiative, +5% Crit Chance</t>
  </si>
  <si>
    <t>Thrifty</t>
  </si>
  <si>
    <t>+1 Bartering</t>
  </si>
  <si>
    <t>Digger</t>
  </si>
  <si>
    <t>Does not need a shovel to dig.</t>
  </si>
  <si>
    <t>Sophisticated</t>
  </si>
  <si>
    <t>+10% Fire Resistance and +10% Poison Resistance</t>
  </si>
  <si>
    <t>Spellsong</t>
  </si>
  <si>
    <t>+1 Persuasion</t>
  </si>
  <si>
    <t>Bony Fingers</t>
  </si>
  <si>
    <t>Does not need Lockpicks to pick locks.</t>
  </si>
  <si>
    <t>Secondary Race</t>
  </si>
  <si>
    <t>Ingenious, Corpse Eater, Sturdy, or Sophisticated, depending on secondary race.</t>
  </si>
  <si>
    <t>Heals from Poison, but damaged by normal healing.  Immune to Bleeding and Deathfog. Must wear concealing armor or friendly NPCs will attack.  Undead do not receive buffs from food (poisoned or otherwise).</t>
  </si>
  <si>
    <t xml:space="preserve">Beast is a dwarf.  </t>
  </si>
  <si>
    <t xml:space="preserve">Sebille is an elf. </t>
  </si>
  <si>
    <t xml:space="preserve">Ifan and Lohse are human. </t>
  </si>
  <si>
    <t xml:space="preserve">The Fresh Prince is a lizard. </t>
  </si>
  <si>
    <t>Fane is an undead human.</t>
  </si>
  <si>
    <t>Class</t>
  </si>
  <si>
    <t>Con</t>
  </si>
  <si>
    <t>Wit</t>
  </si>
  <si>
    <t>Skill 1</t>
  </si>
  <si>
    <t>Skill 2</t>
  </si>
  <si>
    <t>Skill 3</t>
  </si>
  <si>
    <t>Extra Item(s)</t>
  </si>
  <si>
    <t>Extra Item Val</t>
  </si>
  <si>
    <t>Battlemage</t>
  </si>
  <si>
    <t>Sharp Stone on a Stick x2</t>
  </si>
  <si>
    <t>Cleric</t>
  </si>
  <si>
    <t>Claw Hammer</t>
  </si>
  <si>
    <t>Conjurer</t>
  </si>
  <si>
    <t>Summoner</t>
  </si>
  <si>
    <t>Enchanter</t>
  </si>
  <si>
    <t>Fighter</t>
  </si>
  <si>
    <t>Inquisitor</t>
  </si>
  <si>
    <t>Knight</t>
  </si>
  <si>
    <t>Busted Twohander</t>
  </si>
  <si>
    <t>Metamorph</t>
  </si>
  <si>
    <t>Wooden Pitchfork</t>
  </si>
  <si>
    <t>Ranger</t>
  </si>
  <si>
    <t>Peace of Mind</t>
  </si>
  <si>
    <t>Ricochet</t>
  </si>
  <si>
    <t>Twig With a String</t>
  </si>
  <si>
    <t>Fire Arrow, Knockdown Arrow</t>
  </si>
  <si>
    <t>Rogue</t>
  </si>
  <si>
    <t>Dual-Wielding</t>
  </si>
  <si>
    <t>Shiv x2</t>
  </si>
  <si>
    <t>Shadowblade</t>
  </si>
  <si>
    <t>Wayfarer</t>
  </si>
  <si>
    <t>Fire Arrow, Poison Arrow</t>
  </si>
  <si>
    <t>Witch</t>
  </si>
  <si>
    <t>Wizard</t>
  </si>
  <si>
    <t>Makeshift Wand x2</t>
  </si>
  <si>
    <t>Range</t>
  </si>
  <si>
    <t>Dmg 1</t>
  </si>
  <si>
    <t>Dmg 5</t>
  </si>
  <si>
    <t>Dmg 10</t>
  </si>
  <si>
    <t>Dmg 15</t>
  </si>
  <si>
    <t>Dmg 20</t>
  </si>
  <si>
    <t>Dmg 22</t>
  </si>
  <si>
    <t>Sword</t>
  </si>
  <si>
    <t>Axe</t>
  </si>
  <si>
    <t>Mace</t>
  </si>
  <si>
    <t>Can Backstab.  Required for most Scoundrel skills.</t>
  </si>
  <si>
    <t>Wand</t>
  </si>
  <si>
    <t>Deals Elemental damage.  Doesn't count as a "Ranged" weapon, but does count as a one-handed weapon.</t>
  </si>
  <si>
    <t>Spear</t>
  </si>
  <si>
    <t>Longest range of melee weapons, but you kinda have to commit to only using spears if you use them.</t>
  </si>
  <si>
    <t>Deals Elemental damage.</t>
  </si>
  <si>
    <t>Bow</t>
  </si>
  <si>
    <t>-1 Movement, +5% Accuracy</t>
  </si>
  <si>
    <t>DW Dagger Backstabs</t>
  </si>
  <si>
    <t>Dual-wielding daggers and always getting backstabs</t>
  </si>
  <si>
    <t>2H Spears</t>
  </si>
  <si>
    <t>Spears make up for their low damage with range.</t>
  </si>
  <si>
    <t>DW Swords</t>
  </si>
  <si>
    <t>Weapons in the off-hand deal half damage.</t>
  </si>
  <si>
    <t>2H Sword</t>
  </si>
  <si>
    <t>2H Beats DW Swords By</t>
  </si>
  <si>
    <t>After level 1 or 2, a two-hander is better than dual-wielding as far as raw damage goes.</t>
  </si>
  <si>
    <t>DW Wands</t>
  </si>
  <si>
    <t>Not actually losing much damage for the range, really.</t>
  </si>
  <si>
    <t>If you're not going to attack at range more than once per turn, staff is better for raw base damage.</t>
  </si>
  <si>
    <t>Staff Wins By</t>
  </si>
  <si>
    <t>If you're not attacking at all, I'd go wand + shield.  What shields lack in offense they make up for in armor.</t>
  </si>
  <si>
    <t>Slot</t>
  </si>
  <si>
    <t>Physical 1</t>
  </si>
  <si>
    <t>Magic 1</t>
  </si>
  <si>
    <t>Physical 10</t>
  </si>
  <si>
    <t>Magic 10</t>
  </si>
  <si>
    <t>Physical 20</t>
  </si>
  <si>
    <t>Magic 20</t>
  </si>
  <si>
    <t>Cloth</t>
  </si>
  <si>
    <t>Helmets, Gloves, and Boots of the same level and rarity all have the same base armor.</t>
  </si>
  <si>
    <t>Leather</t>
  </si>
  <si>
    <t>Plate</t>
  </si>
  <si>
    <t>Boots</t>
  </si>
  <si>
    <t>Leggings</t>
  </si>
  <si>
    <t>Off-Hand</t>
  </si>
  <si>
    <t>Endurance</t>
  </si>
  <si>
    <t>Full Cloth</t>
  </si>
  <si>
    <t>No shield</t>
  </si>
  <si>
    <t>Full Leather</t>
  </si>
  <si>
    <t>Full Plate</t>
  </si>
  <si>
    <t>w/ Shield</t>
  </si>
  <si>
    <t>Cloth 20 Total</t>
  </si>
  <si>
    <t>Leather 20 Total</t>
  </si>
  <si>
    <t>Plate 20 Total</t>
  </si>
  <si>
    <t>Bouncing Shield 1</t>
  </si>
  <si>
    <t>Crippling Blow 1</t>
  </si>
  <si>
    <t>Bouncing Shield 10</t>
  </si>
  <si>
    <t>Crippling Blow 10</t>
  </si>
  <si>
    <t>Bouncing Shield 20</t>
  </si>
  <si>
    <t>Crippling Blow 20</t>
  </si>
  <si>
    <t>Chest Armour</t>
  </si>
  <si>
    <t>1H Weapon (Str)</t>
  </si>
  <si>
    <t>Dagger/Wand</t>
  </si>
  <si>
    <t>2H Melee Str/Fin</t>
  </si>
  <si>
    <t>2H Staff</t>
  </si>
  <si>
    <t>Ranged Weapon</t>
  </si>
  <si>
    <t>Aerotheurge 1-2</t>
  </si>
  <si>
    <t>Crit Chance 2-4%</t>
  </si>
  <si>
    <t>Bartering 1</t>
  </si>
  <si>
    <t>Constitution 1-3</t>
  </si>
  <si>
    <t>Dodging 3-7%</t>
  </si>
  <si>
    <t>Accuracy 5%</t>
  </si>
  <si>
    <t>Accuracy 10%</t>
  </si>
  <si>
    <t>Accuracy 5</t>
  </si>
  <si>
    <t>Finesse 1-3</t>
  </si>
  <si>
    <t>Dual Wielding 1</t>
  </si>
  <si>
    <t>HP 29-57</t>
  </si>
  <si>
    <t>Bonus Damage 22%</t>
  </si>
  <si>
    <t>Crit Chance 5-10%</t>
  </si>
  <si>
    <t>Aerotheurge 1</t>
  </si>
  <si>
    <t>Blocking 10-20%</t>
  </si>
  <si>
    <t>Geomancer 1-2</t>
  </si>
  <si>
    <t>HP 29</t>
  </si>
  <si>
    <t>Critical Chance 2-4%</t>
  </si>
  <si>
    <t>Initiative 1-2</t>
  </si>
  <si>
    <t>Cleave 15-25%</t>
  </si>
  <si>
    <t>Dodging 3%</t>
  </si>
  <si>
    <t>Cleave 25-50%</t>
  </si>
  <si>
    <t>Crit Chance 10-20%</t>
  </si>
  <si>
    <t>Huntsman 1-2</t>
  </si>
  <si>
    <t>Movement 0.5-1</t>
  </si>
  <si>
    <t>Dodging 7%</t>
  </si>
  <si>
    <t>Inflict: Burning</t>
  </si>
  <si>
    <t>Hydrosophist 1-2</t>
  </si>
  <si>
    <t>Ranged 1</t>
  </si>
  <si>
    <t>Dual Wielding 1-2</t>
  </si>
  <si>
    <t>Leadership 1-2</t>
  </si>
  <si>
    <t>Resistance 10-15%</t>
  </si>
  <si>
    <t>HP 57</t>
  </si>
  <si>
    <t>Inflict: Chilled</t>
  </si>
  <si>
    <t>Intelligence 1-3</t>
  </si>
  <si>
    <t>Perseverance 1-2</t>
  </si>
  <si>
    <t>Skill: Battering Ram</t>
  </si>
  <si>
    <t>Initiative 3</t>
  </si>
  <si>
    <t>Geomancer 1</t>
  </si>
  <si>
    <t>Inflict: Poisoned</t>
  </si>
  <si>
    <t>Necromancer 1-2</t>
  </si>
  <si>
    <t>Single-Handed 1</t>
  </si>
  <si>
    <t>Resistance 5-10%</t>
  </si>
  <si>
    <t>Skill: Blood Sucker</t>
  </si>
  <si>
    <t>Life Steal 5-7%</t>
  </si>
  <si>
    <t>Initiative 6</t>
  </si>
  <si>
    <t>Initiative 1-4</t>
  </si>
  <si>
    <t>Pyrokinetic 1-2</t>
  </si>
  <si>
    <t>Skill: Armour of Frost</t>
  </si>
  <si>
    <t>Retribution 1-2</t>
  </si>
  <si>
    <t>Skill: Favourable Wind</t>
  </si>
  <si>
    <t>Rune Slot</t>
  </si>
  <si>
    <t>Life Steal 10-14%</t>
  </si>
  <si>
    <t>Leadership 1</t>
  </si>
  <si>
    <t>Scoundrel 1-2</t>
  </si>
  <si>
    <t>Skill: First Aid</t>
  </si>
  <si>
    <t>Lucky Charm 1</t>
  </si>
  <si>
    <t>Wits 1-3</t>
  </si>
  <si>
    <t>Skill: Haste</t>
  </si>
  <si>
    <t>Resistance 5-15%</t>
  </si>
  <si>
    <t>Set Acid 10-20%</t>
  </si>
  <si>
    <t>Perseverance 1</t>
  </si>
  <si>
    <t>Skill: Electric Discharge</t>
  </si>
  <si>
    <t>Skill: Fortify</t>
  </si>
  <si>
    <t>Skill: Uncanny Evasion</t>
  </si>
  <si>
    <t>Loremaster 1</t>
  </si>
  <si>
    <t>Set Atrophy 10%</t>
  </si>
  <si>
    <t>Reflect Melee: 10-40%</t>
  </si>
  <si>
    <t>Skill: Fossil Strike</t>
  </si>
  <si>
    <t>Skill: Restoration</t>
  </si>
  <si>
    <t>Ranged 1-2</t>
  </si>
  <si>
    <t>Summoning 1-2</t>
  </si>
  <si>
    <t>Set Bleeding 10%</t>
  </si>
  <si>
    <t>Set Atrophy 10-20%</t>
  </si>
  <si>
    <t>Necromancer 1</t>
  </si>
  <si>
    <t>Resistance 10-20%</t>
  </si>
  <si>
    <t>Skill: Peace of Mind</t>
  </si>
  <si>
    <t>Skill: Shocking Touch</t>
  </si>
  <si>
    <t>Warfare 1-2</t>
  </si>
  <si>
    <t>Set Blinded 10%</t>
  </si>
  <si>
    <t>Set Bleeding 10-20%</t>
  </si>
  <si>
    <t>Retribution 1</t>
  </si>
  <si>
    <t>Skill: Rain</t>
  </si>
  <si>
    <t>Telekinesis 1</t>
  </si>
  <si>
    <t>Set Crippled 10%</t>
  </si>
  <si>
    <t>Set Blinded 10-20%</t>
  </si>
  <si>
    <t>Skill: Bouncing Shield</t>
  </si>
  <si>
    <t>Skill: Searing Daggers</t>
  </si>
  <si>
    <t>Thievery 1</t>
  </si>
  <si>
    <t>Persuasion 1</t>
  </si>
  <si>
    <t>Set Silenced 10%</t>
  </si>
  <si>
    <t>Set Burning 10-20%</t>
  </si>
  <si>
    <t>Skill: Provoke</t>
  </si>
  <si>
    <t>Skill: Winter Blast</t>
  </si>
  <si>
    <t>Two-Handed 1</t>
  </si>
  <si>
    <t>Set Suffocating 10%</t>
  </si>
  <si>
    <t>Set Chilled 10-20%</t>
  </si>
  <si>
    <t>Strength 1-3</t>
  </si>
  <si>
    <t>Two-Handed 1-2</t>
  </si>
  <si>
    <t>Set Crippled 10-20%</t>
  </si>
  <si>
    <t>Skill: Sawtooth Knife</t>
  </si>
  <si>
    <t>Set Poisoned 10-20%</t>
  </si>
  <si>
    <t>Set Shocked 10-20%</t>
  </si>
  <si>
    <t>Wit 1-3</t>
  </si>
  <si>
    <t>Set Silenced 10-20%</t>
  </si>
  <si>
    <t>Set Slowed 10-20%</t>
  </si>
  <si>
    <t>Set Suffocating 10-20%</t>
  </si>
  <si>
    <t>Summoning 1</t>
  </si>
  <si>
    <t>Skill: Whirlwind</t>
  </si>
  <si>
    <t>Skill: Skyshot</t>
  </si>
  <si>
    <t>Item Type</t>
  </si>
  <si>
    <t>White</t>
  </si>
  <si>
    <t>Uncommon</t>
  </si>
  <si>
    <t>&lt;-x</t>
  </si>
  <si>
    <t>Rare</t>
  </si>
  <si>
    <t>Epic</t>
  </si>
  <si>
    <t>Legendary</t>
  </si>
  <si>
    <t>Divine</t>
  </si>
  <si>
    <t>2H Axe</t>
  </si>
  <si>
    <t>2H Mace</t>
  </si>
  <si>
    <t>Weapon Avg</t>
  </si>
  <si>
    <t>Armor Avg</t>
  </si>
  <si>
    <t>Accessory Avg</t>
  </si>
  <si>
    <t>Bug Description</t>
  </si>
  <si>
    <t>Required Conditions</t>
  </si>
  <si>
    <t>Steps to Reproduce</t>
  </si>
  <si>
    <t>The Entangled status from Worm Tremor is not blocked by Magic Armor when applied to Undead.</t>
  </si>
  <si>
    <t>Worm Tremor
Undead target</t>
  </si>
  <si>
    <t>1. Cast Worm Tremor on an Undead character that has enough Magic Armor to block the damage (1 might be enough since they don't actually take damage).</t>
  </si>
  <si>
    <t>Since Worm Tremor hits allies, you can test using Fane.</t>
  </si>
  <si>
    <t>Often times when crafting from the Recipes tab, the ingredients are consumed, but the item is not created.  Some items consistently won't craft this way (I've noticed a lot of scrolls like this), others will craft sometimes.  If I craft items through the Combine tab, I get the item 100% of the time.  As such, I can look at the Recipe tab to see the recipe, but if I want to be sure I actually get the item, I have to go to the Combine tab and select the ingredients manually.</t>
  </si>
  <si>
    <t>Possibly limited to the Gamepad interface.</t>
  </si>
  <si>
    <t>1. Load up game using gamepad.
2. Craft some different items from the recipes tab.
3. Try to find all the crafted items in your inventory.  Some will be missing.</t>
  </si>
  <si>
    <t>For step 3, you have to check each character's inventory separately, as the character doing the crafting may not be the one that ends up with the item in their bag.  It depends on who has the item that has the transform Transform.
I haven't yet seen this happen in Definitive Edition.</t>
  </si>
  <si>
    <t>When talking to an NPC, if I use Triangle to bring up the trade window (playing with a gamepad), it'll bring up the trade interface, then refresh it back to the Buy tab after 1-4 seconds.  If I bring up the trade window through dialogue, it doesn't do this.  I'm not sure when this started, but when I played through Act 1 (which I completed in a prior version of the game) I never had this issue, so I think this issue was introduced in one of the patches.  It's pretty consistent (happens about 95% of the time), but still annoying that I have to wait a few seconds every time I bring up a trade interface before I can do anything.</t>
  </si>
  <si>
    <t>Possibly limited to the Gamepad interface.
Only seems to happen when the vendor has a lot of items for sale.</t>
  </si>
  <si>
    <t>1. Load up the game with a gamepad.
2. Sell a bunch of stuff to an NPC vendor.
3. Bring up a trade window with that NPC vendor again, and quickly switch to the Sell tab.
4. After a short moment, it automatically switches back to the Buy tab and makes a sound like trade opened.</t>
  </si>
  <si>
    <t>In step 3, you could also cancel out of the trade window, and it'll bring you back into the trade window after a short time.
I haven't yet seen this happen in Definitive Edition.</t>
  </si>
  <si>
    <t>Magister Julian audibly says "East" when the text says "West".  I think the script the voice actor had was wrong, because there's more than once occurrance of this.</t>
  </si>
  <si>
    <t>Quest: The Wrecked Caravan</t>
  </si>
  <si>
    <t>1. Talk to the guy on the dock in Driftwood.  Persuade him to... do whatever.  I didn't read the text this time around.
2. Leave.  Come back.  Magister Julian's sitting at a tiny desk.  Talk to him.
3. Report that you found the caravan and it had to do with dwarves.  He'll tell you to investigate, and when he tells you where to look, his voice says "East", but the text says "West", and the text is correct.</t>
  </si>
  <si>
    <t>Clay has the same icon as Slime.  While it's an appropriate icon for Slime, it does not look like Clay at all.  It even has the exact same flavor text.</t>
  </si>
  <si>
    <t>You could just pallette swap the Slime icon to make it reddish-brown instead of green.  That would take care of it.</t>
  </si>
  <si>
    <t>All incarnates get points in Warfare that scales with your level.  This puts uninfused incarnates and Blood incarnates way ahead of elemental incarnates as far as attack damage goes, since elemental incarnates don't gain any benefit from Warfare.</t>
  </si>
  <si>
    <t>Summoning
Conjure Incarnate skill
Level 3+</t>
  </si>
  <si>
    <t>Maybe a bug, maybe working as intended, maybe somewhere in between.</t>
  </si>
  <si>
    <t>Poison bottles do only half the damage that is shown in their tooltips.  This is for all sizes of poison bottle.</t>
  </si>
  <si>
    <t>Have a poison bottle</t>
  </si>
  <si>
    <t>1. Drink a poison bottle.</t>
  </si>
  <si>
    <t>This is consistent across all poison bottles.  It also affects the healing Undead get.</t>
  </si>
  <si>
    <t>Undead do not receive attribute bonuses from eating food.</t>
  </si>
  <si>
    <t>Be undead
Have food</t>
  </si>
  <si>
    <t xml:space="preserve">1. Have your undead character eat food that provides an attribute bonus.
2. Check and see that they don't get the attribute bonus.  </t>
  </si>
  <si>
    <t>Could be intended.  From a lore perspective, Undead don't eat.  They don't even have stomachs.  They drink poison, though.</t>
  </si>
  <si>
    <t>Attitude gained from donating while shapeshifted can be lost.  I'm not sure how, exactly, but it gets reset completely.  I think it's lost on level up.  It doesn't happen for all NPCs, and the lost attitude can be regained and lost again randomly.
DE Update:  After using the Mask of the Shapeshifter, I retained the attitude with NPCs while shapeshifted to an Elf, but when I returned to normal, the attitude was reset to 0.  If I shapeshift back into an elf, I get it back.  I got their attitudes up to 100 before I even got the mask, so the attitude should be 100 with my normal form, but it's 0 for normal form and 100 for elf form.  Saving/reload seems to fix this as well.</t>
  </si>
  <si>
    <t>Mask of the Shapeshift</t>
  </si>
  <si>
    <t>1. Use the Mask of the Shapeshifter to change race.
2. Visit several different NPCs and donate to them until you get 100 attitude.
3. Go adventuring for a bit.  Level up.  
4. Revisit each of the NPCs.  Make sure you're the race you were when you donated, as the attitude you gained is bound to that race.
5. Open Trade.  Check the attitude number.  Some will still be 100, others will be reset to whatever it would've been without the donations.</t>
  </si>
  <si>
    <t>I have to do a lot of testing on this one.  I'm not 100% sure that shapeshifting has anything to do with the loss of attitude, it just seems the most likely culprit.  It might not even be that leveling up specifically resets the attitude.  Maybe that 1 hour vendor reset does it as well.
Update: It seems that saving/reloading fixes it sometimes.</t>
  </si>
  <si>
    <t>Sometimes when I use Time Warp, my 2nd turn never begins, and combat never progresses.  The only thing I can do is reload the last save.</t>
  </si>
  <si>
    <t>Fane
1 Source Point</t>
  </si>
  <si>
    <t>1. Go into combat.
2. On Fane's turn, do an action to use AP down to 2 (I don't know if this is needed).
3. Cast Time Warp on Fane.
4. Since Fane's out of AP, his turn will end automatically, and the UI will state that his next turn is beginning, but you can take no actions.  The action bar is even still dimmed.</t>
  </si>
  <si>
    <t>I've only seen this bug when exhausting my AP with Time Warp, but I don't know if that's required to reproduce it.  It does not occur consistently.  In fact, most of the times I do this, the next turn starts just fine.</t>
  </si>
  <si>
    <t>If you choose not to believe Lovrik about having a child named Livy, then kill him, your journal says "Lovrik has fooled us and fled", even as his dead body lies at your feet.</t>
  </si>
  <si>
    <t>Act 2</t>
  </si>
  <si>
    <t>1. Talk to Lovrik in Black Bull tavern.
2. Hire a prostitute.
3. Go upstairs and go through the motions.
4. After whatever happens happens, go back downstairs and talk to Lovrik again.
5. Ask Lovrik why you shouldn't kill him, and he'll tell you he takes care of a child named Livy.  Choose the dialogue option to kill him anyway.
6. Kill Lovrik.
7. Check your Journal.</t>
  </si>
  <si>
    <t>I didn't get anything for closing out the quest other than the incorrect journal entry.  I expected a little extra XP or something.  Not sure if there is any.  I might've gotten the quest XP earlier and not noticed, expecting it at the end.  So, I don't know if there's supposed to be any sort of end-quest rewards that I was supposed to get and just didn't.</t>
  </si>
  <si>
    <t>There is no crafting recipe for a 2H Sword.  It's the only weapon type you can't make.</t>
  </si>
  <si>
    <t>Not really important, just something I noticed.</t>
  </si>
  <si>
    <t>Stackable items that are exactly the same often won't stack with each other for no apparent reason.</t>
  </si>
  <si>
    <t>Stackable Items</t>
  </si>
  <si>
    <t>1. Go around picking up a bunch of the same stackable items from different places.
2. Notice in your inventory that you have multiple stacks of the same item.
3. Try to combine the stacks.  They won't combine.</t>
  </si>
  <si>
    <t>In my current game, I have 3 stacks of Garlic.  One stack is 1 Garlic clove, one is 3, and the other is 2.  I can't put them into a single stack of 6.
In some cases this is caused by different world graphics for the items, like with candles, and that makes sense, but sometimes it isn't.  Like, I don't think Garlic has more than one world graphic.  I think it's just a weird bug.</t>
  </si>
  <si>
    <t>Living on the Edge does not prevent your character's Vitality from dropping below 1 sometimes.</t>
  </si>
  <si>
    <t>I think I had Decaying on me when it happened.  Maybe it works as a heal and therefore doesn't work if you have decaying?</t>
  </si>
  <si>
    <t>Recipe values missing</t>
  </si>
  <si>
    <t>Ingredients missing values</t>
  </si>
  <si>
    <t>Skill Descriptions Needed</t>
  </si>
  <si>
    <t>Status Descriptions Needed</t>
  </si>
  <si>
    <t>Thanks to...</t>
  </si>
  <si>
    <t>Ingredient values missing</t>
  </si>
  <si>
    <t>gimmethegepgun</t>
  </si>
  <si>
    <t>Kye Weedon</t>
  </si>
  <si>
    <t>Mike Lauerman</t>
  </si>
  <si>
    <t>To Do:</t>
  </si>
  <si>
    <t>Tab:</t>
  </si>
  <si>
    <t>The One and Only Lawhorn</t>
  </si>
  <si>
    <t>Does Hydrosophist increase healing from potions now?  Food?</t>
  </si>
  <si>
    <t>[Anonymous person]</t>
  </si>
  <si>
    <t>Add new recipes.</t>
  </si>
  <si>
    <t>Summon Descriptions Needed</t>
  </si>
  <si>
    <t>Bodhi Gundelach</t>
  </si>
  <si>
    <t>How do Grenades scale to level?</t>
  </si>
  <si>
    <t>Orhan Edali</t>
  </si>
  <si>
    <t>What is the base Critical Multiplier on Classic and Tactician?  It seems to be different than before.  Also, it seems to change based on rarity.</t>
  </si>
  <si>
    <t>naka linked</t>
  </si>
  <si>
    <t>Update the number for vitality restored by Leech</t>
  </si>
  <si>
    <t>Gates Wang</t>
  </si>
  <si>
    <t>Does Leech still not work for Undead?</t>
  </si>
  <si>
    <t>Rodrigo Consoli</t>
  </si>
  <si>
    <t>Update Weapon and Weapon Skill damage numbers to use blue weapons of that level instead of crafted ones, as that will be more comparable.</t>
  </si>
  <si>
    <t>Skills,
Weapons</t>
  </si>
  <si>
    <t>Get Damage number for Slug Rush.</t>
  </si>
  <si>
    <t>Verify that Elemental Arrowheads only works with ranged weapons.</t>
  </si>
  <si>
    <t>Can Living Armor grant you Magic Armor above max?</t>
  </si>
  <si>
    <t>Can Spider's Kiss take you past the 40-point limit on attributes?  If so, will it only do so if you're already at the cap, or will the 2 points count toward the cap if you haven't reached it yet?</t>
  </si>
  <si>
    <t>How does Warfare calculate its bonus physical damage?</t>
  </si>
  <si>
    <t>In-Combat Test List:</t>
  </si>
  <si>
    <t>Does Invisible count as "stealthed" for Mortal Blow?</t>
  </si>
  <si>
    <t>I made an AutoHotkey script that turns the Show World Tooltips and Show Sneak Cones buttons into toggles.  You can get it here:</t>
  </si>
  <si>
    <t>https://www.nexusmods.com/divinityoriginalsin2/mods/204/?</t>
  </si>
  <si>
    <t>Someone else made an AutoHotkey script that makes it so you can zoom out further.  Since being able to zoom out a bit further was #1 on my list of requested changes (and yet wasn't implemented, not even a little), I figured you guys might like to know this exists:</t>
  </si>
  <si>
    <t>https://www.nexusmods.com/divinityoriginalsin2/mods/69/?</t>
  </si>
  <si>
    <t>Since neither of these actually mod the game, achievements don't get disabled from using them.</t>
  </si>
  <si>
    <r>
      <rPr>
        <b/>
        <sz val="10"/>
        <rFont val="Arial"/>
      </rPr>
      <t xml:space="preserve">Above items that </t>
    </r>
    <r>
      <rPr>
        <b/>
        <i/>
        <sz val="10"/>
        <rFont val="Arial"/>
      </rPr>
      <t>can</t>
    </r>
    <r>
      <rPr>
        <b/>
        <sz val="10"/>
        <rFont val="Arial"/>
      </rPr>
      <t xml:space="preserve"> be crafted:</t>
    </r>
  </si>
  <si>
    <t>Needs:</t>
  </si>
  <si>
    <t>Num/Ap</t>
  </si>
  <si>
    <t>#</t>
  </si>
  <si>
    <t>#/AP</t>
  </si>
  <si>
    <t>1 Target</t>
  </si>
  <si>
    <t>2 Targets</t>
  </si>
  <si>
    <t>3 Targets</t>
  </si>
  <si>
    <t>4 Targets</t>
  </si>
  <si>
    <t>&lt;&lt; #/AP</t>
  </si>
  <si>
    <t>Likely #/AP</t>
  </si>
  <si>
    <t>Bloated Corpse explodes, dealing Physical damage to all characters around it.</t>
  </si>
  <si>
    <t>AoE</t>
  </si>
  <si>
    <t>Deal Water damage and set Chilled for 2 turns to characters in the radius that are standing on Ice surfaces.  Ice surfaces turn to Water surfaces.</t>
  </si>
  <si>
    <t>Explode, dealing Fire damage and creating a Fire surface in area centered on self.</t>
  </si>
  <si>
    <t>Explode target non-exploded corpse and deal Physical damage to characters in area around it.</t>
  </si>
  <si>
    <t>Deal Poison damage and set Poisoned for 2 turns on non-undead enemies and undead allies in range.  Turns water and blood surfaces into poison surfaces, and clouds into poison clouds.</t>
  </si>
  <si>
    <t>Deal Fire damage to characters in area centered on you and create a Fire surface filling that area.</t>
  </si>
  <si>
    <t>Deals Fire damage and sets Burning for 2 turns on characters in target area.  Creates a Fire surface in target area.</t>
  </si>
  <si>
    <t>Convert clouds to ground surfaces, douse fires, and deal Air damage to enemies in target area.</t>
  </si>
  <si>
    <t>Deals Poison damage and creates a Poison cloud in the area around you.  Set Earth Immunity on self for 1 turn.</t>
  </si>
  <si>
    <t>Deal Water damage and set Chilled for 2 turns to enemies in target area.  Freeze Water and Blood surfaces in target area.</t>
  </si>
  <si>
    <t>Deal Fire damage to enemies in a large area around you.  Ignites Oil and Poison surfaces and clouds.  Melts Ice surfaces.</t>
  </si>
  <si>
    <t>Deal Earth damage, create an Oil surface, and set Crippled for 1 turn to target area.</t>
  </si>
  <si>
    <t>Deal Physical damage to target and a random enemy within 5m of target.  Damage is based on the Physical Armor of your shield.</t>
  </si>
  <si>
    <t>Target</t>
  </si>
  <si>
    <t>Deal Poison damage and set Poisoned for 3 turns on all characters in target area. Creates a Poison surface.</t>
  </si>
  <si>
    <t>Deals Air damage to enemies within area.  Sets Blinding Radiance on self for 1 turn.</t>
  </si>
  <si>
    <t>Deal Earth Damage and set Knocked Down for 1 turn on enemies within a large area around you.  Creates 8 oils surfaces randomly within the area.</t>
  </si>
  <si>
    <t>Deals Air damage to all enemies within area and line of sight.  Set Shocked for 1 turn.</t>
  </si>
  <si>
    <t>Throw an Explosive Trap on target location.  After 1 turn it arms, and will explode when approached by any character, dealing Fire damage and setting Burning for 2 turns to all characters within 3m.</t>
  </si>
  <si>
    <t>Deals Air damage to characters in target area and sets Shocked for 1 turn.</t>
  </si>
  <si>
    <t>Deal Water damage and set Chilled for 3 turns on enemies in area.  Freezes susceptible surfaces as well.</t>
  </si>
  <si>
    <t>Characters in cone that are Frozen and below 10% health die.  Other characters in cone take Water damage and are Frozen for 1 turn.</t>
  </si>
  <si>
    <t>Deal 90% weapon and set Knocked Down for 1 turn to all enemies in a cone.  Clears non-cursed surfaces and clouds.  Can Backstab.</t>
  </si>
  <si>
    <t>Summon an Oily Blob for 3 turns and deal Earth damage in target area.  Oily Blob deals melee Earth damage.  Oily Blob leaves Oil surfaces wherever it goes, and leaves a 3m Oil puddle when it dies or expires.</t>
  </si>
  <si>
    <t>Deals Earth damage and creates an Oil surface in target area.</t>
  </si>
  <si>
    <t>Deals damage to Magic Armor and sets Sleeping for 1 turn.  Does not break stealth.</t>
  </si>
  <si>
    <t>Damage Physical Armor and set Acid for 2 turns on target.</t>
  </si>
  <si>
    <t>Deal Earth damage and set Blinded for 1 turn to characters in target area.  Remove surfaces and clouds in the target area.</t>
  </si>
  <si>
    <t>Deal Fire damage and set Burning for 2 turns on characters in 3 target areas. Creates Fire surfaces in each area.</t>
  </si>
  <si>
    <t>Deals Physical damage and sets Knocked Down for 1 turn.  Gained from having an empty hand.</t>
  </si>
  <si>
    <t>Deal 70% weapon damage to target, then jump to another random enemy within 10m and deal weapon damaage to them, too.</t>
  </si>
  <si>
    <t>Consumes Poison surfaces and Poison clouds in a large area around you.  Set Siphon Poison on self for 2 turns.  Poison damage from Siphon Poison is dependent on how much Poison was consumed.</t>
  </si>
  <si>
    <t>Deal Earth damage and set Petrified for 1 turn on enemies in area around you.</t>
  </si>
  <si>
    <t>Deal Physical damage and recover health based on the damage dealt.  Sets Bleeding for 2 turns.</t>
  </si>
  <si>
    <t>Deals Earth damage and set Entangled for 2 turns on characters in target area.</t>
  </si>
  <si>
    <t>Deal Piercing damage and set Bleeding for 3 turns on target.  Can Backstab.</t>
  </si>
  <si>
    <t>Rush at a target dealing Pure damage.  Set Bleeding for 2 turns.</t>
  </si>
  <si>
    <t>Damage Magic Armor and set Nullified Resistance for 2 turns on target.</t>
  </si>
  <si>
    <t>3 ice shards fall from near each other, dealing water damage and creating Ice surfaces where they land.  Set Chilled for 2 turns.</t>
  </si>
  <si>
    <t>Deal Water damage and set Chilled for 1 turn on enemies in 3 target areas.  Affects allied characters that are targeted directly.</t>
  </si>
  <si>
    <t>Teleport target character or moveable object to 50 feet above a target destination.  Character falls and takes Physical damage and deals Physical damage to characters in area (although not quite a 50-foot fall's worth).</t>
  </si>
  <si>
    <t>Deal damage of a random type, then set the corresponding surface around the target.  Can target the ground.</t>
  </si>
  <si>
    <t>Deal 115% weapon damage and set both Diseased and Decaying for 2 turns.  Can Backstab.</t>
  </si>
  <si>
    <t>Base Damage</t>
  </si>
  <si>
    <t>Strength Bonus</t>
  </si>
  <si>
    <t>Crit Damage Increase</t>
  </si>
  <si>
    <t>Used in part to make &gt;&gt;&gt;</t>
  </si>
  <si>
    <t>End</t>
  </si>
  <si>
    <t>Points</t>
  </si>
  <si>
    <t>Level</t>
  </si>
  <si>
    <t>1H Weapon</t>
  </si>
  <si>
    <t>Cloak and Dagger</t>
  </si>
  <si>
    <t>Living on the Edge</t>
  </si>
  <si>
    <t>Reactive Armor</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</si>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</sst>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m\-d"/>
    <numFmt numFmtId="165" formatCode="m/d"/>
  </numFmts>
  <fonts count="33">
    <font>
      <sz val="10"/>
      <color rgb="FF000000"/>
      <name val="Arial"/>
    </font>
    <font>
      <sz val="10"/>
      <name val="Arial"/>
    </font>
    <font>
      <b/>
      <sz val="10"/>
      <name val="Arial"/>
    </font>
    <font>
      <b/>
      <sz val="10"/>
      <name val="Arial"/>
    </font>
    <font>
      <sz val="10"/>
      <name val="Arial"/>
    </font>
    <font>
      <b/>
      <sz val="10"/>
      <name val="Arial"/>
    </font>
    <font>
      <sz val="10"/>
      <name val="Arial"/>
    </font>
    <font>
      <b/>
      <sz val="10"/>
      <name val="Arial"/>
    </font>
    <font>
      <sz val="10"/>
      <name val="Arial"/>
    </font>
    <font>
      <b/>
      <sz val="6"/>
      <name val="Arial"/>
    </font>
    <font>
      <sz val="6"/>
      <name val="Arial"/>
    </font>
    <font>
      <sz val="6"/>
      <color rgb="FFF3F3F3"/>
      <name val="Arial"/>
    </font>
    <font>
      <sz val="10"/>
      <color rgb="FFD9D9D9"/>
      <name val="Arial"/>
    </font>
    <font>
      <sz val="11"/>
      <color rgb="FFD9D9D9"/>
      <name val="Inconsolata"/>
    </font>
    <font>
      <sz val="11"/>
      <color rgb="FF000000"/>
      <name val="Inconsolata"/>
    </font>
    <font>
      <sz val="11"/>
      <color rgb="FF000000"/>
      <name val="Arial"/>
    </font>
    <font>
      <sz val="10"/>
      <color rgb="FFB7B7B7"/>
      <name val="Arial"/>
    </font>
    <font>
      <sz val="10"/>
      <color rgb="FFB7B7B7"/>
      <name val="Arial"/>
    </font>
    <font>
      <b/>
      <sz val="10"/>
      <color rgb="FFB7B7B7"/>
      <name val="Arial"/>
    </font>
    <font>
      <sz val="10"/>
      <color rgb="FF000000"/>
      <name val="Arial"/>
    </font>
    <font>
      <b/>
      <sz val="10"/>
      <color rgb="FF00DC00"/>
      <name val="Arial"/>
    </font>
    <font>
      <b/>
      <sz val="10"/>
      <color rgb="FF00E6E6"/>
      <name val="Arial"/>
    </font>
    <font>
      <b/>
      <sz val="10"/>
      <color rgb="FF9900FF"/>
      <name val="Arial"/>
    </font>
    <font>
      <b/>
      <sz val="10"/>
      <color rgb="FFFF00FF"/>
      <name val="Arial"/>
    </font>
    <font>
      <b/>
      <sz val="10"/>
      <color rgb="FFBF9000"/>
      <name val="Arial"/>
    </font>
    <font>
      <u/>
      <sz val="10"/>
      <color rgb="FF0000FF"/>
      <name val="Arial"/>
    </font>
    <font>
      <b/>
      <sz val="10"/>
      <color rgb="FFFFFFFF"/>
      <name val="Arial"/>
    </font>
    <font>
      <sz val="10"/>
      <color rgb="FF222222"/>
      <name val="Arial"/>
    </font>
    <font>
      <sz val="10"/>
      <color rgb="FFFFFFFF"/>
      <name val="Arial"/>
    </font>
    <font>
      <sz val="11"/>
      <color rgb="FF222222"/>
      <name val="Arial"/>
    </font>
    <font>
      <sz val="11"/>
      <name val="Arial"/>
    </font>
    <font>
      <b/>
      <sz val="10"/>
      <color rgb="FF5B0F00"/>
      <name val="Arial"/>
    </font>
    <font>
      <b/>
      <i/>
      <sz val="10"/>
      <name val="Arial"/>
    </font>
  </fonts>
  <fills count="16">
    <fill>
      <patternFill patternType="none"/>
    </fill>
    <fill>
      <patternFill patternType="gray125"/>
    </fill>
    <fill>
      <patternFill patternType="solid">
        <fgColor rgb="FFFFF2CC"/>
        <bgColor rgb="FFFFF2CC"/>
      </patternFill>
    </fill>
    <fill>
      <patternFill patternType="solid">
        <fgColor rgb="FFD0E0E3"/>
        <bgColor rgb="FFD0E0E3"/>
      </patternFill>
    </fill>
    <fill>
      <patternFill patternType="solid">
        <fgColor rgb="FFF4CCCC"/>
        <bgColor rgb="FFF4CCCC"/>
      </patternFill>
    </fill>
    <fill>
      <patternFill patternType="solid">
        <fgColor rgb="FFF1F6FF"/>
        <bgColor rgb="FFF1F6FF"/>
      </patternFill>
    </fill>
    <fill>
      <patternFill patternType="solid">
        <fgColor rgb="FFFFFFFF"/>
        <bgColor rgb="FFFFFFFF"/>
      </patternFill>
    </fill>
    <fill>
      <patternFill patternType="solid">
        <fgColor rgb="FFF6F9FF"/>
        <bgColor rgb="FFF6F9FF"/>
      </patternFill>
    </fill>
    <fill>
      <patternFill patternType="solid">
        <fgColor rgb="FFF9F9F9"/>
        <bgColor rgb="FFF9F9F9"/>
      </patternFill>
    </fill>
    <fill>
      <patternFill patternType="solid">
        <fgColor rgb="FFFFE1E1"/>
        <bgColor rgb="FFFFE1E1"/>
      </patternFill>
    </fill>
    <fill>
      <patternFill patternType="solid">
        <fgColor rgb="FFF1F6F7"/>
        <bgColor rgb="FFF1F6F7"/>
      </patternFill>
    </fill>
    <fill>
      <patternFill patternType="solid">
        <fgColor rgb="FFFFFCDF"/>
        <bgColor rgb="FFFFFCDF"/>
      </patternFill>
    </fill>
    <fill>
      <patternFill patternType="solid">
        <fgColor rgb="FFEFEFEF"/>
        <bgColor rgb="FFEFEFEF"/>
      </patternFill>
    </fill>
    <fill>
      <patternFill patternType="solid">
        <fgColor rgb="FFF3F3F3"/>
        <bgColor rgb="FFF3F3F3"/>
      </patternFill>
    </fill>
    <fill>
      <patternFill patternType="solid">
        <fgColor rgb="FFC5FFC7"/>
        <bgColor rgb="FFC5FFC7"/>
      </patternFill>
    </fill>
    <fill>
      <patternFill patternType="solid">
        <fgColor rgb="FFD9EAD3"/>
        <bgColor rgb="FFD9EAD3"/>
      </patternFill>
    </fill>
  </fills>
  <borders count="1">
    <border>
      <left/>
      <right/>
      <top/>
      <bottom/>
      <diagonal/>
    </border>
  </borders>
  <cellStyleXfs count="1">
    <xf numFmtId="0" fontId="0" fillId="0" borderId="0"/>
  </cellStyleXfs>
  <cellXfs count="277">
    <xf numFmtId="0" fontId="0" fillId="0" borderId="0" xfId="0" applyFont="1" applyAlignment="1"/>
    <xf numFmtId="0" fontId="1" fillId="0" borderId="0" xfId="0" applyFont="1" applyAlignment="1">
      <alignment horizontal="left"/>
    </xf>
    <xf numFmtId="0" fontId="1" fillId="0" borderId="0" xfId="0" applyFont="1" applyAlignment="1">
      <alignment horizontal="lef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left"/>
    </xf>
    <xf numFmtId="0" fontId="2" fillId="0" borderId="0" xfId="0" applyFont="1" applyAlignment="1">
      <alignment horizontal="left" wrapText="1"/>
    </xf>
    <xf numFmtId="0" fontId="1" fillId="0" borderId="0" xfId="0" applyFont="1" applyAlignment="1">
      <alignment horizontal="center"/>
    </xf>
    <xf numFmtId="0" fontId="2" fillId="0" borderId="0" xfId="0" applyFont="1" applyAlignment="1">
      <alignment horizontal="center" vertical="center"/>
    </xf>
    <xf numFmtId="0" fontId="2" fillId="0" borderId="0" xfId="0" applyFont="1" applyAlignment="1">
      <alignment horizontal="left" vertical="center" wrapText="1"/>
    </xf>
    <xf numFmtId="0" fontId="2" fillId="0" borderId="0" xfId="0" applyFont="1" applyAlignment="1">
      <alignment vertical="center"/>
    </xf>
    <xf numFmtId="0" fontId="2" fillId="0" borderId="0" xfId="0" applyFont="1" applyAlignment="1">
      <alignment horizontal="left" vertical="center"/>
    </xf>
    <xf numFmtId="0" fontId="1" fillId="0" borderId="0" xfId="0" applyFont="1" applyAlignment="1">
      <alignment horizontal="left" vertical="center" wrapText="1"/>
    </xf>
    <xf numFmtId="0" fontId="1" fillId="2" borderId="0" xfId="0" applyFont="1" applyFill="1" applyAlignment="1">
      <alignment vertical="center"/>
    </xf>
    <xf numFmtId="0" fontId="1" fillId="0" borderId="0" xfId="0" applyFont="1" applyAlignment="1">
      <alignment vertical="center"/>
    </xf>
    <xf numFmtId="0" fontId="1" fillId="3" borderId="0" xfId="0" applyFont="1" applyFill="1" applyAlignment="1">
      <alignment vertical="center"/>
    </xf>
    <xf numFmtId="0" fontId="1" fillId="4" borderId="0" xfId="0" applyFont="1" applyFill="1" applyAlignment="1">
      <alignment vertical="center"/>
    </xf>
    <xf numFmtId="0" fontId="3" fillId="0" borderId="0" xfId="0" applyFont="1" applyAlignment="1">
      <alignment vertical="center"/>
    </xf>
    <xf numFmtId="0" fontId="3" fillId="5" borderId="0" xfId="0" applyFont="1" applyFill="1" applyAlignment="1">
      <alignment horizontal="center" vertical="center"/>
    </xf>
    <xf numFmtId="0" fontId="3" fillId="5" borderId="0" xfId="0" applyFont="1" applyFill="1" applyAlignment="1">
      <alignment horizontal="center" vertical="center" wrapText="1"/>
    </xf>
    <xf numFmtId="0" fontId="3" fillId="0" borderId="0" xfId="0" applyFont="1" applyAlignment="1">
      <alignment horizontal="left" vertical="center" wrapText="1"/>
    </xf>
    <xf numFmtId="0" fontId="3" fillId="5" borderId="0" xfId="0" applyFont="1" applyFill="1" applyAlignment="1">
      <alignment vertical="center"/>
    </xf>
    <xf numFmtId="0" fontId="3" fillId="5" borderId="0" xfId="0" applyFont="1" applyFill="1" applyAlignment="1">
      <alignment vertical="center"/>
    </xf>
    <xf numFmtId="0" fontId="3" fillId="5" borderId="0" xfId="0" applyFont="1" applyFill="1" applyAlignment="1">
      <alignment horizontal="center" vertical="center"/>
    </xf>
    <xf numFmtId="0" fontId="3" fillId="6" borderId="0" xfId="0" applyFont="1" applyFill="1" applyAlignment="1">
      <alignment vertical="center"/>
    </xf>
    <xf numFmtId="0" fontId="3" fillId="0" borderId="0" xfId="0" applyFont="1" applyAlignment="1">
      <alignment vertical="center"/>
    </xf>
    <xf numFmtId="0" fontId="4" fillId="0" borderId="0" xfId="0" applyFont="1" applyAlignment="1">
      <alignment horizontal="right" vertical="center"/>
    </xf>
    <xf numFmtId="0" fontId="4" fillId="0" borderId="0" xfId="0" applyFont="1" applyAlignment="1">
      <alignment vertical="center"/>
    </xf>
    <xf numFmtId="0" fontId="4" fillId="5" borderId="0" xfId="0" applyFont="1" applyFill="1" applyAlignment="1">
      <alignment horizontal="center" vertical="center"/>
    </xf>
    <xf numFmtId="0" fontId="4" fillId="5" borderId="0" xfId="0" applyFont="1" applyFill="1" applyAlignment="1">
      <alignment horizontal="center" vertical="center"/>
    </xf>
    <xf numFmtId="0" fontId="4" fillId="5" borderId="0" xfId="0" applyFont="1" applyFill="1" applyAlignment="1">
      <alignment horizontal="center" vertical="center" wrapText="1"/>
    </xf>
    <xf numFmtId="0" fontId="4" fillId="2" borderId="0" xfId="0" applyFont="1" applyFill="1" applyAlignment="1">
      <alignment horizontal="left" vertical="center" wrapText="1"/>
    </xf>
    <xf numFmtId="0" fontId="4" fillId="5" borderId="0" xfId="0" applyFont="1" applyFill="1" applyAlignment="1">
      <alignment vertical="center"/>
    </xf>
    <xf numFmtId="0" fontId="4" fillId="5" borderId="0" xfId="0" applyFont="1" applyFill="1" applyAlignment="1">
      <alignment vertical="center"/>
    </xf>
    <xf numFmtId="0" fontId="4" fillId="6" borderId="0" xfId="0" applyFont="1" applyFill="1" applyAlignment="1">
      <alignment vertical="center"/>
    </xf>
    <xf numFmtId="0" fontId="4" fillId="0" borderId="0" xfId="0" applyFont="1" applyAlignment="1">
      <alignment vertical="center"/>
    </xf>
    <xf numFmtId="0" fontId="4" fillId="0" borderId="0" xfId="0" applyFont="1" applyAlignment="1">
      <alignment horizontal="center" vertical="center"/>
    </xf>
    <xf numFmtId="0" fontId="4" fillId="0" borderId="0" xfId="0" applyFont="1" applyAlignment="1">
      <alignment horizontal="left" vertical="center" wrapText="1"/>
    </xf>
    <xf numFmtId="0" fontId="4" fillId="6" borderId="0" xfId="0" applyFont="1" applyFill="1" applyAlignment="1">
      <alignment vertical="center"/>
    </xf>
    <xf numFmtId="0" fontId="4" fillId="0" borderId="0" xfId="0" quotePrefix="1" applyFont="1" applyAlignment="1">
      <alignment horizontal="left" vertical="center" wrapText="1"/>
    </xf>
    <xf numFmtId="0" fontId="1" fillId="5" borderId="0" xfId="0" applyFont="1" applyFill="1" applyAlignment="1">
      <alignment horizontal="center" vertical="center"/>
    </xf>
    <xf numFmtId="0" fontId="4" fillId="0" borderId="0" xfId="0" applyFont="1" applyAlignment="1">
      <alignment horizontal="left" vertical="center" wrapText="1"/>
    </xf>
    <xf numFmtId="0" fontId="1" fillId="0" borderId="0" xfId="0" applyFont="1" applyAlignment="1"/>
    <xf numFmtId="0" fontId="1" fillId="5" borderId="0" xfId="0" applyFont="1" applyFill="1" applyAlignment="1">
      <alignment vertical="center"/>
    </xf>
    <xf numFmtId="0" fontId="1" fillId="5" borderId="0" xfId="0" applyFont="1" applyFill="1" applyAlignment="1">
      <alignment vertical="center"/>
    </xf>
    <xf numFmtId="0" fontId="5" fillId="0" borderId="0" xfId="0" applyFont="1" applyAlignment="1"/>
    <xf numFmtId="0" fontId="6" fillId="0" borderId="0" xfId="0" applyFont="1"/>
    <xf numFmtId="0" fontId="6" fillId="0" borderId="0" xfId="0" applyFont="1"/>
    <xf numFmtId="0" fontId="5" fillId="0" borderId="0" xfId="0" applyFont="1"/>
    <xf numFmtId="0" fontId="6" fillId="0" borderId="0" xfId="0" applyFont="1" applyAlignment="1"/>
    <xf numFmtId="0" fontId="2" fillId="0" borderId="0" xfId="0" applyFont="1"/>
    <xf numFmtId="0" fontId="7" fillId="0" borderId="0" xfId="0" applyFont="1" applyAlignment="1">
      <alignment vertical="center"/>
    </xf>
    <xf numFmtId="0" fontId="7" fillId="0" borderId="0" xfId="0" applyFont="1" applyAlignment="1">
      <alignment horizontal="right" vertical="center"/>
    </xf>
    <xf numFmtId="0" fontId="7" fillId="0" borderId="0" xfId="0" applyFont="1" applyAlignment="1">
      <alignment horizontal="center" vertical="center"/>
    </xf>
    <xf numFmtId="0" fontId="7" fillId="0" borderId="0" xfId="0" applyFont="1" applyAlignment="1">
      <alignment vertical="center" wrapText="1"/>
    </xf>
    <xf numFmtId="0" fontId="2" fillId="0" borderId="0" xfId="0" applyFont="1" applyAlignment="1">
      <alignment vertical="center"/>
    </xf>
    <xf numFmtId="0" fontId="8" fillId="0" borderId="0" xfId="0" applyFont="1" applyAlignment="1">
      <alignment vertical="center"/>
    </xf>
    <xf numFmtId="0" fontId="8" fillId="0" borderId="0" xfId="0" applyFont="1" applyAlignment="1">
      <alignment horizontal="right" vertical="center"/>
    </xf>
    <xf numFmtId="0" fontId="8" fillId="0" borderId="0" xfId="0" applyFont="1" applyAlignment="1">
      <alignment horizontal="center" vertical="center"/>
    </xf>
    <xf numFmtId="0" fontId="8" fillId="0" borderId="0" xfId="0" applyFont="1" applyAlignment="1">
      <alignment vertical="center" wrapText="1"/>
    </xf>
    <xf numFmtId="0" fontId="1" fillId="0" borderId="0" xfId="0" applyFont="1" applyAlignment="1">
      <alignment vertical="center"/>
    </xf>
    <xf numFmtId="0" fontId="8" fillId="0" borderId="0" xfId="0" applyFont="1" applyAlignment="1">
      <alignment vertical="center"/>
    </xf>
    <xf numFmtId="0" fontId="8" fillId="0" borderId="0" xfId="0" applyFont="1" applyAlignment="1">
      <alignment horizontal="right" vertical="center"/>
    </xf>
    <xf numFmtId="0" fontId="8" fillId="0" borderId="0" xfId="0" applyFont="1" applyAlignment="1">
      <alignment horizontal="center" vertical="center"/>
    </xf>
    <xf numFmtId="0" fontId="8" fillId="6" borderId="0" xfId="0" applyFont="1" applyFill="1" applyAlignment="1">
      <alignment horizontal="right" vertical="center"/>
    </xf>
    <xf numFmtId="0" fontId="0" fillId="6" borderId="0" xfId="0" applyFont="1" applyFill="1" applyAlignment="1">
      <alignment vertical="center"/>
    </xf>
    <xf numFmtId="0" fontId="0" fillId="6" borderId="0" xfId="0" applyFont="1" applyFill="1" applyAlignment="1">
      <alignment horizontal="center" vertical="center"/>
    </xf>
    <xf numFmtId="0" fontId="6" fillId="0" borderId="0" xfId="0" applyFont="1" applyAlignment="1">
      <alignment horizontal="right" vertical="center"/>
    </xf>
    <xf numFmtId="0" fontId="6" fillId="0" borderId="0" xfId="0" applyFont="1" applyAlignment="1">
      <alignment horizontal="center" vertical="center"/>
    </xf>
    <xf numFmtId="0" fontId="1" fillId="0" borderId="0" xfId="0" applyFont="1" applyAlignment="1">
      <alignment vertical="center" wrapText="1"/>
    </xf>
    <xf numFmtId="0" fontId="1" fillId="0" borderId="0" xfId="0" applyFont="1" applyAlignment="1">
      <alignment vertical="center" wrapText="1"/>
    </xf>
    <xf numFmtId="0" fontId="0" fillId="6" borderId="0" xfId="0" applyFont="1" applyFill="1" applyAlignment="1">
      <alignment vertical="center"/>
    </xf>
    <xf numFmtId="0" fontId="0" fillId="6" borderId="0" xfId="0" applyFont="1" applyFill="1" applyAlignment="1">
      <alignment horizontal="left" vertical="center"/>
    </xf>
    <xf numFmtId="0" fontId="8" fillId="0" borderId="0" xfId="0" applyFont="1" applyAlignment="1">
      <alignment vertical="center" wrapText="1"/>
    </xf>
    <xf numFmtId="0" fontId="8" fillId="0" borderId="0" xfId="0" applyFont="1" applyAlignment="1">
      <alignment vertical="center"/>
    </xf>
    <xf numFmtId="0" fontId="6" fillId="0" borderId="0" xfId="0" applyFont="1" applyAlignment="1">
      <alignment vertical="center" wrapText="1"/>
    </xf>
    <xf numFmtId="0" fontId="6" fillId="0" borderId="0" xfId="0" applyFont="1" applyAlignment="1">
      <alignment vertical="center"/>
    </xf>
    <xf numFmtId="0" fontId="8" fillId="0" borderId="0" xfId="0" applyFont="1" applyAlignment="1">
      <alignment vertical="center"/>
    </xf>
    <xf numFmtId="0" fontId="5" fillId="0" borderId="0" xfId="0" applyFont="1" applyAlignment="1">
      <alignment horizontal="left" vertical="center"/>
    </xf>
    <xf numFmtId="0" fontId="5" fillId="0" borderId="0" xfId="0" applyFont="1" applyAlignment="1">
      <alignment horizontal="center" vertical="center"/>
    </xf>
    <xf numFmtId="1" fontId="5" fillId="7" borderId="0" xfId="0" applyNumberFormat="1" applyFont="1" applyFill="1" applyAlignment="1">
      <alignment horizontal="center" vertical="center"/>
    </xf>
    <xf numFmtId="0" fontId="5" fillId="7" borderId="0" xfId="0" applyFont="1" applyFill="1" applyAlignment="1">
      <alignment horizontal="center" vertical="center"/>
    </xf>
    <xf numFmtId="0" fontId="5" fillId="0" borderId="0" xfId="0" applyFont="1" applyAlignment="1">
      <alignment horizontal="center" vertical="center" wrapText="1"/>
    </xf>
    <xf numFmtId="0" fontId="2" fillId="0" borderId="0" xfId="0" applyFont="1" applyAlignment="1">
      <alignment horizontal="center" vertical="center"/>
    </xf>
    <xf numFmtId="0" fontId="2" fillId="0" borderId="0" xfId="0" applyFont="1" applyAlignment="1">
      <alignment horizontal="left" vertical="center" wrapText="1"/>
    </xf>
    <xf numFmtId="0" fontId="9" fillId="0" borderId="0" xfId="0" applyFont="1" applyAlignment="1">
      <alignment horizontal="center" vertical="center" wrapText="1"/>
    </xf>
    <xf numFmtId="0" fontId="9" fillId="0" borderId="0" xfId="0" applyFont="1" applyAlignment="1">
      <alignment horizontal="center" vertical="center"/>
    </xf>
    <xf numFmtId="0" fontId="2" fillId="0" borderId="0" xfId="0" applyFont="1" applyAlignment="1">
      <alignment horizontal="center" vertical="center"/>
    </xf>
    <xf numFmtId="0" fontId="2" fillId="0" borderId="0" xfId="0" applyFont="1" applyAlignment="1">
      <alignment horizontal="right" vertical="center"/>
    </xf>
    <xf numFmtId="0" fontId="8" fillId="8" borderId="0" xfId="0" applyFont="1" applyFill="1" applyAlignment="1">
      <alignment horizontal="left" vertical="center"/>
    </xf>
    <xf numFmtId="0" fontId="8" fillId="8" borderId="0" xfId="0" applyFont="1" applyFill="1" applyAlignment="1">
      <alignment horizontal="center" vertical="center"/>
    </xf>
    <xf numFmtId="1" fontId="6" fillId="7" borderId="0" xfId="0" applyNumberFormat="1" applyFont="1" applyFill="1" applyAlignment="1">
      <alignment horizontal="center" vertical="center"/>
    </xf>
    <xf numFmtId="0" fontId="8" fillId="7" borderId="0" xfId="0" applyFont="1" applyFill="1" applyAlignment="1">
      <alignment horizontal="center" vertical="center"/>
    </xf>
    <xf numFmtId="0" fontId="8" fillId="8" borderId="0" xfId="0" applyFont="1" applyFill="1" applyAlignment="1">
      <alignment horizontal="left" vertical="center" wrapText="1"/>
    </xf>
    <xf numFmtId="0" fontId="1"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vertical="center" wrapText="1"/>
    </xf>
    <xf numFmtId="0" fontId="10" fillId="0" borderId="0" xfId="0" applyFont="1" applyAlignment="1">
      <alignment vertical="center" wrapText="1"/>
    </xf>
    <xf numFmtId="0" fontId="10" fillId="0" borderId="0" xfId="0" applyFont="1" applyAlignment="1">
      <alignment horizontal="center" vertical="center" wrapText="1"/>
    </xf>
    <xf numFmtId="0" fontId="10" fillId="0" borderId="0" xfId="0" applyFont="1" applyAlignment="1">
      <alignment horizontal="center" vertical="center"/>
    </xf>
    <xf numFmtId="0" fontId="1" fillId="0" borderId="0" xfId="0" applyFont="1" applyAlignment="1">
      <alignment horizontal="right" vertical="center"/>
    </xf>
    <xf numFmtId="0" fontId="1" fillId="0" borderId="0" xfId="0" applyFont="1" applyAlignment="1">
      <alignment horizontal="center" vertical="center"/>
    </xf>
    <xf numFmtId="0" fontId="10" fillId="0" borderId="0" xfId="0" applyFont="1" applyAlignment="1">
      <alignment vertical="center" wrapText="1"/>
    </xf>
    <xf numFmtId="0" fontId="10" fillId="0" borderId="0" xfId="0" applyFont="1" applyAlignment="1">
      <alignment vertical="center"/>
    </xf>
    <xf numFmtId="0" fontId="1" fillId="0" borderId="0" xfId="0" applyFont="1" applyAlignment="1">
      <alignment vertical="center"/>
    </xf>
    <xf numFmtId="0" fontId="8" fillId="6" borderId="0" xfId="0" applyFont="1" applyFill="1" applyAlignment="1">
      <alignment horizontal="left" vertical="center"/>
    </xf>
    <xf numFmtId="0" fontId="8" fillId="6" borderId="0" xfId="0" applyFont="1" applyFill="1" applyAlignment="1">
      <alignment horizontal="center" vertical="center"/>
    </xf>
    <xf numFmtId="0" fontId="8" fillId="6" borderId="0" xfId="0" applyFont="1" applyFill="1" applyAlignment="1">
      <alignment horizontal="left" vertical="center" wrapText="1"/>
    </xf>
    <xf numFmtId="0" fontId="10" fillId="0" borderId="0" xfId="0" applyFont="1" applyAlignment="1">
      <alignment vertical="center"/>
    </xf>
    <xf numFmtId="0" fontId="1" fillId="0" borderId="0" xfId="0" applyFont="1" applyAlignment="1">
      <alignment vertical="center"/>
    </xf>
    <xf numFmtId="0" fontId="1" fillId="6" borderId="0" xfId="0" applyFont="1" applyFill="1" applyAlignment="1">
      <alignment horizontal="center" vertical="center"/>
    </xf>
    <xf numFmtId="0" fontId="1" fillId="0" borderId="0" xfId="0" applyFont="1" applyAlignment="1">
      <alignment horizontal="left" vertical="center"/>
    </xf>
    <xf numFmtId="1" fontId="1" fillId="7" borderId="0" xfId="0" applyNumberFormat="1" applyFont="1" applyFill="1" applyAlignment="1">
      <alignment horizontal="center" vertical="center"/>
    </xf>
    <xf numFmtId="0" fontId="1" fillId="7" borderId="0" xfId="0" applyFont="1" applyFill="1" applyAlignment="1">
      <alignment horizontal="center" vertical="center"/>
    </xf>
    <xf numFmtId="0" fontId="1" fillId="0" borderId="0" xfId="0" applyFont="1" applyAlignment="1">
      <alignment vertical="center" wrapText="1"/>
    </xf>
    <xf numFmtId="0" fontId="1" fillId="6" borderId="0" xfId="0" applyFont="1" applyFill="1" applyAlignment="1">
      <alignment horizontal="center" vertical="center"/>
    </xf>
    <xf numFmtId="0" fontId="8" fillId="8" borderId="0" xfId="0" applyFont="1" applyFill="1" applyAlignment="1">
      <alignment horizontal="center" vertical="center"/>
    </xf>
    <xf numFmtId="0" fontId="8" fillId="6" borderId="0" xfId="0" applyFont="1" applyFill="1" applyAlignment="1">
      <alignment horizontal="center" vertical="center"/>
    </xf>
    <xf numFmtId="0" fontId="1" fillId="7" borderId="0" xfId="0" applyFont="1" applyFill="1" applyAlignment="1">
      <alignment horizontal="center"/>
    </xf>
    <xf numFmtId="1" fontId="6" fillId="7" borderId="0" xfId="0" applyNumberFormat="1" applyFont="1" applyFill="1" applyAlignment="1">
      <alignment horizontal="center" vertical="center"/>
    </xf>
    <xf numFmtId="0" fontId="1" fillId="4" borderId="0" xfId="0" applyFont="1" applyFill="1" applyAlignment="1">
      <alignment horizontal="center" vertical="center"/>
    </xf>
    <xf numFmtId="0" fontId="8" fillId="9" borderId="0" xfId="0" applyFont="1" applyFill="1" applyAlignment="1">
      <alignment horizontal="left" vertical="center"/>
    </xf>
    <xf numFmtId="0" fontId="8" fillId="9" borderId="0" xfId="0" applyFont="1" applyFill="1" applyAlignment="1">
      <alignment horizontal="left" vertical="center" wrapText="1"/>
    </xf>
    <xf numFmtId="0" fontId="1" fillId="0" borderId="0" xfId="0" applyFont="1" applyAlignment="1">
      <alignment horizontal="left" vertical="center"/>
    </xf>
    <xf numFmtId="0" fontId="1" fillId="0" borderId="0" xfId="0" applyFont="1" applyAlignment="1">
      <alignment horizontal="center" vertical="center"/>
    </xf>
    <xf numFmtId="1" fontId="1" fillId="7" borderId="0" xfId="0" applyNumberFormat="1" applyFont="1" applyFill="1" applyAlignment="1">
      <alignment horizontal="center" vertical="center"/>
    </xf>
    <xf numFmtId="0" fontId="1" fillId="7" borderId="0" xfId="0" applyFont="1" applyFill="1" applyAlignment="1">
      <alignment horizontal="center" vertical="center"/>
    </xf>
    <xf numFmtId="0" fontId="11" fillId="0" borderId="0" xfId="0" applyFont="1" applyAlignment="1">
      <alignment vertical="center" wrapText="1"/>
    </xf>
    <xf numFmtId="0" fontId="11" fillId="0" borderId="0" xfId="0" applyFont="1" applyAlignment="1">
      <alignment vertical="center"/>
    </xf>
    <xf numFmtId="0" fontId="2" fillId="0" borderId="0" xfId="0" applyFont="1" applyAlignment="1"/>
    <xf numFmtId="0" fontId="1" fillId="0" borderId="0" xfId="0" applyFont="1" applyAlignment="1">
      <alignment horizontal="center"/>
    </xf>
    <xf numFmtId="0" fontId="12" fillId="0" borderId="0" xfId="0" applyFont="1"/>
    <xf numFmtId="1" fontId="13" fillId="6" borderId="0" xfId="0" applyNumberFormat="1" applyFont="1" applyFill="1"/>
    <xf numFmtId="0" fontId="1" fillId="5" borderId="0" xfId="0" applyFont="1" applyFill="1" applyAlignment="1">
      <alignment horizontal="center"/>
    </xf>
    <xf numFmtId="0" fontId="2" fillId="5" borderId="0" xfId="0" applyFont="1" applyFill="1" applyAlignment="1"/>
    <xf numFmtId="0" fontId="1" fillId="5" borderId="0" xfId="0" applyFont="1" applyFill="1"/>
    <xf numFmtId="0" fontId="14" fillId="6" borderId="0" xfId="0" applyFont="1" applyFill="1"/>
    <xf numFmtId="0" fontId="2" fillId="0" borderId="0" xfId="0" applyFont="1" applyAlignment="1">
      <alignment vertical="center" wrapText="1"/>
    </xf>
    <xf numFmtId="0" fontId="2" fillId="0" borderId="0" xfId="0" quotePrefix="1" applyFont="1" applyAlignment="1">
      <alignment vertical="center"/>
    </xf>
    <xf numFmtId="0" fontId="1" fillId="9" borderId="0" xfId="0" applyFont="1" applyFill="1" applyAlignment="1">
      <alignment vertical="center" wrapText="1"/>
    </xf>
    <xf numFmtId="0" fontId="1" fillId="0" borderId="0" xfId="0" applyFont="1" applyAlignment="1">
      <alignment wrapText="1"/>
    </xf>
    <xf numFmtId="0" fontId="1" fillId="6" borderId="0" xfId="0" applyFont="1" applyFill="1" applyAlignment="1">
      <alignment vertical="center" wrapText="1"/>
    </xf>
    <xf numFmtId="0" fontId="2" fillId="0" borderId="0" xfId="0" applyFont="1" applyAlignment="1">
      <alignment vertical="center" wrapText="1"/>
    </xf>
    <xf numFmtId="0" fontId="2" fillId="0" borderId="0" xfId="0" applyFont="1" applyAlignment="1">
      <alignment vertical="center" wrapText="1"/>
    </xf>
    <xf numFmtId="0" fontId="2" fillId="0" borderId="0" xfId="0" applyFont="1" applyAlignment="1">
      <alignment horizontal="center" vertical="center" wrapText="1"/>
    </xf>
    <xf numFmtId="0" fontId="1" fillId="0" borderId="0" xfId="0" applyFont="1" applyAlignment="1">
      <alignment horizontal="center" vertical="center" wrapText="1"/>
    </xf>
    <xf numFmtId="0" fontId="15" fillId="6" borderId="0" xfId="0" applyFont="1" applyFill="1" applyAlignment="1">
      <alignment horizontal="right"/>
    </xf>
    <xf numFmtId="0" fontId="1" fillId="0" borderId="0" xfId="0" quotePrefix="1" applyFont="1" applyAlignment="1">
      <alignment vertical="center" wrapText="1"/>
    </xf>
    <xf numFmtId="0" fontId="1" fillId="6" borderId="0" xfId="0" applyFont="1" applyFill="1" applyAlignment="1">
      <alignment vertical="center" wrapText="1"/>
    </xf>
    <xf numFmtId="0" fontId="1" fillId="6" borderId="0" xfId="0" applyFont="1" applyFill="1" applyAlignment="1">
      <alignment horizontal="center" vertical="center" wrapText="1"/>
    </xf>
    <xf numFmtId="0" fontId="1" fillId="6" borderId="0" xfId="0" applyFont="1" applyFill="1" applyAlignment="1">
      <alignment vertical="center" wrapText="1"/>
    </xf>
    <xf numFmtId="0" fontId="1" fillId="0" borderId="0" xfId="0" applyFont="1" applyAlignment="1">
      <alignment horizontal="center" vertical="center" wrapText="1"/>
    </xf>
    <xf numFmtId="0" fontId="5" fillId="0" borderId="0" xfId="0" applyFont="1"/>
    <xf numFmtId="0" fontId="7" fillId="0" borderId="0" xfId="0" applyFont="1" applyAlignment="1">
      <alignment vertical="center"/>
    </xf>
    <xf numFmtId="0" fontId="5" fillId="0" borderId="0" xfId="0" applyFont="1" applyAlignment="1"/>
    <xf numFmtId="0" fontId="5" fillId="0" borderId="0" xfId="0" applyFont="1" applyAlignment="1">
      <alignment horizontal="right"/>
    </xf>
    <xf numFmtId="0" fontId="6" fillId="0" borderId="0" xfId="0" applyFont="1" applyAlignment="1"/>
    <xf numFmtId="0" fontId="6" fillId="0" borderId="0" xfId="0" applyFont="1" applyAlignment="1">
      <alignment horizontal="right"/>
    </xf>
    <xf numFmtId="0" fontId="16" fillId="0" borderId="0" xfId="0" applyFont="1" applyAlignment="1">
      <alignment horizontal="center"/>
    </xf>
    <xf numFmtId="0" fontId="17" fillId="0" borderId="0" xfId="0" applyFont="1" applyAlignment="1">
      <alignment horizontal="center"/>
    </xf>
    <xf numFmtId="0" fontId="18" fillId="0" borderId="0" xfId="0" applyFont="1" applyAlignment="1">
      <alignment horizontal="center"/>
    </xf>
    <xf numFmtId="0" fontId="18" fillId="0" borderId="0" xfId="0" applyFont="1" applyAlignment="1"/>
    <xf numFmtId="0" fontId="18" fillId="0" borderId="0" xfId="0" applyFont="1" applyAlignment="1">
      <alignment vertical="center" wrapText="1"/>
    </xf>
    <xf numFmtId="0" fontId="16" fillId="0" borderId="0" xfId="0" applyFont="1" applyAlignment="1">
      <alignment horizontal="center" vertical="center" wrapText="1"/>
    </xf>
    <xf numFmtId="0" fontId="5" fillId="0" borderId="0" xfId="0" applyFont="1" applyAlignment="1">
      <alignment vertical="center" wrapText="1"/>
    </xf>
    <xf numFmtId="0" fontId="8" fillId="0" borderId="0" xfId="0" applyFont="1" applyAlignment="1">
      <alignment vertical="center" wrapText="1"/>
    </xf>
    <xf numFmtId="0" fontId="6" fillId="0" borderId="0" xfId="0" applyFont="1" applyAlignment="1">
      <alignment vertical="center" wrapText="1"/>
    </xf>
    <xf numFmtId="0" fontId="2" fillId="0" borderId="0" xfId="0" applyFont="1" applyAlignment="1">
      <alignment horizontal="right"/>
    </xf>
    <xf numFmtId="0" fontId="2" fillId="5" borderId="0" xfId="0" applyFont="1" applyFill="1" applyAlignment="1">
      <alignment horizontal="right"/>
    </xf>
    <xf numFmtId="0" fontId="2" fillId="5" borderId="0" xfId="0" applyFont="1" applyFill="1" applyAlignment="1">
      <alignment horizontal="center"/>
    </xf>
    <xf numFmtId="0" fontId="2" fillId="6" borderId="0" xfId="0" applyFont="1" applyFill="1" applyAlignment="1">
      <alignment horizontal="right"/>
    </xf>
    <xf numFmtId="0" fontId="2" fillId="10" borderId="0" xfId="0" applyFont="1" applyFill="1" applyAlignment="1">
      <alignment horizontal="right"/>
    </xf>
    <xf numFmtId="0" fontId="2" fillId="6" borderId="0" xfId="0" applyFont="1" applyFill="1" applyAlignment="1">
      <alignment horizontal="left"/>
    </xf>
    <xf numFmtId="0" fontId="2" fillId="6" borderId="0" xfId="0" applyFont="1" applyFill="1" applyAlignment="1"/>
    <xf numFmtId="0" fontId="1" fillId="0" borderId="0" xfId="0" applyFont="1" applyAlignment="1">
      <alignment horizontal="right"/>
    </xf>
    <xf numFmtId="0" fontId="1" fillId="5" borderId="0" xfId="0" applyFont="1" applyFill="1" applyAlignment="1">
      <alignment horizontal="right"/>
    </xf>
    <xf numFmtId="0" fontId="1" fillId="5" borderId="0" xfId="0" applyFont="1" applyFill="1" applyAlignment="1"/>
    <xf numFmtId="0" fontId="1" fillId="6" borderId="0" xfId="0" applyFont="1" applyFill="1" applyAlignment="1"/>
    <xf numFmtId="0" fontId="1" fillId="10" borderId="0" xfId="0" applyFont="1" applyFill="1" applyAlignment="1"/>
    <xf numFmtId="0" fontId="1" fillId="10" borderId="0" xfId="0" applyFont="1" applyFill="1"/>
    <xf numFmtId="0" fontId="1" fillId="0" borderId="0" xfId="0" quotePrefix="1" applyFont="1" applyAlignment="1"/>
    <xf numFmtId="0" fontId="19" fillId="6" borderId="0" xfId="0" applyFont="1" applyFill="1" applyAlignment="1">
      <alignment horizontal="left"/>
    </xf>
    <xf numFmtId="0" fontId="1" fillId="6" borderId="0" xfId="0" applyFont="1" applyFill="1"/>
    <xf numFmtId="0" fontId="1" fillId="6" borderId="0" xfId="0" applyFont="1" applyFill="1" applyAlignment="1">
      <alignment horizontal="right"/>
    </xf>
    <xf numFmtId="0" fontId="1" fillId="10" borderId="0" xfId="0" applyFont="1" applyFill="1" applyAlignment="1">
      <alignment horizontal="right"/>
    </xf>
    <xf numFmtId="0" fontId="1" fillId="5" borderId="0" xfId="0" applyFont="1" applyFill="1" applyAlignment="1">
      <alignment horizontal="center"/>
    </xf>
    <xf numFmtId="0" fontId="2" fillId="11" borderId="0" xfId="0" applyFont="1" applyFill="1" applyAlignment="1"/>
    <xf numFmtId="0" fontId="1" fillId="11" borderId="0" xfId="0" applyFont="1" applyFill="1" applyAlignment="1">
      <alignment horizontal="right"/>
    </xf>
    <xf numFmtId="0" fontId="1" fillId="6" borderId="0" xfId="0" applyFont="1" applyFill="1" applyAlignment="1">
      <alignment horizontal="right"/>
    </xf>
    <xf numFmtId="164" fontId="2" fillId="6" borderId="0" xfId="0" applyNumberFormat="1" applyFont="1" applyFill="1" applyAlignment="1">
      <alignment horizontal="right"/>
    </xf>
    <xf numFmtId="0" fontId="2" fillId="6" borderId="0" xfId="0" applyFont="1" applyFill="1" applyAlignment="1">
      <alignment horizontal="left"/>
    </xf>
    <xf numFmtId="0" fontId="2" fillId="6" borderId="0" xfId="0" applyFont="1" applyFill="1" applyAlignment="1">
      <alignment horizontal="right"/>
    </xf>
    <xf numFmtId="0" fontId="1" fillId="0" borderId="0" xfId="0" applyFont="1" applyAlignment="1">
      <alignment horizontal="right"/>
    </xf>
    <xf numFmtId="0" fontId="1" fillId="5" borderId="0" xfId="0" applyFont="1" applyFill="1" applyAlignment="1">
      <alignment horizontal="right"/>
    </xf>
    <xf numFmtId="0" fontId="2" fillId="12" borderId="0" xfId="0" applyFont="1" applyFill="1"/>
    <xf numFmtId="0" fontId="1" fillId="0" borderId="0" xfId="0" applyFont="1" applyAlignment="1">
      <alignment horizontal="left"/>
    </xf>
    <xf numFmtId="165" fontId="2" fillId="0" borderId="0" xfId="0" applyNumberFormat="1" applyFont="1" applyAlignment="1">
      <alignment horizontal="right"/>
    </xf>
    <xf numFmtId="164" fontId="2" fillId="0" borderId="0" xfId="0" applyNumberFormat="1" applyFont="1" applyAlignment="1">
      <alignment horizontal="right"/>
    </xf>
    <xf numFmtId="0" fontId="2" fillId="0" borderId="0" xfId="0" applyFont="1" applyAlignment="1">
      <alignment horizontal="right"/>
    </xf>
    <xf numFmtId="0" fontId="0" fillId="6" borderId="0" xfId="0" applyFont="1" applyFill="1"/>
    <xf numFmtId="0" fontId="2" fillId="10" borderId="0" xfId="0" applyFont="1" applyFill="1"/>
    <xf numFmtId="0" fontId="2" fillId="10" borderId="0" xfId="0" applyFont="1" applyFill="1" applyAlignment="1"/>
    <xf numFmtId="0" fontId="2" fillId="13" borderId="0" xfId="0" applyFont="1" applyFill="1" applyAlignment="1"/>
    <xf numFmtId="0" fontId="1" fillId="13" borderId="0" xfId="0" applyFont="1" applyFill="1"/>
    <xf numFmtId="0" fontId="1" fillId="13" borderId="0" xfId="0" applyFont="1" applyFill="1" applyAlignment="1">
      <alignment horizontal="right"/>
    </xf>
    <xf numFmtId="0" fontId="1" fillId="12" borderId="0" xfId="0" applyFont="1" applyFill="1"/>
    <xf numFmtId="0" fontId="1" fillId="12" borderId="0" xfId="0" applyFont="1" applyFill="1" applyAlignment="1">
      <alignment wrapText="1"/>
    </xf>
    <xf numFmtId="0" fontId="1" fillId="12" borderId="0" xfId="0" applyFont="1" applyFill="1" applyAlignment="1">
      <alignment vertical="center" wrapText="1"/>
    </xf>
    <xf numFmtId="0" fontId="1" fillId="12" borderId="0" xfId="0" applyFont="1" applyFill="1" applyAlignment="1"/>
    <xf numFmtId="0" fontId="1" fillId="0" borderId="0" xfId="0" applyFont="1" applyAlignment="1">
      <alignment wrapText="1"/>
    </xf>
    <xf numFmtId="0" fontId="2" fillId="0" borderId="0" xfId="0" applyFont="1" applyAlignment="1">
      <alignment vertical="center"/>
    </xf>
    <xf numFmtId="0" fontId="1" fillId="0" borderId="0" xfId="0" quotePrefix="1" applyFont="1" applyAlignment="1">
      <alignment vertical="center" wrapText="1"/>
    </xf>
    <xf numFmtId="0" fontId="19" fillId="6" borderId="0" xfId="0" applyFont="1" applyFill="1" applyAlignment="1">
      <alignment horizontal="left" vertical="center" wrapText="1"/>
    </xf>
    <xf numFmtId="0" fontId="0" fillId="6" borderId="0" xfId="0" applyFont="1" applyFill="1" applyAlignment="1"/>
    <xf numFmtId="0" fontId="1" fillId="0" borderId="0" xfId="0" applyFont="1" applyAlignment="1">
      <alignment wrapText="1"/>
    </xf>
    <xf numFmtId="0" fontId="2" fillId="0" borderId="0" xfId="0" applyFont="1" applyAlignment="1">
      <alignment horizontal="center"/>
    </xf>
    <xf numFmtId="0" fontId="2" fillId="10" borderId="0" xfId="0" applyFont="1" applyFill="1" applyAlignment="1">
      <alignment horizontal="center"/>
    </xf>
    <xf numFmtId="0" fontId="1" fillId="10" borderId="0" xfId="0" applyFont="1" applyFill="1" applyAlignment="1">
      <alignment horizontal="center"/>
    </xf>
    <xf numFmtId="0" fontId="1" fillId="10" borderId="0" xfId="0" applyFont="1" applyFill="1" applyAlignment="1">
      <alignment horizontal="center"/>
    </xf>
    <xf numFmtId="0" fontId="4" fillId="6" borderId="0" xfId="0" applyFont="1" applyFill="1" applyAlignment="1">
      <alignment horizontal="left"/>
    </xf>
    <xf numFmtId="0" fontId="1" fillId="0" borderId="0" xfId="0" applyFont="1"/>
    <xf numFmtId="0" fontId="1" fillId="10" borderId="0" xfId="0" applyFont="1" applyFill="1"/>
    <xf numFmtId="0" fontId="1" fillId="6" borderId="0" xfId="0" applyFont="1" applyFill="1" applyAlignment="1">
      <alignment horizontal="center"/>
    </xf>
    <xf numFmtId="0" fontId="1" fillId="6" borderId="0" xfId="0" applyFont="1" applyFill="1"/>
    <xf numFmtId="0" fontId="1" fillId="9" borderId="0" xfId="0" applyFont="1" applyFill="1"/>
    <xf numFmtId="0" fontId="2" fillId="14" borderId="0" xfId="0" applyFont="1" applyFill="1" applyAlignment="1"/>
    <xf numFmtId="0" fontId="20" fillId="0" borderId="0" xfId="0" applyFont="1" applyAlignment="1">
      <alignment horizontal="right"/>
    </xf>
    <xf numFmtId="0" fontId="20" fillId="0" borderId="0" xfId="0" applyFont="1" applyAlignment="1">
      <alignment horizontal="center"/>
    </xf>
    <xf numFmtId="0" fontId="21" fillId="0" borderId="0" xfId="0" applyFont="1" applyAlignment="1">
      <alignment horizontal="right"/>
    </xf>
    <xf numFmtId="0" fontId="21" fillId="0" borderId="0" xfId="0" applyFont="1" applyAlignment="1">
      <alignment horizontal="center"/>
    </xf>
    <xf numFmtId="0" fontId="22" fillId="0" borderId="0" xfId="0" applyFont="1" applyAlignment="1">
      <alignment horizontal="right"/>
    </xf>
    <xf numFmtId="0" fontId="22" fillId="0" borderId="0" xfId="0" applyFont="1" applyAlignment="1">
      <alignment horizontal="center"/>
    </xf>
    <xf numFmtId="0" fontId="23" fillId="0" borderId="0" xfId="0" applyFont="1" applyAlignment="1">
      <alignment horizontal="right"/>
    </xf>
    <xf numFmtId="0" fontId="23" fillId="0" borderId="0" xfId="0" applyFont="1" applyAlignment="1">
      <alignment horizontal="center"/>
    </xf>
    <xf numFmtId="0" fontId="24" fillId="0" borderId="0" xfId="0" applyFont="1" applyAlignment="1">
      <alignment horizontal="right"/>
    </xf>
    <xf numFmtId="0" fontId="24" fillId="0" borderId="0" xfId="0" applyFont="1" applyAlignment="1">
      <alignment horizontal="center"/>
    </xf>
    <xf numFmtId="0" fontId="2" fillId="0" borderId="0" xfId="0" applyFont="1" applyAlignment="1">
      <alignment horizontal="center" vertical="center" wrapText="1"/>
    </xf>
    <xf numFmtId="0" fontId="1" fillId="15" borderId="0" xfId="0" applyFont="1" applyFill="1" applyAlignment="1">
      <alignment vertical="center" wrapText="1"/>
    </xf>
    <xf numFmtId="0" fontId="1" fillId="2" borderId="0" xfId="0" applyFont="1" applyFill="1" applyAlignment="1">
      <alignment vertical="center" wrapText="1"/>
    </xf>
    <xf numFmtId="0" fontId="1" fillId="4" borderId="0" xfId="0" applyFont="1" applyFill="1" applyAlignment="1">
      <alignment vertical="center" wrapText="1"/>
    </xf>
    <xf numFmtId="0" fontId="1" fillId="0" borderId="0" xfId="0" applyFont="1" applyAlignment="1">
      <alignment horizontal="right" vertical="center" wrapText="1"/>
    </xf>
    <xf numFmtId="0" fontId="1" fillId="0" borderId="0" xfId="0" applyFont="1" applyAlignment="1">
      <alignment horizontal="left" vertical="center" wrapText="1"/>
    </xf>
    <xf numFmtId="0" fontId="0" fillId="6" borderId="0" xfId="0" applyFont="1" applyFill="1" applyAlignment="1">
      <alignment horizontal="left" vertical="center" wrapText="1"/>
    </xf>
    <xf numFmtId="0" fontId="4" fillId="0" borderId="0" xfId="0" applyFont="1" applyAlignment="1">
      <alignment vertical="center" wrapText="1"/>
    </xf>
    <xf numFmtId="0" fontId="4" fillId="0" borderId="0" xfId="0" applyFont="1" applyAlignment="1">
      <alignment horizontal="center" vertical="center" wrapText="1"/>
    </xf>
    <xf numFmtId="0" fontId="1" fillId="0" borderId="0" xfId="0" applyFont="1" applyAlignment="1">
      <alignment horizontal="center" vertical="center"/>
    </xf>
    <xf numFmtId="0" fontId="25" fillId="0" borderId="0" xfId="0" applyFont="1" applyAlignment="1">
      <alignment vertical="center" wrapText="1"/>
    </xf>
    <xf numFmtId="0" fontId="7" fillId="6" borderId="0" xfId="0" applyFont="1" applyFill="1" applyAlignment="1">
      <alignment horizontal="left" vertical="center"/>
    </xf>
    <xf numFmtId="1" fontId="7" fillId="6" borderId="0" xfId="0" applyNumberFormat="1" applyFont="1" applyFill="1" applyAlignment="1">
      <alignment horizontal="center" vertical="center"/>
    </xf>
    <xf numFmtId="0" fontId="7" fillId="6" borderId="0" xfId="0" applyFont="1" applyFill="1" applyAlignment="1">
      <alignment horizontal="center" vertical="center"/>
    </xf>
    <xf numFmtId="0" fontId="7" fillId="6" borderId="0" xfId="0" applyFont="1" applyFill="1" applyAlignment="1">
      <alignment horizontal="left" vertical="center" wrapText="1"/>
    </xf>
    <xf numFmtId="0" fontId="2" fillId="6" borderId="0" xfId="0" applyFont="1" applyFill="1" applyAlignment="1">
      <alignment horizontal="left" vertical="center" wrapText="1"/>
    </xf>
    <xf numFmtId="0" fontId="26" fillId="6" borderId="0" xfId="0" applyFont="1" applyFill="1" applyAlignment="1">
      <alignment horizontal="left" vertical="center" wrapText="1"/>
    </xf>
    <xf numFmtId="0" fontId="27" fillId="6" borderId="0" xfId="0" applyFont="1" applyFill="1" applyAlignment="1">
      <alignment vertical="center"/>
    </xf>
    <xf numFmtId="0" fontId="8" fillId="6" borderId="0" xfId="0" applyFont="1" applyFill="1" applyAlignment="1">
      <alignment horizontal="left" vertical="center"/>
    </xf>
    <xf numFmtId="1" fontId="8" fillId="6" borderId="0" xfId="0" applyNumberFormat="1" applyFont="1" applyFill="1" applyAlignment="1">
      <alignment horizontal="center" vertical="center"/>
    </xf>
    <xf numFmtId="0" fontId="8" fillId="6" borderId="0" xfId="0" applyFont="1" applyFill="1" applyAlignment="1">
      <alignment horizontal="center" vertical="center"/>
    </xf>
    <xf numFmtId="0" fontId="8" fillId="6" borderId="0" xfId="0" applyFont="1" applyFill="1" applyAlignment="1">
      <alignment horizontal="left" vertical="center" wrapText="1"/>
    </xf>
    <xf numFmtId="0" fontId="1" fillId="6" borderId="0" xfId="0" applyFont="1" applyFill="1" applyAlignment="1">
      <alignment horizontal="left" vertical="center" wrapText="1"/>
    </xf>
    <xf numFmtId="0" fontId="1" fillId="6" borderId="0" xfId="0" applyFont="1" applyFill="1" applyAlignment="1">
      <alignment horizontal="left" vertical="center" wrapText="1"/>
    </xf>
    <xf numFmtId="0" fontId="28" fillId="6" borderId="0" xfId="0" applyFont="1" applyFill="1" applyAlignment="1">
      <alignment horizontal="left" vertical="center" wrapText="1"/>
    </xf>
    <xf numFmtId="0" fontId="1" fillId="6" borderId="0" xfId="0" applyFont="1" applyFill="1" applyAlignment="1">
      <alignment horizontal="left" vertical="center"/>
    </xf>
    <xf numFmtId="0" fontId="29" fillId="6" borderId="0" xfId="0" applyFont="1" applyFill="1" applyAlignment="1">
      <alignment vertical="center"/>
    </xf>
    <xf numFmtId="0" fontId="1" fillId="6" borderId="0" xfId="0" applyFont="1" applyFill="1" applyAlignment="1">
      <alignment horizontal="left" vertical="center"/>
    </xf>
    <xf numFmtId="0" fontId="1" fillId="6" borderId="0" xfId="0" applyFont="1" applyFill="1" applyAlignment="1">
      <alignment horizontal="center" vertical="center"/>
    </xf>
    <xf numFmtId="0" fontId="1" fillId="6" borderId="0" xfId="0" applyFont="1" applyFill="1" applyAlignment="1">
      <alignment horizontal="center" vertical="center"/>
    </xf>
    <xf numFmtId="0" fontId="15" fillId="0" borderId="0" xfId="0" applyFont="1" applyAlignment="1">
      <alignment vertical="center"/>
    </xf>
    <xf numFmtId="0" fontId="1" fillId="0" borderId="0" xfId="0" applyFont="1" applyAlignment="1">
      <alignment vertical="center"/>
    </xf>
    <xf numFmtId="0" fontId="2" fillId="6" borderId="0" xfId="0" applyFont="1" applyFill="1" applyAlignment="1">
      <alignment horizontal="center" vertical="center"/>
    </xf>
    <xf numFmtId="0" fontId="0" fillId="6" borderId="0" xfId="0" applyFont="1" applyFill="1" applyAlignment="1">
      <alignment horizontal="center" vertical="center"/>
    </xf>
    <xf numFmtId="0" fontId="1" fillId="15" borderId="0" xfId="0" applyFont="1" applyFill="1" applyAlignment="1"/>
    <xf numFmtId="0" fontId="30" fillId="0" borderId="0" xfId="0" applyFont="1"/>
    <xf numFmtId="0" fontId="8" fillId="0" borderId="0" xfId="0" applyFont="1" applyAlignment="1">
      <alignment vertical="center"/>
    </xf>
    <xf numFmtId="0" fontId="0" fillId="0" borderId="0" xfId="0" applyFont="1" applyAlignment="1"/>
    <xf numFmtId="0" fontId="2" fillId="0" borderId="0" xfId="0" applyFont="1" applyAlignment="1">
      <alignment horizontal="right"/>
    </xf>
    <xf numFmtId="0" fontId="1" fillId="0" borderId="0" xfId="0" applyFont="1" applyAlignment="1">
      <alignment horizontal="center" vertical="center" wrapText="1"/>
    </xf>
    <xf numFmtId="0" fontId="2" fillId="0" borderId="0" xfId="0" applyFont="1" applyAlignment="1"/>
  </cellXfs>
  <cellStyles count="1">
    <cellStyle name="Normal" xfId="0" builtinId="0"/>
  </cellStyles>
  <dxfs count="40">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3F3F3"/>
          <bgColor rgb="FFF3F3F3"/>
        </patternFill>
      </fill>
    </dxf>
    <dxf>
      <fill>
        <patternFill patternType="solid">
          <fgColor rgb="FFFFE8CF"/>
          <bgColor rgb="FFFFE8CF"/>
        </patternFill>
      </fill>
    </dxf>
    <dxf>
      <fill>
        <patternFill patternType="solid">
          <fgColor rgb="FFE3EFFF"/>
          <bgColor rgb="FFE3EFFF"/>
        </patternFill>
      </fill>
    </dxf>
    <dxf>
      <fill>
        <patternFill patternType="none"/>
      </fill>
    </dxf>
    <dxf>
      <fill>
        <patternFill patternType="solid">
          <fgColor rgb="FFEFEFEF"/>
          <bgColor rgb="FFEFEFEF"/>
        </patternFill>
      </fill>
    </dxf>
    <dxf>
      <fill>
        <patternFill patternType="solid">
          <fgColor rgb="FFEFEFEF"/>
          <bgColor rgb="FFEFEFEF"/>
        </patternFill>
      </fill>
    </dxf>
    <dxf>
      <fill>
        <patternFill patternType="solid">
          <fgColor rgb="FFFFE1E1"/>
          <bgColor rgb="FFFFE1E1"/>
        </patternFill>
      </fill>
    </dxf>
    <dxf>
      <fill>
        <patternFill patternType="solid">
          <fgColor rgb="FFFFE1E1"/>
          <bgColor rgb="FFFFE1E1"/>
        </patternFill>
      </fill>
    </dxf>
    <dxf>
      <fill>
        <patternFill patternType="solid">
          <fgColor rgb="FFC5FFC7"/>
          <bgColor rgb="FFC5FFC7"/>
        </patternFill>
      </fill>
    </dxf>
    <dxf>
      <fill>
        <patternFill patternType="solid">
          <fgColor rgb="FFC5FFC7"/>
          <bgColor rgb="FFC5FFC7"/>
        </patternFill>
      </fill>
    </dxf>
    <dxf>
      <fill>
        <patternFill patternType="solid">
          <fgColor rgb="FFF4CCCC"/>
          <bgColor rgb="FFF4CCCC"/>
        </patternFill>
      </fill>
    </dxf>
    <dxf>
      <fill>
        <patternFill patternType="solid">
          <fgColor rgb="FFFFFCDF"/>
          <bgColor rgb="FFFFFCDF"/>
        </patternFill>
      </fill>
    </dxf>
    <dxf>
      <fill>
        <patternFill patternType="solid">
          <fgColor rgb="FFFFFCDF"/>
          <bgColor rgb="FFFFFCDF"/>
        </patternFill>
      </fill>
    </dxf>
    <dxf>
      <fill>
        <patternFill patternType="solid">
          <fgColor rgb="FFFFE1E1"/>
          <bgColor rgb="FFFFE1E1"/>
        </patternFill>
      </fill>
    </dxf>
    <dxf>
      <fill>
        <patternFill patternType="solid">
          <fgColor rgb="FFFFF2CC"/>
          <bgColor rgb="FFFFF2CC"/>
        </patternFill>
      </fill>
    </dxf>
    <dxf>
      <fill>
        <patternFill patternType="solid">
          <fgColor rgb="FFFFF2CC"/>
          <bgColor rgb="FFFFF2CC"/>
        </patternFill>
      </fill>
    </dxf>
    <dxf>
      <fill>
        <patternFill patternType="solid">
          <fgColor rgb="FFEAD1DC"/>
          <bgColor rgb="FFEAD1DC"/>
        </patternFill>
      </fill>
    </dxf>
    <dxf>
      <fill>
        <patternFill patternType="solid">
          <fgColor rgb="FFFFF2CC"/>
          <bgColor rgb="FFFFF2CC"/>
        </patternFill>
      </fill>
    </dxf>
    <dxf>
      <fill>
        <patternFill patternType="solid">
          <fgColor rgb="FFFFE1E1"/>
          <bgColor rgb="FFFFE1E1"/>
        </patternFill>
      </fill>
    </dxf>
    <dxf>
      <fill>
        <patternFill patternType="solid">
          <fgColor rgb="FFEFEFEF"/>
          <bgColor rgb="FFEFEFEF"/>
        </patternFill>
      </fill>
    </dxf>
    <dxf>
      <font>
        <color rgb="FF000000"/>
      </font>
      <fill>
        <patternFill patternType="solid">
          <fgColor rgb="FFFFE1E1"/>
          <bgColor rgb="FFFFE1E1"/>
        </patternFill>
      </fill>
    </dxf>
    <dxf>
      <fill>
        <patternFill patternType="solid">
          <fgColor rgb="FFF4CCCC"/>
          <bgColor rgb="FFF4CCCC"/>
        </patternFill>
      </fill>
    </dxf>
    <dxf>
      <fill>
        <patternFill patternType="solid">
          <fgColor rgb="FFFFE1E1"/>
          <bgColor rgb="FFFFE1E1"/>
        </patternFill>
      </fill>
    </dxf>
    <dxf>
      <fill>
        <patternFill patternType="solid">
          <fgColor rgb="FFF7F7F7"/>
          <bgColor rgb="FFF7F7F7"/>
        </patternFill>
      </fill>
    </dxf>
    <dxf>
      <fill>
        <patternFill patternType="solid">
          <fgColor rgb="FFFFFFFF"/>
          <bgColor rgb="FFFFFFFF"/>
        </patternFill>
      </fill>
    </dxf>
    <dxf>
      <fill>
        <patternFill patternType="solid">
          <fgColor rgb="FFF7F7F7"/>
          <bgColor rgb="FFF7F7F7"/>
        </patternFill>
      </fill>
    </dxf>
    <dxf>
      <fill>
        <patternFill patternType="solid">
          <fgColor rgb="FFFFFFFF"/>
          <bgColor rgb="FFFFFFFF"/>
        </patternFill>
      </fill>
    </dxf>
    <dxf>
      <fill>
        <patternFill patternType="solid">
          <fgColor rgb="FFFFFFFF"/>
          <bgColor rgb="FFFFFFFF"/>
        </patternFill>
      </fill>
    </dxf>
    <dxf>
      <fill>
        <patternFill patternType="solid">
          <fgColor rgb="FFF9F9F9"/>
          <bgColor rgb="FFF9F9F9"/>
        </patternFill>
      </fill>
    </dxf>
    <dxf>
      <fill>
        <patternFill patternType="solid">
          <fgColor rgb="FFFFFFFF"/>
          <bgColor rgb="FFFFFFFF"/>
        </patternFill>
      </fill>
    </dxf>
    <dxf>
      <fill>
        <patternFill patternType="solid">
          <fgColor rgb="FFFFFFFF"/>
          <bgColor rgb="FFFFFFFF"/>
        </patternFill>
      </fill>
    </dxf>
    <dxf>
      <fill>
        <patternFill patternType="solid">
          <fgColor rgb="FFF5F8FF"/>
          <bgColor rgb="FFF5F8FF"/>
        </patternFill>
      </fill>
    </dxf>
    <dxf>
      <fill>
        <patternFill patternType="solid">
          <fgColor rgb="FFFFFFFF"/>
          <bgColor rgb="FFFFFFFF"/>
        </patternFill>
      </fill>
    </dxf>
  </dxfs>
  <tableStyles count="4">
    <tableStyle name="Craftables by Ingredient-style" pivot="0" count="2" xr9:uid="{00000000-0011-0000-FFFF-FFFF00000000}">
      <tableStyleElement type="firstRowStripe" dxfId="39"/>
      <tableStyleElement type="secondRowStripe" dxfId="38"/>
    </tableStyle>
    <tableStyle name="Skills-style" pivot="0" count="3" xr9:uid="{00000000-0011-0000-FFFF-FFFF01000000}">
      <tableStyleElement type="headerRow" dxfId="37"/>
      <tableStyleElement type="firstRowStripe" dxfId="36"/>
      <tableStyleElement type="secondRowStripe" dxfId="35"/>
    </tableStyle>
    <tableStyle name="SurfacesClouds-style" pivot="0" count="3" xr9:uid="{00000000-0011-0000-FFFF-FFFF02000000}">
      <tableStyleElement type="headerRow" dxfId="34"/>
      <tableStyleElement type="firstRowStripe" dxfId="33"/>
      <tableStyleElement type="secondRowStripe" dxfId="32"/>
    </tableStyle>
    <tableStyle name="Abilities-style" pivot="0" count="2" xr9:uid="{00000000-0011-0000-FFFF-FFFF03000000}">
      <tableStyleElement type="firstRowStripe" dxfId="31"/>
      <tableStyleElement type="secondRowStripe" dxfId="3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V!$A$3</c:f>
              <c:strCache>
                <c:ptCount val="1"/>
                <c:pt idx="0">
                  <c:v>Big Tongs Roped Together</c:v>
                </c:pt>
              </c:strCache>
            </c:strRef>
          </c:tx>
          <c:spPr>
            <a:ln cmpd="sng">
              <a:solidFill>
                <a:srgbClr val="3366CC"/>
              </a:solidFill>
            </a:ln>
          </c:spPr>
          <c:marker>
            <c:symbol val="none"/>
          </c:marker>
          <c:cat>
            <c:numRef>
              <c:f>V!$B$1:$U$1</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V!$B$3:$U$3</c:f>
              <c:numCache>
                <c:formatCode>General</c:formatCode>
                <c:ptCount val="20"/>
                <c:pt idx="0">
                  <c:v>19</c:v>
                </c:pt>
                <c:pt idx="1">
                  <c:v>22</c:v>
                </c:pt>
                <c:pt idx="2">
                  <c:v>24</c:v>
                </c:pt>
                <c:pt idx="4">
                  <c:v>30</c:v>
                </c:pt>
                <c:pt idx="9">
                  <c:v>83</c:v>
                </c:pt>
                <c:pt idx="10">
                  <c:v>93</c:v>
                </c:pt>
                <c:pt idx="13">
                  <c:v>135</c:v>
                </c:pt>
                <c:pt idx="14">
                  <c:v>150</c:v>
                </c:pt>
              </c:numCache>
            </c:numRef>
          </c:val>
          <c:smooth val="1"/>
          <c:extLst>
            <c:ext xmlns:c16="http://schemas.microsoft.com/office/drawing/2014/chart" uri="{C3380CC4-5D6E-409C-BE32-E72D297353CC}">
              <c16:uniqueId val="{00000000-DA53-5F4F-81B8-F41FA4110045}"/>
            </c:ext>
          </c:extLst>
        </c:ser>
        <c:ser>
          <c:idx val="1"/>
          <c:order val="1"/>
          <c:tx>
            <c:strRef>
              <c:f>V!$A$4</c:f>
              <c:strCache>
                <c:ptCount val="1"/>
                <c:pt idx="0">
                  <c:v>Handmade Cloth Shirt</c:v>
                </c:pt>
              </c:strCache>
            </c:strRef>
          </c:tx>
          <c:spPr>
            <a:ln cmpd="sng">
              <a:solidFill>
                <a:srgbClr val="DC3912"/>
              </a:solidFill>
            </a:ln>
          </c:spPr>
          <c:marker>
            <c:symbol val="none"/>
          </c:marker>
          <c:cat>
            <c:numRef>
              <c:f>V!$B$1:$U$1</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V!$B$4:$U$4</c:f>
              <c:numCache>
                <c:formatCode>General</c:formatCode>
                <c:ptCount val="20"/>
                <c:pt idx="0">
                  <c:v>6</c:v>
                </c:pt>
                <c:pt idx="1">
                  <c:v>7</c:v>
                </c:pt>
                <c:pt idx="2">
                  <c:v>8</c:v>
                </c:pt>
                <c:pt idx="4">
                  <c:v>10</c:v>
                </c:pt>
                <c:pt idx="9">
                  <c:v>26</c:v>
                </c:pt>
                <c:pt idx="13">
                  <c:v>43</c:v>
                </c:pt>
                <c:pt idx="14">
                  <c:v>48</c:v>
                </c:pt>
              </c:numCache>
            </c:numRef>
          </c:val>
          <c:smooth val="1"/>
          <c:extLst>
            <c:ext xmlns:c16="http://schemas.microsoft.com/office/drawing/2014/chart" uri="{C3380CC4-5D6E-409C-BE32-E72D297353CC}">
              <c16:uniqueId val="{00000001-DA53-5F4F-81B8-F41FA4110045}"/>
            </c:ext>
          </c:extLst>
        </c:ser>
        <c:ser>
          <c:idx val="2"/>
          <c:order val="2"/>
          <c:tx>
            <c:strRef>
              <c:f>V!$A$5</c:f>
              <c:strCache>
                <c:ptCount val="1"/>
                <c:pt idx="0">
                  <c:v>Handmade Leather Armour</c:v>
                </c:pt>
              </c:strCache>
            </c:strRef>
          </c:tx>
          <c:spPr>
            <a:ln cmpd="sng">
              <a:solidFill>
                <a:srgbClr val="FF9900"/>
              </a:solidFill>
            </a:ln>
          </c:spPr>
          <c:marker>
            <c:symbol val="none"/>
          </c:marker>
          <c:cat>
            <c:numRef>
              <c:f>V!$B$1:$U$1</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V!$B$5:$U$5</c:f>
              <c:numCache>
                <c:formatCode>General</c:formatCode>
                <c:ptCount val="20"/>
                <c:pt idx="0">
                  <c:v>90</c:v>
                </c:pt>
                <c:pt idx="1">
                  <c:v>100</c:v>
                </c:pt>
                <c:pt idx="10">
                  <c:v>435</c:v>
                </c:pt>
              </c:numCache>
            </c:numRef>
          </c:val>
          <c:smooth val="1"/>
          <c:extLst>
            <c:ext xmlns:c16="http://schemas.microsoft.com/office/drawing/2014/chart" uri="{C3380CC4-5D6E-409C-BE32-E72D297353CC}">
              <c16:uniqueId val="{00000002-DA53-5F4F-81B8-F41FA4110045}"/>
            </c:ext>
          </c:extLst>
        </c:ser>
        <c:ser>
          <c:idx val="3"/>
          <c:order val="3"/>
          <c:tx>
            <c:strRef>
              <c:f>V!$A$7</c:f>
              <c:strCache>
                <c:ptCount val="1"/>
                <c:pt idx="0">
                  <c:v>Handmade Mail Armour</c:v>
                </c:pt>
              </c:strCache>
            </c:strRef>
          </c:tx>
          <c:spPr>
            <a:ln cmpd="sng">
              <a:solidFill>
                <a:srgbClr val="109618"/>
              </a:solidFill>
            </a:ln>
          </c:spPr>
          <c:marker>
            <c:symbol val="none"/>
          </c:marker>
          <c:cat>
            <c:numRef>
              <c:f>V!$B$1:$U$1</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V!$B$7:$U$7</c:f>
              <c:numCache>
                <c:formatCode>General</c:formatCode>
                <c:ptCount val="20"/>
                <c:pt idx="0">
                  <c:v>90</c:v>
                </c:pt>
                <c:pt idx="1">
                  <c:v>100</c:v>
                </c:pt>
                <c:pt idx="10">
                  <c:v>435</c:v>
                </c:pt>
              </c:numCache>
            </c:numRef>
          </c:val>
          <c:smooth val="1"/>
          <c:extLst>
            <c:ext xmlns:c16="http://schemas.microsoft.com/office/drawing/2014/chart" uri="{C3380CC4-5D6E-409C-BE32-E72D297353CC}">
              <c16:uniqueId val="{00000003-DA53-5F4F-81B8-F41FA4110045}"/>
            </c:ext>
          </c:extLst>
        </c:ser>
        <c:ser>
          <c:idx val="4"/>
          <c:order val="4"/>
          <c:tx>
            <c:strRef>
              <c:f>V!$A$10</c:f>
              <c:strCache>
                <c:ptCount val="1"/>
                <c:pt idx="0">
                  <c:v>Handmade Sword</c:v>
                </c:pt>
              </c:strCache>
            </c:strRef>
          </c:tx>
          <c:spPr>
            <a:ln cmpd="sng">
              <a:solidFill>
                <a:srgbClr val="990099"/>
              </a:solidFill>
            </a:ln>
          </c:spPr>
          <c:marker>
            <c:symbol val="none"/>
          </c:marker>
          <c:cat>
            <c:numRef>
              <c:f>V!$B$1:$U$1</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V!$B$10:$U$10</c:f>
              <c:numCache>
                <c:formatCode>General</c:formatCode>
                <c:ptCount val="20"/>
                <c:pt idx="0">
                  <c:v>55</c:v>
                </c:pt>
                <c:pt idx="1">
                  <c:v>62</c:v>
                </c:pt>
                <c:pt idx="2">
                  <c:v>69</c:v>
                </c:pt>
                <c:pt idx="4">
                  <c:v>87</c:v>
                </c:pt>
                <c:pt idx="9">
                  <c:v>240</c:v>
                </c:pt>
                <c:pt idx="10">
                  <c:v>265</c:v>
                </c:pt>
                <c:pt idx="13">
                  <c:v>385</c:v>
                </c:pt>
                <c:pt idx="14">
                  <c:v>430</c:v>
                </c:pt>
              </c:numCache>
            </c:numRef>
          </c:val>
          <c:smooth val="1"/>
          <c:extLst>
            <c:ext xmlns:c16="http://schemas.microsoft.com/office/drawing/2014/chart" uri="{C3380CC4-5D6E-409C-BE32-E72D297353CC}">
              <c16:uniqueId val="{00000004-DA53-5F4F-81B8-F41FA4110045}"/>
            </c:ext>
          </c:extLst>
        </c:ser>
        <c:ser>
          <c:idx val="5"/>
          <c:order val="5"/>
          <c:tx>
            <c:strRef>
              <c:f>V!$A$11</c:f>
              <c:strCache>
                <c:ptCount val="1"/>
                <c:pt idx="0">
                  <c:v>Improvised Staff</c:v>
                </c:pt>
              </c:strCache>
            </c:strRef>
          </c:tx>
          <c:spPr>
            <a:ln cmpd="sng">
              <a:solidFill>
                <a:srgbClr val="0099C6"/>
              </a:solidFill>
            </a:ln>
          </c:spPr>
          <c:marker>
            <c:symbol val="none"/>
          </c:marker>
          <c:cat>
            <c:numRef>
              <c:f>V!$B$1:$U$1</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V!$B$11:$U$11</c:f>
              <c:numCache>
                <c:formatCode>General</c:formatCode>
                <c:ptCount val="20"/>
                <c:pt idx="0">
                  <c:v>48</c:v>
                </c:pt>
                <c:pt idx="1">
                  <c:v>54</c:v>
                </c:pt>
                <c:pt idx="2">
                  <c:v>61</c:v>
                </c:pt>
                <c:pt idx="3">
                  <c:v>68</c:v>
                </c:pt>
                <c:pt idx="4">
                  <c:v>76</c:v>
                </c:pt>
                <c:pt idx="9">
                  <c:v>210</c:v>
                </c:pt>
                <c:pt idx="10">
                  <c:v>235</c:v>
                </c:pt>
                <c:pt idx="13">
                  <c:v>335</c:v>
                </c:pt>
                <c:pt idx="14">
                  <c:v>375</c:v>
                </c:pt>
              </c:numCache>
            </c:numRef>
          </c:val>
          <c:smooth val="1"/>
          <c:extLst>
            <c:ext xmlns:c16="http://schemas.microsoft.com/office/drawing/2014/chart" uri="{C3380CC4-5D6E-409C-BE32-E72D297353CC}">
              <c16:uniqueId val="{00000005-DA53-5F4F-81B8-F41FA4110045}"/>
            </c:ext>
          </c:extLst>
        </c:ser>
        <c:ser>
          <c:idx val="6"/>
          <c:order val="6"/>
          <c:tx>
            <c:strRef>
              <c:f>V!$A$12</c:f>
              <c:strCache>
                <c:ptCount val="1"/>
                <c:pt idx="0">
                  <c:v>Knife on a Stick</c:v>
                </c:pt>
              </c:strCache>
            </c:strRef>
          </c:tx>
          <c:spPr>
            <a:ln cmpd="sng">
              <a:solidFill>
                <a:srgbClr val="DD4477"/>
              </a:solidFill>
            </a:ln>
          </c:spPr>
          <c:marker>
            <c:symbol val="none"/>
          </c:marker>
          <c:cat>
            <c:numRef>
              <c:f>V!$B$1:$U$1</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V!$B$12:$U$12</c:f>
              <c:numCache>
                <c:formatCode>General</c:formatCode>
                <c:ptCount val="20"/>
                <c:pt idx="0">
                  <c:v>25</c:v>
                </c:pt>
                <c:pt idx="1">
                  <c:v>28</c:v>
                </c:pt>
                <c:pt idx="2">
                  <c:v>32</c:v>
                </c:pt>
                <c:pt idx="4">
                  <c:v>40</c:v>
                </c:pt>
                <c:pt idx="9">
                  <c:v>110</c:v>
                </c:pt>
                <c:pt idx="10">
                  <c:v>120</c:v>
                </c:pt>
                <c:pt idx="13">
                  <c:v>175</c:v>
                </c:pt>
                <c:pt idx="14">
                  <c:v>195</c:v>
                </c:pt>
              </c:numCache>
            </c:numRef>
          </c:val>
          <c:smooth val="1"/>
          <c:extLst>
            <c:ext xmlns:c16="http://schemas.microsoft.com/office/drawing/2014/chart" uri="{C3380CC4-5D6E-409C-BE32-E72D297353CC}">
              <c16:uniqueId val="{00000006-DA53-5F4F-81B8-F41FA4110045}"/>
            </c:ext>
          </c:extLst>
        </c:ser>
        <c:ser>
          <c:idx val="7"/>
          <c:order val="7"/>
          <c:tx>
            <c:strRef>
              <c:f>V!$A$13</c:f>
              <c:strCache>
                <c:ptCount val="1"/>
                <c:pt idx="0">
                  <c:v>Makeshift Club [1H]</c:v>
                </c:pt>
              </c:strCache>
            </c:strRef>
          </c:tx>
          <c:spPr>
            <a:ln cmpd="sng">
              <a:solidFill>
                <a:srgbClr val="66AA00"/>
              </a:solidFill>
            </a:ln>
          </c:spPr>
          <c:marker>
            <c:symbol val="none"/>
          </c:marker>
          <c:cat>
            <c:numRef>
              <c:f>V!$B$1:$U$1</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V!$B$13:$U$13</c:f>
              <c:numCache>
                <c:formatCode>General</c:formatCode>
                <c:ptCount val="20"/>
                <c:pt idx="0">
                  <c:v>2</c:v>
                </c:pt>
                <c:pt idx="1">
                  <c:v>2</c:v>
                </c:pt>
                <c:pt idx="2">
                  <c:v>2</c:v>
                </c:pt>
                <c:pt idx="9">
                  <c:v>5</c:v>
                </c:pt>
                <c:pt idx="13">
                  <c:v>14</c:v>
                </c:pt>
              </c:numCache>
            </c:numRef>
          </c:val>
          <c:smooth val="1"/>
          <c:extLst>
            <c:ext xmlns:c16="http://schemas.microsoft.com/office/drawing/2014/chart" uri="{C3380CC4-5D6E-409C-BE32-E72D297353CC}">
              <c16:uniqueId val="{00000007-DA53-5F4F-81B8-F41FA4110045}"/>
            </c:ext>
          </c:extLst>
        </c:ser>
        <c:ser>
          <c:idx val="8"/>
          <c:order val="8"/>
          <c:tx>
            <c:strRef>
              <c:f>V!$A$14</c:f>
              <c:strCache>
                <c:ptCount val="1"/>
                <c:pt idx="0">
                  <c:v>Makeshift Club [2H]</c:v>
                </c:pt>
              </c:strCache>
            </c:strRef>
          </c:tx>
          <c:spPr>
            <a:ln cmpd="sng">
              <a:solidFill>
                <a:srgbClr val="B82E2E"/>
              </a:solidFill>
            </a:ln>
          </c:spPr>
          <c:marker>
            <c:symbol val="none"/>
          </c:marker>
          <c:cat>
            <c:numRef>
              <c:f>V!$B$1:$U$1</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V!$B$14:$U$14</c:f>
              <c:numCache>
                <c:formatCode>General</c:formatCode>
                <c:ptCount val="20"/>
                <c:pt idx="0">
                  <c:v>20</c:v>
                </c:pt>
                <c:pt idx="1">
                  <c:v>23</c:v>
                </c:pt>
                <c:pt idx="2">
                  <c:v>26</c:v>
                </c:pt>
                <c:pt idx="4">
                  <c:v>32</c:v>
                </c:pt>
                <c:pt idx="9">
                  <c:v>87</c:v>
                </c:pt>
                <c:pt idx="13">
                  <c:v>140</c:v>
                </c:pt>
                <c:pt idx="14">
                  <c:v>155</c:v>
                </c:pt>
              </c:numCache>
            </c:numRef>
          </c:val>
          <c:smooth val="1"/>
          <c:extLst>
            <c:ext xmlns:c16="http://schemas.microsoft.com/office/drawing/2014/chart" uri="{C3380CC4-5D6E-409C-BE32-E72D297353CC}">
              <c16:uniqueId val="{00000008-DA53-5F4F-81B8-F41FA4110045}"/>
            </c:ext>
          </c:extLst>
        </c:ser>
        <c:ser>
          <c:idx val="9"/>
          <c:order val="9"/>
          <c:tx>
            <c:strRef>
              <c:f>V!$A$15</c:f>
              <c:strCache>
                <c:ptCount val="1"/>
                <c:pt idx="0">
                  <c:v>Makeshift Shield</c:v>
                </c:pt>
              </c:strCache>
            </c:strRef>
          </c:tx>
          <c:spPr>
            <a:ln cmpd="sng">
              <a:solidFill>
                <a:srgbClr val="316395"/>
              </a:solidFill>
            </a:ln>
          </c:spPr>
          <c:marker>
            <c:symbol val="none"/>
          </c:marker>
          <c:cat>
            <c:numRef>
              <c:f>V!$B$1:$U$1</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V!$B$15:$U$15</c:f>
              <c:numCache>
                <c:formatCode>General</c:formatCode>
                <c:ptCount val="20"/>
                <c:pt idx="0">
                  <c:v>10</c:v>
                </c:pt>
                <c:pt idx="1">
                  <c:v>12</c:v>
                </c:pt>
                <c:pt idx="2">
                  <c:v>13</c:v>
                </c:pt>
                <c:pt idx="4">
                  <c:v>16</c:v>
                </c:pt>
                <c:pt idx="9">
                  <c:v>44</c:v>
                </c:pt>
                <c:pt idx="10">
                  <c:v>49</c:v>
                </c:pt>
                <c:pt idx="13">
                  <c:v>71</c:v>
                </c:pt>
                <c:pt idx="14">
                  <c:v>79</c:v>
                </c:pt>
                <c:pt idx="19">
                  <c:v>190</c:v>
                </c:pt>
              </c:numCache>
            </c:numRef>
          </c:val>
          <c:smooth val="1"/>
          <c:extLst>
            <c:ext xmlns:c16="http://schemas.microsoft.com/office/drawing/2014/chart" uri="{C3380CC4-5D6E-409C-BE32-E72D297353CC}">
              <c16:uniqueId val="{00000009-DA53-5F4F-81B8-F41FA4110045}"/>
            </c:ext>
          </c:extLst>
        </c:ser>
        <c:ser>
          <c:idx val="10"/>
          <c:order val="10"/>
          <c:tx>
            <c:strRef>
              <c:f>V!$A$16</c:f>
              <c:strCache>
                <c:ptCount val="1"/>
                <c:pt idx="0">
                  <c:v>Makeshift Wand</c:v>
                </c:pt>
              </c:strCache>
            </c:strRef>
          </c:tx>
          <c:spPr>
            <a:ln cmpd="sng">
              <a:solidFill>
                <a:srgbClr val="994499"/>
              </a:solidFill>
            </a:ln>
          </c:spPr>
          <c:marker>
            <c:symbol val="none"/>
          </c:marker>
          <c:cat>
            <c:numRef>
              <c:f>V!$B$1:$U$1</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V!$B$16:$U$16</c:f>
              <c:numCache>
                <c:formatCode>General</c:formatCode>
                <c:ptCount val="20"/>
                <c:pt idx="0">
                  <c:v>31</c:v>
                </c:pt>
                <c:pt idx="1">
                  <c:v>35</c:v>
                </c:pt>
                <c:pt idx="2">
                  <c:v>39</c:v>
                </c:pt>
                <c:pt idx="4">
                  <c:v>49</c:v>
                </c:pt>
                <c:pt idx="9">
                  <c:v>135</c:v>
                </c:pt>
                <c:pt idx="10">
                  <c:v>150</c:v>
                </c:pt>
                <c:pt idx="13">
                  <c:v>220</c:v>
                </c:pt>
                <c:pt idx="14">
                  <c:v>245</c:v>
                </c:pt>
              </c:numCache>
            </c:numRef>
          </c:val>
          <c:smooth val="1"/>
          <c:extLst>
            <c:ext xmlns:c16="http://schemas.microsoft.com/office/drawing/2014/chart" uri="{C3380CC4-5D6E-409C-BE32-E72D297353CC}">
              <c16:uniqueId val="{0000000A-DA53-5F4F-81B8-F41FA4110045}"/>
            </c:ext>
          </c:extLst>
        </c:ser>
        <c:ser>
          <c:idx val="11"/>
          <c:order val="11"/>
          <c:tx>
            <c:strRef>
              <c:f>V!$A$17</c:f>
              <c:strCache>
                <c:ptCount val="1"/>
                <c:pt idx="0">
                  <c:v>Primitive Harpoon</c:v>
                </c:pt>
              </c:strCache>
            </c:strRef>
          </c:tx>
          <c:spPr>
            <a:ln cmpd="sng">
              <a:solidFill>
                <a:srgbClr val="22AA99"/>
              </a:solidFill>
            </a:ln>
          </c:spPr>
          <c:marker>
            <c:symbol val="none"/>
          </c:marker>
          <c:cat>
            <c:numRef>
              <c:f>V!$B$1:$U$1</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V!$B$17:$U$17</c:f>
              <c:numCache>
                <c:formatCode>General</c:formatCode>
                <c:ptCount val="20"/>
                <c:pt idx="0">
                  <c:v>4</c:v>
                </c:pt>
                <c:pt idx="1">
                  <c:v>5</c:v>
                </c:pt>
                <c:pt idx="2">
                  <c:v>6</c:v>
                </c:pt>
                <c:pt idx="4">
                  <c:v>7</c:v>
                </c:pt>
                <c:pt idx="9">
                  <c:v>18</c:v>
                </c:pt>
                <c:pt idx="10">
                  <c:v>20</c:v>
                </c:pt>
                <c:pt idx="13">
                  <c:v>29</c:v>
                </c:pt>
                <c:pt idx="14">
                  <c:v>32</c:v>
                </c:pt>
              </c:numCache>
            </c:numRef>
          </c:val>
          <c:smooth val="1"/>
          <c:extLst>
            <c:ext xmlns:c16="http://schemas.microsoft.com/office/drawing/2014/chart" uri="{C3380CC4-5D6E-409C-BE32-E72D297353CC}">
              <c16:uniqueId val="{0000000B-DA53-5F4F-81B8-F41FA4110045}"/>
            </c:ext>
          </c:extLst>
        </c:ser>
        <c:ser>
          <c:idx val="12"/>
          <c:order val="12"/>
          <c:tx>
            <c:strRef>
              <c:f>V!$A$18</c:f>
              <c:strCache>
                <c:ptCount val="1"/>
                <c:pt idx="0">
                  <c:v>Sharp Stone on a Long Stick</c:v>
                </c:pt>
              </c:strCache>
            </c:strRef>
          </c:tx>
          <c:spPr>
            <a:ln cmpd="sng">
              <a:solidFill>
                <a:srgbClr val="AAAA11"/>
              </a:solidFill>
            </a:ln>
          </c:spPr>
          <c:marker>
            <c:symbol val="none"/>
          </c:marker>
          <c:cat>
            <c:numRef>
              <c:f>V!$B$1:$U$1</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V!$B$18:$U$18</c:f>
              <c:numCache>
                <c:formatCode>General</c:formatCode>
                <c:ptCount val="20"/>
                <c:pt idx="0">
                  <c:v>35</c:v>
                </c:pt>
                <c:pt idx="1">
                  <c:v>40</c:v>
                </c:pt>
                <c:pt idx="2">
                  <c:v>44</c:v>
                </c:pt>
                <c:pt idx="4">
                  <c:v>56</c:v>
                </c:pt>
                <c:pt idx="9">
                  <c:v>150</c:v>
                </c:pt>
                <c:pt idx="10">
                  <c:v>170</c:v>
                </c:pt>
                <c:pt idx="13">
                  <c:v>245</c:v>
                </c:pt>
                <c:pt idx="14">
                  <c:v>275</c:v>
                </c:pt>
              </c:numCache>
            </c:numRef>
          </c:val>
          <c:smooth val="1"/>
          <c:extLst>
            <c:ext xmlns:c16="http://schemas.microsoft.com/office/drawing/2014/chart" uri="{C3380CC4-5D6E-409C-BE32-E72D297353CC}">
              <c16:uniqueId val="{0000000C-DA53-5F4F-81B8-F41FA4110045}"/>
            </c:ext>
          </c:extLst>
        </c:ser>
        <c:ser>
          <c:idx val="13"/>
          <c:order val="13"/>
          <c:tx>
            <c:strRef>
              <c:f>V!$A$19</c:f>
              <c:strCache>
                <c:ptCount val="1"/>
                <c:pt idx="0">
                  <c:v>Sharp Stone on a Stick</c:v>
                </c:pt>
              </c:strCache>
            </c:strRef>
          </c:tx>
          <c:spPr>
            <a:ln cmpd="sng">
              <a:solidFill>
                <a:srgbClr val="6633CC"/>
              </a:solidFill>
            </a:ln>
          </c:spPr>
          <c:marker>
            <c:symbol val="none"/>
          </c:marker>
          <c:cat>
            <c:numRef>
              <c:f>V!$B$1:$U$1</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V!$B$19:$U$19</c:f>
              <c:numCache>
                <c:formatCode>General</c:formatCode>
                <c:ptCount val="20"/>
                <c:pt idx="0">
                  <c:v>30</c:v>
                </c:pt>
                <c:pt idx="1">
                  <c:v>34</c:v>
                </c:pt>
                <c:pt idx="2">
                  <c:v>38</c:v>
                </c:pt>
                <c:pt idx="4">
                  <c:v>48</c:v>
                </c:pt>
                <c:pt idx="9">
                  <c:v>130</c:v>
                </c:pt>
                <c:pt idx="10">
                  <c:v>145</c:v>
                </c:pt>
                <c:pt idx="13">
                  <c:v>210</c:v>
                </c:pt>
                <c:pt idx="14">
                  <c:v>235</c:v>
                </c:pt>
              </c:numCache>
            </c:numRef>
          </c:val>
          <c:smooth val="1"/>
          <c:extLst>
            <c:ext xmlns:c16="http://schemas.microsoft.com/office/drawing/2014/chart" uri="{C3380CC4-5D6E-409C-BE32-E72D297353CC}">
              <c16:uniqueId val="{0000000D-DA53-5F4F-81B8-F41FA4110045}"/>
            </c:ext>
          </c:extLst>
        </c:ser>
        <c:ser>
          <c:idx val="14"/>
          <c:order val="14"/>
          <c:tx>
            <c:strRef>
              <c:f>V!$A$20</c:f>
              <c:strCache>
                <c:ptCount val="1"/>
                <c:pt idx="0">
                  <c:v>Shiv</c:v>
                </c:pt>
              </c:strCache>
            </c:strRef>
          </c:tx>
          <c:spPr>
            <a:ln cmpd="sng">
              <a:solidFill>
                <a:srgbClr val="E67300"/>
              </a:solidFill>
            </a:ln>
          </c:spPr>
          <c:marker>
            <c:symbol val="none"/>
          </c:marker>
          <c:cat>
            <c:numRef>
              <c:f>V!$B$1:$U$1</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V!$B$20:$U$20</c:f>
              <c:numCache>
                <c:formatCode>General</c:formatCode>
                <c:ptCount val="20"/>
                <c:pt idx="0">
                  <c:v>15</c:v>
                </c:pt>
                <c:pt idx="1">
                  <c:v>17</c:v>
                </c:pt>
                <c:pt idx="2">
                  <c:v>19</c:v>
                </c:pt>
                <c:pt idx="4">
                  <c:v>24</c:v>
                </c:pt>
                <c:pt idx="9">
                  <c:v>65</c:v>
                </c:pt>
                <c:pt idx="10">
                  <c:v>73</c:v>
                </c:pt>
                <c:pt idx="13">
                  <c:v>105</c:v>
                </c:pt>
                <c:pt idx="14">
                  <c:v>120</c:v>
                </c:pt>
              </c:numCache>
            </c:numRef>
          </c:val>
          <c:smooth val="1"/>
          <c:extLst>
            <c:ext xmlns:c16="http://schemas.microsoft.com/office/drawing/2014/chart" uri="{C3380CC4-5D6E-409C-BE32-E72D297353CC}">
              <c16:uniqueId val="{0000000E-DA53-5F4F-81B8-F41FA4110045}"/>
            </c:ext>
          </c:extLst>
        </c:ser>
        <c:ser>
          <c:idx val="15"/>
          <c:order val="15"/>
          <c:tx>
            <c:strRef>
              <c:f>V!$A$21</c:f>
              <c:strCache>
                <c:ptCount val="1"/>
                <c:pt idx="0">
                  <c:v>Toy Crossbow</c:v>
                </c:pt>
              </c:strCache>
            </c:strRef>
          </c:tx>
          <c:spPr>
            <a:ln cmpd="sng">
              <a:solidFill>
                <a:srgbClr val="8B0707"/>
              </a:solidFill>
            </a:ln>
          </c:spPr>
          <c:marker>
            <c:symbol val="none"/>
          </c:marker>
          <c:cat>
            <c:numRef>
              <c:f>V!$B$1:$U$1</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V!$B$21:$U$21</c:f>
              <c:numCache>
                <c:formatCode>General</c:formatCode>
                <c:ptCount val="20"/>
                <c:pt idx="0">
                  <c:v>34</c:v>
                </c:pt>
                <c:pt idx="1">
                  <c:v>39</c:v>
                </c:pt>
                <c:pt idx="2">
                  <c:v>43</c:v>
                </c:pt>
                <c:pt idx="3">
                  <c:v>48</c:v>
                </c:pt>
                <c:pt idx="4">
                  <c:v>54</c:v>
                </c:pt>
                <c:pt idx="9">
                  <c:v>150</c:v>
                </c:pt>
                <c:pt idx="10">
                  <c:v>165</c:v>
                </c:pt>
                <c:pt idx="13">
                  <c:v>240</c:v>
                </c:pt>
                <c:pt idx="14">
                  <c:v>265</c:v>
                </c:pt>
              </c:numCache>
            </c:numRef>
          </c:val>
          <c:smooth val="1"/>
          <c:extLst>
            <c:ext xmlns:c16="http://schemas.microsoft.com/office/drawing/2014/chart" uri="{C3380CC4-5D6E-409C-BE32-E72D297353CC}">
              <c16:uniqueId val="{0000000F-DA53-5F4F-81B8-F41FA4110045}"/>
            </c:ext>
          </c:extLst>
        </c:ser>
        <c:ser>
          <c:idx val="16"/>
          <c:order val="16"/>
          <c:tx>
            <c:strRef>
              <c:f>V!$A$22</c:f>
              <c:strCache>
                <c:ptCount val="1"/>
                <c:pt idx="0">
                  <c:v>Twig with a String</c:v>
                </c:pt>
              </c:strCache>
            </c:strRef>
          </c:tx>
          <c:spPr>
            <a:ln cmpd="sng">
              <a:solidFill>
                <a:srgbClr val="651067"/>
              </a:solidFill>
            </a:ln>
          </c:spPr>
          <c:marker>
            <c:symbol val="none"/>
          </c:marker>
          <c:cat>
            <c:numRef>
              <c:f>V!$B$1:$U$1</c:f>
              <c:numCache>
                <c:formatCode>General</c:formatCode>
                <c:ptCount val="2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numCache>
            </c:numRef>
          </c:cat>
          <c:val>
            <c:numRef>
              <c:f>V!$B$22:$U$22</c:f>
              <c:numCache>
                <c:formatCode>General</c:formatCode>
                <c:ptCount val="20"/>
                <c:pt idx="0">
                  <c:v>28</c:v>
                </c:pt>
                <c:pt idx="1">
                  <c:v>32</c:v>
                </c:pt>
                <c:pt idx="2">
                  <c:v>36</c:v>
                </c:pt>
                <c:pt idx="4">
                  <c:v>45</c:v>
                </c:pt>
                <c:pt idx="9">
                  <c:v>120</c:v>
                </c:pt>
                <c:pt idx="10">
                  <c:v>135</c:v>
                </c:pt>
                <c:pt idx="13">
                  <c:v>195</c:v>
                </c:pt>
                <c:pt idx="14">
                  <c:v>220</c:v>
                </c:pt>
              </c:numCache>
            </c:numRef>
          </c:val>
          <c:smooth val="1"/>
          <c:extLst>
            <c:ext xmlns:c16="http://schemas.microsoft.com/office/drawing/2014/chart" uri="{C3380CC4-5D6E-409C-BE32-E72D297353CC}">
              <c16:uniqueId val="{00000010-DA53-5F4F-81B8-F41FA4110045}"/>
            </c:ext>
          </c:extLst>
        </c:ser>
        <c:dLbls>
          <c:showLegendKey val="0"/>
          <c:showVal val="0"/>
          <c:showCatName val="0"/>
          <c:showSerName val="0"/>
          <c:showPercent val="0"/>
          <c:showBubbleSize val="0"/>
        </c:dLbls>
        <c:smooth val="0"/>
        <c:axId val="1934997365"/>
        <c:axId val="1872664743"/>
      </c:lineChart>
      <c:catAx>
        <c:axId val="1934997365"/>
        <c:scaling>
          <c:orientation val="minMax"/>
        </c:scaling>
        <c:delete val="0"/>
        <c:axPos val="b"/>
        <c:title>
          <c:tx>
            <c:rich>
              <a:bodyPr/>
              <a:lstStyle/>
              <a:p>
                <a:pPr lvl="0">
                  <a:defRPr b="0">
                    <a:solidFill>
                      <a:srgbClr val="000000"/>
                    </a:solidFill>
                    <a:latin typeface="Roboto"/>
                  </a:defRPr>
                </a:pPr>
                <a:endParaRPr/>
              </a:p>
            </c:rich>
          </c:tx>
          <c:overlay val="0"/>
        </c:title>
        <c:numFmt formatCode="General" sourceLinked="1"/>
        <c:majorTickMark val="none"/>
        <c:minorTickMark val="none"/>
        <c:tickLblPos val="nextTo"/>
        <c:txPr>
          <a:bodyPr/>
          <a:lstStyle/>
          <a:p>
            <a:pPr lvl="0">
              <a:defRPr b="0">
                <a:solidFill>
                  <a:srgbClr val="000000"/>
                </a:solidFill>
                <a:latin typeface="Roboto"/>
              </a:defRPr>
            </a:pPr>
            <a:endParaRPr lang="en-CN"/>
          </a:p>
        </c:txPr>
        <c:crossAx val="1872664743"/>
        <c:crosses val="autoZero"/>
        <c:auto val="1"/>
        <c:lblAlgn val="ctr"/>
        <c:lblOffset val="100"/>
        <c:noMultiLvlLbl val="1"/>
      </c:catAx>
      <c:valAx>
        <c:axId val="18726647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endParaRPr/>
              </a:p>
            </c:rich>
          </c:tx>
          <c:overlay val="0"/>
        </c:title>
        <c:numFmt formatCode="General" sourceLinked="0"/>
        <c:majorTickMark val="none"/>
        <c:minorTickMark val="none"/>
        <c:tickLblPos val="nextTo"/>
        <c:spPr>
          <a:ln/>
        </c:spPr>
        <c:txPr>
          <a:bodyPr/>
          <a:lstStyle/>
          <a:p>
            <a:pPr lvl="0">
              <a:defRPr b="0">
                <a:solidFill>
                  <a:srgbClr val="000000"/>
                </a:solidFill>
                <a:latin typeface="Roboto"/>
              </a:defRPr>
            </a:pPr>
            <a:endParaRPr lang="en-CN"/>
          </a:p>
        </c:txPr>
        <c:crossAx val="1934997365"/>
        <c:crosses val="autoZero"/>
        <c:crossBetween val="between"/>
      </c:valAx>
    </c:plotArea>
    <c:legend>
      <c:legendPos val="r"/>
      <c:overlay val="0"/>
      <c:txPr>
        <a:bodyPr/>
        <a:lstStyle/>
        <a:p>
          <a:pPr lvl="0">
            <a:defRPr b="0">
              <a:solidFill>
                <a:srgbClr val="000000"/>
              </a:solidFill>
              <a:latin typeface="Roboto"/>
            </a:defRPr>
          </a:pPr>
          <a:endParaRPr lang="en-CN"/>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1</xdr:col>
      <xdr:colOff>0</xdr:colOff>
      <xdr:row>53</xdr:row>
      <xdr:rowOff>190500</xdr:rowOff>
    </xdr:from>
    <xdr:ext cx="11772900" cy="7391400"/>
    <xdr:graphicFrame macro="">
      <xdr:nvGraphicFramePr>
        <xdr:cNvPr id="2" name="Chart 1" title="Chart">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D488" headerRowCount="0">
  <tableColumns count="30">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 id="17" xr3:uid="{00000000-0010-0000-0000-000011000000}" name="Column17"/>
    <tableColumn id="18" xr3:uid="{00000000-0010-0000-0000-000012000000}" name="Column18"/>
    <tableColumn id="19" xr3:uid="{00000000-0010-0000-0000-000013000000}" name="Column19"/>
    <tableColumn id="20" xr3:uid="{00000000-0010-0000-0000-000014000000}" name="Column20"/>
    <tableColumn id="21" xr3:uid="{00000000-0010-0000-0000-000015000000}" name="Column21"/>
    <tableColumn id="22" xr3:uid="{00000000-0010-0000-0000-000016000000}" name="Column22"/>
    <tableColumn id="23" xr3:uid="{00000000-0010-0000-0000-000017000000}" name="Column23"/>
    <tableColumn id="24" xr3:uid="{00000000-0010-0000-0000-000018000000}" name="Column24"/>
    <tableColumn id="25" xr3:uid="{00000000-0010-0000-0000-000019000000}" name="Column25"/>
    <tableColumn id="26" xr3:uid="{00000000-0010-0000-0000-00001A000000}" name="Column26"/>
    <tableColumn id="27" xr3:uid="{00000000-0010-0000-0000-00001B000000}" name="Column27"/>
    <tableColumn id="28" xr3:uid="{00000000-0010-0000-0000-00001C000000}" name="Column28"/>
    <tableColumn id="29" xr3:uid="{00000000-0010-0000-0000-00001D000000}" name="Column29"/>
    <tableColumn id="30" xr3:uid="{00000000-0010-0000-0000-00001E000000}" name="Column30"/>
  </tableColumns>
  <tableStyleInfo name="Craftables by Ingredient-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U243">
  <tableColumns count="21">
    <tableColumn id="1" xr3:uid="{00000000-0010-0000-0100-000001000000}" name="Skill"/>
    <tableColumn id="2" xr3:uid="{00000000-0010-0000-0100-000002000000}" name="Ability 1"/>
    <tableColumn id="3" xr3:uid="{00000000-0010-0000-0100-000003000000}" name="Ability 2"/>
    <tableColumn id="4" xr3:uid="{00000000-0010-0000-0100-000004000000}" name="Lvl"/>
    <tableColumn id="5" xr3:uid="{00000000-0010-0000-0100-000005000000}" name="AP"/>
    <tableColumn id="6" xr3:uid="{00000000-0010-0000-0100-000006000000}" name="Source"/>
    <tableColumn id="7" xr3:uid="{00000000-0010-0000-0100-000007000000}" name="CD"/>
    <tableColumn id="8" xr3:uid="{00000000-0010-0000-0100-000008000000}" name="Rng"/>
    <tableColumn id="9" xr3:uid="{00000000-0010-0000-0100-000009000000}" name="Rad"/>
    <tableColumn id="10" xr3:uid="{00000000-0010-0000-0100-00000A000000}" name="Res"/>
    <tableColumn id="11" xr3:uid="{00000000-0010-0000-0100-00000B000000}" name="Description"/>
    <tableColumn id="12" xr3:uid="{00000000-0010-0000-0100-00000C000000}" name="Numbers"/>
    <tableColumn id="13" xr3:uid="{00000000-0010-0000-0100-00000D000000}" name="DE"/>
    <tableColumn id="14" xr3:uid="{00000000-0010-0000-0100-00000E000000}" name="Wep Req"/>
    <tableColumn id="15" xr3:uid="{00000000-0010-0000-0100-00000F000000}" name="Bonus"/>
    <tableColumn id="16" xr3:uid="{00000000-0010-0000-0100-000010000000}" name="Status Quick-Reference"/>
    <tableColumn id="17" xr3:uid="{00000000-0010-0000-0100-000011000000}" name="Status 1"/>
    <tableColumn id="18" xr3:uid="{00000000-0010-0000-0100-000012000000}" name="Status 2"/>
    <tableColumn id="19" xr3:uid="{00000000-0010-0000-0100-000013000000}" name="Status 3"/>
    <tableColumn id="20" xr3:uid="{00000000-0010-0000-0100-000014000000}" name="Num Type"/>
    <tableColumn id="21" xr3:uid="{00000000-0010-0000-0100-000015000000}" name="Skill Count"/>
  </tableColumns>
  <tableStyleInfo name="Skills-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1:G42">
  <tableColumns count="7">
    <tableColumn id="1" xr3:uid="{00000000-0010-0000-0200-000001000000}" name="Name"/>
    <tableColumn id="2" xr3:uid="{00000000-0010-0000-0200-000002000000}" name="S/C"/>
    <tableColumn id="3" xr3:uid="{00000000-0010-0000-0200-000003000000}" name="Description"/>
    <tableColumn id="4" xr3:uid="{00000000-0010-0000-0200-000004000000}" name="Dur"/>
    <tableColumn id="5" xr3:uid="{00000000-0010-0000-0200-000005000000}" name="Resist"/>
    <tableColumn id="6" xr3:uid="{00000000-0010-0000-0200-000006000000}" name="Elemental Interactions"/>
    <tableColumn id="7" xr3:uid="{00000000-0010-0000-0200-000007000000}" name="Vaporize/Spike"/>
  </tableColumns>
  <tableStyleInfo name="SurfacesClouds-style"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1:D25" headerRowCount="0">
  <tableColumns count="4">
    <tableColumn id="1" xr3:uid="{00000000-0010-0000-0300-000001000000}" name="Column1"/>
    <tableColumn id="2" xr3:uid="{00000000-0010-0000-0300-000002000000}" name="Column2"/>
    <tableColumn id="3" xr3:uid="{00000000-0010-0000-0300-000003000000}" name="Column3"/>
    <tableColumn id="4" xr3:uid="{00000000-0010-0000-0300-000004000000}" name="Column4"/>
  </tableColumns>
  <tableStyleInfo name="Abilities-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1.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2.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3.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4.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hyperlink" Target="https://www.nexusmods.com/divinityoriginalsin2/mods/69/?" TargetMode="External"/><Relationship Id="rId1" Type="http://schemas.openxmlformats.org/officeDocument/2006/relationships/hyperlink" Target="https://www.nexusmods.com/divinityoriginalsin2/mods/204/?" TargetMode="External"/><Relationship Id="rId4" Type="http://schemas.openxmlformats.org/officeDocument/2006/relationships/comments" Target="../comments22.xml"/></Relationships>
</file>

<file path=xl/worksheets/_rels/sheet23.xml.rels><?xml version="1.0" encoding="UTF-8" standalone="yes"?>
<Relationships xmlns="http://schemas.openxmlformats.org/package/2006/relationships"><Relationship Id="rId2" Type="http://schemas.openxmlformats.org/officeDocument/2006/relationships/comments" Target="../comments23.xml"/><Relationship Id="rId1" Type="http://schemas.openxmlformats.org/officeDocument/2006/relationships/vmlDrawing" Target="../drawings/vmlDrawing23.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25.xml"/><Relationship Id="rId1" Type="http://schemas.openxmlformats.org/officeDocument/2006/relationships/vmlDrawing" Target="../drawings/vmlDrawing25.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26.xml"/><Relationship Id="rId1" Type="http://schemas.openxmlformats.org/officeDocument/2006/relationships/vmlDrawing" Target="../drawings/vmlDrawing26.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27.xml"/><Relationship Id="rId1" Type="http://schemas.openxmlformats.org/officeDocument/2006/relationships/vmlDrawing" Target="../drawings/vmlDrawing2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1004"/>
  <sheetViews>
    <sheetView workbookViewId="0"/>
  </sheetViews>
  <sheetFormatPr baseColWidth="10" defaultColWidth="14.5" defaultRowHeight="15.75" customHeight="1"/>
  <cols>
    <col min="1" max="1" width="22.5" customWidth="1"/>
    <col min="2" max="2" width="132.5" customWidth="1"/>
    <col min="3" max="3" width="30.6640625" customWidth="1"/>
  </cols>
  <sheetData>
    <row r="1" spans="1:3" ht="15.75" customHeight="1">
      <c r="A1" s="1"/>
      <c r="B1" s="2"/>
    </row>
    <row r="2" spans="1:3" ht="15.75" customHeight="1">
      <c r="A2" s="3"/>
      <c r="B2" s="4" t="s">
        <v>0</v>
      </c>
    </row>
    <row r="3" spans="1:3" ht="15.75" customHeight="1">
      <c r="A3" s="5"/>
      <c r="B3" s="6"/>
    </row>
    <row r="4" spans="1:3" ht="15.75" customHeight="1">
      <c r="A4" s="3"/>
      <c r="B4" s="4" t="s">
        <v>1</v>
      </c>
    </row>
    <row r="5" spans="1:3" ht="15.75" customHeight="1">
      <c r="A5" s="7"/>
      <c r="B5" s="6"/>
    </row>
    <row r="6" spans="1:3" ht="15.75" customHeight="1">
      <c r="A6" s="7"/>
      <c r="B6" s="4" t="s">
        <v>2</v>
      </c>
    </row>
    <row r="7" spans="1:3" ht="15.75" customHeight="1">
      <c r="A7" s="7"/>
      <c r="B7" s="6"/>
    </row>
    <row r="8" spans="1:3" ht="15.75" customHeight="1">
      <c r="A8" s="8" t="s">
        <v>3</v>
      </c>
      <c r="B8" s="9"/>
      <c r="C8" s="10" t="s">
        <v>4</v>
      </c>
    </row>
    <row r="9" spans="1:3" ht="15.75" customHeight="1">
      <c r="A9" s="11" t="s">
        <v>5</v>
      </c>
      <c r="B9" s="12" t="s">
        <v>6</v>
      </c>
      <c r="C9" s="13" t="s">
        <v>7</v>
      </c>
    </row>
    <row r="10" spans="1:3" ht="15.75" customHeight="1">
      <c r="A10" s="11" t="s">
        <v>8</v>
      </c>
      <c r="B10" s="12" t="s">
        <v>9</v>
      </c>
      <c r="C10" s="14" t="s">
        <v>10</v>
      </c>
    </row>
    <row r="11" spans="1:3" ht="15.75" customHeight="1">
      <c r="A11" s="11" t="s">
        <v>11</v>
      </c>
      <c r="B11" s="12" t="s">
        <v>12</v>
      </c>
      <c r="C11" s="15" t="s">
        <v>13</v>
      </c>
    </row>
    <row r="12" spans="1:3" ht="15.75" customHeight="1">
      <c r="A12" s="11" t="s">
        <v>14</v>
      </c>
      <c r="B12" s="12" t="s">
        <v>15</v>
      </c>
      <c r="C12" s="16" t="s">
        <v>16</v>
      </c>
    </row>
    <row r="13" spans="1:3" ht="15.75" customHeight="1">
      <c r="A13" s="11" t="s">
        <v>17</v>
      </c>
      <c r="B13" s="12" t="s">
        <v>18</v>
      </c>
      <c r="C13" s="14" t="s">
        <v>19</v>
      </c>
    </row>
    <row r="14" spans="1:3" ht="15.75" customHeight="1">
      <c r="A14" s="11" t="s">
        <v>20</v>
      </c>
      <c r="B14" s="12" t="s">
        <v>21</v>
      </c>
      <c r="C14" s="14" t="s">
        <v>19</v>
      </c>
    </row>
    <row r="15" spans="1:3" ht="15.75" customHeight="1">
      <c r="A15" s="11" t="s">
        <v>22</v>
      </c>
      <c r="B15" s="12" t="s">
        <v>23</v>
      </c>
      <c r="C15" s="16" t="s">
        <v>16</v>
      </c>
    </row>
    <row r="16" spans="1:3" ht="15.75" customHeight="1">
      <c r="A16" s="11" t="s">
        <v>24</v>
      </c>
      <c r="B16" s="12" t="s">
        <v>25</v>
      </c>
      <c r="C16" s="14" t="s">
        <v>26</v>
      </c>
    </row>
    <row r="17" spans="1:3" ht="15.75" customHeight="1">
      <c r="A17" s="11" t="s">
        <v>27</v>
      </c>
      <c r="B17" s="12" t="s">
        <v>28</v>
      </c>
      <c r="C17" s="16" t="s">
        <v>29</v>
      </c>
    </row>
    <row r="18" spans="1:3" ht="15.75" customHeight="1">
      <c r="A18" s="11" t="s">
        <v>30</v>
      </c>
      <c r="B18" s="12" t="s">
        <v>31</v>
      </c>
      <c r="C18" s="14" t="s">
        <v>26</v>
      </c>
    </row>
    <row r="19" spans="1:3" ht="15.75" customHeight="1">
      <c r="A19" s="11" t="s">
        <v>32</v>
      </c>
      <c r="B19" s="12" t="s">
        <v>33</v>
      </c>
      <c r="C19" s="15" t="s">
        <v>13</v>
      </c>
    </row>
    <row r="20" spans="1:3" ht="15.75" customHeight="1">
      <c r="A20" s="11" t="s">
        <v>34</v>
      </c>
      <c r="B20" s="12" t="s">
        <v>35</v>
      </c>
      <c r="C20" s="15" t="s">
        <v>13</v>
      </c>
    </row>
    <row r="21" spans="1:3" ht="15.75" customHeight="1">
      <c r="A21" s="11" t="s">
        <v>36</v>
      </c>
      <c r="B21" s="12" t="s">
        <v>37</v>
      </c>
      <c r="C21" s="16" t="s">
        <v>29</v>
      </c>
    </row>
    <row r="22" spans="1:3" ht="15.75" customHeight="1">
      <c r="A22" s="11" t="s">
        <v>38</v>
      </c>
      <c r="B22" s="12" t="s">
        <v>39</v>
      </c>
      <c r="C22" s="14" t="s">
        <v>19</v>
      </c>
    </row>
    <row r="23" spans="1:3" ht="15.75" customHeight="1">
      <c r="A23" s="11" t="s">
        <v>40</v>
      </c>
      <c r="B23" s="12" t="s">
        <v>41</v>
      </c>
      <c r="C23" s="14" t="s">
        <v>19</v>
      </c>
    </row>
    <row r="24" spans="1:3" ht="15.75" customHeight="1">
      <c r="A24" s="11" t="s">
        <v>42</v>
      </c>
      <c r="B24" s="12" t="s">
        <v>43</v>
      </c>
      <c r="C24" s="14" t="s">
        <v>26</v>
      </c>
    </row>
    <row r="25" spans="1:3" ht="15.75" customHeight="1">
      <c r="A25" s="11" t="s">
        <v>44</v>
      </c>
      <c r="B25" s="12" t="s">
        <v>45</v>
      </c>
      <c r="C25" s="14" t="s">
        <v>26</v>
      </c>
    </row>
    <row r="26" spans="1:3" ht="15.75" customHeight="1">
      <c r="A26" s="11" t="s">
        <v>46</v>
      </c>
      <c r="B26" s="12" t="s">
        <v>47</v>
      </c>
      <c r="C26" s="13" t="s">
        <v>48</v>
      </c>
    </row>
    <row r="27" spans="1:3" ht="15.75" customHeight="1">
      <c r="A27" s="11" t="s">
        <v>49</v>
      </c>
      <c r="B27" s="12" t="s">
        <v>50</v>
      </c>
      <c r="C27" s="14" t="s">
        <v>51</v>
      </c>
    </row>
    <row r="28" spans="1:3" ht="15.75" customHeight="1">
      <c r="A28" s="11" t="s">
        <v>52</v>
      </c>
      <c r="B28" s="12" t="s">
        <v>53</v>
      </c>
      <c r="C28" s="16" t="s">
        <v>54</v>
      </c>
    </row>
    <row r="29" spans="1:3" ht="15.75" customHeight="1">
      <c r="A29" s="5"/>
      <c r="B29" s="2"/>
    </row>
    <row r="30" spans="1:3" ht="15.75" customHeight="1">
      <c r="A30" s="5"/>
      <c r="B30" s="2"/>
    </row>
    <row r="31" spans="1:3" ht="15.75" customHeight="1">
      <c r="A31" s="5"/>
      <c r="B31" s="2"/>
    </row>
    <row r="32" spans="1:3" ht="15.75" customHeight="1">
      <c r="A32" s="5"/>
      <c r="B32" s="2"/>
    </row>
    <row r="33" spans="1:2" ht="15.75" customHeight="1">
      <c r="A33" s="5"/>
      <c r="B33" s="2"/>
    </row>
    <row r="34" spans="1:2" ht="15.75" customHeight="1">
      <c r="A34" s="5"/>
      <c r="B34" s="2"/>
    </row>
    <row r="35" spans="1:2" ht="15.75" customHeight="1">
      <c r="A35" s="5"/>
      <c r="B35" s="2"/>
    </row>
    <row r="36" spans="1:2" ht="15.75" customHeight="1">
      <c r="A36" s="5"/>
      <c r="B36" s="6"/>
    </row>
    <row r="37" spans="1:2" ht="15.75" customHeight="1">
      <c r="A37" s="5"/>
      <c r="B37" s="6"/>
    </row>
    <row r="38" spans="1:2" ht="15.75" customHeight="1">
      <c r="A38" s="5"/>
      <c r="B38" s="6"/>
    </row>
    <row r="39" spans="1:2" ht="15.75" customHeight="1">
      <c r="A39" s="5"/>
      <c r="B39" s="6"/>
    </row>
    <row r="40" spans="1:2" ht="15.75" customHeight="1">
      <c r="A40" s="5"/>
      <c r="B40" s="6"/>
    </row>
    <row r="41" spans="1:2" ht="15.75" customHeight="1">
      <c r="A41" s="5"/>
      <c r="B41" s="6"/>
    </row>
    <row r="42" spans="1:2" ht="15.75" customHeight="1">
      <c r="A42" s="5"/>
      <c r="B42" s="6"/>
    </row>
    <row r="43" spans="1:2" ht="15.75" customHeight="1">
      <c r="A43" s="5"/>
      <c r="B43" s="6"/>
    </row>
    <row r="44" spans="1:2" ht="15.75" customHeight="1">
      <c r="A44" s="5"/>
      <c r="B44" s="6"/>
    </row>
    <row r="45" spans="1:2" ht="15.75" customHeight="1">
      <c r="A45" s="5"/>
      <c r="B45" s="6"/>
    </row>
    <row r="46" spans="1:2" ht="15.75" customHeight="1">
      <c r="A46" s="5"/>
      <c r="B46" s="6"/>
    </row>
    <row r="47" spans="1:2" ht="15.75" customHeight="1">
      <c r="A47" s="5"/>
      <c r="B47" s="6"/>
    </row>
    <row r="48" spans="1:2" ht="15.75" customHeight="1">
      <c r="A48" s="5"/>
      <c r="B48" s="6"/>
    </row>
    <row r="49" spans="1:2" ht="15.75" customHeight="1">
      <c r="A49" s="5"/>
      <c r="B49" s="6"/>
    </row>
    <row r="50" spans="1:2" ht="15.75" customHeight="1">
      <c r="A50" s="5"/>
      <c r="B50" s="6"/>
    </row>
    <row r="51" spans="1:2" ht="15.75" customHeight="1">
      <c r="A51" s="5"/>
      <c r="B51" s="6"/>
    </row>
    <row r="52" spans="1:2" ht="15.75" customHeight="1">
      <c r="A52" s="5"/>
      <c r="B52" s="6"/>
    </row>
    <row r="53" spans="1:2" ht="15.75" customHeight="1">
      <c r="A53" s="5"/>
      <c r="B53" s="6"/>
    </row>
    <row r="54" spans="1:2" ht="15.75" customHeight="1">
      <c r="A54" s="5"/>
      <c r="B54" s="6"/>
    </row>
    <row r="55" spans="1:2" ht="13">
      <c r="A55" s="5"/>
      <c r="B55" s="6"/>
    </row>
    <row r="56" spans="1:2" ht="13">
      <c r="A56" s="5"/>
      <c r="B56" s="6"/>
    </row>
    <row r="57" spans="1:2" ht="13">
      <c r="A57" s="5"/>
      <c r="B57" s="6"/>
    </row>
    <row r="58" spans="1:2" ht="13">
      <c r="A58" s="5"/>
      <c r="B58" s="6"/>
    </row>
    <row r="59" spans="1:2" ht="13">
      <c r="A59" s="5"/>
      <c r="B59" s="6"/>
    </row>
    <row r="60" spans="1:2" ht="13">
      <c r="A60" s="5"/>
      <c r="B60" s="6"/>
    </row>
    <row r="61" spans="1:2" ht="13">
      <c r="A61" s="5"/>
      <c r="B61" s="6"/>
    </row>
    <row r="62" spans="1:2" ht="13">
      <c r="A62" s="5"/>
      <c r="B62" s="6"/>
    </row>
    <row r="63" spans="1:2" ht="13">
      <c r="A63" s="5"/>
      <c r="B63" s="6"/>
    </row>
    <row r="64" spans="1:2" ht="13">
      <c r="A64" s="5"/>
      <c r="B64" s="6"/>
    </row>
    <row r="65" spans="1:2" ht="13">
      <c r="A65" s="5"/>
      <c r="B65" s="6"/>
    </row>
    <row r="66" spans="1:2" ht="13">
      <c r="A66" s="5"/>
      <c r="B66" s="6"/>
    </row>
    <row r="67" spans="1:2" ht="13">
      <c r="A67" s="5"/>
      <c r="B67" s="6"/>
    </row>
    <row r="68" spans="1:2" ht="13">
      <c r="A68" s="5"/>
      <c r="B68" s="6"/>
    </row>
    <row r="69" spans="1:2" ht="13">
      <c r="A69" s="5"/>
      <c r="B69" s="6"/>
    </row>
    <row r="70" spans="1:2" ht="13">
      <c r="A70" s="5"/>
      <c r="B70" s="6"/>
    </row>
    <row r="71" spans="1:2" ht="13">
      <c r="A71" s="5"/>
      <c r="B71" s="6"/>
    </row>
    <row r="72" spans="1:2" ht="13">
      <c r="A72" s="5"/>
      <c r="B72" s="6"/>
    </row>
    <row r="73" spans="1:2" ht="13">
      <c r="A73" s="5"/>
      <c r="B73" s="6"/>
    </row>
    <row r="74" spans="1:2" ht="13">
      <c r="A74" s="5"/>
      <c r="B74" s="6"/>
    </row>
    <row r="75" spans="1:2" ht="13">
      <c r="A75" s="5"/>
      <c r="B75" s="6"/>
    </row>
    <row r="76" spans="1:2" ht="13">
      <c r="A76" s="5"/>
      <c r="B76" s="6"/>
    </row>
    <row r="77" spans="1:2" ht="13">
      <c r="A77" s="5"/>
      <c r="B77" s="6"/>
    </row>
    <row r="78" spans="1:2" ht="13">
      <c r="A78" s="5"/>
      <c r="B78" s="6"/>
    </row>
    <row r="79" spans="1:2" ht="13">
      <c r="A79" s="5"/>
      <c r="B79" s="6"/>
    </row>
    <row r="80" spans="1:2" ht="13">
      <c r="A80" s="5"/>
      <c r="B80" s="6"/>
    </row>
    <row r="81" spans="1:2" ht="13">
      <c r="A81" s="5"/>
      <c r="B81" s="6"/>
    </row>
    <row r="82" spans="1:2" ht="13">
      <c r="A82" s="5"/>
      <c r="B82" s="6"/>
    </row>
    <row r="83" spans="1:2" ht="13">
      <c r="A83" s="5"/>
      <c r="B83" s="6"/>
    </row>
    <row r="84" spans="1:2" ht="13">
      <c r="A84" s="5"/>
      <c r="B84" s="6"/>
    </row>
    <row r="85" spans="1:2" ht="13">
      <c r="A85" s="5"/>
      <c r="B85" s="6"/>
    </row>
    <row r="86" spans="1:2" ht="13">
      <c r="A86" s="5"/>
      <c r="B86" s="6"/>
    </row>
    <row r="87" spans="1:2" ht="13">
      <c r="A87" s="5"/>
      <c r="B87" s="6"/>
    </row>
    <row r="88" spans="1:2" ht="13">
      <c r="A88" s="5"/>
      <c r="B88" s="6"/>
    </row>
    <row r="89" spans="1:2" ht="13">
      <c r="A89" s="5"/>
      <c r="B89" s="6"/>
    </row>
    <row r="90" spans="1:2" ht="13">
      <c r="A90" s="5"/>
      <c r="B90" s="6"/>
    </row>
    <row r="91" spans="1:2" ht="13">
      <c r="A91" s="5"/>
      <c r="B91" s="6"/>
    </row>
    <row r="92" spans="1:2" ht="13">
      <c r="A92" s="5"/>
      <c r="B92" s="6"/>
    </row>
    <row r="93" spans="1:2" ht="13">
      <c r="A93" s="5"/>
      <c r="B93" s="6"/>
    </row>
    <row r="94" spans="1:2" ht="13">
      <c r="A94" s="5"/>
      <c r="B94" s="6"/>
    </row>
    <row r="95" spans="1:2" ht="13">
      <c r="A95" s="5"/>
      <c r="B95" s="6"/>
    </row>
    <row r="96" spans="1:2" ht="13">
      <c r="A96" s="5"/>
      <c r="B96" s="6"/>
    </row>
    <row r="97" spans="1:2" ht="13">
      <c r="A97" s="5"/>
      <c r="B97" s="6"/>
    </row>
    <row r="98" spans="1:2" ht="13">
      <c r="A98" s="5"/>
      <c r="B98" s="6"/>
    </row>
    <row r="99" spans="1:2" ht="13">
      <c r="A99" s="5"/>
      <c r="B99" s="6"/>
    </row>
    <row r="100" spans="1:2" ht="13">
      <c r="A100" s="5"/>
      <c r="B100" s="6"/>
    </row>
    <row r="101" spans="1:2" ht="13">
      <c r="A101" s="5"/>
      <c r="B101" s="6"/>
    </row>
    <row r="102" spans="1:2" ht="13">
      <c r="A102" s="5"/>
      <c r="B102" s="6"/>
    </row>
    <row r="103" spans="1:2" ht="13">
      <c r="A103" s="5"/>
      <c r="B103" s="6"/>
    </row>
    <row r="104" spans="1:2" ht="13">
      <c r="A104" s="5"/>
      <c r="B104" s="6"/>
    </row>
    <row r="105" spans="1:2" ht="13">
      <c r="A105" s="5"/>
      <c r="B105" s="6"/>
    </row>
    <row r="106" spans="1:2" ht="13">
      <c r="A106" s="5"/>
      <c r="B106" s="6"/>
    </row>
    <row r="107" spans="1:2" ht="13">
      <c r="A107" s="5"/>
      <c r="B107" s="6"/>
    </row>
    <row r="108" spans="1:2" ht="13">
      <c r="A108" s="5"/>
      <c r="B108" s="6"/>
    </row>
    <row r="109" spans="1:2" ht="13">
      <c r="A109" s="5"/>
      <c r="B109" s="6"/>
    </row>
    <row r="110" spans="1:2" ht="13">
      <c r="A110" s="5"/>
      <c r="B110" s="6"/>
    </row>
    <row r="111" spans="1:2" ht="13">
      <c r="A111" s="5"/>
      <c r="B111" s="6"/>
    </row>
    <row r="112" spans="1:2" ht="13">
      <c r="A112" s="5"/>
      <c r="B112" s="6"/>
    </row>
    <row r="113" spans="1:2" ht="13">
      <c r="A113" s="5"/>
      <c r="B113" s="6"/>
    </row>
    <row r="114" spans="1:2" ht="13">
      <c r="A114" s="5"/>
      <c r="B114" s="6"/>
    </row>
    <row r="115" spans="1:2" ht="13">
      <c r="A115" s="5"/>
      <c r="B115" s="6"/>
    </row>
    <row r="116" spans="1:2" ht="13">
      <c r="A116" s="5"/>
      <c r="B116" s="6"/>
    </row>
    <row r="117" spans="1:2" ht="13">
      <c r="A117" s="5"/>
      <c r="B117" s="6"/>
    </row>
    <row r="118" spans="1:2" ht="13">
      <c r="A118" s="5"/>
      <c r="B118" s="6"/>
    </row>
    <row r="119" spans="1:2" ht="13">
      <c r="A119" s="5"/>
      <c r="B119" s="6"/>
    </row>
    <row r="120" spans="1:2" ht="13">
      <c r="A120" s="5"/>
      <c r="B120" s="6"/>
    </row>
    <row r="121" spans="1:2" ht="13">
      <c r="A121" s="5"/>
      <c r="B121" s="6"/>
    </row>
    <row r="122" spans="1:2" ht="13">
      <c r="A122" s="5"/>
      <c r="B122" s="6"/>
    </row>
    <row r="123" spans="1:2" ht="13">
      <c r="A123" s="5"/>
      <c r="B123" s="6"/>
    </row>
    <row r="124" spans="1:2" ht="13">
      <c r="A124" s="5"/>
      <c r="B124" s="6"/>
    </row>
    <row r="125" spans="1:2" ht="13">
      <c r="A125" s="5"/>
      <c r="B125" s="6"/>
    </row>
    <row r="126" spans="1:2" ht="13">
      <c r="A126" s="5"/>
      <c r="B126" s="6"/>
    </row>
    <row r="127" spans="1:2" ht="13">
      <c r="A127" s="5"/>
      <c r="B127" s="6"/>
    </row>
    <row r="128" spans="1:2" ht="13">
      <c r="A128" s="5"/>
      <c r="B128" s="6"/>
    </row>
    <row r="129" spans="1:2" ht="13">
      <c r="A129" s="5"/>
      <c r="B129" s="6"/>
    </row>
    <row r="130" spans="1:2" ht="13">
      <c r="A130" s="5"/>
      <c r="B130" s="6"/>
    </row>
    <row r="131" spans="1:2" ht="13">
      <c r="A131" s="5"/>
      <c r="B131" s="6"/>
    </row>
    <row r="132" spans="1:2" ht="13">
      <c r="A132" s="5"/>
      <c r="B132" s="6"/>
    </row>
    <row r="133" spans="1:2" ht="13">
      <c r="A133" s="5"/>
      <c r="B133" s="6"/>
    </row>
    <row r="134" spans="1:2" ht="13">
      <c r="A134" s="5"/>
      <c r="B134" s="6"/>
    </row>
    <row r="135" spans="1:2" ht="13">
      <c r="A135" s="5"/>
      <c r="B135" s="6"/>
    </row>
    <row r="136" spans="1:2" ht="13">
      <c r="A136" s="5"/>
      <c r="B136" s="6"/>
    </row>
    <row r="137" spans="1:2" ht="13">
      <c r="A137" s="5"/>
      <c r="B137" s="6"/>
    </row>
    <row r="138" spans="1:2" ht="13">
      <c r="A138" s="5"/>
      <c r="B138" s="6"/>
    </row>
    <row r="139" spans="1:2" ht="13">
      <c r="A139" s="5"/>
      <c r="B139" s="6"/>
    </row>
    <row r="140" spans="1:2" ht="13">
      <c r="A140" s="5"/>
      <c r="B140" s="6"/>
    </row>
    <row r="141" spans="1:2" ht="13">
      <c r="A141" s="5"/>
      <c r="B141" s="6"/>
    </row>
    <row r="142" spans="1:2" ht="13">
      <c r="A142" s="5"/>
      <c r="B142" s="6"/>
    </row>
    <row r="143" spans="1:2" ht="13">
      <c r="A143" s="5"/>
      <c r="B143" s="6"/>
    </row>
    <row r="144" spans="1:2" ht="13">
      <c r="A144" s="5"/>
      <c r="B144" s="6"/>
    </row>
    <row r="145" spans="1:2" ht="13">
      <c r="A145" s="5"/>
      <c r="B145" s="6"/>
    </row>
    <row r="146" spans="1:2" ht="13">
      <c r="A146" s="5"/>
      <c r="B146" s="6"/>
    </row>
    <row r="147" spans="1:2" ht="13">
      <c r="A147" s="5"/>
      <c r="B147" s="6"/>
    </row>
    <row r="148" spans="1:2" ht="13">
      <c r="A148" s="5"/>
      <c r="B148" s="6"/>
    </row>
    <row r="149" spans="1:2" ht="13">
      <c r="A149" s="5"/>
      <c r="B149" s="6"/>
    </row>
    <row r="150" spans="1:2" ht="13">
      <c r="A150" s="5"/>
      <c r="B150" s="6"/>
    </row>
    <row r="151" spans="1:2" ht="13">
      <c r="A151" s="5"/>
      <c r="B151" s="6"/>
    </row>
    <row r="152" spans="1:2" ht="13">
      <c r="A152" s="5"/>
      <c r="B152" s="6"/>
    </row>
    <row r="153" spans="1:2" ht="13">
      <c r="A153" s="5"/>
      <c r="B153" s="6"/>
    </row>
    <row r="154" spans="1:2" ht="13">
      <c r="A154" s="5"/>
      <c r="B154" s="6"/>
    </row>
    <row r="155" spans="1:2" ht="13">
      <c r="A155" s="5"/>
      <c r="B155" s="6"/>
    </row>
    <row r="156" spans="1:2" ht="13">
      <c r="A156" s="5"/>
      <c r="B156" s="6"/>
    </row>
    <row r="157" spans="1:2" ht="13">
      <c r="A157" s="5"/>
      <c r="B157" s="6"/>
    </row>
    <row r="158" spans="1:2" ht="13">
      <c r="A158" s="5"/>
      <c r="B158" s="6"/>
    </row>
    <row r="159" spans="1:2" ht="13">
      <c r="A159" s="5"/>
      <c r="B159" s="6"/>
    </row>
    <row r="160" spans="1:2" ht="13">
      <c r="A160" s="5"/>
      <c r="B160" s="6"/>
    </row>
    <row r="161" spans="1:2" ht="13">
      <c r="A161" s="5"/>
      <c r="B161" s="6"/>
    </row>
    <row r="162" spans="1:2" ht="13">
      <c r="A162" s="5"/>
      <c r="B162" s="6"/>
    </row>
    <row r="163" spans="1:2" ht="13">
      <c r="A163" s="5"/>
      <c r="B163" s="6"/>
    </row>
    <row r="164" spans="1:2" ht="13">
      <c r="A164" s="5"/>
      <c r="B164" s="6"/>
    </row>
    <row r="165" spans="1:2" ht="13">
      <c r="A165" s="5"/>
      <c r="B165" s="6"/>
    </row>
    <row r="166" spans="1:2" ht="13">
      <c r="A166" s="5"/>
      <c r="B166" s="6"/>
    </row>
    <row r="167" spans="1:2" ht="13">
      <c r="A167" s="5"/>
      <c r="B167" s="6"/>
    </row>
    <row r="168" spans="1:2" ht="13">
      <c r="A168" s="5"/>
      <c r="B168" s="6"/>
    </row>
    <row r="169" spans="1:2" ht="13">
      <c r="A169" s="5"/>
      <c r="B169" s="6"/>
    </row>
    <row r="170" spans="1:2" ht="13">
      <c r="A170" s="5"/>
      <c r="B170" s="6"/>
    </row>
    <row r="171" spans="1:2" ht="13">
      <c r="A171" s="5"/>
      <c r="B171" s="6"/>
    </row>
    <row r="172" spans="1:2" ht="13">
      <c r="A172" s="5"/>
      <c r="B172" s="6"/>
    </row>
    <row r="173" spans="1:2" ht="13">
      <c r="A173" s="5"/>
      <c r="B173" s="6"/>
    </row>
    <row r="174" spans="1:2" ht="13">
      <c r="A174" s="5"/>
      <c r="B174" s="6"/>
    </row>
    <row r="175" spans="1:2" ht="13">
      <c r="A175" s="5"/>
      <c r="B175" s="6"/>
    </row>
    <row r="176" spans="1:2" ht="13">
      <c r="A176" s="5"/>
      <c r="B176" s="6"/>
    </row>
    <row r="177" spans="1:2" ht="13">
      <c r="A177" s="5"/>
      <c r="B177" s="6"/>
    </row>
    <row r="178" spans="1:2" ht="13">
      <c r="A178" s="5"/>
      <c r="B178" s="6"/>
    </row>
    <row r="179" spans="1:2" ht="13">
      <c r="A179" s="5"/>
      <c r="B179" s="6"/>
    </row>
    <row r="180" spans="1:2" ht="13">
      <c r="A180" s="5"/>
      <c r="B180" s="6"/>
    </row>
    <row r="181" spans="1:2" ht="13">
      <c r="A181" s="5"/>
      <c r="B181" s="6"/>
    </row>
    <row r="182" spans="1:2" ht="13">
      <c r="A182" s="5"/>
      <c r="B182" s="6"/>
    </row>
    <row r="183" spans="1:2" ht="13">
      <c r="A183" s="5"/>
      <c r="B183" s="6"/>
    </row>
    <row r="184" spans="1:2" ht="13">
      <c r="A184" s="5"/>
      <c r="B184" s="6"/>
    </row>
    <row r="185" spans="1:2" ht="13">
      <c r="A185" s="5"/>
      <c r="B185" s="6"/>
    </row>
    <row r="186" spans="1:2" ht="13">
      <c r="A186" s="5"/>
      <c r="B186" s="6"/>
    </row>
    <row r="187" spans="1:2" ht="13">
      <c r="A187" s="5"/>
      <c r="B187" s="6"/>
    </row>
    <row r="188" spans="1:2" ht="13">
      <c r="A188" s="5"/>
      <c r="B188" s="6"/>
    </row>
    <row r="189" spans="1:2" ht="13">
      <c r="A189" s="5"/>
      <c r="B189" s="6"/>
    </row>
    <row r="190" spans="1:2" ht="13">
      <c r="A190" s="5"/>
      <c r="B190" s="6"/>
    </row>
    <row r="191" spans="1:2" ht="13">
      <c r="A191" s="5"/>
      <c r="B191" s="6"/>
    </row>
    <row r="192" spans="1:2" ht="13">
      <c r="A192" s="5"/>
      <c r="B192" s="6"/>
    </row>
    <row r="193" spans="1:2" ht="13">
      <c r="A193" s="5"/>
      <c r="B193" s="6"/>
    </row>
    <row r="194" spans="1:2" ht="13">
      <c r="A194" s="5"/>
      <c r="B194" s="6"/>
    </row>
    <row r="195" spans="1:2" ht="13">
      <c r="A195" s="5"/>
      <c r="B195" s="6"/>
    </row>
    <row r="196" spans="1:2" ht="13">
      <c r="A196" s="5"/>
      <c r="B196" s="6"/>
    </row>
    <row r="197" spans="1:2" ht="13">
      <c r="A197" s="5"/>
      <c r="B197" s="6"/>
    </row>
    <row r="198" spans="1:2" ht="13">
      <c r="A198" s="5"/>
      <c r="B198" s="6"/>
    </row>
    <row r="199" spans="1:2" ht="13">
      <c r="A199" s="5"/>
      <c r="B199" s="6"/>
    </row>
    <row r="200" spans="1:2" ht="13">
      <c r="A200" s="5"/>
      <c r="B200" s="6"/>
    </row>
    <row r="201" spans="1:2" ht="13">
      <c r="A201" s="5"/>
      <c r="B201" s="6"/>
    </row>
    <row r="202" spans="1:2" ht="13">
      <c r="A202" s="5"/>
      <c r="B202" s="6"/>
    </row>
    <row r="203" spans="1:2" ht="13">
      <c r="A203" s="5"/>
      <c r="B203" s="6"/>
    </row>
    <row r="204" spans="1:2" ht="13">
      <c r="A204" s="5"/>
      <c r="B204" s="6"/>
    </row>
    <row r="205" spans="1:2" ht="13">
      <c r="A205" s="5"/>
      <c r="B205" s="6"/>
    </row>
    <row r="206" spans="1:2" ht="13">
      <c r="A206" s="5"/>
      <c r="B206" s="6"/>
    </row>
    <row r="207" spans="1:2" ht="13">
      <c r="A207" s="5"/>
      <c r="B207" s="6"/>
    </row>
    <row r="208" spans="1:2" ht="13">
      <c r="A208" s="5"/>
      <c r="B208" s="6"/>
    </row>
    <row r="209" spans="1:2" ht="13">
      <c r="A209" s="5"/>
      <c r="B209" s="6"/>
    </row>
    <row r="210" spans="1:2" ht="13">
      <c r="A210" s="5"/>
      <c r="B210" s="6"/>
    </row>
    <row r="211" spans="1:2" ht="13">
      <c r="A211" s="5"/>
      <c r="B211" s="6"/>
    </row>
    <row r="212" spans="1:2" ht="13">
      <c r="A212" s="5"/>
      <c r="B212" s="6"/>
    </row>
    <row r="213" spans="1:2" ht="13">
      <c r="A213" s="5"/>
      <c r="B213" s="6"/>
    </row>
    <row r="214" spans="1:2" ht="13">
      <c r="A214" s="5"/>
      <c r="B214" s="6"/>
    </row>
    <row r="215" spans="1:2" ht="13">
      <c r="A215" s="5"/>
      <c r="B215" s="6"/>
    </row>
    <row r="216" spans="1:2" ht="13">
      <c r="A216" s="5"/>
      <c r="B216" s="6"/>
    </row>
    <row r="217" spans="1:2" ht="13">
      <c r="A217" s="5"/>
      <c r="B217" s="6"/>
    </row>
    <row r="218" spans="1:2" ht="13">
      <c r="A218" s="5"/>
      <c r="B218" s="6"/>
    </row>
    <row r="219" spans="1:2" ht="13">
      <c r="A219" s="5"/>
      <c r="B219" s="6"/>
    </row>
    <row r="220" spans="1:2" ht="13">
      <c r="A220" s="5"/>
      <c r="B220" s="6"/>
    </row>
    <row r="221" spans="1:2" ht="13">
      <c r="A221" s="5"/>
      <c r="B221" s="6"/>
    </row>
    <row r="222" spans="1:2" ht="13">
      <c r="A222" s="5"/>
      <c r="B222" s="6"/>
    </row>
    <row r="223" spans="1:2" ht="13">
      <c r="A223" s="5"/>
      <c r="B223" s="6"/>
    </row>
    <row r="224" spans="1:2" ht="13">
      <c r="A224" s="5"/>
      <c r="B224" s="6"/>
    </row>
    <row r="225" spans="1:2" ht="13">
      <c r="A225" s="5"/>
      <c r="B225" s="6"/>
    </row>
    <row r="226" spans="1:2" ht="13">
      <c r="A226" s="5"/>
      <c r="B226" s="6"/>
    </row>
    <row r="227" spans="1:2" ht="13">
      <c r="A227" s="5"/>
      <c r="B227" s="6"/>
    </row>
    <row r="228" spans="1:2" ht="13">
      <c r="A228" s="5"/>
      <c r="B228" s="6"/>
    </row>
    <row r="229" spans="1:2" ht="13">
      <c r="A229" s="5"/>
      <c r="B229" s="6"/>
    </row>
    <row r="230" spans="1:2" ht="13">
      <c r="A230" s="5"/>
      <c r="B230" s="6"/>
    </row>
    <row r="231" spans="1:2" ht="13">
      <c r="A231" s="5"/>
      <c r="B231" s="6"/>
    </row>
    <row r="232" spans="1:2" ht="13">
      <c r="A232" s="5"/>
      <c r="B232" s="6"/>
    </row>
    <row r="233" spans="1:2" ht="13">
      <c r="A233" s="5"/>
      <c r="B233" s="6"/>
    </row>
    <row r="234" spans="1:2" ht="13">
      <c r="A234" s="5"/>
      <c r="B234" s="6"/>
    </row>
    <row r="235" spans="1:2" ht="13">
      <c r="A235" s="5"/>
      <c r="B235" s="6"/>
    </row>
    <row r="236" spans="1:2" ht="13">
      <c r="A236" s="5"/>
      <c r="B236" s="6"/>
    </row>
    <row r="237" spans="1:2" ht="13">
      <c r="A237" s="5"/>
      <c r="B237" s="6"/>
    </row>
    <row r="238" spans="1:2" ht="13">
      <c r="A238" s="5"/>
      <c r="B238" s="6"/>
    </row>
    <row r="239" spans="1:2" ht="13">
      <c r="A239" s="5"/>
      <c r="B239" s="6"/>
    </row>
    <row r="240" spans="1:2" ht="13">
      <c r="A240" s="5"/>
      <c r="B240" s="6"/>
    </row>
    <row r="241" spans="1:2" ht="13">
      <c r="A241" s="5"/>
      <c r="B241" s="6"/>
    </row>
    <row r="242" spans="1:2" ht="13">
      <c r="A242" s="5"/>
      <c r="B242" s="6"/>
    </row>
    <row r="243" spans="1:2" ht="13">
      <c r="A243" s="5"/>
      <c r="B243" s="6"/>
    </row>
    <row r="244" spans="1:2" ht="13">
      <c r="A244" s="5"/>
      <c r="B244" s="6"/>
    </row>
    <row r="245" spans="1:2" ht="13">
      <c r="A245" s="5"/>
      <c r="B245" s="6"/>
    </row>
    <row r="246" spans="1:2" ht="13">
      <c r="A246" s="5"/>
      <c r="B246" s="6"/>
    </row>
    <row r="247" spans="1:2" ht="13">
      <c r="A247" s="5"/>
      <c r="B247" s="6"/>
    </row>
    <row r="248" spans="1:2" ht="13">
      <c r="A248" s="5"/>
      <c r="B248" s="6"/>
    </row>
    <row r="249" spans="1:2" ht="13">
      <c r="A249" s="5"/>
      <c r="B249" s="6"/>
    </row>
    <row r="250" spans="1:2" ht="13">
      <c r="A250" s="5"/>
      <c r="B250" s="6"/>
    </row>
    <row r="251" spans="1:2" ht="13">
      <c r="A251" s="5"/>
      <c r="B251" s="6"/>
    </row>
    <row r="252" spans="1:2" ht="13">
      <c r="A252" s="5"/>
      <c r="B252" s="6"/>
    </row>
    <row r="253" spans="1:2" ht="13">
      <c r="A253" s="5"/>
      <c r="B253" s="6"/>
    </row>
    <row r="254" spans="1:2" ht="13">
      <c r="A254" s="5"/>
      <c r="B254" s="6"/>
    </row>
    <row r="255" spans="1:2" ht="13">
      <c r="A255" s="5"/>
      <c r="B255" s="6"/>
    </row>
    <row r="256" spans="1:2" ht="13">
      <c r="A256" s="5"/>
      <c r="B256" s="6"/>
    </row>
    <row r="257" spans="1:2" ht="13">
      <c r="A257" s="5"/>
      <c r="B257" s="6"/>
    </row>
    <row r="258" spans="1:2" ht="13">
      <c r="A258" s="5"/>
      <c r="B258" s="6"/>
    </row>
    <row r="259" spans="1:2" ht="13">
      <c r="A259" s="5"/>
      <c r="B259" s="6"/>
    </row>
    <row r="260" spans="1:2" ht="13">
      <c r="A260" s="5"/>
      <c r="B260" s="6"/>
    </row>
    <row r="261" spans="1:2" ht="13">
      <c r="A261" s="5"/>
      <c r="B261" s="6"/>
    </row>
    <row r="262" spans="1:2" ht="13">
      <c r="A262" s="5"/>
      <c r="B262" s="6"/>
    </row>
    <row r="263" spans="1:2" ht="13">
      <c r="A263" s="5"/>
      <c r="B263" s="6"/>
    </row>
    <row r="264" spans="1:2" ht="13">
      <c r="A264" s="5"/>
      <c r="B264" s="6"/>
    </row>
    <row r="265" spans="1:2" ht="13">
      <c r="A265" s="5"/>
      <c r="B265" s="6"/>
    </row>
    <row r="266" spans="1:2" ht="13">
      <c r="A266" s="5"/>
      <c r="B266" s="6"/>
    </row>
    <row r="267" spans="1:2" ht="13">
      <c r="A267" s="5"/>
      <c r="B267" s="6"/>
    </row>
    <row r="268" spans="1:2" ht="13">
      <c r="A268" s="5"/>
      <c r="B268" s="6"/>
    </row>
    <row r="269" spans="1:2" ht="13">
      <c r="A269" s="5"/>
      <c r="B269" s="6"/>
    </row>
    <row r="270" spans="1:2" ht="13">
      <c r="A270" s="5"/>
      <c r="B270" s="6"/>
    </row>
    <row r="271" spans="1:2" ht="13">
      <c r="A271" s="5"/>
      <c r="B271" s="6"/>
    </row>
    <row r="272" spans="1:2" ht="13">
      <c r="A272" s="5"/>
      <c r="B272" s="6"/>
    </row>
    <row r="273" spans="1:2" ht="13">
      <c r="A273" s="5"/>
      <c r="B273" s="6"/>
    </row>
    <row r="274" spans="1:2" ht="13">
      <c r="A274" s="5"/>
      <c r="B274" s="6"/>
    </row>
    <row r="275" spans="1:2" ht="13">
      <c r="A275" s="5"/>
      <c r="B275" s="6"/>
    </row>
    <row r="276" spans="1:2" ht="13">
      <c r="A276" s="5"/>
      <c r="B276" s="6"/>
    </row>
    <row r="277" spans="1:2" ht="13">
      <c r="A277" s="5"/>
      <c r="B277" s="6"/>
    </row>
    <row r="278" spans="1:2" ht="13">
      <c r="A278" s="5"/>
      <c r="B278" s="6"/>
    </row>
    <row r="279" spans="1:2" ht="13">
      <c r="A279" s="5"/>
      <c r="B279" s="6"/>
    </row>
    <row r="280" spans="1:2" ht="13">
      <c r="A280" s="5"/>
      <c r="B280" s="6"/>
    </row>
    <row r="281" spans="1:2" ht="13">
      <c r="A281" s="5"/>
      <c r="B281" s="6"/>
    </row>
    <row r="282" spans="1:2" ht="13">
      <c r="A282" s="5"/>
      <c r="B282" s="6"/>
    </row>
    <row r="283" spans="1:2" ht="13">
      <c r="A283" s="5"/>
      <c r="B283" s="6"/>
    </row>
    <row r="284" spans="1:2" ht="13">
      <c r="A284" s="5"/>
      <c r="B284" s="6"/>
    </row>
    <row r="285" spans="1:2" ht="13">
      <c r="A285" s="5"/>
      <c r="B285" s="6"/>
    </row>
    <row r="286" spans="1:2" ht="13">
      <c r="A286" s="5"/>
      <c r="B286" s="6"/>
    </row>
    <row r="287" spans="1:2" ht="13">
      <c r="A287" s="5"/>
      <c r="B287" s="6"/>
    </row>
    <row r="288" spans="1:2" ht="13">
      <c r="A288" s="5"/>
      <c r="B288" s="6"/>
    </row>
    <row r="289" spans="1:2" ht="13">
      <c r="A289" s="5"/>
      <c r="B289" s="6"/>
    </row>
    <row r="290" spans="1:2" ht="13">
      <c r="A290" s="5"/>
      <c r="B290" s="6"/>
    </row>
    <row r="291" spans="1:2" ht="13">
      <c r="A291" s="5"/>
      <c r="B291" s="6"/>
    </row>
    <row r="292" spans="1:2" ht="13">
      <c r="A292" s="5"/>
      <c r="B292" s="6"/>
    </row>
    <row r="293" spans="1:2" ht="13">
      <c r="A293" s="5"/>
      <c r="B293" s="6"/>
    </row>
    <row r="294" spans="1:2" ht="13">
      <c r="A294" s="5"/>
      <c r="B294" s="6"/>
    </row>
    <row r="295" spans="1:2" ht="13">
      <c r="A295" s="5"/>
      <c r="B295" s="6"/>
    </row>
    <row r="296" spans="1:2" ht="13">
      <c r="A296" s="5"/>
      <c r="B296" s="6"/>
    </row>
    <row r="297" spans="1:2" ht="13">
      <c r="A297" s="5"/>
      <c r="B297" s="6"/>
    </row>
    <row r="298" spans="1:2" ht="13">
      <c r="A298" s="5"/>
      <c r="B298" s="6"/>
    </row>
    <row r="299" spans="1:2" ht="13">
      <c r="A299" s="5"/>
      <c r="B299" s="6"/>
    </row>
    <row r="300" spans="1:2" ht="13">
      <c r="A300" s="5"/>
      <c r="B300" s="6"/>
    </row>
    <row r="301" spans="1:2" ht="13">
      <c r="A301" s="5"/>
      <c r="B301" s="6"/>
    </row>
    <row r="302" spans="1:2" ht="13">
      <c r="A302" s="5"/>
      <c r="B302" s="6"/>
    </row>
    <row r="303" spans="1:2" ht="13">
      <c r="A303" s="5"/>
      <c r="B303" s="6"/>
    </row>
    <row r="304" spans="1:2" ht="13">
      <c r="A304" s="5"/>
      <c r="B304" s="6"/>
    </row>
    <row r="305" spans="1:2" ht="13">
      <c r="A305" s="5"/>
      <c r="B305" s="6"/>
    </row>
    <row r="306" spans="1:2" ht="13">
      <c r="A306" s="5"/>
      <c r="B306" s="6"/>
    </row>
    <row r="307" spans="1:2" ht="13">
      <c r="A307" s="5"/>
      <c r="B307" s="6"/>
    </row>
    <row r="308" spans="1:2" ht="13">
      <c r="A308" s="5"/>
      <c r="B308" s="6"/>
    </row>
    <row r="309" spans="1:2" ht="13">
      <c r="A309" s="5"/>
      <c r="B309" s="6"/>
    </row>
    <row r="310" spans="1:2" ht="13">
      <c r="A310" s="5"/>
      <c r="B310" s="6"/>
    </row>
    <row r="311" spans="1:2" ht="13">
      <c r="A311" s="5"/>
      <c r="B311" s="6"/>
    </row>
    <row r="312" spans="1:2" ht="13">
      <c r="A312" s="5"/>
      <c r="B312" s="6"/>
    </row>
    <row r="313" spans="1:2" ht="13">
      <c r="A313" s="5"/>
      <c r="B313" s="6"/>
    </row>
    <row r="314" spans="1:2" ht="13">
      <c r="A314" s="5"/>
      <c r="B314" s="6"/>
    </row>
    <row r="315" spans="1:2" ht="13">
      <c r="A315" s="5"/>
      <c r="B315" s="6"/>
    </row>
    <row r="316" spans="1:2" ht="13">
      <c r="A316" s="5"/>
      <c r="B316" s="6"/>
    </row>
    <row r="317" spans="1:2" ht="13">
      <c r="A317" s="5"/>
      <c r="B317" s="6"/>
    </row>
    <row r="318" spans="1:2" ht="13">
      <c r="A318" s="5"/>
      <c r="B318" s="6"/>
    </row>
    <row r="319" spans="1:2" ht="13">
      <c r="A319" s="5"/>
      <c r="B319" s="6"/>
    </row>
    <row r="320" spans="1:2" ht="13">
      <c r="A320" s="5"/>
      <c r="B320" s="6"/>
    </row>
    <row r="321" spans="1:2" ht="13">
      <c r="A321" s="5"/>
      <c r="B321" s="6"/>
    </row>
    <row r="322" spans="1:2" ht="13">
      <c r="A322" s="5"/>
      <c r="B322" s="6"/>
    </row>
    <row r="323" spans="1:2" ht="13">
      <c r="A323" s="5"/>
      <c r="B323" s="6"/>
    </row>
    <row r="324" spans="1:2" ht="13">
      <c r="A324" s="5"/>
      <c r="B324" s="6"/>
    </row>
    <row r="325" spans="1:2" ht="13">
      <c r="A325" s="5"/>
      <c r="B325" s="6"/>
    </row>
    <row r="326" spans="1:2" ht="13">
      <c r="A326" s="5"/>
      <c r="B326" s="6"/>
    </row>
    <row r="327" spans="1:2" ht="13">
      <c r="A327" s="5"/>
      <c r="B327" s="6"/>
    </row>
    <row r="328" spans="1:2" ht="13">
      <c r="A328" s="5"/>
      <c r="B328" s="6"/>
    </row>
    <row r="329" spans="1:2" ht="13">
      <c r="A329" s="5"/>
      <c r="B329" s="6"/>
    </row>
    <row r="330" spans="1:2" ht="13">
      <c r="A330" s="5"/>
      <c r="B330" s="6"/>
    </row>
    <row r="331" spans="1:2" ht="13">
      <c r="A331" s="5"/>
      <c r="B331" s="6"/>
    </row>
    <row r="332" spans="1:2" ht="13">
      <c r="A332" s="5"/>
      <c r="B332" s="6"/>
    </row>
    <row r="333" spans="1:2" ht="13">
      <c r="A333" s="5"/>
      <c r="B333" s="6"/>
    </row>
    <row r="334" spans="1:2" ht="13">
      <c r="A334" s="5"/>
      <c r="B334" s="6"/>
    </row>
    <row r="335" spans="1:2" ht="13">
      <c r="A335" s="5"/>
      <c r="B335" s="6"/>
    </row>
    <row r="336" spans="1:2" ht="13">
      <c r="A336" s="5"/>
      <c r="B336" s="6"/>
    </row>
    <row r="337" spans="1:2" ht="13">
      <c r="A337" s="5"/>
      <c r="B337" s="6"/>
    </row>
    <row r="338" spans="1:2" ht="13">
      <c r="A338" s="5"/>
      <c r="B338" s="6"/>
    </row>
    <row r="339" spans="1:2" ht="13">
      <c r="A339" s="5"/>
      <c r="B339" s="6"/>
    </row>
    <row r="340" spans="1:2" ht="13">
      <c r="A340" s="5"/>
      <c r="B340" s="6"/>
    </row>
    <row r="341" spans="1:2" ht="13">
      <c r="A341" s="5"/>
      <c r="B341" s="6"/>
    </row>
    <row r="342" spans="1:2" ht="13">
      <c r="A342" s="5"/>
      <c r="B342" s="6"/>
    </row>
    <row r="343" spans="1:2" ht="13">
      <c r="A343" s="5"/>
      <c r="B343" s="6"/>
    </row>
    <row r="344" spans="1:2" ht="13">
      <c r="A344" s="5"/>
      <c r="B344" s="6"/>
    </row>
    <row r="345" spans="1:2" ht="13">
      <c r="A345" s="5"/>
      <c r="B345" s="6"/>
    </row>
    <row r="346" spans="1:2" ht="13">
      <c r="A346" s="5"/>
      <c r="B346" s="6"/>
    </row>
    <row r="347" spans="1:2" ht="13">
      <c r="A347" s="5"/>
      <c r="B347" s="6"/>
    </row>
    <row r="348" spans="1:2" ht="13">
      <c r="A348" s="5"/>
      <c r="B348" s="6"/>
    </row>
    <row r="349" spans="1:2" ht="13">
      <c r="A349" s="5"/>
      <c r="B349" s="6"/>
    </row>
    <row r="350" spans="1:2" ht="13">
      <c r="A350" s="5"/>
      <c r="B350" s="6"/>
    </row>
    <row r="351" spans="1:2" ht="13">
      <c r="A351" s="5"/>
      <c r="B351" s="6"/>
    </row>
    <row r="352" spans="1:2" ht="13">
      <c r="A352" s="5"/>
      <c r="B352" s="6"/>
    </row>
    <row r="353" spans="1:2" ht="13">
      <c r="A353" s="5"/>
      <c r="B353" s="6"/>
    </row>
    <row r="354" spans="1:2" ht="13">
      <c r="A354" s="5"/>
      <c r="B354" s="6"/>
    </row>
    <row r="355" spans="1:2" ht="13">
      <c r="A355" s="5"/>
      <c r="B355" s="6"/>
    </row>
    <row r="356" spans="1:2" ht="13">
      <c r="A356" s="5"/>
      <c r="B356" s="6"/>
    </row>
    <row r="357" spans="1:2" ht="13">
      <c r="A357" s="5"/>
      <c r="B357" s="6"/>
    </row>
    <row r="358" spans="1:2" ht="13">
      <c r="A358" s="5"/>
      <c r="B358" s="6"/>
    </row>
    <row r="359" spans="1:2" ht="13">
      <c r="A359" s="5"/>
      <c r="B359" s="6"/>
    </row>
    <row r="360" spans="1:2" ht="13">
      <c r="A360" s="5"/>
      <c r="B360" s="6"/>
    </row>
    <row r="361" spans="1:2" ht="13">
      <c r="A361" s="5"/>
      <c r="B361" s="6"/>
    </row>
    <row r="362" spans="1:2" ht="13">
      <c r="A362" s="5"/>
      <c r="B362" s="6"/>
    </row>
    <row r="363" spans="1:2" ht="13">
      <c r="A363" s="5"/>
      <c r="B363" s="6"/>
    </row>
    <row r="364" spans="1:2" ht="13">
      <c r="A364" s="5"/>
      <c r="B364" s="6"/>
    </row>
    <row r="365" spans="1:2" ht="13">
      <c r="A365" s="5"/>
      <c r="B365" s="6"/>
    </row>
    <row r="366" spans="1:2" ht="13">
      <c r="A366" s="5"/>
      <c r="B366" s="6"/>
    </row>
    <row r="367" spans="1:2" ht="13">
      <c r="A367" s="5"/>
      <c r="B367" s="6"/>
    </row>
    <row r="368" spans="1:2" ht="13">
      <c r="A368" s="5"/>
      <c r="B368" s="6"/>
    </row>
    <row r="369" spans="1:2" ht="13">
      <c r="A369" s="5"/>
      <c r="B369" s="6"/>
    </row>
    <row r="370" spans="1:2" ht="13">
      <c r="A370" s="5"/>
      <c r="B370" s="6"/>
    </row>
    <row r="371" spans="1:2" ht="13">
      <c r="A371" s="5"/>
      <c r="B371" s="6"/>
    </row>
    <row r="372" spans="1:2" ht="13">
      <c r="A372" s="5"/>
      <c r="B372" s="6"/>
    </row>
    <row r="373" spans="1:2" ht="13">
      <c r="A373" s="5"/>
      <c r="B373" s="6"/>
    </row>
    <row r="374" spans="1:2" ht="13">
      <c r="A374" s="5"/>
      <c r="B374" s="6"/>
    </row>
    <row r="375" spans="1:2" ht="13">
      <c r="A375" s="5"/>
      <c r="B375" s="6"/>
    </row>
    <row r="376" spans="1:2" ht="13">
      <c r="A376" s="5"/>
      <c r="B376" s="6"/>
    </row>
    <row r="377" spans="1:2" ht="13">
      <c r="A377" s="5"/>
      <c r="B377" s="6"/>
    </row>
    <row r="378" spans="1:2" ht="13">
      <c r="A378" s="5"/>
      <c r="B378" s="6"/>
    </row>
    <row r="379" spans="1:2" ht="13">
      <c r="A379" s="5"/>
      <c r="B379" s="6"/>
    </row>
    <row r="380" spans="1:2" ht="13">
      <c r="A380" s="5"/>
      <c r="B380" s="6"/>
    </row>
    <row r="381" spans="1:2" ht="13">
      <c r="A381" s="5"/>
      <c r="B381" s="6"/>
    </row>
    <row r="382" spans="1:2" ht="13">
      <c r="A382" s="5"/>
      <c r="B382" s="6"/>
    </row>
    <row r="383" spans="1:2" ht="13">
      <c r="A383" s="5"/>
      <c r="B383" s="6"/>
    </row>
    <row r="384" spans="1:2" ht="13">
      <c r="A384" s="5"/>
      <c r="B384" s="6"/>
    </row>
    <row r="385" spans="1:2" ht="13">
      <c r="A385" s="5"/>
      <c r="B385" s="6"/>
    </row>
    <row r="386" spans="1:2" ht="13">
      <c r="A386" s="5"/>
      <c r="B386" s="6"/>
    </row>
    <row r="387" spans="1:2" ht="13">
      <c r="A387" s="5"/>
      <c r="B387" s="6"/>
    </row>
    <row r="388" spans="1:2" ht="13">
      <c r="A388" s="5"/>
      <c r="B388" s="6"/>
    </row>
    <row r="389" spans="1:2" ht="13">
      <c r="A389" s="5"/>
      <c r="B389" s="6"/>
    </row>
    <row r="390" spans="1:2" ht="13">
      <c r="A390" s="5"/>
      <c r="B390" s="6"/>
    </row>
    <row r="391" spans="1:2" ht="13">
      <c r="A391" s="5"/>
      <c r="B391" s="6"/>
    </row>
    <row r="392" spans="1:2" ht="13">
      <c r="A392" s="5"/>
      <c r="B392" s="6"/>
    </row>
    <row r="393" spans="1:2" ht="13">
      <c r="A393" s="5"/>
      <c r="B393" s="6"/>
    </row>
    <row r="394" spans="1:2" ht="13">
      <c r="A394" s="5"/>
      <c r="B394" s="6"/>
    </row>
    <row r="395" spans="1:2" ht="13">
      <c r="A395" s="5"/>
      <c r="B395" s="6"/>
    </row>
    <row r="396" spans="1:2" ht="13">
      <c r="A396" s="5"/>
      <c r="B396" s="6"/>
    </row>
    <row r="397" spans="1:2" ht="13">
      <c r="A397" s="5"/>
      <c r="B397" s="6"/>
    </row>
    <row r="398" spans="1:2" ht="13">
      <c r="A398" s="5"/>
      <c r="B398" s="6"/>
    </row>
    <row r="399" spans="1:2" ht="13">
      <c r="A399" s="5"/>
      <c r="B399" s="6"/>
    </row>
    <row r="400" spans="1:2" ht="13">
      <c r="A400" s="5"/>
      <c r="B400" s="6"/>
    </row>
    <row r="401" spans="1:2" ht="13">
      <c r="A401" s="5"/>
      <c r="B401" s="6"/>
    </row>
    <row r="402" spans="1:2" ht="13">
      <c r="A402" s="5"/>
      <c r="B402" s="6"/>
    </row>
    <row r="403" spans="1:2" ht="13">
      <c r="A403" s="5"/>
      <c r="B403" s="6"/>
    </row>
    <row r="404" spans="1:2" ht="13">
      <c r="A404" s="5"/>
      <c r="B404" s="6"/>
    </row>
    <row r="405" spans="1:2" ht="13">
      <c r="A405" s="5"/>
      <c r="B405" s="6"/>
    </row>
    <row r="406" spans="1:2" ht="13">
      <c r="A406" s="5"/>
      <c r="B406" s="6"/>
    </row>
    <row r="407" spans="1:2" ht="13">
      <c r="A407" s="5"/>
      <c r="B407" s="6"/>
    </row>
    <row r="408" spans="1:2" ht="13">
      <c r="A408" s="5"/>
      <c r="B408" s="6"/>
    </row>
    <row r="409" spans="1:2" ht="13">
      <c r="A409" s="5"/>
      <c r="B409" s="6"/>
    </row>
    <row r="410" spans="1:2" ht="13">
      <c r="A410" s="5"/>
      <c r="B410" s="6"/>
    </row>
    <row r="411" spans="1:2" ht="13">
      <c r="A411" s="5"/>
      <c r="B411" s="6"/>
    </row>
    <row r="412" spans="1:2" ht="13">
      <c r="A412" s="5"/>
      <c r="B412" s="6"/>
    </row>
    <row r="413" spans="1:2" ht="13">
      <c r="A413" s="5"/>
      <c r="B413" s="6"/>
    </row>
    <row r="414" spans="1:2" ht="13">
      <c r="A414" s="5"/>
      <c r="B414" s="6"/>
    </row>
    <row r="415" spans="1:2" ht="13">
      <c r="A415" s="5"/>
      <c r="B415" s="6"/>
    </row>
    <row r="416" spans="1:2" ht="13">
      <c r="A416" s="5"/>
      <c r="B416" s="6"/>
    </row>
    <row r="417" spans="1:2" ht="13">
      <c r="A417" s="5"/>
      <c r="B417" s="6"/>
    </row>
    <row r="418" spans="1:2" ht="13">
      <c r="A418" s="5"/>
      <c r="B418" s="6"/>
    </row>
    <row r="419" spans="1:2" ht="13">
      <c r="A419" s="5"/>
      <c r="B419" s="6"/>
    </row>
    <row r="420" spans="1:2" ht="13">
      <c r="A420" s="5"/>
      <c r="B420" s="6"/>
    </row>
    <row r="421" spans="1:2" ht="13">
      <c r="A421" s="5"/>
      <c r="B421" s="6"/>
    </row>
    <row r="422" spans="1:2" ht="13">
      <c r="A422" s="5"/>
      <c r="B422" s="6"/>
    </row>
    <row r="423" spans="1:2" ht="13">
      <c r="A423" s="5"/>
      <c r="B423" s="6"/>
    </row>
    <row r="424" spans="1:2" ht="13">
      <c r="A424" s="5"/>
      <c r="B424" s="6"/>
    </row>
    <row r="425" spans="1:2" ht="13">
      <c r="A425" s="5"/>
      <c r="B425" s="6"/>
    </row>
    <row r="426" spans="1:2" ht="13">
      <c r="A426" s="5"/>
      <c r="B426" s="6"/>
    </row>
    <row r="427" spans="1:2" ht="13">
      <c r="A427" s="5"/>
      <c r="B427" s="6"/>
    </row>
    <row r="428" spans="1:2" ht="13">
      <c r="A428" s="5"/>
      <c r="B428" s="6"/>
    </row>
    <row r="429" spans="1:2" ht="13">
      <c r="A429" s="5"/>
      <c r="B429" s="6"/>
    </row>
    <row r="430" spans="1:2" ht="13">
      <c r="A430" s="5"/>
      <c r="B430" s="6"/>
    </row>
    <row r="431" spans="1:2" ht="13">
      <c r="A431" s="5"/>
      <c r="B431" s="6"/>
    </row>
    <row r="432" spans="1:2" ht="13">
      <c r="A432" s="5"/>
      <c r="B432" s="6"/>
    </row>
    <row r="433" spans="1:2" ht="13">
      <c r="A433" s="5"/>
      <c r="B433" s="6"/>
    </row>
    <row r="434" spans="1:2" ht="13">
      <c r="A434" s="5"/>
      <c r="B434" s="6"/>
    </row>
    <row r="435" spans="1:2" ht="13">
      <c r="A435" s="5"/>
      <c r="B435" s="6"/>
    </row>
    <row r="436" spans="1:2" ht="13">
      <c r="A436" s="5"/>
      <c r="B436" s="6"/>
    </row>
    <row r="437" spans="1:2" ht="13">
      <c r="A437" s="5"/>
      <c r="B437" s="6"/>
    </row>
    <row r="438" spans="1:2" ht="13">
      <c r="A438" s="5"/>
      <c r="B438" s="6"/>
    </row>
    <row r="439" spans="1:2" ht="13">
      <c r="A439" s="5"/>
      <c r="B439" s="6"/>
    </row>
    <row r="440" spans="1:2" ht="13">
      <c r="A440" s="5"/>
      <c r="B440" s="6"/>
    </row>
    <row r="441" spans="1:2" ht="13">
      <c r="A441" s="5"/>
      <c r="B441" s="6"/>
    </row>
    <row r="442" spans="1:2" ht="13">
      <c r="A442" s="5"/>
      <c r="B442" s="6"/>
    </row>
    <row r="443" spans="1:2" ht="13">
      <c r="A443" s="5"/>
      <c r="B443" s="6"/>
    </row>
    <row r="444" spans="1:2" ht="13">
      <c r="A444" s="5"/>
      <c r="B444" s="6"/>
    </row>
    <row r="445" spans="1:2" ht="13">
      <c r="A445" s="5"/>
      <c r="B445" s="6"/>
    </row>
    <row r="446" spans="1:2" ht="13">
      <c r="A446" s="5"/>
      <c r="B446" s="6"/>
    </row>
    <row r="447" spans="1:2" ht="13">
      <c r="A447" s="5"/>
      <c r="B447" s="6"/>
    </row>
    <row r="448" spans="1:2" ht="13">
      <c r="A448" s="5"/>
      <c r="B448" s="6"/>
    </row>
    <row r="449" spans="1:2" ht="13">
      <c r="A449" s="5"/>
      <c r="B449" s="6"/>
    </row>
    <row r="450" spans="1:2" ht="13">
      <c r="A450" s="5"/>
      <c r="B450" s="6"/>
    </row>
    <row r="451" spans="1:2" ht="13">
      <c r="A451" s="5"/>
      <c r="B451" s="6"/>
    </row>
    <row r="452" spans="1:2" ht="13">
      <c r="A452" s="5"/>
      <c r="B452" s="6"/>
    </row>
    <row r="453" spans="1:2" ht="13">
      <c r="A453" s="5"/>
      <c r="B453" s="6"/>
    </row>
    <row r="454" spans="1:2" ht="13">
      <c r="A454" s="5"/>
      <c r="B454" s="6"/>
    </row>
    <row r="455" spans="1:2" ht="13">
      <c r="A455" s="5"/>
      <c r="B455" s="6"/>
    </row>
    <row r="456" spans="1:2" ht="13">
      <c r="A456" s="5"/>
      <c r="B456" s="6"/>
    </row>
    <row r="457" spans="1:2" ht="13">
      <c r="A457" s="5"/>
      <c r="B457" s="6"/>
    </row>
    <row r="458" spans="1:2" ht="13">
      <c r="A458" s="5"/>
      <c r="B458" s="6"/>
    </row>
    <row r="459" spans="1:2" ht="13">
      <c r="A459" s="5"/>
      <c r="B459" s="6"/>
    </row>
    <row r="460" spans="1:2" ht="13">
      <c r="A460" s="5"/>
      <c r="B460" s="6"/>
    </row>
    <row r="461" spans="1:2" ht="13">
      <c r="A461" s="5"/>
      <c r="B461" s="6"/>
    </row>
    <row r="462" spans="1:2" ht="13">
      <c r="A462" s="5"/>
      <c r="B462" s="6"/>
    </row>
    <row r="463" spans="1:2" ht="13">
      <c r="A463" s="5"/>
      <c r="B463" s="6"/>
    </row>
    <row r="464" spans="1:2" ht="13">
      <c r="A464" s="5"/>
      <c r="B464" s="6"/>
    </row>
    <row r="465" spans="1:2" ht="13">
      <c r="A465" s="5"/>
      <c r="B465" s="6"/>
    </row>
    <row r="466" spans="1:2" ht="13">
      <c r="A466" s="5"/>
      <c r="B466" s="6"/>
    </row>
    <row r="467" spans="1:2" ht="13">
      <c r="A467" s="5"/>
      <c r="B467" s="6"/>
    </row>
    <row r="468" spans="1:2" ht="13">
      <c r="A468" s="5"/>
      <c r="B468" s="6"/>
    </row>
    <row r="469" spans="1:2" ht="13">
      <c r="A469" s="5"/>
      <c r="B469" s="6"/>
    </row>
    <row r="470" spans="1:2" ht="13">
      <c r="A470" s="5"/>
      <c r="B470" s="6"/>
    </row>
    <row r="471" spans="1:2" ht="13">
      <c r="A471" s="5"/>
      <c r="B471" s="6"/>
    </row>
    <row r="472" spans="1:2" ht="13">
      <c r="A472" s="5"/>
      <c r="B472" s="6"/>
    </row>
    <row r="473" spans="1:2" ht="13">
      <c r="A473" s="5"/>
      <c r="B473" s="6"/>
    </row>
    <row r="474" spans="1:2" ht="13">
      <c r="A474" s="5"/>
      <c r="B474" s="6"/>
    </row>
    <row r="475" spans="1:2" ht="13">
      <c r="A475" s="5"/>
      <c r="B475" s="6"/>
    </row>
    <row r="476" spans="1:2" ht="13">
      <c r="A476" s="5"/>
      <c r="B476" s="6"/>
    </row>
    <row r="477" spans="1:2" ht="13">
      <c r="A477" s="5"/>
      <c r="B477" s="6"/>
    </row>
    <row r="478" spans="1:2" ht="13">
      <c r="A478" s="5"/>
      <c r="B478" s="6"/>
    </row>
    <row r="479" spans="1:2" ht="13">
      <c r="A479" s="5"/>
      <c r="B479" s="6"/>
    </row>
    <row r="480" spans="1:2" ht="13">
      <c r="A480" s="5"/>
      <c r="B480" s="6"/>
    </row>
    <row r="481" spans="1:2" ht="13">
      <c r="A481" s="5"/>
      <c r="B481" s="6"/>
    </row>
    <row r="482" spans="1:2" ht="13">
      <c r="A482" s="5"/>
      <c r="B482" s="6"/>
    </row>
    <row r="483" spans="1:2" ht="13">
      <c r="A483" s="5"/>
      <c r="B483" s="6"/>
    </row>
    <row r="484" spans="1:2" ht="13">
      <c r="A484" s="5"/>
      <c r="B484" s="6"/>
    </row>
    <row r="485" spans="1:2" ht="13">
      <c r="A485" s="5"/>
      <c r="B485" s="6"/>
    </row>
    <row r="486" spans="1:2" ht="13">
      <c r="A486" s="5"/>
      <c r="B486" s="6"/>
    </row>
    <row r="487" spans="1:2" ht="13">
      <c r="A487" s="5"/>
      <c r="B487" s="6"/>
    </row>
    <row r="488" spans="1:2" ht="13">
      <c r="A488" s="5"/>
      <c r="B488" s="6"/>
    </row>
    <row r="489" spans="1:2" ht="13">
      <c r="A489" s="5"/>
      <c r="B489" s="6"/>
    </row>
    <row r="490" spans="1:2" ht="13">
      <c r="A490" s="5"/>
      <c r="B490" s="6"/>
    </row>
    <row r="491" spans="1:2" ht="13">
      <c r="A491" s="5"/>
      <c r="B491" s="6"/>
    </row>
    <row r="492" spans="1:2" ht="13">
      <c r="A492" s="5"/>
      <c r="B492" s="6"/>
    </row>
    <row r="493" spans="1:2" ht="13">
      <c r="A493" s="5"/>
      <c r="B493" s="6"/>
    </row>
    <row r="494" spans="1:2" ht="13">
      <c r="A494" s="5"/>
      <c r="B494" s="6"/>
    </row>
    <row r="495" spans="1:2" ht="13">
      <c r="A495" s="5"/>
      <c r="B495" s="6"/>
    </row>
    <row r="496" spans="1:2" ht="13">
      <c r="A496" s="5"/>
      <c r="B496" s="6"/>
    </row>
    <row r="497" spans="1:2" ht="13">
      <c r="A497" s="5"/>
      <c r="B497" s="6"/>
    </row>
    <row r="498" spans="1:2" ht="13">
      <c r="A498" s="5"/>
      <c r="B498" s="6"/>
    </row>
    <row r="499" spans="1:2" ht="13">
      <c r="A499" s="5"/>
      <c r="B499" s="6"/>
    </row>
    <row r="500" spans="1:2" ht="13">
      <c r="A500" s="5"/>
      <c r="B500" s="6"/>
    </row>
    <row r="501" spans="1:2" ht="13">
      <c r="A501" s="5"/>
      <c r="B501" s="6"/>
    </row>
    <row r="502" spans="1:2" ht="13">
      <c r="A502" s="5"/>
      <c r="B502" s="6"/>
    </row>
    <row r="503" spans="1:2" ht="13">
      <c r="A503" s="5"/>
      <c r="B503" s="6"/>
    </row>
    <row r="504" spans="1:2" ht="13">
      <c r="A504" s="5"/>
      <c r="B504" s="6"/>
    </row>
    <row r="505" spans="1:2" ht="13">
      <c r="A505" s="5"/>
      <c r="B505" s="6"/>
    </row>
    <row r="506" spans="1:2" ht="13">
      <c r="A506" s="5"/>
      <c r="B506" s="6"/>
    </row>
    <row r="507" spans="1:2" ht="13">
      <c r="A507" s="5"/>
      <c r="B507" s="6"/>
    </row>
    <row r="508" spans="1:2" ht="13">
      <c r="A508" s="5"/>
      <c r="B508" s="6"/>
    </row>
    <row r="509" spans="1:2" ht="13">
      <c r="A509" s="5"/>
      <c r="B509" s="6"/>
    </row>
    <row r="510" spans="1:2" ht="13">
      <c r="A510" s="5"/>
      <c r="B510" s="6"/>
    </row>
    <row r="511" spans="1:2" ht="13">
      <c r="A511" s="5"/>
      <c r="B511" s="6"/>
    </row>
    <row r="512" spans="1:2" ht="13">
      <c r="A512" s="5"/>
      <c r="B512" s="6"/>
    </row>
    <row r="513" spans="1:2" ht="13">
      <c r="A513" s="5"/>
      <c r="B513" s="6"/>
    </row>
    <row r="514" spans="1:2" ht="13">
      <c r="A514" s="5"/>
      <c r="B514" s="6"/>
    </row>
    <row r="515" spans="1:2" ht="13">
      <c r="A515" s="5"/>
      <c r="B515" s="6"/>
    </row>
    <row r="516" spans="1:2" ht="13">
      <c r="A516" s="5"/>
      <c r="B516" s="6"/>
    </row>
    <row r="517" spans="1:2" ht="13">
      <c r="A517" s="5"/>
      <c r="B517" s="6"/>
    </row>
    <row r="518" spans="1:2" ht="13">
      <c r="A518" s="5"/>
      <c r="B518" s="6"/>
    </row>
    <row r="519" spans="1:2" ht="13">
      <c r="A519" s="5"/>
      <c r="B519" s="6"/>
    </row>
    <row r="520" spans="1:2" ht="13">
      <c r="A520" s="5"/>
      <c r="B520" s="6"/>
    </row>
    <row r="521" spans="1:2" ht="13">
      <c r="A521" s="5"/>
      <c r="B521" s="6"/>
    </row>
    <row r="522" spans="1:2" ht="13">
      <c r="A522" s="5"/>
      <c r="B522" s="6"/>
    </row>
    <row r="523" spans="1:2" ht="13">
      <c r="A523" s="5"/>
      <c r="B523" s="6"/>
    </row>
    <row r="524" spans="1:2" ht="13">
      <c r="A524" s="5"/>
      <c r="B524" s="6"/>
    </row>
    <row r="525" spans="1:2" ht="13">
      <c r="A525" s="5"/>
      <c r="B525" s="6"/>
    </row>
    <row r="526" spans="1:2" ht="13">
      <c r="A526" s="5"/>
      <c r="B526" s="6"/>
    </row>
    <row r="527" spans="1:2" ht="13">
      <c r="A527" s="5"/>
      <c r="B527" s="6"/>
    </row>
    <row r="528" spans="1:2" ht="13">
      <c r="A528" s="5"/>
      <c r="B528" s="6"/>
    </row>
    <row r="529" spans="1:2" ht="13">
      <c r="A529" s="5"/>
      <c r="B529" s="6"/>
    </row>
    <row r="530" spans="1:2" ht="13">
      <c r="A530" s="5"/>
      <c r="B530" s="6"/>
    </row>
    <row r="531" spans="1:2" ht="13">
      <c r="A531" s="5"/>
      <c r="B531" s="6"/>
    </row>
    <row r="532" spans="1:2" ht="13">
      <c r="A532" s="5"/>
      <c r="B532" s="6"/>
    </row>
    <row r="533" spans="1:2" ht="13">
      <c r="A533" s="5"/>
      <c r="B533" s="6"/>
    </row>
    <row r="534" spans="1:2" ht="13">
      <c r="A534" s="5"/>
      <c r="B534" s="6"/>
    </row>
    <row r="535" spans="1:2" ht="13">
      <c r="A535" s="5"/>
      <c r="B535" s="6"/>
    </row>
    <row r="536" spans="1:2" ht="13">
      <c r="A536" s="5"/>
      <c r="B536" s="6"/>
    </row>
    <row r="537" spans="1:2" ht="13">
      <c r="A537" s="5"/>
      <c r="B537" s="6"/>
    </row>
    <row r="538" spans="1:2" ht="13">
      <c r="A538" s="5"/>
      <c r="B538" s="6"/>
    </row>
    <row r="539" spans="1:2" ht="13">
      <c r="A539" s="5"/>
      <c r="B539" s="6"/>
    </row>
    <row r="540" spans="1:2" ht="13">
      <c r="A540" s="5"/>
      <c r="B540" s="6"/>
    </row>
    <row r="541" spans="1:2" ht="13">
      <c r="A541" s="5"/>
      <c r="B541" s="6"/>
    </row>
    <row r="542" spans="1:2" ht="13">
      <c r="A542" s="5"/>
      <c r="B542" s="6"/>
    </row>
    <row r="543" spans="1:2" ht="13">
      <c r="A543" s="5"/>
      <c r="B543" s="6"/>
    </row>
    <row r="544" spans="1:2" ht="13">
      <c r="A544" s="5"/>
      <c r="B544" s="6"/>
    </row>
    <row r="545" spans="1:2" ht="13">
      <c r="A545" s="5"/>
      <c r="B545" s="6"/>
    </row>
    <row r="546" spans="1:2" ht="13">
      <c r="A546" s="5"/>
      <c r="B546" s="6"/>
    </row>
    <row r="547" spans="1:2" ht="13">
      <c r="A547" s="5"/>
      <c r="B547" s="6"/>
    </row>
    <row r="548" spans="1:2" ht="13">
      <c r="A548" s="5"/>
      <c r="B548" s="6"/>
    </row>
    <row r="549" spans="1:2" ht="13">
      <c r="A549" s="5"/>
      <c r="B549" s="6"/>
    </row>
    <row r="550" spans="1:2" ht="13">
      <c r="A550" s="5"/>
      <c r="B550" s="6"/>
    </row>
    <row r="551" spans="1:2" ht="13">
      <c r="A551" s="5"/>
      <c r="B551" s="6"/>
    </row>
    <row r="552" spans="1:2" ht="13">
      <c r="A552" s="5"/>
      <c r="B552" s="6"/>
    </row>
    <row r="553" spans="1:2" ht="13">
      <c r="A553" s="5"/>
      <c r="B553" s="6"/>
    </row>
    <row r="554" spans="1:2" ht="13">
      <c r="A554" s="5"/>
      <c r="B554" s="6"/>
    </row>
    <row r="555" spans="1:2" ht="13">
      <c r="A555" s="5"/>
      <c r="B555" s="6"/>
    </row>
    <row r="556" spans="1:2" ht="13">
      <c r="A556" s="5"/>
      <c r="B556" s="6"/>
    </row>
    <row r="557" spans="1:2" ht="13">
      <c r="A557" s="5"/>
      <c r="B557" s="6"/>
    </row>
    <row r="558" spans="1:2" ht="13">
      <c r="A558" s="5"/>
      <c r="B558" s="6"/>
    </row>
    <row r="559" spans="1:2" ht="13">
      <c r="A559" s="5"/>
      <c r="B559" s="6"/>
    </row>
    <row r="560" spans="1:2" ht="13">
      <c r="A560" s="5"/>
      <c r="B560" s="6"/>
    </row>
    <row r="561" spans="1:2" ht="13">
      <c r="A561" s="5"/>
      <c r="B561" s="6"/>
    </row>
    <row r="562" spans="1:2" ht="13">
      <c r="A562" s="5"/>
      <c r="B562" s="6"/>
    </row>
    <row r="563" spans="1:2" ht="13">
      <c r="A563" s="5"/>
      <c r="B563" s="6"/>
    </row>
    <row r="564" spans="1:2" ht="13">
      <c r="A564" s="5"/>
      <c r="B564" s="6"/>
    </row>
    <row r="565" spans="1:2" ht="13">
      <c r="A565" s="5"/>
      <c r="B565" s="6"/>
    </row>
    <row r="566" spans="1:2" ht="13">
      <c r="A566" s="5"/>
      <c r="B566" s="6"/>
    </row>
    <row r="567" spans="1:2" ht="13">
      <c r="A567" s="5"/>
      <c r="B567" s="6"/>
    </row>
    <row r="568" spans="1:2" ht="13">
      <c r="A568" s="5"/>
      <c r="B568" s="6"/>
    </row>
    <row r="569" spans="1:2" ht="13">
      <c r="A569" s="5"/>
      <c r="B569" s="6"/>
    </row>
    <row r="570" spans="1:2" ht="13">
      <c r="A570" s="5"/>
      <c r="B570" s="6"/>
    </row>
    <row r="571" spans="1:2" ht="13">
      <c r="A571" s="5"/>
      <c r="B571" s="6"/>
    </row>
    <row r="572" spans="1:2" ht="13">
      <c r="A572" s="5"/>
      <c r="B572" s="6"/>
    </row>
    <row r="573" spans="1:2" ht="13">
      <c r="A573" s="5"/>
      <c r="B573" s="6"/>
    </row>
    <row r="574" spans="1:2" ht="13">
      <c r="A574" s="5"/>
      <c r="B574" s="6"/>
    </row>
    <row r="575" spans="1:2" ht="13">
      <c r="A575" s="5"/>
      <c r="B575" s="6"/>
    </row>
    <row r="576" spans="1:2" ht="13">
      <c r="A576" s="5"/>
      <c r="B576" s="6"/>
    </row>
    <row r="577" spans="1:2" ht="13">
      <c r="A577" s="5"/>
      <c r="B577" s="6"/>
    </row>
    <row r="578" spans="1:2" ht="13">
      <c r="A578" s="5"/>
      <c r="B578" s="6"/>
    </row>
    <row r="579" spans="1:2" ht="13">
      <c r="A579" s="5"/>
      <c r="B579" s="6"/>
    </row>
    <row r="580" spans="1:2" ht="13">
      <c r="A580" s="5"/>
      <c r="B580" s="6"/>
    </row>
    <row r="581" spans="1:2" ht="13">
      <c r="A581" s="5"/>
      <c r="B581" s="6"/>
    </row>
    <row r="582" spans="1:2" ht="13">
      <c r="A582" s="5"/>
      <c r="B582" s="6"/>
    </row>
    <row r="583" spans="1:2" ht="13">
      <c r="A583" s="5"/>
      <c r="B583" s="6"/>
    </row>
    <row r="584" spans="1:2" ht="13">
      <c r="A584" s="5"/>
      <c r="B584" s="6"/>
    </row>
    <row r="585" spans="1:2" ht="13">
      <c r="A585" s="5"/>
      <c r="B585" s="6"/>
    </row>
    <row r="586" spans="1:2" ht="13">
      <c r="A586" s="5"/>
      <c r="B586" s="6"/>
    </row>
    <row r="587" spans="1:2" ht="13">
      <c r="A587" s="5"/>
      <c r="B587" s="6"/>
    </row>
    <row r="588" spans="1:2" ht="13">
      <c r="A588" s="5"/>
      <c r="B588" s="6"/>
    </row>
    <row r="589" spans="1:2" ht="13">
      <c r="A589" s="5"/>
      <c r="B589" s="6"/>
    </row>
    <row r="590" spans="1:2" ht="13">
      <c r="A590" s="5"/>
      <c r="B590" s="6"/>
    </row>
    <row r="591" spans="1:2" ht="13">
      <c r="A591" s="5"/>
      <c r="B591" s="6"/>
    </row>
    <row r="592" spans="1:2" ht="13">
      <c r="A592" s="5"/>
      <c r="B592" s="6"/>
    </row>
    <row r="593" spans="1:2" ht="13">
      <c r="A593" s="5"/>
      <c r="B593" s="6"/>
    </row>
    <row r="594" spans="1:2" ht="13">
      <c r="A594" s="5"/>
      <c r="B594" s="6"/>
    </row>
    <row r="595" spans="1:2" ht="13">
      <c r="A595" s="5"/>
      <c r="B595" s="6"/>
    </row>
    <row r="596" spans="1:2" ht="13">
      <c r="A596" s="5"/>
      <c r="B596" s="6"/>
    </row>
    <row r="597" spans="1:2" ht="13">
      <c r="A597" s="5"/>
      <c r="B597" s="6"/>
    </row>
    <row r="598" spans="1:2" ht="13">
      <c r="A598" s="5"/>
      <c r="B598" s="6"/>
    </row>
    <row r="599" spans="1:2" ht="13">
      <c r="A599" s="5"/>
      <c r="B599" s="6"/>
    </row>
    <row r="600" spans="1:2" ht="13">
      <c r="A600" s="5"/>
      <c r="B600" s="6"/>
    </row>
    <row r="601" spans="1:2" ht="13">
      <c r="A601" s="5"/>
      <c r="B601" s="6"/>
    </row>
    <row r="602" spans="1:2" ht="13">
      <c r="A602" s="5"/>
      <c r="B602" s="6"/>
    </row>
    <row r="603" spans="1:2" ht="13">
      <c r="A603" s="5"/>
      <c r="B603" s="6"/>
    </row>
    <row r="604" spans="1:2" ht="13">
      <c r="A604" s="5"/>
      <c r="B604" s="6"/>
    </row>
    <row r="605" spans="1:2" ht="13">
      <c r="A605" s="5"/>
      <c r="B605" s="6"/>
    </row>
    <row r="606" spans="1:2" ht="13">
      <c r="A606" s="5"/>
      <c r="B606" s="6"/>
    </row>
    <row r="607" spans="1:2" ht="13">
      <c r="A607" s="5"/>
      <c r="B607" s="6"/>
    </row>
    <row r="608" spans="1:2" ht="13">
      <c r="A608" s="5"/>
      <c r="B608" s="6"/>
    </row>
    <row r="609" spans="1:2" ht="13">
      <c r="A609" s="5"/>
      <c r="B609" s="6"/>
    </row>
    <row r="610" spans="1:2" ht="13">
      <c r="A610" s="5"/>
      <c r="B610" s="6"/>
    </row>
    <row r="611" spans="1:2" ht="13">
      <c r="A611" s="5"/>
      <c r="B611" s="6"/>
    </row>
    <row r="612" spans="1:2" ht="13">
      <c r="A612" s="5"/>
      <c r="B612" s="6"/>
    </row>
    <row r="613" spans="1:2" ht="13">
      <c r="A613" s="5"/>
      <c r="B613" s="6"/>
    </row>
    <row r="614" spans="1:2" ht="13">
      <c r="A614" s="5"/>
      <c r="B614" s="6"/>
    </row>
    <row r="615" spans="1:2" ht="13">
      <c r="A615" s="5"/>
      <c r="B615" s="6"/>
    </row>
    <row r="616" spans="1:2" ht="13">
      <c r="A616" s="5"/>
      <c r="B616" s="6"/>
    </row>
    <row r="617" spans="1:2" ht="13">
      <c r="A617" s="5"/>
      <c r="B617" s="6"/>
    </row>
    <row r="618" spans="1:2" ht="13">
      <c r="A618" s="5"/>
      <c r="B618" s="6"/>
    </row>
    <row r="619" spans="1:2" ht="13">
      <c r="A619" s="5"/>
      <c r="B619" s="6"/>
    </row>
    <row r="620" spans="1:2" ht="13">
      <c r="A620" s="5"/>
      <c r="B620" s="6"/>
    </row>
    <row r="621" spans="1:2" ht="13">
      <c r="A621" s="5"/>
      <c r="B621" s="6"/>
    </row>
    <row r="622" spans="1:2" ht="13">
      <c r="A622" s="5"/>
      <c r="B622" s="6"/>
    </row>
    <row r="623" spans="1:2" ht="13">
      <c r="A623" s="5"/>
      <c r="B623" s="6"/>
    </row>
    <row r="624" spans="1:2" ht="13">
      <c r="A624" s="5"/>
      <c r="B624" s="6"/>
    </row>
    <row r="625" spans="1:2" ht="13">
      <c r="A625" s="5"/>
      <c r="B625" s="6"/>
    </row>
    <row r="626" spans="1:2" ht="13">
      <c r="A626" s="5"/>
      <c r="B626" s="6"/>
    </row>
    <row r="627" spans="1:2" ht="13">
      <c r="A627" s="5"/>
      <c r="B627" s="6"/>
    </row>
    <row r="628" spans="1:2" ht="13">
      <c r="A628" s="5"/>
      <c r="B628" s="6"/>
    </row>
    <row r="629" spans="1:2" ht="13">
      <c r="A629" s="5"/>
      <c r="B629" s="6"/>
    </row>
    <row r="630" spans="1:2" ht="13">
      <c r="A630" s="5"/>
      <c r="B630" s="6"/>
    </row>
    <row r="631" spans="1:2" ht="13">
      <c r="A631" s="5"/>
      <c r="B631" s="6"/>
    </row>
    <row r="632" spans="1:2" ht="13">
      <c r="A632" s="5"/>
      <c r="B632" s="6"/>
    </row>
    <row r="633" spans="1:2" ht="13">
      <c r="A633" s="5"/>
      <c r="B633" s="6"/>
    </row>
    <row r="634" spans="1:2" ht="13">
      <c r="A634" s="5"/>
      <c r="B634" s="6"/>
    </row>
    <row r="635" spans="1:2" ht="13">
      <c r="A635" s="5"/>
      <c r="B635" s="6"/>
    </row>
    <row r="636" spans="1:2" ht="13">
      <c r="A636" s="5"/>
      <c r="B636" s="6"/>
    </row>
    <row r="637" spans="1:2" ht="13">
      <c r="A637" s="5"/>
      <c r="B637" s="6"/>
    </row>
    <row r="638" spans="1:2" ht="13">
      <c r="A638" s="5"/>
      <c r="B638" s="6"/>
    </row>
    <row r="639" spans="1:2" ht="13">
      <c r="A639" s="5"/>
      <c r="B639" s="6"/>
    </row>
    <row r="640" spans="1:2" ht="13">
      <c r="A640" s="5"/>
      <c r="B640" s="6"/>
    </row>
    <row r="641" spans="1:2" ht="13">
      <c r="A641" s="5"/>
      <c r="B641" s="6"/>
    </row>
    <row r="642" spans="1:2" ht="13">
      <c r="A642" s="5"/>
      <c r="B642" s="6"/>
    </row>
    <row r="643" spans="1:2" ht="13">
      <c r="A643" s="5"/>
      <c r="B643" s="6"/>
    </row>
    <row r="644" spans="1:2" ht="13">
      <c r="A644" s="5"/>
      <c r="B644" s="6"/>
    </row>
    <row r="645" spans="1:2" ht="13">
      <c r="A645" s="5"/>
      <c r="B645" s="6"/>
    </row>
    <row r="646" spans="1:2" ht="13">
      <c r="A646" s="5"/>
      <c r="B646" s="6"/>
    </row>
    <row r="647" spans="1:2" ht="13">
      <c r="A647" s="5"/>
      <c r="B647" s="6"/>
    </row>
    <row r="648" spans="1:2" ht="13">
      <c r="A648" s="5"/>
      <c r="B648" s="6"/>
    </row>
    <row r="649" spans="1:2" ht="13">
      <c r="A649" s="5"/>
      <c r="B649" s="6"/>
    </row>
    <row r="650" spans="1:2" ht="13">
      <c r="A650" s="5"/>
      <c r="B650" s="6"/>
    </row>
    <row r="651" spans="1:2" ht="13">
      <c r="A651" s="5"/>
      <c r="B651" s="6"/>
    </row>
    <row r="652" spans="1:2" ht="13">
      <c r="A652" s="5"/>
      <c r="B652" s="6"/>
    </row>
    <row r="653" spans="1:2" ht="13">
      <c r="A653" s="5"/>
      <c r="B653" s="6"/>
    </row>
    <row r="654" spans="1:2" ht="13">
      <c r="A654" s="5"/>
      <c r="B654" s="6"/>
    </row>
    <row r="655" spans="1:2" ht="13">
      <c r="A655" s="5"/>
      <c r="B655" s="6"/>
    </row>
    <row r="656" spans="1:2" ht="13">
      <c r="A656" s="5"/>
      <c r="B656" s="6"/>
    </row>
    <row r="657" spans="1:2" ht="13">
      <c r="A657" s="5"/>
      <c r="B657" s="6"/>
    </row>
    <row r="658" spans="1:2" ht="13">
      <c r="A658" s="5"/>
      <c r="B658" s="6"/>
    </row>
    <row r="659" spans="1:2" ht="13">
      <c r="A659" s="5"/>
      <c r="B659" s="6"/>
    </row>
    <row r="660" spans="1:2" ht="13">
      <c r="A660" s="5"/>
      <c r="B660" s="6"/>
    </row>
    <row r="661" spans="1:2" ht="13">
      <c r="A661" s="5"/>
      <c r="B661" s="6"/>
    </row>
    <row r="662" spans="1:2" ht="13">
      <c r="A662" s="5"/>
      <c r="B662" s="6"/>
    </row>
    <row r="663" spans="1:2" ht="13">
      <c r="A663" s="5"/>
      <c r="B663" s="6"/>
    </row>
    <row r="664" spans="1:2" ht="13">
      <c r="A664" s="5"/>
      <c r="B664" s="6"/>
    </row>
    <row r="665" spans="1:2" ht="13">
      <c r="A665" s="5"/>
      <c r="B665" s="6"/>
    </row>
    <row r="666" spans="1:2" ht="13">
      <c r="A666" s="5"/>
      <c r="B666" s="6"/>
    </row>
    <row r="667" spans="1:2" ht="13">
      <c r="A667" s="5"/>
      <c r="B667" s="6"/>
    </row>
    <row r="668" spans="1:2" ht="13">
      <c r="A668" s="5"/>
      <c r="B668" s="6"/>
    </row>
    <row r="669" spans="1:2" ht="13">
      <c r="A669" s="5"/>
      <c r="B669" s="6"/>
    </row>
    <row r="670" spans="1:2" ht="13">
      <c r="A670" s="5"/>
      <c r="B670" s="6"/>
    </row>
    <row r="671" spans="1:2" ht="13">
      <c r="A671" s="5"/>
      <c r="B671" s="6"/>
    </row>
    <row r="672" spans="1:2" ht="13">
      <c r="A672" s="5"/>
      <c r="B672" s="6"/>
    </row>
    <row r="673" spans="1:2" ht="13">
      <c r="A673" s="5"/>
      <c r="B673" s="6"/>
    </row>
    <row r="674" spans="1:2" ht="13">
      <c r="A674" s="5"/>
      <c r="B674" s="6"/>
    </row>
    <row r="675" spans="1:2" ht="13">
      <c r="A675" s="5"/>
      <c r="B675" s="6"/>
    </row>
    <row r="676" spans="1:2" ht="13">
      <c r="A676" s="5"/>
      <c r="B676" s="6"/>
    </row>
    <row r="677" spans="1:2" ht="13">
      <c r="A677" s="5"/>
      <c r="B677" s="6"/>
    </row>
    <row r="678" spans="1:2" ht="13">
      <c r="A678" s="5"/>
      <c r="B678" s="6"/>
    </row>
    <row r="679" spans="1:2" ht="13">
      <c r="A679" s="5"/>
      <c r="B679" s="6"/>
    </row>
    <row r="680" spans="1:2" ht="13">
      <c r="A680" s="5"/>
      <c r="B680" s="6"/>
    </row>
    <row r="681" spans="1:2" ht="13">
      <c r="A681" s="5"/>
      <c r="B681" s="6"/>
    </row>
    <row r="682" spans="1:2" ht="13">
      <c r="A682" s="5"/>
      <c r="B682" s="6"/>
    </row>
    <row r="683" spans="1:2" ht="13">
      <c r="A683" s="5"/>
      <c r="B683" s="6"/>
    </row>
    <row r="684" spans="1:2" ht="13">
      <c r="A684" s="5"/>
      <c r="B684" s="6"/>
    </row>
    <row r="685" spans="1:2" ht="13">
      <c r="A685" s="5"/>
      <c r="B685" s="6"/>
    </row>
    <row r="686" spans="1:2" ht="13">
      <c r="A686" s="5"/>
      <c r="B686" s="6"/>
    </row>
    <row r="687" spans="1:2" ht="13">
      <c r="A687" s="5"/>
      <c r="B687" s="6"/>
    </row>
    <row r="688" spans="1:2" ht="13">
      <c r="A688" s="5"/>
      <c r="B688" s="6"/>
    </row>
    <row r="689" spans="1:2" ht="13">
      <c r="A689" s="5"/>
      <c r="B689" s="6"/>
    </row>
    <row r="690" spans="1:2" ht="13">
      <c r="A690" s="5"/>
      <c r="B690" s="6"/>
    </row>
    <row r="691" spans="1:2" ht="13">
      <c r="A691" s="5"/>
      <c r="B691" s="6"/>
    </row>
    <row r="692" spans="1:2" ht="13">
      <c r="A692" s="5"/>
      <c r="B692" s="6"/>
    </row>
    <row r="693" spans="1:2" ht="13">
      <c r="A693" s="5"/>
      <c r="B693" s="6"/>
    </row>
    <row r="694" spans="1:2" ht="13">
      <c r="A694" s="5"/>
      <c r="B694" s="6"/>
    </row>
    <row r="695" spans="1:2" ht="13">
      <c r="A695" s="5"/>
      <c r="B695" s="6"/>
    </row>
    <row r="696" spans="1:2" ht="13">
      <c r="A696" s="5"/>
      <c r="B696" s="6"/>
    </row>
    <row r="697" spans="1:2" ht="13">
      <c r="A697" s="5"/>
      <c r="B697" s="6"/>
    </row>
    <row r="698" spans="1:2" ht="13">
      <c r="A698" s="5"/>
      <c r="B698" s="6"/>
    </row>
    <row r="699" spans="1:2" ht="13">
      <c r="A699" s="5"/>
      <c r="B699" s="6"/>
    </row>
    <row r="700" spans="1:2" ht="13">
      <c r="A700" s="5"/>
      <c r="B700" s="6"/>
    </row>
    <row r="701" spans="1:2" ht="13">
      <c r="A701" s="5"/>
      <c r="B701" s="6"/>
    </row>
    <row r="702" spans="1:2" ht="13">
      <c r="A702" s="5"/>
      <c r="B702" s="6"/>
    </row>
    <row r="703" spans="1:2" ht="13">
      <c r="A703" s="5"/>
      <c r="B703" s="6"/>
    </row>
    <row r="704" spans="1:2" ht="13">
      <c r="A704" s="5"/>
      <c r="B704" s="6"/>
    </row>
    <row r="705" spans="1:2" ht="13">
      <c r="A705" s="5"/>
      <c r="B705" s="6"/>
    </row>
    <row r="706" spans="1:2" ht="13">
      <c r="A706" s="5"/>
      <c r="B706" s="6"/>
    </row>
    <row r="707" spans="1:2" ht="13">
      <c r="A707" s="5"/>
      <c r="B707" s="6"/>
    </row>
    <row r="708" spans="1:2" ht="13">
      <c r="A708" s="5"/>
      <c r="B708" s="6"/>
    </row>
    <row r="709" spans="1:2" ht="13">
      <c r="A709" s="5"/>
      <c r="B709" s="6"/>
    </row>
    <row r="710" spans="1:2" ht="13">
      <c r="A710" s="5"/>
      <c r="B710" s="6"/>
    </row>
    <row r="711" spans="1:2" ht="13">
      <c r="A711" s="5"/>
      <c r="B711" s="6"/>
    </row>
    <row r="712" spans="1:2" ht="13">
      <c r="A712" s="5"/>
      <c r="B712" s="6"/>
    </row>
    <row r="713" spans="1:2" ht="13">
      <c r="A713" s="5"/>
      <c r="B713" s="6"/>
    </row>
    <row r="714" spans="1:2" ht="13">
      <c r="A714" s="5"/>
      <c r="B714" s="6"/>
    </row>
    <row r="715" spans="1:2" ht="13">
      <c r="A715" s="5"/>
      <c r="B715" s="6"/>
    </row>
    <row r="716" spans="1:2" ht="13">
      <c r="A716" s="5"/>
      <c r="B716" s="6"/>
    </row>
    <row r="717" spans="1:2" ht="13">
      <c r="A717" s="5"/>
      <c r="B717" s="6"/>
    </row>
    <row r="718" spans="1:2" ht="13">
      <c r="A718" s="5"/>
      <c r="B718" s="6"/>
    </row>
    <row r="719" spans="1:2" ht="13">
      <c r="A719" s="5"/>
      <c r="B719" s="6"/>
    </row>
    <row r="720" spans="1:2" ht="13">
      <c r="A720" s="5"/>
      <c r="B720" s="6"/>
    </row>
    <row r="721" spans="1:2" ht="13">
      <c r="A721" s="5"/>
      <c r="B721" s="6"/>
    </row>
    <row r="722" spans="1:2" ht="13">
      <c r="A722" s="5"/>
      <c r="B722" s="6"/>
    </row>
    <row r="723" spans="1:2" ht="13">
      <c r="A723" s="5"/>
      <c r="B723" s="6"/>
    </row>
    <row r="724" spans="1:2" ht="13">
      <c r="A724" s="5"/>
      <c r="B724" s="6"/>
    </row>
    <row r="725" spans="1:2" ht="13">
      <c r="A725" s="5"/>
      <c r="B725" s="6"/>
    </row>
    <row r="726" spans="1:2" ht="13">
      <c r="A726" s="5"/>
      <c r="B726" s="6"/>
    </row>
    <row r="727" spans="1:2" ht="13">
      <c r="A727" s="5"/>
      <c r="B727" s="6"/>
    </row>
    <row r="728" spans="1:2" ht="13">
      <c r="A728" s="5"/>
      <c r="B728" s="6"/>
    </row>
    <row r="729" spans="1:2" ht="13">
      <c r="A729" s="5"/>
      <c r="B729" s="6"/>
    </row>
    <row r="730" spans="1:2" ht="13">
      <c r="A730" s="5"/>
      <c r="B730" s="6"/>
    </row>
    <row r="731" spans="1:2" ht="13">
      <c r="A731" s="5"/>
      <c r="B731" s="6"/>
    </row>
    <row r="732" spans="1:2" ht="13">
      <c r="A732" s="5"/>
      <c r="B732" s="6"/>
    </row>
    <row r="733" spans="1:2" ht="13">
      <c r="A733" s="5"/>
      <c r="B733" s="6"/>
    </row>
    <row r="734" spans="1:2" ht="13">
      <c r="A734" s="5"/>
      <c r="B734" s="6"/>
    </row>
    <row r="735" spans="1:2" ht="13">
      <c r="A735" s="5"/>
      <c r="B735" s="6"/>
    </row>
    <row r="736" spans="1:2" ht="13">
      <c r="A736" s="5"/>
      <c r="B736" s="6"/>
    </row>
    <row r="737" spans="1:2" ht="13">
      <c r="A737" s="5"/>
      <c r="B737" s="6"/>
    </row>
    <row r="738" spans="1:2" ht="13">
      <c r="A738" s="5"/>
      <c r="B738" s="6"/>
    </row>
    <row r="739" spans="1:2" ht="13">
      <c r="A739" s="5"/>
      <c r="B739" s="6"/>
    </row>
    <row r="740" spans="1:2" ht="13">
      <c r="A740" s="5"/>
      <c r="B740" s="6"/>
    </row>
    <row r="741" spans="1:2" ht="13">
      <c r="A741" s="5"/>
      <c r="B741" s="6"/>
    </row>
    <row r="742" spans="1:2" ht="13">
      <c r="A742" s="5"/>
      <c r="B742" s="6"/>
    </row>
    <row r="743" spans="1:2" ht="13">
      <c r="A743" s="5"/>
      <c r="B743" s="6"/>
    </row>
    <row r="744" spans="1:2" ht="13">
      <c r="A744" s="5"/>
      <c r="B744" s="6"/>
    </row>
    <row r="745" spans="1:2" ht="13">
      <c r="A745" s="5"/>
      <c r="B745" s="6"/>
    </row>
    <row r="746" spans="1:2" ht="13">
      <c r="A746" s="5"/>
      <c r="B746" s="6"/>
    </row>
    <row r="747" spans="1:2" ht="13">
      <c r="A747" s="5"/>
      <c r="B747" s="6"/>
    </row>
    <row r="748" spans="1:2" ht="13">
      <c r="A748" s="5"/>
      <c r="B748" s="6"/>
    </row>
    <row r="749" spans="1:2" ht="13">
      <c r="A749" s="5"/>
      <c r="B749" s="6"/>
    </row>
    <row r="750" spans="1:2" ht="13">
      <c r="A750" s="5"/>
      <c r="B750" s="6"/>
    </row>
    <row r="751" spans="1:2" ht="13">
      <c r="A751" s="5"/>
      <c r="B751" s="6"/>
    </row>
    <row r="752" spans="1:2" ht="13">
      <c r="A752" s="5"/>
      <c r="B752" s="6"/>
    </row>
    <row r="753" spans="1:2" ht="13">
      <c r="A753" s="5"/>
      <c r="B753" s="6"/>
    </row>
    <row r="754" spans="1:2" ht="13">
      <c r="A754" s="5"/>
      <c r="B754" s="6"/>
    </row>
    <row r="755" spans="1:2" ht="13">
      <c r="A755" s="5"/>
      <c r="B755" s="6"/>
    </row>
    <row r="756" spans="1:2" ht="13">
      <c r="A756" s="5"/>
      <c r="B756" s="6"/>
    </row>
    <row r="757" spans="1:2" ht="13">
      <c r="A757" s="5"/>
      <c r="B757" s="6"/>
    </row>
    <row r="758" spans="1:2" ht="13">
      <c r="A758" s="5"/>
      <c r="B758" s="6"/>
    </row>
    <row r="759" spans="1:2" ht="13">
      <c r="A759" s="5"/>
      <c r="B759" s="6"/>
    </row>
    <row r="760" spans="1:2" ht="13">
      <c r="A760" s="5"/>
      <c r="B760" s="6"/>
    </row>
    <row r="761" spans="1:2" ht="13">
      <c r="A761" s="5"/>
      <c r="B761" s="6"/>
    </row>
    <row r="762" spans="1:2" ht="13">
      <c r="A762" s="5"/>
      <c r="B762" s="6"/>
    </row>
    <row r="763" spans="1:2" ht="13">
      <c r="A763" s="5"/>
      <c r="B763" s="6"/>
    </row>
    <row r="764" spans="1:2" ht="13">
      <c r="A764" s="5"/>
      <c r="B764" s="6"/>
    </row>
    <row r="765" spans="1:2" ht="13">
      <c r="A765" s="5"/>
      <c r="B765" s="6"/>
    </row>
    <row r="766" spans="1:2" ht="13">
      <c r="A766" s="5"/>
      <c r="B766" s="6"/>
    </row>
    <row r="767" spans="1:2" ht="13">
      <c r="A767" s="5"/>
      <c r="B767" s="6"/>
    </row>
    <row r="768" spans="1:2" ht="13">
      <c r="A768" s="5"/>
      <c r="B768" s="6"/>
    </row>
    <row r="769" spans="1:2" ht="13">
      <c r="A769" s="5"/>
      <c r="B769" s="6"/>
    </row>
    <row r="770" spans="1:2" ht="13">
      <c r="A770" s="5"/>
      <c r="B770" s="6"/>
    </row>
    <row r="771" spans="1:2" ht="13">
      <c r="A771" s="5"/>
      <c r="B771" s="6"/>
    </row>
    <row r="772" spans="1:2" ht="13">
      <c r="A772" s="5"/>
      <c r="B772" s="6"/>
    </row>
    <row r="773" spans="1:2" ht="13">
      <c r="A773" s="5"/>
      <c r="B773" s="6"/>
    </row>
    <row r="774" spans="1:2" ht="13">
      <c r="A774" s="5"/>
      <c r="B774" s="6"/>
    </row>
    <row r="775" spans="1:2" ht="13">
      <c r="A775" s="5"/>
      <c r="B775" s="6"/>
    </row>
    <row r="776" spans="1:2" ht="13">
      <c r="A776" s="5"/>
      <c r="B776" s="6"/>
    </row>
    <row r="777" spans="1:2" ht="13">
      <c r="A777" s="5"/>
      <c r="B777" s="6"/>
    </row>
    <row r="778" spans="1:2" ht="13">
      <c r="A778" s="5"/>
      <c r="B778" s="6"/>
    </row>
    <row r="779" spans="1:2" ht="13">
      <c r="A779" s="5"/>
      <c r="B779" s="6"/>
    </row>
    <row r="780" spans="1:2" ht="13">
      <c r="A780" s="5"/>
      <c r="B780" s="6"/>
    </row>
    <row r="781" spans="1:2" ht="13">
      <c r="A781" s="5"/>
      <c r="B781" s="6"/>
    </row>
    <row r="782" spans="1:2" ht="13">
      <c r="A782" s="5"/>
      <c r="B782" s="6"/>
    </row>
    <row r="783" spans="1:2" ht="13">
      <c r="A783" s="5"/>
      <c r="B783" s="6"/>
    </row>
    <row r="784" spans="1:2" ht="13">
      <c r="A784" s="5"/>
      <c r="B784" s="6"/>
    </row>
    <row r="785" spans="1:2" ht="13">
      <c r="A785" s="5"/>
      <c r="B785" s="6"/>
    </row>
    <row r="786" spans="1:2" ht="13">
      <c r="A786" s="5"/>
      <c r="B786" s="6"/>
    </row>
    <row r="787" spans="1:2" ht="13">
      <c r="A787" s="5"/>
      <c r="B787" s="6"/>
    </row>
    <row r="788" spans="1:2" ht="13">
      <c r="A788" s="5"/>
      <c r="B788" s="6"/>
    </row>
    <row r="789" spans="1:2" ht="13">
      <c r="A789" s="5"/>
      <c r="B789" s="6"/>
    </row>
    <row r="790" spans="1:2" ht="13">
      <c r="A790" s="5"/>
      <c r="B790" s="6"/>
    </row>
    <row r="791" spans="1:2" ht="13">
      <c r="A791" s="5"/>
      <c r="B791" s="6"/>
    </row>
    <row r="792" spans="1:2" ht="13">
      <c r="A792" s="5"/>
      <c r="B792" s="6"/>
    </row>
    <row r="793" spans="1:2" ht="13">
      <c r="A793" s="5"/>
      <c r="B793" s="6"/>
    </row>
    <row r="794" spans="1:2" ht="13">
      <c r="A794" s="5"/>
      <c r="B794" s="6"/>
    </row>
    <row r="795" spans="1:2" ht="13">
      <c r="A795" s="5"/>
      <c r="B795" s="6"/>
    </row>
    <row r="796" spans="1:2" ht="13">
      <c r="A796" s="5"/>
      <c r="B796" s="6"/>
    </row>
    <row r="797" spans="1:2" ht="13">
      <c r="A797" s="5"/>
      <c r="B797" s="6"/>
    </row>
    <row r="798" spans="1:2" ht="13">
      <c r="A798" s="5"/>
      <c r="B798" s="6"/>
    </row>
    <row r="799" spans="1:2" ht="13">
      <c r="A799" s="5"/>
      <c r="B799" s="6"/>
    </row>
    <row r="800" spans="1:2" ht="13">
      <c r="A800" s="5"/>
      <c r="B800" s="6"/>
    </row>
    <row r="801" spans="1:2" ht="13">
      <c r="A801" s="5"/>
      <c r="B801" s="6"/>
    </row>
    <row r="802" spans="1:2" ht="13">
      <c r="A802" s="5"/>
      <c r="B802" s="6"/>
    </row>
    <row r="803" spans="1:2" ht="13">
      <c r="A803" s="5"/>
      <c r="B803" s="6"/>
    </row>
    <row r="804" spans="1:2" ht="13">
      <c r="A804" s="5"/>
      <c r="B804" s="6"/>
    </row>
    <row r="805" spans="1:2" ht="13">
      <c r="A805" s="5"/>
      <c r="B805" s="6"/>
    </row>
    <row r="806" spans="1:2" ht="13">
      <c r="A806" s="5"/>
      <c r="B806" s="6"/>
    </row>
    <row r="807" spans="1:2" ht="13">
      <c r="A807" s="5"/>
      <c r="B807" s="6"/>
    </row>
    <row r="808" spans="1:2" ht="13">
      <c r="A808" s="5"/>
      <c r="B808" s="6"/>
    </row>
    <row r="809" spans="1:2" ht="13">
      <c r="A809" s="5"/>
      <c r="B809" s="6"/>
    </row>
    <row r="810" spans="1:2" ht="13">
      <c r="A810" s="5"/>
      <c r="B810" s="6"/>
    </row>
    <row r="811" spans="1:2" ht="13">
      <c r="A811" s="5"/>
      <c r="B811" s="6"/>
    </row>
    <row r="812" spans="1:2" ht="13">
      <c r="A812" s="5"/>
      <c r="B812" s="6"/>
    </row>
    <row r="813" spans="1:2" ht="13">
      <c r="A813" s="5"/>
      <c r="B813" s="6"/>
    </row>
    <row r="814" spans="1:2" ht="13">
      <c r="A814" s="5"/>
      <c r="B814" s="6"/>
    </row>
    <row r="815" spans="1:2" ht="13">
      <c r="A815" s="5"/>
      <c r="B815" s="6"/>
    </row>
    <row r="816" spans="1:2" ht="13">
      <c r="A816" s="5"/>
      <c r="B816" s="6"/>
    </row>
    <row r="817" spans="1:2" ht="13">
      <c r="A817" s="5"/>
      <c r="B817" s="6"/>
    </row>
    <row r="818" spans="1:2" ht="13">
      <c r="A818" s="5"/>
      <c r="B818" s="6"/>
    </row>
    <row r="819" spans="1:2" ht="13">
      <c r="A819" s="5"/>
      <c r="B819" s="6"/>
    </row>
    <row r="820" spans="1:2" ht="13">
      <c r="A820" s="5"/>
      <c r="B820" s="6"/>
    </row>
    <row r="821" spans="1:2" ht="13">
      <c r="A821" s="5"/>
      <c r="B821" s="6"/>
    </row>
    <row r="822" spans="1:2" ht="13">
      <c r="A822" s="5"/>
      <c r="B822" s="6"/>
    </row>
    <row r="823" spans="1:2" ht="13">
      <c r="A823" s="5"/>
      <c r="B823" s="6"/>
    </row>
    <row r="824" spans="1:2" ht="13">
      <c r="A824" s="5"/>
      <c r="B824" s="6"/>
    </row>
    <row r="825" spans="1:2" ht="13">
      <c r="A825" s="5"/>
      <c r="B825" s="6"/>
    </row>
    <row r="826" spans="1:2" ht="13">
      <c r="A826" s="5"/>
      <c r="B826" s="6"/>
    </row>
    <row r="827" spans="1:2" ht="13">
      <c r="A827" s="5"/>
      <c r="B827" s="6"/>
    </row>
    <row r="828" spans="1:2" ht="13">
      <c r="A828" s="5"/>
      <c r="B828" s="6"/>
    </row>
    <row r="829" spans="1:2" ht="13">
      <c r="A829" s="5"/>
      <c r="B829" s="6"/>
    </row>
    <row r="830" spans="1:2" ht="13">
      <c r="A830" s="5"/>
      <c r="B830" s="6"/>
    </row>
    <row r="831" spans="1:2" ht="13">
      <c r="A831" s="5"/>
      <c r="B831" s="6"/>
    </row>
    <row r="832" spans="1:2" ht="13">
      <c r="A832" s="5"/>
      <c r="B832" s="6"/>
    </row>
    <row r="833" spans="1:2" ht="13">
      <c r="A833" s="5"/>
      <c r="B833" s="6"/>
    </row>
    <row r="834" spans="1:2" ht="13">
      <c r="A834" s="5"/>
      <c r="B834" s="6"/>
    </row>
    <row r="835" spans="1:2" ht="13">
      <c r="A835" s="5"/>
      <c r="B835" s="6"/>
    </row>
    <row r="836" spans="1:2" ht="13">
      <c r="A836" s="5"/>
      <c r="B836" s="6"/>
    </row>
    <row r="837" spans="1:2" ht="13">
      <c r="A837" s="5"/>
      <c r="B837" s="6"/>
    </row>
    <row r="838" spans="1:2" ht="13">
      <c r="A838" s="5"/>
      <c r="B838" s="6"/>
    </row>
    <row r="839" spans="1:2" ht="13">
      <c r="A839" s="5"/>
      <c r="B839" s="6"/>
    </row>
    <row r="840" spans="1:2" ht="13">
      <c r="A840" s="5"/>
      <c r="B840" s="6"/>
    </row>
    <row r="841" spans="1:2" ht="13">
      <c r="A841" s="5"/>
      <c r="B841" s="6"/>
    </row>
    <row r="842" spans="1:2" ht="13">
      <c r="A842" s="5"/>
      <c r="B842" s="6"/>
    </row>
    <row r="843" spans="1:2" ht="13">
      <c r="A843" s="5"/>
      <c r="B843" s="6"/>
    </row>
    <row r="844" spans="1:2" ht="13">
      <c r="A844" s="5"/>
      <c r="B844" s="6"/>
    </row>
    <row r="845" spans="1:2" ht="13">
      <c r="A845" s="5"/>
      <c r="B845" s="6"/>
    </row>
    <row r="846" spans="1:2" ht="13">
      <c r="A846" s="5"/>
      <c r="B846" s="6"/>
    </row>
    <row r="847" spans="1:2" ht="13">
      <c r="A847" s="5"/>
      <c r="B847" s="6"/>
    </row>
    <row r="848" spans="1:2" ht="13">
      <c r="A848" s="5"/>
      <c r="B848" s="6"/>
    </row>
    <row r="849" spans="1:2" ht="13">
      <c r="A849" s="5"/>
      <c r="B849" s="6"/>
    </row>
    <row r="850" spans="1:2" ht="13">
      <c r="A850" s="5"/>
      <c r="B850" s="6"/>
    </row>
    <row r="851" spans="1:2" ht="13">
      <c r="A851" s="5"/>
      <c r="B851" s="6"/>
    </row>
    <row r="852" spans="1:2" ht="13">
      <c r="A852" s="5"/>
      <c r="B852" s="6"/>
    </row>
    <row r="853" spans="1:2" ht="13">
      <c r="A853" s="5"/>
      <c r="B853" s="6"/>
    </row>
    <row r="854" spans="1:2" ht="13">
      <c r="A854" s="5"/>
      <c r="B854" s="6"/>
    </row>
    <row r="855" spans="1:2" ht="13">
      <c r="A855" s="5"/>
      <c r="B855" s="6"/>
    </row>
    <row r="856" spans="1:2" ht="13">
      <c r="A856" s="5"/>
      <c r="B856" s="6"/>
    </row>
    <row r="857" spans="1:2" ht="13">
      <c r="A857" s="5"/>
      <c r="B857" s="6"/>
    </row>
    <row r="858" spans="1:2" ht="13">
      <c r="A858" s="5"/>
      <c r="B858" s="6"/>
    </row>
    <row r="859" spans="1:2" ht="13">
      <c r="A859" s="5"/>
      <c r="B859" s="6"/>
    </row>
    <row r="860" spans="1:2" ht="13">
      <c r="A860" s="5"/>
      <c r="B860" s="6"/>
    </row>
    <row r="861" spans="1:2" ht="13">
      <c r="A861" s="5"/>
      <c r="B861" s="6"/>
    </row>
    <row r="862" spans="1:2" ht="13">
      <c r="A862" s="5"/>
      <c r="B862" s="6"/>
    </row>
    <row r="863" spans="1:2" ht="13">
      <c r="A863" s="5"/>
      <c r="B863" s="6"/>
    </row>
    <row r="864" spans="1:2" ht="13">
      <c r="A864" s="5"/>
      <c r="B864" s="6"/>
    </row>
    <row r="865" spans="1:2" ht="13">
      <c r="A865" s="5"/>
      <c r="B865" s="6"/>
    </row>
    <row r="866" spans="1:2" ht="13">
      <c r="A866" s="5"/>
      <c r="B866" s="6"/>
    </row>
    <row r="867" spans="1:2" ht="13">
      <c r="A867" s="5"/>
      <c r="B867" s="6"/>
    </row>
    <row r="868" spans="1:2" ht="13">
      <c r="A868" s="5"/>
      <c r="B868" s="6"/>
    </row>
    <row r="869" spans="1:2" ht="13">
      <c r="A869" s="5"/>
      <c r="B869" s="6"/>
    </row>
    <row r="870" spans="1:2" ht="13">
      <c r="A870" s="5"/>
      <c r="B870" s="6"/>
    </row>
    <row r="871" spans="1:2" ht="13">
      <c r="A871" s="5"/>
      <c r="B871" s="6"/>
    </row>
    <row r="872" spans="1:2" ht="13">
      <c r="A872" s="5"/>
      <c r="B872" s="6"/>
    </row>
    <row r="873" spans="1:2" ht="13">
      <c r="A873" s="5"/>
      <c r="B873" s="6"/>
    </row>
    <row r="874" spans="1:2" ht="13">
      <c r="A874" s="5"/>
      <c r="B874" s="6"/>
    </row>
    <row r="875" spans="1:2" ht="13">
      <c r="A875" s="5"/>
      <c r="B875" s="6"/>
    </row>
    <row r="876" spans="1:2" ht="13">
      <c r="A876" s="5"/>
      <c r="B876" s="6"/>
    </row>
    <row r="877" spans="1:2" ht="13">
      <c r="A877" s="5"/>
      <c r="B877" s="6"/>
    </row>
    <row r="878" spans="1:2" ht="13">
      <c r="A878" s="5"/>
      <c r="B878" s="6"/>
    </row>
    <row r="879" spans="1:2" ht="13">
      <c r="A879" s="5"/>
      <c r="B879" s="6"/>
    </row>
    <row r="880" spans="1:2" ht="13">
      <c r="A880" s="5"/>
      <c r="B880" s="6"/>
    </row>
    <row r="881" spans="1:2" ht="13">
      <c r="A881" s="5"/>
      <c r="B881" s="6"/>
    </row>
    <row r="882" spans="1:2" ht="13">
      <c r="A882" s="5"/>
      <c r="B882" s="6"/>
    </row>
    <row r="883" spans="1:2" ht="13">
      <c r="A883" s="5"/>
      <c r="B883" s="6"/>
    </row>
    <row r="884" spans="1:2" ht="13">
      <c r="A884" s="5"/>
      <c r="B884" s="6"/>
    </row>
    <row r="885" spans="1:2" ht="13">
      <c r="A885" s="5"/>
      <c r="B885" s="6"/>
    </row>
    <row r="886" spans="1:2" ht="13">
      <c r="A886" s="5"/>
      <c r="B886" s="6"/>
    </row>
    <row r="887" spans="1:2" ht="13">
      <c r="A887" s="5"/>
      <c r="B887" s="6"/>
    </row>
    <row r="888" spans="1:2" ht="13">
      <c r="A888" s="5"/>
      <c r="B888" s="6"/>
    </row>
    <row r="889" spans="1:2" ht="13">
      <c r="A889" s="5"/>
      <c r="B889" s="6"/>
    </row>
    <row r="890" spans="1:2" ht="13">
      <c r="A890" s="5"/>
      <c r="B890" s="6"/>
    </row>
    <row r="891" spans="1:2" ht="13">
      <c r="A891" s="5"/>
      <c r="B891" s="6"/>
    </row>
    <row r="892" spans="1:2" ht="13">
      <c r="A892" s="5"/>
      <c r="B892" s="6"/>
    </row>
    <row r="893" spans="1:2" ht="13">
      <c r="A893" s="5"/>
      <c r="B893" s="6"/>
    </row>
    <row r="894" spans="1:2" ht="13">
      <c r="A894" s="5"/>
      <c r="B894" s="6"/>
    </row>
    <row r="895" spans="1:2" ht="13">
      <c r="A895" s="5"/>
      <c r="B895" s="6"/>
    </row>
    <row r="896" spans="1:2" ht="13">
      <c r="A896" s="5"/>
      <c r="B896" s="6"/>
    </row>
    <row r="897" spans="1:2" ht="13">
      <c r="A897" s="5"/>
      <c r="B897" s="6"/>
    </row>
    <row r="898" spans="1:2" ht="13">
      <c r="A898" s="5"/>
      <c r="B898" s="6"/>
    </row>
    <row r="899" spans="1:2" ht="13">
      <c r="A899" s="5"/>
      <c r="B899" s="6"/>
    </row>
    <row r="900" spans="1:2" ht="13">
      <c r="A900" s="5"/>
      <c r="B900" s="6"/>
    </row>
    <row r="901" spans="1:2" ht="13">
      <c r="A901" s="5"/>
      <c r="B901" s="6"/>
    </row>
    <row r="902" spans="1:2" ht="13">
      <c r="A902" s="5"/>
      <c r="B902" s="6"/>
    </row>
    <row r="903" spans="1:2" ht="13">
      <c r="A903" s="5"/>
      <c r="B903" s="6"/>
    </row>
    <row r="904" spans="1:2" ht="13">
      <c r="A904" s="5"/>
      <c r="B904" s="6"/>
    </row>
    <row r="905" spans="1:2" ht="13">
      <c r="A905" s="5"/>
      <c r="B905" s="6"/>
    </row>
    <row r="906" spans="1:2" ht="13">
      <c r="A906" s="5"/>
      <c r="B906" s="6"/>
    </row>
    <row r="907" spans="1:2" ht="13">
      <c r="A907" s="5"/>
      <c r="B907" s="6"/>
    </row>
    <row r="908" spans="1:2" ht="13">
      <c r="A908" s="5"/>
      <c r="B908" s="6"/>
    </row>
    <row r="909" spans="1:2" ht="13">
      <c r="A909" s="5"/>
      <c r="B909" s="6"/>
    </row>
    <row r="910" spans="1:2" ht="13">
      <c r="A910" s="5"/>
      <c r="B910" s="6"/>
    </row>
    <row r="911" spans="1:2" ht="13">
      <c r="A911" s="5"/>
      <c r="B911" s="6"/>
    </row>
    <row r="912" spans="1:2" ht="13">
      <c r="A912" s="5"/>
      <c r="B912" s="6"/>
    </row>
    <row r="913" spans="1:2" ht="13">
      <c r="A913" s="5"/>
      <c r="B913" s="6"/>
    </row>
    <row r="914" spans="1:2" ht="13">
      <c r="A914" s="5"/>
      <c r="B914" s="6"/>
    </row>
    <row r="915" spans="1:2" ht="13">
      <c r="A915" s="5"/>
      <c r="B915" s="6"/>
    </row>
    <row r="916" spans="1:2" ht="13">
      <c r="A916" s="5"/>
      <c r="B916" s="6"/>
    </row>
    <row r="917" spans="1:2" ht="13">
      <c r="A917" s="5"/>
      <c r="B917" s="6"/>
    </row>
    <row r="918" spans="1:2" ht="13">
      <c r="A918" s="5"/>
      <c r="B918" s="6"/>
    </row>
    <row r="919" spans="1:2" ht="13">
      <c r="A919" s="5"/>
      <c r="B919" s="6"/>
    </row>
    <row r="920" spans="1:2" ht="13">
      <c r="A920" s="5"/>
      <c r="B920" s="6"/>
    </row>
    <row r="921" spans="1:2" ht="13">
      <c r="A921" s="5"/>
      <c r="B921" s="6"/>
    </row>
    <row r="922" spans="1:2" ht="13">
      <c r="A922" s="5"/>
      <c r="B922" s="6"/>
    </row>
    <row r="923" spans="1:2" ht="13">
      <c r="A923" s="5"/>
      <c r="B923" s="6"/>
    </row>
    <row r="924" spans="1:2" ht="13">
      <c r="A924" s="5"/>
      <c r="B924" s="6"/>
    </row>
    <row r="925" spans="1:2" ht="13">
      <c r="A925" s="5"/>
      <c r="B925" s="6"/>
    </row>
    <row r="926" spans="1:2" ht="13">
      <c r="A926" s="5"/>
      <c r="B926" s="6"/>
    </row>
    <row r="927" spans="1:2" ht="13">
      <c r="A927" s="5"/>
      <c r="B927" s="6"/>
    </row>
    <row r="928" spans="1:2" ht="13">
      <c r="A928" s="5"/>
      <c r="B928" s="6"/>
    </row>
    <row r="929" spans="1:2" ht="13">
      <c r="A929" s="5"/>
      <c r="B929" s="6"/>
    </row>
    <row r="930" spans="1:2" ht="13">
      <c r="A930" s="5"/>
      <c r="B930" s="6"/>
    </row>
    <row r="931" spans="1:2" ht="13">
      <c r="A931" s="5"/>
      <c r="B931" s="6"/>
    </row>
    <row r="932" spans="1:2" ht="13">
      <c r="A932" s="5"/>
      <c r="B932" s="6"/>
    </row>
    <row r="933" spans="1:2" ht="13">
      <c r="A933" s="5"/>
      <c r="B933" s="6"/>
    </row>
    <row r="934" spans="1:2" ht="13">
      <c r="A934" s="5"/>
      <c r="B934" s="6"/>
    </row>
    <row r="935" spans="1:2" ht="13">
      <c r="A935" s="5"/>
      <c r="B935" s="6"/>
    </row>
    <row r="936" spans="1:2" ht="13">
      <c r="A936" s="5"/>
      <c r="B936" s="6"/>
    </row>
    <row r="937" spans="1:2" ht="13">
      <c r="A937" s="5"/>
      <c r="B937" s="6"/>
    </row>
    <row r="938" spans="1:2" ht="13">
      <c r="A938" s="5"/>
      <c r="B938" s="6"/>
    </row>
    <row r="939" spans="1:2" ht="13">
      <c r="A939" s="5"/>
      <c r="B939" s="6"/>
    </row>
    <row r="940" spans="1:2" ht="13">
      <c r="A940" s="5"/>
      <c r="B940" s="6"/>
    </row>
    <row r="941" spans="1:2" ht="13">
      <c r="A941" s="5"/>
      <c r="B941" s="6"/>
    </row>
    <row r="942" spans="1:2" ht="13">
      <c r="A942" s="5"/>
      <c r="B942" s="6"/>
    </row>
    <row r="943" spans="1:2" ht="13">
      <c r="A943" s="5"/>
      <c r="B943" s="6"/>
    </row>
    <row r="944" spans="1:2" ht="13">
      <c r="A944" s="5"/>
      <c r="B944" s="6"/>
    </row>
    <row r="945" spans="1:2" ht="13">
      <c r="A945" s="5"/>
      <c r="B945" s="6"/>
    </row>
    <row r="946" spans="1:2" ht="13">
      <c r="A946" s="5"/>
      <c r="B946" s="6"/>
    </row>
    <row r="947" spans="1:2" ht="13">
      <c r="A947" s="5"/>
      <c r="B947" s="6"/>
    </row>
    <row r="948" spans="1:2" ht="13">
      <c r="A948" s="5"/>
      <c r="B948" s="6"/>
    </row>
    <row r="949" spans="1:2" ht="13">
      <c r="A949" s="5"/>
      <c r="B949" s="6"/>
    </row>
    <row r="950" spans="1:2" ht="13">
      <c r="A950" s="5"/>
      <c r="B950" s="6"/>
    </row>
    <row r="951" spans="1:2" ht="13">
      <c r="A951" s="5"/>
      <c r="B951" s="6"/>
    </row>
    <row r="952" spans="1:2" ht="13">
      <c r="A952" s="5"/>
      <c r="B952" s="6"/>
    </row>
    <row r="953" spans="1:2" ht="13">
      <c r="A953" s="5"/>
      <c r="B953" s="6"/>
    </row>
    <row r="954" spans="1:2" ht="13">
      <c r="A954" s="5"/>
      <c r="B954" s="6"/>
    </row>
    <row r="955" spans="1:2" ht="13">
      <c r="A955" s="5"/>
      <c r="B955" s="6"/>
    </row>
    <row r="956" spans="1:2" ht="13">
      <c r="A956" s="5"/>
      <c r="B956" s="6"/>
    </row>
    <row r="957" spans="1:2" ht="13">
      <c r="A957" s="5"/>
      <c r="B957" s="6"/>
    </row>
    <row r="958" spans="1:2" ht="13">
      <c r="A958" s="5"/>
      <c r="B958" s="6"/>
    </row>
    <row r="959" spans="1:2" ht="13">
      <c r="A959" s="5"/>
      <c r="B959" s="6"/>
    </row>
    <row r="960" spans="1:2" ht="13">
      <c r="A960" s="5"/>
      <c r="B960" s="6"/>
    </row>
    <row r="961" spans="1:2" ht="13">
      <c r="A961" s="5"/>
      <c r="B961" s="6"/>
    </row>
    <row r="962" spans="1:2" ht="13">
      <c r="A962" s="5"/>
      <c r="B962" s="6"/>
    </row>
    <row r="963" spans="1:2" ht="13">
      <c r="A963" s="5"/>
      <c r="B963" s="6"/>
    </row>
    <row r="964" spans="1:2" ht="13">
      <c r="A964" s="5"/>
      <c r="B964" s="6"/>
    </row>
    <row r="965" spans="1:2" ht="13">
      <c r="A965" s="5"/>
      <c r="B965" s="6"/>
    </row>
    <row r="966" spans="1:2" ht="13">
      <c r="A966" s="5"/>
      <c r="B966" s="6"/>
    </row>
    <row r="967" spans="1:2" ht="13">
      <c r="A967" s="5"/>
      <c r="B967" s="6"/>
    </row>
    <row r="968" spans="1:2" ht="13">
      <c r="A968" s="5"/>
      <c r="B968" s="6"/>
    </row>
    <row r="969" spans="1:2" ht="13">
      <c r="A969" s="5"/>
      <c r="B969" s="6"/>
    </row>
    <row r="970" spans="1:2" ht="13">
      <c r="A970" s="5"/>
      <c r="B970" s="6"/>
    </row>
    <row r="971" spans="1:2" ht="13">
      <c r="A971" s="5"/>
      <c r="B971" s="6"/>
    </row>
    <row r="972" spans="1:2" ht="13">
      <c r="A972" s="5"/>
      <c r="B972" s="6"/>
    </row>
    <row r="973" spans="1:2" ht="13">
      <c r="A973" s="5"/>
      <c r="B973" s="6"/>
    </row>
    <row r="974" spans="1:2" ht="13">
      <c r="A974" s="5"/>
      <c r="B974" s="6"/>
    </row>
    <row r="975" spans="1:2" ht="13">
      <c r="A975" s="5"/>
      <c r="B975" s="6"/>
    </row>
    <row r="976" spans="1:2" ht="13">
      <c r="A976" s="5"/>
      <c r="B976" s="6"/>
    </row>
    <row r="977" spans="1:2" ht="13">
      <c r="A977" s="5"/>
      <c r="B977" s="6"/>
    </row>
    <row r="978" spans="1:2" ht="13">
      <c r="A978" s="5"/>
      <c r="B978" s="6"/>
    </row>
    <row r="979" spans="1:2" ht="13">
      <c r="A979" s="5"/>
      <c r="B979" s="6"/>
    </row>
    <row r="980" spans="1:2" ht="13">
      <c r="A980" s="5"/>
      <c r="B980" s="6"/>
    </row>
    <row r="981" spans="1:2" ht="13">
      <c r="A981" s="5"/>
      <c r="B981" s="6"/>
    </row>
    <row r="982" spans="1:2" ht="13">
      <c r="A982" s="5"/>
      <c r="B982" s="6"/>
    </row>
    <row r="983" spans="1:2" ht="13">
      <c r="A983" s="5"/>
      <c r="B983" s="6"/>
    </row>
    <row r="984" spans="1:2" ht="13">
      <c r="A984" s="5"/>
      <c r="B984" s="6"/>
    </row>
    <row r="985" spans="1:2" ht="13">
      <c r="A985" s="5"/>
      <c r="B985" s="6"/>
    </row>
    <row r="986" spans="1:2" ht="13">
      <c r="A986" s="5"/>
      <c r="B986" s="6"/>
    </row>
    <row r="987" spans="1:2" ht="13">
      <c r="A987" s="5"/>
      <c r="B987" s="6"/>
    </row>
    <row r="988" spans="1:2" ht="13">
      <c r="A988" s="5"/>
      <c r="B988" s="6"/>
    </row>
    <row r="989" spans="1:2" ht="13">
      <c r="A989" s="5"/>
      <c r="B989" s="6"/>
    </row>
    <row r="990" spans="1:2" ht="13">
      <c r="A990" s="5"/>
      <c r="B990" s="6"/>
    </row>
    <row r="991" spans="1:2" ht="13">
      <c r="A991" s="5"/>
      <c r="B991" s="6"/>
    </row>
    <row r="992" spans="1:2" ht="13">
      <c r="A992" s="5"/>
      <c r="B992" s="6"/>
    </row>
    <row r="993" spans="1:2" ht="13">
      <c r="A993" s="5"/>
      <c r="B993" s="6"/>
    </row>
    <row r="994" spans="1:2" ht="13">
      <c r="A994" s="5"/>
      <c r="B994" s="6"/>
    </row>
    <row r="995" spans="1:2" ht="13">
      <c r="A995" s="5"/>
      <c r="B995" s="6"/>
    </row>
    <row r="996" spans="1:2" ht="13">
      <c r="A996" s="5"/>
      <c r="B996" s="6"/>
    </row>
    <row r="997" spans="1:2" ht="13">
      <c r="A997" s="5"/>
      <c r="B997" s="6"/>
    </row>
    <row r="998" spans="1:2" ht="13">
      <c r="A998" s="5"/>
      <c r="B998" s="6"/>
    </row>
    <row r="999" spans="1:2" ht="13">
      <c r="A999" s="5"/>
      <c r="B999" s="6"/>
    </row>
    <row r="1000" spans="1:2" ht="13">
      <c r="A1000" s="5"/>
      <c r="B1000" s="6"/>
    </row>
    <row r="1001" spans="1:2" ht="13">
      <c r="A1001" s="5"/>
      <c r="B1001" s="6"/>
    </row>
    <row r="1002" spans="1:2" ht="13">
      <c r="A1002" s="5"/>
      <c r="B1002" s="6"/>
    </row>
    <row r="1003" spans="1:2" ht="13">
      <c r="A1003" s="5"/>
      <c r="B1003" s="6"/>
    </row>
    <row r="1004" spans="1:2" ht="13">
      <c r="A1004" s="5"/>
      <c r="B1004" s="6"/>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692"/>
  <sheetViews>
    <sheetView tabSelected="1" workbookViewId="0">
      <pane xSplit="1" ySplit="1" topLeftCell="B2" activePane="bottomRight" state="frozen"/>
      <selection pane="topRight" activeCell="B1" sqref="B1"/>
      <selection pane="bottomLeft" activeCell="A2" sqref="A2"/>
      <selection pane="bottomRight"/>
    </sheetView>
  </sheetViews>
  <sheetFormatPr baseColWidth="10" defaultColWidth="14.5" defaultRowHeight="15.75" customHeight="1"/>
  <cols>
    <col min="1" max="1" width="32.5" customWidth="1"/>
    <col min="2" max="2" width="5.83203125" customWidth="1"/>
    <col min="3" max="4" width="7.5" customWidth="1"/>
    <col min="5" max="5" width="57.5" customWidth="1"/>
    <col min="6" max="6" width="14.5" customWidth="1"/>
    <col min="7" max="7" width="5.83203125" customWidth="1"/>
    <col min="8" max="8" width="9.33203125" customWidth="1"/>
    <col min="9" max="9" width="10.6640625" customWidth="1"/>
    <col min="10" max="10" width="14.6640625" customWidth="1"/>
    <col min="11" max="11" width="5.5" customWidth="1"/>
    <col min="12" max="12" width="32.6640625" customWidth="1"/>
    <col min="13" max="13" width="11.5" customWidth="1"/>
    <col min="14" max="14" width="5.5" customWidth="1"/>
    <col min="15" max="15" width="29.1640625" customWidth="1"/>
    <col min="16" max="16" width="11.6640625" customWidth="1"/>
    <col min="17" max="17" width="5.5" customWidth="1"/>
    <col min="18" max="18" width="27.33203125" customWidth="1"/>
    <col min="19" max="19" width="11.6640625" customWidth="1"/>
    <col min="20" max="20" width="5.5" customWidth="1"/>
    <col min="21" max="21" width="26.83203125" customWidth="1"/>
    <col min="22" max="22" width="11.6640625" customWidth="1"/>
    <col min="23" max="23" width="5.5" customWidth="1"/>
    <col min="24" max="25" width="11.6640625" customWidth="1"/>
    <col min="26" max="26" width="10.33203125" customWidth="1"/>
    <col min="27" max="27" width="181" customWidth="1"/>
  </cols>
  <sheetData>
    <row r="1" spans="1:27" ht="15.75" customHeight="1">
      <c r="A1" s="17" t="s">
        <v>55</v>
      </c>
      <c r="B1" s="18" t="s">
        <v>56</v>
      </c>
      <c r="C1" s="18" t="s">
        <v>57</v>
      </c>
      <c r="D1" s="19" t="s">
        <v>58</v>
      </c>
      <c r="E1" s="20" t="s">
        <v>59</v>
      </c>
      <c r="F1" s="21" t="s">
        <v>60</v>
      </c>
      <c r="G1" s="18" t="s">
        <v>61</v>
      </c>
      <c r="H1" s="22" t="s">
        <v>62</v>
      </c>
      <c r="I1" s="22" t="s">
        <v>63</v>
      </c>
      <c r="J1" s="23" t="s">
        <v>64</v>
      </c>
      <c r="K1" s="18" t="s">
        <v>65</v>
      </c>
      <c r="L1" s="24" t="s">
        <v>66</v>
      </c>
      <c r="M1" s="21" t="s">
        <v>67</v>
      </c>
      <c r="N1" s="18" t="s">
        <v>68</v>
      </c>
      <c r="O1" s="24" t="s">
        <v>69</v>
      </c>
      <c r="P1" s="21" t="s">
        <v>70</v>
      </c>
      <c r="Q1" s="18" t="s">
        <v>71</v>
      </c>
      <c r="R1" s="25" t="s">
        <v>72</v>
      </c>
      <c r="S1" s="21" t="s">
        <v>73</v>
      </c>
      <c r="T1" s="18" t="s">
        <v>74</v>
      </c>
      <c r="U1" s="25" t="s">
        <v>75</v>
      </c>
      <c r="V1" s="21" t="s">
        <v>76</v>
      </c>
      <c r="W1" s="18" t="s">
        <v>77</v>
      </c>
      <c r="X1" s="25" t="s">
        <v>78</v>
      </c>
      <c r="Y1" s="21" t="s">
        <v>79</v>
      </c>
      <c r="Z1" s="23" t="s">
        <v>80</v>
      </c>
      <c r="AA1" s="26" t="s">
        <v>81</v>
      </c>
    </row>
    <row r="2" spans="1:27" ht="15.75" customHeight="1">
      <c r="A2" s="27" t="s">
        <v>82</v>
      </c>
      <c r="B2" s="28"/>
      <c r="C2" s="29" t="s">
        <v>30</v>
      </c>
      <c r="D2" s="30" t="s">
        <v>30</v>
      </c>
      <c r="E2" s="31" t="s">
        <v>83</v>
      </c>
      <c r="F2" s="32"/>
      <c r="G2" s="28"/>
      <c r="H2" s="33" t="s">
        <v>84</v>
      </c>
      <c r="I2" s="33" t="s">
        <v>85</v>
      </c>
      <c r="J2" s="32"/>
      <c r="K2" s="28">
        <f>IFERROR(VLOOKUP(L2,Ingredients!$A:$B,2,FALSE),"")</f>
        <v>700</v>
      </c>
      <c r="L2" s="34" t="s">
        <v>86</v>
      </c>
      <c r="M2" s="32" t="s">
        <v>87</v>
      </c>
      <c r="N2" s="28">
        <f>IFERROR(VLOOKUP(O2,Ingredients!$A:$B,2,FALSE),"")</f>
        <v>0</v>
      </c>
      <c r="O2" s="34" t="s">
        <v>88</v>
      </c>
      <c r="P2" s="32" t="s">
        <v>89</v>
      </c>
      <c r="Q2" s="28">
        <f>IFERROR(VLOOKUP(R2,Ingredients!$A:$B,2,FALSE),"")</f>
        <v>30</v>
      </c>
      <c r="R2" s="27" t="s">
        <v>90</v>
      </c>
      <c r="S2" s="32" t="s">
        <v>87</v>
      </c>
      <c r="T2" s="28">
        <f>IFERROR(VLOOKUP(U2,Ingredients!$A:$B,2,FALSE),"")</f>
        <v>1400</v>
      </c>
      <c r="U2" s="27" t="s">
        <v>91</v>
      </c>
      <c r="V2" s="32" t="s">
        <v>87</v>
      </c>
      <c r="W2" s="28"/>
      <c r="X2" s="35"/>
      <c r="Y2" s="32"/>
      <c r="Z2" s="29">
        <v>1</v>
      </c>
      <c r="AA2" s="36"/>
    </row>
    <row r="3" spans="1:27" ht="15.75" customHeight="1">
      <c r="A3" s="27" t="s">
        <v>82</v>
      </c>
      <c r="B3" s="28"/>
      <c r="C3" s="29" t="s">
        <v>30</v>
      </c>
      <c r="D3" s="30" t="s">
        <v>30</v>
      </c>
      <c r="E3" s="37" t="s">
        <v>92</v>
      </c>
      <c r="F3" s="32"/>
      <c r="G3" s="28"/>
      <c r="H3" s="33" t="s">
        <v>84</v>
      </c>
      <c r="I3" s="33" t="s">
        <v>85</v>
      </c>
      <c r="J3" s="32"/>
      <c r="K3" s="28">
        <f>IFERROR(VLOOKUP(L3,Ingredients!$A:$B,2,FALSE),"")</f>
        <v>350</v>
      </c>
      <c r="L3" s="34" t="s">
        <v>93</v>
      </c>
      <c r="M3" s="32" t="s">
        <v>87</v>
      </c>
      <c r="N3" s="28">
        <f>IFERROR(VLOOKUP(O3,Ingredients!$A:$B,2,FALSE),"")</f>
        <v>0</v>
      </c>
      <c r="O3" s="34" t="s">
        <v>88</v>
      </c>
      <c r="P3" s="32" t="s">
        <v>89</v>
      </c>
      <c r="Q3" s="28">
        <f>IFERROR(VLOOKUP(R3,Ingredients!$A:$B,2,FALSE),"")</f>
        <v>30</v>
      </c>
      <c r="R3" s="27" t="s">
        <v>90</v>
      </c>
      <c r="S3" s="32" t="s">
        <v>87</v>
      </c>
      <c r="T3" s="28">
        <f>IFERROR(VLOOKUP(U3,Ingredients!$A:$B,2,FALSE),"")</f>
        <v>1400</v>
      </c>
      <c r="U3" s="27" t="s">
        <v>91</v>
      </c>
      <c r="V3" s="32" t="s">
        <v>87</v>
      </c>
      <c r="W3" s="28"/>
      <c r="X3" s="35"/>
      <c r="Y3" s="32"/>
      <c r="Z3" s="29">
        <v>1</v>
      </c>
      <c r="AA3" s="36"/>
    </row>
    <row r="4" spans="1:27" ht="15.75" customHeight="1">
      <c r="A4" s="27" t="s">
        <v>94</v>
      </c>
      <c r="B4" s="28"/>
      <c r="C4" s="29" t="s">
        <v>30</v>
      </c>
      <c r="D4" s="30" t="s">
        <v>30</v>
      </c>
      <c r="E4" s="37" t="s">
        <v>95</v>
      </c>
      <c r="F4" s="32"/>
      <c r="G4" s="28"/>
      <c r="H4" s="32" t="s">
        <v>84</v>
      </c>
      <c r="I4" s="33" t="s">
        <v>85</v>
      </c>
      <c r="J4" s="32"/>
      <c r="K4" s="28">
        <f>IFERROR(VLOOKUP(L4,Ingredients!A:B,2,FALSE),"")</f>
        <v>2</v>
      </c>
      <c r="L4" s="38" t="s">
        <v>96</v>
      </c>
      <c r="M4" s="32" t="s">
        <v>87</v>
      </c>
      <c r="N4" s="28">
        <f>IFERROR(VLOOKUP(O4,Ingredients!$A:$B,2,FALSE),"")</f>
        <v>4</v>
      </c>
      <c r="O4" s="38" t="s">
        <v>97</v>
      </c>
      <c r="P4" s="32" t="s">
        <v>89</v>
      </c>
      <c r="Q4" s="28"/>
      <c r="R4" s="35"/>
      <c r="S4" s="32"/>
      <c r="T4" s="28"/>
      <c r="U4" s="35"/>
      <c r="V4" s="32"/>
      <c r="W4" s="28"/>
      <c r="X4" s="35"/>
      <c r="Y4" s="32"/>
      <c r="Z4" s="28">
        <v>1</v>
      </c>
      <c r="AA4" s="36"/>
    </row>
    <row r="5" spans="1:27" ht="15.75" customHeight="1">
      <c r="A5" s="27" t="s">
        <v>98</v>
      </c>
      <c r="B5" s="28"/>
      <c r="C5" s="29" t="s">
        <v>30</v>
      </c>
      <c r="D5" s="30" t="s">
        <v>30</v>
      </c>
      <c r="E5" s="37" t="s">
        <v>99</v>
      </c>
      <c r="F5" s="32"/>
      <c r="G5" s="28"/>
      <c r="H5" s="32" t="s">
        <v>84</v>
      </c>
      <c r="I5" s="33" t="s">
        <v>85</v>
      </c>
      <c r="J5" s="32"/>
      <c r="K5" s="28">
        <f>IFERROR(VLOOKUP(L5,Ingredients!A:B,2,FALSE),"")</f>
        <v>2</v>
      </c>
      <c r="L5" s="38" t="s">
        <v>96</v>
      </c>
      <c r="M5" s="32" t="s">
        <v>87</v>
      </c>
      <c r="N5" s="28">
        <f>IFERROR(VLOOKUP(O5,Ingredients!$A:$B,2,FALSE),"")</f>
        <v>6</v>
      </c>
      <c r="O5" s="38" t="s">
        <v>100</v>
      </c>
      <c r="P5" s="32" t="s">
        <v>89</v>
      </c>
      <c r="Q5" s="28"/>
      <c r="R5" s="35"/>
      <c r="S5" s="32"/>
      <c r="T5" s="28"/>
      <c r="U5" s="35"/>
      <c r="V5" s="32"/>
      <c r="W5" s="28"/>
      <c r="X5" s="35"/>
      <c r="Y5" s="32"/>
      <c r="Z5" s="28">
        <v>1</v>
      </c>
      <c r="AA5" s="36"/>
    </row>
    <row r="6" spans="1:27" ht="15.75" customHeight="1">
      <c r="A6" s="27" t="s">
        <v>101</v>
      </c>
      <c r="B6" s="28"/>
      <c r="C6" s="29" t="s">
        <v>30</v>
      </c>
      <c r="D6" s="30" t="s">
        <v>30</v>
      </c>
      <c r="E6" s="37" t="s">
        <v>102</v>
      </c>
      <c r="F6" s="32"/>
      <c r="G6" s="28"/>
      <c r="H6" s="32" t="s">
        <v>84</v>
      </c>
      <c r="I6" s="33" t="s">
        <v>85</v>
      </c>
      <c r="J6" s="32"/>
      <c r="K6" s="28">
        <f>IFERROR(VLOOKUP(L6,Ingredients!A:B,2,FALSE),"")</f>
        <v>2</v>
      </c>
      <c r="L6" s="38" t="s">
        <v>96</v>
      </c>
      <c r="M6" s="32" t="s">
        <v>87</v>
      </c>
      <c r="N6" s="28">
        <f>IFERROR(VLOOKUP(O6,Ingredients!$A:$B,2,FALSE),"")</f>
        <v>4</v>
      </c>
      <c r="O6" s="38" t="s">
        <v>97</v>
      </c>
      <c r="P6" s="32" t="s">
        <v>89</v>
      </c>
      <c r="Q6" s="28">
        <f>IFERROR(VLOOKUP(R6,Ingredients!$A:$B,2,FALSE),"")</f>
        <v>450</v>
      </c>
      <c r="R6" s="35" t="s">
        <v>103</v>
      </c>
      <c r="S6" s="32" t="s">
        <v>87</v>
      </c>
      <c r="T6" s="28"/>
      <c r="U6" s="35"/>
      <c r="V6" s="32"/>
      <c r="W6" s="28"/>
      <c r="X6" s="35"/>
      <c r="Y6" s="32"/>
      <c r="Z6" s="28">
        <v>1</v>
      </c>
      <c r="AA6" s="36"/>
    </row>
    <row r="7" spans="1:27" ht="15.75" customHeight="1">
      <c r="A7" s="27" t="s">
        <v>104</v>
      </c>
      <c r="B7" s="28"/>
      <c r="C7" s="29" t="s">
        <v>30</v>
      </c>
      <c r="D7" s="30" t="s">
        <v>30</v>
      </c>
      <c r="E7" s="37" t="s">
        <v>99</v>
      </c>
      <c r="F7" s="32"/>
      <c r="G7" s="28"/>
      <c r="H7" s="32" t="s">
        <v>84</v>
      </c>
      <c r="I7" s="33" t="s">
        <v>85</v>
      </c>
      <c r="J7" s="32"/>
      <c r="K7" s="28">
        <f>IFERROR(VLOOKUP(L7,Ingredients!A:B,2,FALSE),"")</f>
        <v>2</v>
      </c>
      <c r="L7" s="38" t="s">
        <v>96</v>
      </c>
      <c r="M7" s="32" t="s">
        <v>87</v>
      </c>
      <c r="N7" s="28">
        <f>IFERROR(VLOOKUP(O7,Ingredients!$A:$B,2,FALSE),"")</f>
        <v>30</v>
      </c>
      <c r="O7" s="38" t="s">
        <v>90</v>
      </c>
      <c r="P7" s="32" t="s">
        <v>89</v>
      </c>
      <c r="Q7" s="28"/>
      <c r="R7" s="35"/>
      <c r="S7" s="32"/>
      <c r="T7" s="28"/>
      <c r="U7" s="35"/>
      <c r="V7" s="32"/>
      <c r="W7" s="28"/>
      <c r="X7" s="35"/>
      <c r="Y7" s="32"/>
      <c r="Z7" s="28">
        <v>1</v>
      </c>
      <c r="AA7" s="36"/>
    </row>
    <row r="8" spans="1:27" ht="15.75" customHeight="1">
      <c r="A8" s="27" t="s">
        <v>105</v>
      </c>
      <c r="B8" s="28"/>
      <c r="C8" s="29" t="s">
        <v>30</v>
      </c>
      <c r="D8" s="30" t="s">
        <v>30</v>
      </c>
      <c r="E8" s="37" t="s">
        <v>106</v>
      </c>
      <c r="F8" s="32"/>
      <c r="G8" s="28"/>
      <c r="H8" s="32" t="s">
        <v>84</v>
      </c>
      <c r="I8" s="33" t="s">
        <v>85</v>
      </c>
      <c r="J8" s="32" t="s">
        <v>107</v>
      </c>
      <c r="K8" s="28">
        <f>IFERROR(VLOOKUP(L8,Ingredients!A:B,2,FALSE),"")</f>
        <v>50</v>
      </c>
      <c r="L8" s="38" t="s">
        <v>108</v>
      </c>
      <c r="M8" s="32" t="s">
        <v>89</v>
      </c>
      <c r="N8" s="28"/>
      <c r="O8" s="38"/>
      <c r="P8" s="32"/>
      <c r="Q8" s="28"/>
      <c r="R8" s="35"/>
      <c r="S8" s="32"/>
      <c r="T8" s="28"/>
      <c r="U8" s="35"/>
      <c r="V8" s="32"/>
      <c r="W8" s="28"/>
      <c r="X8" s="35"/>
      <c r="Y8" s="32"/>
      <c r="Z8" s="28">
        <v>1</v>
      </c>
      <c r="AA8" s="36"/>
    </row>
    <row r="9" spans="1:27" ht="15.75" customHeight="1">
      <c r="A9" s="27" t="s">
        <v>109</v>
      </c>
      <c r="B9" s="28"/>
      <c r="C9" s="29" t="s">
        <v>30</v>
      </c>
      <c r="D9" s="30" t="s">
        <v>30</v>
      </c>
      <c r="E9" s="37" t="s">
        <v>106</v>
      </c>
      <c r="F9" s="32"/>
      <c r="G9" s="28"/>
      <c r="H9" s="32" t="s">
        <v>84</v>
      </c>
      <c r="I9" s="33" t="s">
        <v>85</v>
      </c>
      <c r="J9" s="32" t="s">
        <v>107</v>
      </c>
      <c r="K9" s="28">
        <f>IFERROR(VLOOKUP(L9,Ingredients!A:B,2,FALSE),"")</f>
        <v>40</v>
      </c>
      <c r="L9" s="38" t="s">
        <v>110</v>
      </c>
      <c r="M9" s="32" t="s">
        <v>89</v>
      </c>
      <c r="N9" s="28"/>
      <c r="O9" s="38"/>
      <c r="P9" s="32"/>
      <c r="Q9" s="28"/>
      <c r="R9" s="35"/>
      <c r="S9" s="32"/>
      <c r="T9" s="28"/>
      <c r="U9" s="35"/>
      <c r="V9" s="32"/>
      <c r="W9" s="28"/>
      <c r="X9" s="35"/>
      <c r="Y9" s="32"/>
      <c r="Z9" s="28">
        <v>1</v>
      </c>
      <c r="AA9" s="36"/>
    </row>
    <row r="10" spans="1:27" ht="15.75" customHeight="1">
      <c r="A10" s="27" t="s">
        <v>111</v>
      </c>
      <c r="B10" s="28"/>
      <c r="C10" s="29" t="s">
        <v>30</v>
      </c>
      <c r="D10" s="30" t="s">
        <v>30</v>
      </c>
      <c r="E10" s="37" t="s">
        <v>112</v>
      </c>
      <c r="F10" s="32"/>
      <c r="G10" s="28"/>
      <c r="H10" s="32" t="s">
        <v>84</v>
      </c>
      <c r="I10" s="33" t="s">
        <v>113</v>
      </c>
      <c r="J10" s="32"/>
      <c r="K10" s="28">
        <f>IFERROR(VLOOKUP(L10,Ingredients!A:B,2,FALSE),"")</f>
        <v>1</v>
      </c>
      <c r="L10" s="38" t="s">
        <v>114</v>
      </c>
      <c r="M10" s="32" t="s">
        <v>87</v>
      </c>
      <c r="N10" s="28">
        <f>IFERROR(VLOOKUP(O10,Ingredients!$A:$B,2,FALSE),"")</f>
        <v>1400</v>
      </c>
      <c r="O10" s="38" t="s">
        <v>91</v>
      </c>
      <c r="P10" s="32" t="s">
        <v>87</v>
      </c>
      <c r="Q10" s="28"/>
      <c r="R10" s="35"/>
      <c r="S10" s="32"/>
      <c r="T10" s="28"/>
      <c r="U10" s="35"/>
      <c r="V10" s="32"/>
      <c r="W10" s="28"/>
      <c r="X10" s="35"/>
      <c r="Y10" s="32"/>
      <c r="Z10" s="28">
        <v>1</v>
      </c>
      <c r="AA10" s="36"/>
    </row>
    <row r="11" spans="1:27" ht="15.75" customHeight="1">
      <c r="A11" s="27" t="s">
        <v>115</v>
      </c>
      <c r="B11" s="28"/>
      <c r="C11" s="29" t="s">
        <v>30</v>
      </c>
      <c r="D11" s="30" t="s">
        <v>30</v>
      </c>
      <c r="E11" s="37" t="s">
        <v>116</v>
      </c>
      <c r="F11" s="32"/>
      <c r="G11" s="28"/>
      <c r="H11" s="32" t="s">
        <v>84</v>
      </c>
      <c r="I11" s="33" t="s">
        <v>113</v>
      </c>
      <c r="J11" s="32"/>
      <c r="K11" s="28">
        <f>IFERROR(VLOOKUP(L11,Ingredients!A:B,2,FALSE),"")</f>
        <v>1</v>
      </c>
      <c r="L11" s="38" t="s">
        <v>117</v>
      </c>
      <c r="M11" s="32" t="s">
        <v>87</v>
      </c>
      <c r="N11" s="28">
        <f>IFERROR(VLOOKUP(O11,Ingredients!$A:$B,2,FALSE),"")</f>
        <v>1400</v>
      </c>
      <c r="O11" s="38" t="s">
        <v>91</v>
      </c>
      <c r="P11" s="32" t="s">
        <v>87</v>
      </c>
      <c r="Q11" s="28"/>
      <c r="R11" s="35"/>
      <c r="S11" s="32"/>
      <c r="T11" s="28"/>
      <c r="U11" s="35"/>
      <c r="V11" s="32"/>
      <c r="W11" s="28"/>
      <c r="X11" s="35"/>
      <c r="Y11" s="32"/>
      <c r="Z11" s="28">
        <v>1</v>
      </c>
      <c r="AA11" s="36"/>
    </row>
    <row r="12" spans="1:27" ht="15.75" customHeight="1">
      <c r="A12" s="27" t="s">
        <v>118</v>
      </c>
      <c r="B12" s="28"/>
      <c r="C12" s="29" t="s">
        <v>30</v>
      </c>
      <c r="D12" s="30" t="s">
        <v>30</v>
      </c>
      <c r="E12" s="37" t="s">
        <v>119</v>
      </c>
      <c r="F12" s="32"/>
      <c r="G12" s="28"/>
      <c r="H12" s="32" t="s">
        <v>84</v>
      </c>
      <c r="I12" s="33" t="s">
        <v>113</v>
      </c>
      <c r="J12" s="32"/>
      <c r="K12" s="28">
        <f>IFERROR(VLOOKUP(L12,Ingredients!A:B,2,FALSE),"")</f>
        <v>1</v>
      </c>
      <c r="L12" s="38" t="s">
        <v>120</v>
      </c>
      <c r="M12" s="32" t="s">
        <v>87</v>
      </c>
      <c r="N12" s="28">
        <f>IFERROR(VLOOKUP(O12,Ingredients!$A:$B,2,FALSE),"")</f>
        <v>1400</v>
      </c>
      <c r="O12" s="38" t="s">
        <v>91</v>
      </c>
      <c r="P12" s="32" t="s">
        <v>87</v>
      </c>
      <c r="Q12" s="28"/>
      <c r="R12" s="35"/>
      <c r="S12" s="32"/>
      <c r="T12" s="28"/>
      <c r="U12" s="35"/>
      <c r="V12" s="32"/>
      <c r="W12" s="28"/>
      <c r="X12" s="35"/>
      <c r="Y12" s="32"/>
      <c r="Z12" s="28">
        <v>1</v>
      </c>
      <c r="AA12" s="36"/>
    </row>
    <row r="13" spans="1:27" ht="15.75" customHeight="1">
      <c r="A13" s="27" t="s">
        <v>121</v>
      </c>
      <c r="B13" s="28"/>
      <c r="C13" s="29" t="s">
        <v>30</v>
      </c>
      <c r="D13" s="30" t="s">
        <v>30</v>
      </c>
      <c r="E13" s="37" t="s">
        <v>122</v>
      </c>
      <c r="F13" s="32"/>
      <c r="G13" s="28"/>
      <c r="H13" s="32" t="s">
        <v>84</v>
      </c>
      <c r="I13" s="33" t="s">
        <v>113</v>
      </c>
      <c r="J13" s="32"/>
      <c r="K13" s="28">
        <f>IFERROR(VLOOKUP(L13,Ingredients!A:B,2,FALSE),"")</f>
        <v>1</v>
      </c>
      <c r="L13" s="38" t="s">
        <v>123</v>
      </c>
      <c r="M13" s="32" t="s">
        <v>87</v>
      </c>
      <c r="N13" s="28">
        <f>IFERROR(VLOOKUP(O13,Ingredients!$A:$B,2,FALSE),"")</f>
        <v>1400</v>
      </c>
      <c r="O13" s="38" t="s">
        <v>91</v>
      </c>
      <c r="P13" s="32" t="s">
        <v>87</v>
      </c>
      <c r="Q13" s="28"/>
      <c r="R13" s="35"/>
      <c r="S13" s="32"/>
      <c r="T13" s="28"/>
      <c r="V13" s="32"/>
      <c r="W13" s="28"/>
      <c r="X13" s="35"/>
      <c r="Y13" s="32"/>
      <c r="Z13" s="28">
        <v>1</v>
      </c>
      <c r="AA13" s="36"/>
    </row>
    <row r="14" spans="1:27" ht="15.75" customHeight="1">
      <c r="A14" s="27" t="s">
        <v>124</v>
      </c>
      <c r="B14" s="28"/>
      <c r="C14" s="29" t="s">
        <v>30</v>
      </c>
      <c r="D14" s="30" t="s">
        <v>30</v>
      </c>
      <c r="E14" s="37" t="s">
        <v>125</v>
      </c>
      <c r="F14" s="32"/>
      <c r="G14" s="28"/>
      <c r="H14" s="32" t="s">
        <v>84</v>
      </c>
      <c r="I14" s="33" t="s">
        <v>113</v>
      </c>
      <c r="J14" s="32"/>
      <c r="K14" s="28">
        <f>IFERROR(VLOOKUP(L14,Ingredients!A:B,2,FALSE),"")</f>
        <v>2800</v>
      </c>
      <c r="L14" s="34" t="s">
        <v>111</v>
      </c>
      <c r="M14" s="32" t="s">
        <v>87</v>
      </c>
      <c r="N14" s="28">
        <f>IFERROR(VLOOKUP(O14,Ingredients!$A:$B,2,FALSE),"")</f>
        <v>2800</v>
      </c>
      <c r="O14" s="34" t="s">
        <v>118</v>
      </c>
      <c r="P14" s="32" t="s">
        <v>87</v>
      </c>
      <c r="Q14" s="28">
        <f>IFERROR(VLOOKUP(R14,Ingredients!$A:$B,2,FALSE),"")</f>
        <v>2800</v>
      </c>
      <c r="R14" s="27" t="s">
        <v>121</v>
      </c>
      <c r="S14" s="32" t="s">
        <v>87</v>
      </c>
      <c r="T14" s="28">
        <f>IFERROR(VLOOKUP(U14,Ingredients!$A:$B,2,FALSE),"")</f>
        <v>2800</v>
      </c>
      <c r="U14" s="27" t="s">
        <v>115</v>
      </c>
      <c r="V14" s="32" t="s">
        <v>87</v>
      </c>
      <c r="W14" s="28">
        <f>IFERROR(VLOOKUP(X14,Ingredients!$A:$B,2,FALSE),"")</f>
        <v>1400</v>
      </c>
      <c r="X14" s="35" t="s">
        <v>91</v>
      </c>
      <c r="Y14" s="32" t="s">
        <v>87</v>
      </c>
      <c r="Z14" s="28">
        <v>1</v>
      </c>
      <c r="AA14" s="36"/>
    </row>
    <row r="15" spans="1:27" ht="15.75" customHeight="1">
      <c r="A15" s="35" t="s">
        <v>100</v>
      </c>
      <c r="B15" s="28"/>
      <c r="C15" s="29">
        <v>6</v>
      </c>
      <c r="D15" s="30">
        <f>IF(ISNUMBER(C15),C15-K15-N15-Q15-T15-W15,"")</f>
        <v>-2</v>
      </c>
      <c r="E15" s="37" t="s">
        <v>126</v>
      </c>
      <c r="F15" s="32"/>
      <c r="G15" s="28"/>
      <c r="H15" s="32" t="s">
        <v>84</v>
      </c>
      <c r="I15" s="33" t="s">
        <v>127</v>
      </c>
      <c r="J15" s="32"/>
      <c r="K15" s="28"/>
      <c r="L15" s="38" t="s">
        <v>128</v>
      </c>
      <c r="M15" s="32" t="s">
        <v>129</v>
      </c>
      <c r="N15" s="28">
        <f>IFERROR(VLOOKUP(O15,Ingredients!$A:$B,2,FALSE),"")</f>
        <v>8</v>
      </c>
      <c r="O15" s="38" t="s">
        <v>130</v>
      </c>
      <c r="P15" s="32" t="s">
        <v>89</v>
      </c>
      <c r="Q15" s="28"/>
      <c r="R15" s="35"/>
      <c r="S15" s="32"/>
      <c r="T15" s="28"/>
      <c r="U15" s="35"/>
      <c r="V15" s="32"/>
      <c r="W15" s="28"/>
      <c r="X15" s="35"/>
      <c r="Y15" s="32"/>
      <c r="Z15" s="28"/>
      <c r="AA15" s="36"/>
    </row>
    <row r="16" spans="1:27" ht="15.75" customHeight="1">
      <c r="A16" s="27" t="s">
        <v>131</v>
      </c>
      <c r="B16" s="28"/>
      <c r="C16" s="29" t="s">
        <v>30</v>
      </c>
      <c r="D16" s="30" t="s">
        <v>30</v>
      </c>
      <c r="E16" s="37" t="s">
        <v>132</v>
      </c>
      <c r="F16" s="32"/>
      <c r="G16" s="28"/>
      <c r="H16" s="32" t="s">
        <v>84</v>
      </c>
      <c r="I16" s="33" t="s">
        <v>133</v>
      </c>
      <c r="J16" s="32"/>
      <c r="K16" s="28">
        <f>IFERROR(VLOOKUP(L16,Ingredients!A:B,2,FALSE),"")</f>
        <v>30</v>
      </c>
      <c r="L16" s="38" t="s">
        <v>90</v>
      </c>
      <c r="M16" s="32" t="s">
        <v>87</v>
      </c>
      <c r="N16" s="28">
        <f>IFERROR(VLOOKUP(O16,Ingredients!$A:$B,2,FALSE),"")</f>
        <v>1</v>
      </c>
      <c r="O16" s="38" t="s">
        <v>134</v>
      </c>
      <c r="P16" s="32" t="s">
        <v>89</v>
      </c>
      <c r="Q16" s="28"/>
      <c r="R16" s="35"/>
      <c r="S16" s="32"/>
      <c r="T16" s="28"/>
      <c r="U16" s="35"/>
      <c r="V16" s="32"/>
      <c r="W16" s="28"/>
      <c r="X16" s="35"/>
      <c r="Y16" s="32"/>
      <c r="Z16" s="28">
        <v>1</v>
      </c>
      <c r="AA16" s="36"/>
    </row>
    <row r="17" spans="1:27" ht="15.75" customHeight="1">
      <c r="A17" s="27" t="s">
        <v>135</v>
      </c>
      <c r="B17" s="28"/>
      <c r="C17" s="29">
        <v>370</v>
      </c>
      <c r="D17" s="30">
        <f t="shared" ref="D17:D132" si="0">IF(ISNUMBER(C17),C17-K17-N17-Q17-T17-W17,"")</f>
        <v>-1060</v>
      </c>
      <c r="E17" s="37" t="s">
        <v>136</v>
      </c>
      <c r="F17" s="32"/>
      <c r="G17" s="28"/>
      <c r="H17" s="32" t="s">
        <v>137</v>
      </c>
      <c r="I17" s="33" t="s">
        <v>138</v>
      </c>
      <c r="J17" s="32"/>
      <c r="K17" s="28">
        <f>IFERROR(VLOOKUP(L17,Ingredients!A:B,2,FALSE),"")</f>
        <v>1400</v>
      </c>
      <c r="L17" s="38" t="s">
        <v>91</v>
      </c>
      <c r="M17" s="32" t="s">
        <v>87</v>
      </c>
      <c r="N17" s="28">
        <f>IFERROR(VLOOKUP(O17,Ingredients!$A:$B,2,FALSE),"")</f>
        <v>30</v>
      </c>
      <c r="O17" s="38" t="s">
        <v>139</v>
      </c>
      <c r="P17" s="32" t="s">
        <v>89</v>
      </c>
      <c r="Q17" s="28"/>
      <c r="R17" s="35"/>
      <c r="S17" s="32"/>
      <c r="T17" s="28"/>
      <c r="U17" s="35"/>
      <c r="V17" s="32"/>
      <c r="W17" s="28"/>
      <c r="X17" s="35"/>
      <c r="Y17" s="32"/>
      <c r="Z17" s="28"/>
      <c r="AA17" s="36"/>
    </row>
    <row r="18" spans="1:27" ht="15.75" customHeight="1">
      <c r="A18" s="27" t="s">
        <v>135</v>
      </c>
      <c r="B18" s="28"/>
      <c r="C18" s="29">
        <v>370</v>
      </c>
      <c r="D18" s="30">
        <f t="shared" si="0"/>
        <v>79</v>
      </c>
      <c r="E18" s="37" t="s">
        <v>136</v>
      </c>
      <c r="F18" s="32"/>
      <c r="G18" s="28"/>
      <c r="H18" s="32" t="s">
        <v>137</v>
      </c>
      <c r="I18" s="33" t="s">
        <v>138</v>
      </c>
      <c r="J18" s="32"/>
      <c r="K18" s="28">
        <f>IFERROR(VLOOKUP(L18,Ingredients!A:B,2,FALSE),"")</f>
        <v>1</v>
      </c>
      <c r="L18" s="34" t="s">
        <v>140</v>
      </c>
      <c r="M18" s="32" t="s">
        <v>89</v>
      </c>
      <c r="N18" s="28">
        <f>IFERROR(VLOOKUP(O18,Ingredients!$A:$B,2,FALSE),"")</f>
        <v>290</v>
      </c>
      <c r="O18" s="34" t="s">
        <v>141</v>
      </c>
      <c r="P18" s="32" t="s">
        <v>87</v>
      </c>
      <c r="Q18" s="28"/>
      <c r="R18" s="35"/>
      <c r="S18" s="32"/>
      <c r="T18" s="28"/>
      <c r="U18" s="35"/>
      <c r="V18" s="32"/>
      <c r="W18" s="28"/>
      <c r="X18" s="35"/>
      <c r="Y18" s="32"/>
      <c r="Z18" s="28"/>
      <c r="AA18" s="36"/>
    </row>
    <row r="19" spans="1:27" ht="15.75" customHeight="1">
      <c r="A19" s="27" t="s">
        <v>142</v>
      </c>
      <c r="B19" s="28"/>
      <c r="C19" s="29">
        <v>145</v>
      </c>
      <c r="D19" s="30">
        <f t="shared" si="0"/>
        <v>19</v>
      </c>
      <c r="E19" s="37" t="s">
        <v>143</v>
      </c>
      <c r="F19" s="32"/>
      <c r="G19" s="28"/>
      <c r="H19" s="32" t="s">
        <v>137</v>
      </c>
      <c r="I19" s="33" t="s">
        <v>138</v>
      </c>
      <c r="J19" s="32"/>
      <c r="K19" s="28">
        <f>IFERROR(VLOOKUP(L19,Ingredients!A:B,2,FALSE),"")</f>
        <v>1</v>
      </c>
      <c r="L19" s="34" t="s">
        <v>140</v>
      </c>
      <c r="M19" s="32" t="s">
        <v>89</v>
      </c>
      <c r="N19" s="28">
        <f>IFERROR(VLOOKUP(O19,Ingredients!$A:$B,2,FALSE),"")</f>
        <v>125</v>
      </c>
      <c r="O19" s="34" t="s">
        <v>144</v>
      </c>
      <c r="P19" s="32" t="s">
        <v>87</v>
      </c>
      <c r="Q19" s="28"/>
      <c r="R19" s="35"/>
      <c r="S19" s="32"/>
      <c r="T19" s="28"/>
      <c r="U19" s="35"/>
      <c r="V19" s="32"/>
      <c r="W19" s="28"/>
      <c r="X19" s="35"/>
      <c r="Y19" s="32"/>
      <c r="Z19" s="28"/>
      <c r="AA19" s="36"/>
    </row>
    <row r="20" spans="1:27" ht="15.75" customHeight="1">
      <c r="A20" s="27" t="s">
        <v>142</v>
      </c>
      <c r="B20" s="28"/>
      <c r="C20" s="29">
        <v>145</v>
      </c>
      <c r="D20" s="30">
        <f t="shared" si="0"/>
        <v>144</v>
      </c>
      <c r="E20" s="37" t="s">
        <v>143</v>
      </c>
      <c r="F20" s="32"/>
      <c r="G20" s="28"/>
      <c r="H20" s="32" t="s">
        <v>137</v>
      </c>
      <c r="I20" s="33" t="s">
        <v>138</v>
      </c>
      <c r="J20" s="32"/>
      <c r="K20" s="28"/>
      <c r="L20" s="34" t="s">
        <v>145</v>
      </c>
      <c r="M20" s="32" t="s">
        <v>129</v>
      </c>
      <c r="N20" s="28">
        <f>IFERROR(VLOOKUP(O20,Ingredients!$A:$B,2,FALSE),"")</f>
        <v>1</v>
      </c>
      <c r="O20" s="38" t="s">
        <v>138</v>
      </c>
      <c r="P20" s="32" t="s">
        <v>89</v>
      </c>
      <c r="Q20" s="28"/>
      <c r="R20" s="35"/>
      <c r="S20" s="32"/>
      <c r="T20" s="28"/>
      <c r="U20" s="35"/>
      <c r="V20" s="32"/>
      <c r="W20" s="28"/>
      <c r="X20" s="35"/>
      <c r="Y20" s="32"/>
      <c r="Z20" s="28"/>
      <c r="AA20" s="36"/>
    </row>
    <row r="21" spans="1:27" ht="15.75" customHeight="1">
      <c r="A21" s="27" t="s">
        <v>146</v>
      </c>
      <c r="B21" s="28"/>
      <c r="C21" s="29">
        <v>400</v>
      </c>
      <c r="D21" s="30">
        <f t="shared" si="0"/>
        <v>-1050</v>
      </c>
      <c r="E21" s="37" t="s">
        <v>147</v>
      </c>
      <c r="F21" s="32"/>
      <c r="G21" s="28"/>
      <c r="H21" s="32" t="s">
        <v>137</v>
      </c>
      <c r="I21" s="33" t="s">
        <v>138</v>
      </c>
      <c r="J21" s="32"/>
      <c r="K21" s="28">
        <f>IFERROR(VLOOKUP(L21,Ingredients!A:B,2,FALSE),"")</f>
        <v>1400</v>
      </c>
      <c r="L21" s="38" t="s">
        <v>91</v>
      </c>
      <c r="M21" s="32" t="s">
        <v>87</v>
      </c>
      <c r="N21" s="28">
        <f>IFERROR(VLOOKUP(O21,Ingredients!$A:$B,2,FALSE),"")</f>
        <v>50</v>
      </c>
      <c r="O21" s="38" t="s">
        <v>148</v>
      </c>
      <c r="P21" s="32" t="s">
        <v>89</v>
      </c>
      <c r="Q21" s="28"/>
      <c r="R21" s="35"/>
      <c r="S21" s="32"/>
      <c r="T21" s="28"/>
      <c r="U21" s="35"/>
      <c r="V21" s="32"/>
      <c r="W21" s="28"/>
      <c r="X21" s="35"/>
      <c r="Y21" s="32"/>
      <c r="Z21" s="28"/>
      <c r="AA21" s="36"/>
    </row>
    <row r="22" spans="1:27" ht="15.75" customHeight="1">
      <c r="A22" s="27" t="s">
        <v>146</v>
      </c>
      <c r="B22" s="28"/>
      <c r="C22" s="29">
        <v>400</v>
      </c>
      <c r="D22" s="30">
        <f t="shared" si="0"/>
        <v>79</v>
      </c>
      <c r="E22" s="37" t="s">
        <v>147</v>
      </c>
      <c r="F22" s="32"/>
      <c r="G22" s="28"/>
      <c r="H22" s="32" t="s">
        <v>137</v>
      </c>
      <c r="I22" s="33" t="s">
        <v>138</v>
      </c>
      <c r="J22" s="32"/>
      <c r="K22" s="28">
        <f>IFERROR(VLOOKUP(L22,Ingredients!A:B,2,FALSE),"")</f>
        <v>1</v>
      </c>
      <c r="L22" s="34" t="s">
        <v>140</v>
      </c>
      <c r="M22" s="32" t="s">
        <v>89</v>
      </c>
      <c r="N22" s="28">
        <f>IFERROR(VLOOKUP(O22,Ingredients!$A:$B,2,FALSE),"")</f>
        <v>320</v>
      </c>
      <c r="O22" s="34" t="s">
        <v>149</v>
      </c>
      <c r="P22" s="32" t="s">
        <v>87</v>
      </c>
      <c r="Q22" s="28"/>
      <c r="R22" s="35"/>
      <c r="S22" s="32"/>
      <c r="T22" s="28"/>
      <c r="U22" s="35"/>
      <c r="V22" s="32"/>
      <c r="W22" s="28"/>
      <c r="X22" s="35"/>
      <c r="Y22" s="32"/>
      <c r="Z22" s="28"/>
      <c r="AA22" s="36"/>
    </row>
    <row r="23" spans="1:27" ht="15.75" customHeight="1">
      <c r="A23" s="27" t="s">
        <v>150</v>
      </c>
      <c r="B23" s="28"/>
      <c r="C23" s="29">
        <v>160</v>
      </c>
      <c r="D23" s="30">
        <f t="shared" si="0"/>
        <v>19</v>
      </c>
      <c r="E23" s="37" t="s">
        <v>151</v>
      </c>
      <c r="F23" s="32"/>
      <c r="G23" s="28"/>
      <c r="H23" s="32" t="s">
        <v>137</v>
      </c>
      <c r="I23" s="33" t="s">
        <v>138</v>
      </c>
      <c r="J23" s="32"/>
      <c r="K23" s="28">
        <f>IFERROR(VLOOKUP(L23,Ingredients!A:B,2,FALSE),"")</f>
        <v>1</v>
      </c>
      <c r="L23" s="34" t="s">
        <v>140</v>
      </c>
      <c r="M23" s="32" t="s">
        <v>89</v>
      </c>
      <c r="N23" s="28">
        <f>IFERROR(VLOOKUP(O23,Ingredients!$A:$B,2,FALSE),"")</f>
        <v>140</v>
      </c>
      <c r="O23" s="34" t="s">
        <v>152</v>
      </c>
      <c r="P23" s="32" t="s">
        <v>87</v>
      </c>
      <c r="Q23" s="28"/>
      <c r="R23" s="35"/>
      <c r="S23" s="32"/>
      <c r="T23" s="28"/>
      <c r="U23" s="35"/>
      <c r="V23" s="32"/>
      <c r="W23" s="28"/>
      <c r="X23" s="35"/>
      <c r="Y23" s="32"/>
      <c r="Z23" s="28"/>
      <c r="AA23" s="36"/>
    </row>
    <row r="24" spans="1:27" ht="15.75" customHeight="1">
      <c r="A24" s="35" t="s">
        <v>148</v>
      </c>
      <c r="B24" s="28"/>
      <c r="C24" s="29">
        <v>50</v>
      </c>
      <c r="D24" s="30">
        <f t="shared" si="0"/>
        <v>14</v>
      </c>
      <c r="E24" s="37" t="s">
        <v>151</v>
      </c>
      <c r="F24" s="32"/>
      <c r="G24" s="28"/>
      <c r="H24" s="32" t="s">
        <v>137</v>
      </c>
      <c r="I24" s="33" t="s">
        <v>138</v>
      </c>
      <c r="J24" s="32"/>
      <c r="K24" s="28">
        <f>IFERROR(VLOOKUP(L24,Ingredients!A:B,2,FALSE),"")</f>
        <v>1</v>
      </c>
      <c r="L24" s="34" t="s">
        <v>140</v>
      </c>
      <c r="M24" s="32" t="s">
        <v>89</v>
      </c>
      <c r="N24" s="28">
        <f>IFERROR(VLOOKUP(O24,Ingredients!$A:$B,2,FALSE),"")</f>
        <v>35</v>
      </c>
      <c r="O24" s="38" t="s">
        <v>153</v>
      </c>
      <c r="P24" s="32" t="s">
        <v>87</v>
      </c>
      <c r="Q24" s="28"/>
      <c r="R24" s="35"/>
      <c r="S24" s="32"/>
      <c r="T24" s="28"/>
      <c r="U24" s="35"/>
      <c r="V24" s="32"/>
      <c r="W24" s="28"/>
      <c r="X24" s="35"/>
      <c r="Y24" s="32"/>
      <c r="Z24" s="28"/>
      <c r="AA24" s="36"/>
    </row>
    <row r="25" spans="1:27" ht="15.75" customHeight="1">
      <c r="A25" s="35" t="s">
        <v>148</v>
      </c>
      <c r="B25" s="28"/>
      <c r="C25" s="29">
        <v>50</v>
      </c>
      <c r="D25" s="30">
        <f t="shared" si="0"/>
        <v>19</v>
      </c>
      <c r="E25" s="37" t="s">
        <v>151</v>
      </c>
      <c r="F25" s="32"/>
      <c r="G25" s="28"/>
      <c r="H25" s="32" t="s">
        <v>137</v>
      </c>
      <c r="I25" s="33" t="s">
        <v>138</v>
      </c>
      <c r="J25" s="32"/>
      <c r="K25" s="28">
        <f>IFERROR(VLOOKUP(L25,Ingredients!A:B,2,FALSE),"")</f>
        <v>30</v>
      </c>
      <c r="L25" s="34" t="s">
        <v>154</v>
      </c>
      <c r="M25" s="32" t="s">
        <v>87</v>
      </c>
      <c r="N25" s="28">
        <f>IFERROR(VLOOKUP(O25,Ingredients!$A:$B,2,FALSE),"")</f>
        <v>1</v>
      </c>
      <c r="O25" s="38" t="s">
        <v>138</v>
      </c>
      <c r="P25" s="32" t="s">
        <v>89</v>
      </c>
      <c r="Q25" s="28"/>
      <c r="R25" s="35"/>
      <c r="S25" s="32"/>
      <c r="T25" s="28"/>
      <c r="U25" s="35"/>
      <c r="V25" s="32"/>
      <c r="W25" s="28"/>
      <c r="X25" s="35"/>
      <c r="Y25" s="32"/>
      <c r="Z25" s="28"/>
      <c r="AA25" s="36"/>
    </row>
    <row r="26" spans="1:27" ht="15.75" customHeight="1">
      <c r="A26" s="27" t="s">
        <v>155</v>
      </c>
      <c r="B26" s="28"/>
      <c r="C26" s="29">
        <v>140</v>
      </c>
      <c r="D26" s="30">
        <f t="shared" si="0"/>
        <v>19</v>
      </c>
      <c r="E26" s="37" t="s">
        <v>156</v>
      </c>
      <c r="F26" s="32"/>
      <c r="G26" s="28"/>
      <c r="H26" s="32" t="s">
        <v>137</v>
      </c>
      <c r="I26" s="33" t="s">
        <v>138</v>
      </c>
      <c r="J26" s="32"/>
      <c r="K26" s="28">
        <f>IFERROR(VLOOKUP(L26,Ingredients!A:B,2,FALSE),"")</f>
        <v>1</v>
      </c>
      <c r="L26" s="34" t="s">
        <v>140</v>
      </c>
      <c r="M26" s="32" t="s">
        <v>89</v>
      </c>
      <c r="N26" s="28">
        <f>IFERROR(VLOOKUP(O26,Ingredients!$A:$B,2,FALSE),"")</f>
        <v>120</v>
      </c>
      <c r="O26" s="34" t="s">
        <v>157</v>
      </c>
      <c r="P26" s="32" t="s">
        <v>87</v>
      </c>
      <c r="Q26" s="28"/>
      <c r="R26" s="35"/>
      <c r="S26" s="32"/>
      <c r="T26" s="28"/>
      <c r="U26" s="35"/>
      <c r="V26" s="32"/>
      <c r="W26" s="28"/>
      <c r="X26" s="35"/>
      <c r="Y26" s="32"/>
      <c r="Z26" s="28"/>
      <c r="AA26" s="36"/>
    </row>
    <row r="27" spans="1:27" ht="15.75" customHeight="1">
      <c r="A27" s="27" t="s">
        <v>155</v>
      </c>
      <c r="B27" s="28"/>
      <c r="C27" s="29">
        <v>140</v>
      </c>
      <c r="D27" s="30">
        <f t="shared" si="0"/>
        <v>109</v>
      </c>
      <c r="E27" s="37" t="s">
        <v>156</v>
      </c>
      <c r="F27" s="32"/>
      <c r="G27" s="28"/>
      <c r="H27" s="32" t="s">
        <v>137</v>
      </c>
      <c r="I27" s="33" t="s">
        <v>138</v>
      </c>
      <c r="J27" s="32"/>
      <c r="K27" s="28">
        <f>IFERROR(VLOOKUP(L27,Ingredients!A:B,2,FALSE),"")</f>
        <v>30</v>
      </c>
      <c r="L27" s="34" t="s">
        <v>158</v>
      </c>
      <c r="M27" s="32" t="s">
        <v>87</v>
      </c>
      <c r="N27" s="28">
        <f>IFERROR(VLOOKUP(O27,Ingredients!$A:$B,2,FALSE),"")</f>
        <v>1</v>
      </c>
      <c r="O27" s="38" t="s">
        <v>138</v>
      </c>
      <c r="P27" s="32" t="s">
        <v>89</v>
      </c>
      <c r="Q27" s="28"/>
      <c r="R27" s="35"/>
      <c r="S27" s="32"/>
      <c r="T27" s="28"/>
      <c r="U27" s="35"/>
      <c r="V27" s="32"/>
      <c r="W27" s="28"/>
      <c r="X27" s="35"/>
      <c r="Y27" s="32"/>
      <c r="Z27" s="28"/>
      <c r="AA27" s="36"/>
    </row>
    <row r="28" spans="1:27" ht="15.75" customHeight="1">
      <c r="A28" s="27" t="s">
        <v>159</v>
      </c>
      <c r="B28" s="28"/>
      <c r="C28" s="29">
        <v>90</v>
      </c>
      <c r="D28" s="30">
        <f t="shared" si="0"/>
        <v>9</v>
      </c>
      <c r="E28" s="37" t="s">
        <v>160</v>
      </c>
      <c r="F28" s="32"/>
      <c r="G28" s="28"/>
      <c r="H28" s="32" t="s">
        <v>137</v>
      </c>
      <c r="I28" s="33" t="s">
        <v>138</v>
      </c>
      <c r="J28" s="32"/>
      <c r="K28" s="28">
        <f>IFERROR(VLOOKUP(L28,Ingredients!A:B,2,FALSE),"")</f>
        <v>1</v>
      </c>
      <c r="L28" s="34" t="s">
        <v>140</v>
      </c>
      <c r="M28" s="32" t="s">
        <v>89</v>
      </c>
      <c r="N28" s="28">
        <f>IFERROR(VLOOKUP(O28,Ingredients!$A:$B,2,FALSE),"")</f>
        <v>80</v>
      </c>
      <c r="O28" s="34" t="s">
        <v>161</v>
      </c>
      <c r="P28" s="32" t="s">
        <v>87</v>
      </c>
      <c r="Q28" s="28"/>
      <c r="R28" s="35"/>
      <c r="S28" s="32"/>
      <c r="T28" s="28"/>
      <c r="U28" s="35"/>
      <c r="V28" s="32"/>
      <c r="W28" s="28"/>
      <c r="X28" s="35"/>
      <c r="Y28" s="32"/>
      <c r="Z28" s="28"/>
      <c r="AA28" s="36"/>
    </row>
    <row r="29" spans="1:27" ht="15.75" customHeight="1">
      <c r="A29" s="27" t="s">
        <v>162</v>
      </c>
      <c r="B29" s="28"/>
      <c r="C29" s="29">
        <v>185</v>
      </c>
      <c r="D29" s="30">
        <f t="shared" si="0"/>
        <v>39</v>
      </c>
      <c r="E29" s="37" t="s">
        <v>163</v>
      </c>
      <c r="F29" s="32"/>
      <c r="G29" s="28"/>
      <c r="H29" s="32" t="s">
        <v>137</v>
      </c>
      <c r="I29" s="33" t="s">
        <v>138</v>
      </c>
      <c r="J29" s="32"/>
      <c r="K29" s="28">
        <f>IFERROR(VLOOKUP(L29,Ingredients!A:B,2,FALSE),"")</f>
        <v>1</v>
      </c>
      <c r="L29" s="34" t="s">
        <v>140</v>
      </c>
      <c r="M29" s="32" t="s">
        <v>89</v>
      </c>
      <c r="N29" s="28">
        <f>IFERROR(VLOOKUP(O29,Ingredients!$A:$B,2,FALSE),"")</f>
        <v>145</v>
      </c>
      <c r="O29" s="34" t="s">
        <v>164</v>
      </c>
      <c r="P29" s="32" t="s">
        <v>87</v>
      </c>
      <c r="Q29" s="28"/>
      <c r="R29" s="35"/>
      <c r="S29" s="32"/>
      <c r="T29" s="28"/>
      <c r="U29" s="35"/>
      <c r="V29" s="32"/>
      <c r="W29" s="28"/>
      <c r="X29" s="35"/>
      <c r="Y29" s="32"/>
      <c r="Z29" s="28"/>
      <c r="AA29" s="36"/>
    </row>
    <row r="30" spans="1:27" ht="15.75" customHeight="1">
      <c r="A30" s="27" t="s">
        <v>162</v>
      </c>
      <c r="B30" s="28"/>
      <c r="C30" s="29">
        <v>185</v>
      </c>
      <c r="D30" s="30">
        <f t="shared" si="0"/>
        <v>154</v>
      </c>
      <c r="E30" s="37" t="s">
        <v>163</v>
      </c>
      <c r="F30" s="32"/>
      <c r="G30" s="28"/>
      <c r="H30" s="32" t="s">
        <v>137</v>
      </c>
      <c r="I30" s="33" t="s">
        <v>138</v>
      </c>
      <c r="J30" s="32"/>
      <c r="K30" s="28">
        <f>IFERROR(VLOOKUP(L30,Ingredients!A:B,2,FALSE),"")</f>
        <v>30</v>
      </c>
      <c r="L30" s="34" t="s">
        <v>165</v>
      </c>
      <c r="M30" s="32" t="s">
        <v>87</v>
      </c>
      <c r="N30" s="28">
        <f>IFERROR(VLOOKUP(O30,Ingredients!$A:$B,2,FALSE),"")</f>
        <v>1</v>
      </c>
      <c r="O30" s="38" t="s">
        <v>138</v>
      </c>
      <c r="P30" s="32" t="s">
        <v>89</v>
      </c>
      <c r="Q30" s="28"/>
      <c r="R30" s="35"/>
      <c r="S30" s="32"/>
      <c r="T30" s="28"/>
      <c r="U30" s="35"/>
      <c r="V30" s="32"/>
      <c r="W30" s="28"/>
      <c r="X30" s="35"/>
      <c r="Y30" s="32"/>
      <c r="Z30" s="28"/>
      <c r="AA30" s="36"/>
    </row>
    <row r="31" spans="1:27" ht="15.75" customHeight="1">
      <c r="A31" s="27" t="s">
        <v>166</v>
      </c>
      <c r="B31" s="28"/>
      <c r="C31" s="29">
        <v>40</v>
      </c>
      <c r="D31" s="30">
        <f t="shared" si="0"/>
        <v>9</v>
      </c>
      <c r="E31" s="37" t="s">
        <v>167</v>
      </c>
      <c r="F31" s="32"/>
      <c r="G31" s="28"/>
      <c r="H31" s="32" t="s">
        <v>137</v>
      </c>
      <c r="I31" s="33" t="s">
        <v>138</v>
      </c>
      <c r="J31" s="32"/>
      <c r="K31" s="28">
        <f>IFERROR(VLOOKUP(L31,Ingredients!A:B,2,FALSE),"")</f>
        <v>1</v>
      </c>
      <c r="L31" s="34" t="s">
        <v>140</v>
      </c>
      <c r="M31" s="32" t="s">
        <v>89</v>
      </c>
      <c r="N31" s="28">
        <f>IFERROR(VLOOKUP(O31,Ingredients!$A:$B,2,FALSE),"")</f>
        <v>30</v>
      </c>
      <c r="O31" s="34" t="s">
        <v>168</v>
      </c>
      <c r="P31" s="32" t="s">
        <v>87</v>
      </c>
      <c r="Q31" s="28"/>
      <c r="R31" s="35"/>
      <c r="S31" s="32"/>
      <c r="T31" s="28"/>
      <c r="U31" s="35"/>
      <c r="V31" s="32"/>
      <c r="W31" s="28"/>
      <c r="X31" s="35"/>
      <c r="Y31" s="32"/>
      <c r="Z31" s="28"/>
      <c r="AA31" s="36"/>
    </row>
    <row r="32" spans="1:27" ht="15.75" customHeight="1">
      <c r="A32" s="27" t="s">
        <v>166</v>
      </c>
      <c r="B32" s="28"/>
      <c r="C32" s="29">
        <v>40</v>
      </c>
      <c r="D32" s="30">
        <f t="shared" si="0"/>
        <v>39</v>
      </c>
      <c r="E32" s="37" t="s">
        <v>167</v>
      </c>
      <c r="F32" s="32"/>
      <c r="G32" s="28"/>
      <c r="H32" s="32" t="s">
        <v>137</v>
      </c>
      <c r="I32" s="33" t="s">
        <v>138</v>
      </c>
      <c r="J32" s="32"/>
      <c r="K32" s="28"/>
      <c r="L32" s="38" t="s">
        <v>169</v>
      </c>
      <c r="M32" s="32" t="s">
        <v>129</v>
      </c>
      <c r="N32" s="28">
        <f>IFERROR(VLOOKUP(O32,Ingredients!$A:$B,2,FALSE),"")</f>
        <v>1</v>
      </c>
      <c r="O32" s="38" t="s">
        <v>138</v>
      </c>
      <c r="P32" s="32" t="s">
        <v>89</v>
      </c>
      <c r="Q32" s="28"/>
      <c r="R32" s="35"/>
      <c r="S32" s="32"/>
      <c r="T32" s="28"/>
      <c r="U32" s="35"/>
      <c r="V32" s="32"/>
      <c r="W32" s="28"/>
      <c r="X32" s="35"/>
      <c r="Y32" s="32"/>
      <c r="Z32" s="28"/>
      <c r="AA32" s="36"/>
    </row>
    <row r="33" spans="1:27" ht="15.75" customHeight="1">
      <c r="A33" s="27" t="s">
        <v>170</v>
      </c>
      <c r="B33" s="28"/>
      <c r="C33" s="29">
        <v>140</v>
      </c>
      <c r="D33" s="30">
        <f t="shared" si="0"/>
        <v>19</v>
      </c>
      <c r="E33" s="37" t="s">
        <v>171</v>
      </c>
      <c r="F33" s="32"/>
      <c r="G33" s="28"/>
      <c r="H33" s="32" t="s">
        <v>137</v>
      </c>
      <c r="I33" s="33" t="s">
        <v>138</v>
      </c>
      <c r="J33" s="32"/>
      <c r="K33" s="28">
        <f>IFERROR(VLOOKUP(L33,Ingredients!A:B,2,FALSE),"")</f>
        <v>1</v>
      </c>
      <c r="L33" s="34" t="s">
        <v>140</v>
      </c>
      <c r="M33" s="32" t="s">
        <v>89</v>
      </c>
      <c r="N33" s="28">
        <f>IFERROR(VLOOKUP(O33,Ingredients!$A:$B,2,FALSE),"")</f>
        <v>120</v>
      </c>
      <c r="O33" s="34" t="s">
        <v>172</v>
      </c>
      <c r="P33" s="32" t="s">
        <v>87</v>
      </c>
      <c r="Q33" s="28"/>
      <c r="R33" s="35"/>
      <c r="S33" s="32"/>
      <c r="T33" s="28"/>
      <c r="U33" s="35"/>
      <c r="V33" s="32"/>
      <c r="W33" s="28"/>
      <c r="X33" s="35"/>
      <c r="Y33" s="32"/>
      <c r="Z33" s="28"/>
      <c r="AA33" s="36"/>
    </row>
    <row r="34" spans="1:27" ht="15.75" customHeight="1">
      <c r="A34" s="27" t="s">
        <v>170</v>
      </c>
      <c r="B34" s="28"/>
      <c r="C34" s="29">
        <v>140</v>
      </c>
      <c r="D34" s="30">
        <f t="shared" si="0"/>
        <v>109</v>
      </c>
      <c r="E34" s="37" t="s">
        <v>171</v>
      </c>
      <c r="F34" s="32"/>
      <c r="G34" s="28"/>
      <c r="H34" s="32" t="s">
        <v>137</v>
      </c>
      <c r="I34" s="33" t="s">
        <v>138</v>
      </c>
      <c r="J34" s="32"/>
      <c r="K34" s="28">
        <f>IFERROR(VLOOKUP(L34,Ingredients!A:B,2,FALSE),"")</f>
        <v>30</v>
      </c>
      <c r="L34" s="34" t="s">
        <v>173</v>
      </c>
      <c r="M34" s="32" t="s">
        <v>87</v>
      </c>
      <c r="N34" s="28">
        <f>IFERROR(VLOOKUP(O34,Ingredients!$A:$B,2,FALSE),"")</f>
        <v>1</v>
      </c>
      <c r="O34" s="38" t="s">
        <v>138</v>
      </c>
      <c r="P34" s="32" t="s">
        <v>89</v>
      </c>
      <c r="Q34" s="28"/>
      <c r="R34" s="35"/>
      <c r="S34" s="32"/>
      <c r="T34" s="28"/>
      <c r="U34" s="35"/>
      <c r="V34" s="32"/>
      <c r="W34" s="28"/>
      <c r="X34" s="35"/>
      <c r="Y34" s="32"/>
      <c r="Z34" s="28"/>
      <c r="AA34" s="36"/>
    </row>
    <row r="35" spans="1:27" ht="15.75" customHeight="1">
      <c r="A35" s="27" t="s">
        <v>174</v>
      </c>
      <c r="B35" s="28"/>
      <c r="C35" s="29">
        <v>40</v>
      </c>
      <c r="D35" s="30">
        <f t="shared" si="0"/>
        <v>9</v>
      </c>
      <c r="E35" s="37" t="s">
        <v>175</v>
      </c>
      <c r="F35" s="32"/>
      <c r="G35" s="28"/>
      <c r="H35" s="32" t="s">
        <v>137</v>
      </c>
      <c r="I35" s="33" t="s">
        <v>138</v>
      </c>
      <c r="J35" s="32"/>
      <c r="K35" s="28">
        <f>IFERROR(VLOOKUP(L35,Ingredients!A:B,2,FALSE),"")</f>
        <v>1</v>
      </c>
      <c r="L35" s="34" t="s">
        <v>140</v>
      </c>
      <c r="M35" s="32" t="s">
        <v>89</v>
      </c>
      <c r="N35" s="28">
        <f>IFERROR(VLOOKUP(O35,Ingredients!$A:$B,2,FALSE),"")</f>
        <v>30</v>
      </c>
      <c r="O35" s="34" t="s">
        <v>176</v>
      </c>
      <c r="P35" s="32" t="s">
        <v>87</v>
      </c>
      <c r="Q35" s="28"/>
      <c r="R35" s="35"/>
      <c r="S35" s="32"/>
      <c r="T35" s="28"/>
      <c r="U35" s="35"/>
      <c r="V35" s="32"/>
      <c r="W35" s="28"/>
      <c r="X35" s="35"/>
      <c r="Y35" s="32"/>
      <c r="Z35" s="28"/>
      <c r="AA35" s="36"/>
    </row>
    <row r="36" spans="1:27" ht="15.75" customHeight="1">
      <c r="A36" s="27" t="s">
        <v>174</v>
      </c>
      <c r="B36" s="28"/>
      <c r="C36" s="29">
        <v>40</v>
      </c>
      <c r="D36" s="30">
        <f t="shared" si="0"/>
        <v>39</v>
      </c>
      <c r="E36" s="37" t="s">
        <v>175</v>
      </c>
      <c r="F36" s="32"/>
      <c r="G36" s="28"/>
      <c r="H36" s="32" t="s">
        <v>137</v>
      </c>
      <c r="I36" s="33" t="s">
        <v>138</v>
      </c>
      <c r="J36" s="32"/>
      <c r="K36" s="28"/>
      <c r="L36" s="38" t="s">
        <v>177</v>
      </c>
      <c r="M36" s="32" t="s">
        <v>129</v>
      </c>
      <c r="N36" s="28">
        <f>IFERROR(VLOOKUP(O36,Ingredients!$A:$B,2,FALSE),"")</f>
        <v>1</v>
      </c>
      <c r="O36" s="38" t="s">
        <v>138</v>
      </c>
      <c r="P36" s="32" t="s">
        <v>89</v>
      </c>
      <c r="Q36" s="28"/>
      <c r="R36" s="35"/>
      <c r="S36" s="32"/>
      <c r="T36" s="28"/>
      <c r="U36" s="35"/>
      <c r="V36" s="32"/>
      <c r="W36" s="28"/>
      <c r="X36" s="35"/>
      <c r="Y36" s="32"/>
      <c r="Z36" s="28"/>
      <c r="AA36" s="36"/>
    </row>
    <row r="37" spans="1:27" ht="15.75" customHeight="1">
      <c r="A37" s="27" t="s">
        <v>178</v>
      </c>
      <c r="B37" s="28"/>
      <c r="C37" s="29">
        <v>175</v>
      </c>
      <c r="D37" s="30">
        <f t="shared" si="0"/>
        <v>39</v>
      </c>
      <c r="E37" s="37" t="s">
        <v>179</v>
      </c>
      <c r="F37" s="32"/>
      <c r="G37" s="28"/>
      <c r="H37" s="32" t="s">
        <v>137</v>
      </c>
      <c r="I37" s="33" t="s">
        <v>138</v>
      </c>
      <c r="J37" s="32"/>
      <c r="K37" s="28">
        <f>IFERROR(VLOOKUP(L37,Ingredients!A:B,2,FALSE),"")</f>
        <v>1</v>
      </c>
      <c r="L37" s="34" t="s">
        <v>140</v>
      </c>
      <c r="M37" s="32" t="s">
        <v>89</v>
      </c>
      <c r="N37" s="28">
        <f>IFERROR(VLOOKUP(O37,Ingredients!$A:$B,2,FALSE),"")</f>
        <v>135</v>
      </c>
      <c r="O37" s="34" t="s">
        <v>180</v>
      </c>
      <c r="P37" s="32" t="s">
        <v>87</v>
      </c>
      <c r="Q37" s="28"/>
      <c r="R37" s="35"/>
      <c r="S37" s="32"/>
      <c r="T37" s="28"/>
      <c r="U37" s="35"/>
      <c r="V37" s="32"/>
      <c r="W37" s="28"/>
      <c r="X37" s="35"/>
      <c r="Y37" s="32"/>
      <c r="Z37" s="28"/>
      <c r="AA37" s="36"/>
    </row>
    <row r="38" spans="1:27" ht="15.75" customHeight="1">
      <c r="A38" s="27" t="s">
        <v>181</v>
      </c>
      <c r="B38" s="28"/>
      <c r="C38" s="29">
        <v>200</v>
      </c>
      <c r="D38" s="30">
        <f t="shared" si="0"/>
        <v>39</v>
      </c>
      <c r="E38" s="37" t="s">
        <v>182</v>
      </c>
      <c r="F38" s="32"/>
      <c r="G38" s="28"/>
      <c r="H38" s="32" t="s">
        <v>137</v>
      </c>
      <c r="I38" s="33" t="s">
        <v>138</v>
      </c>
      <c r="J38" s="32"/>
      <c r="K38" s="28">
        <f>IFERROR(VLOOKUP(L38,Ingredients!A:B,2,FALSE),"")</f>
        <v>1</v>
      </c>
      <c r="L38" s="34" t="s">
        <v>140</v>
      </c>
      <c r="M38" s="32" t="s">
        <v>89</v>
      </c>
      <c r="N38" s="28">
        <f>IFERROR(VLOOKUP(O38,Ingredients!$A:$B,2,FALSE),"")</f>
        <v>160</v>
      </c>
      <c r="O38" s="34" t="s">
        <v>183</v>
      </c>
      <c r="P38" s="32" t="s">
        <v>87</v>
      </c>
      <c r="Q38" s="28"/>
      <c r="R38" s="35"/>
      <c r="S38" s="32"/>
      <c r="T38" s="28"/>
      <c r="U38" s="35"/>
      <c r="V38" s="32"/>
      <c r="W38" s="28"/>
      <c r="X38" s="35"/>
      <c r="Y38" s="32"/>
      <c r="Z38" s="28"/>
      <c r="AA38" s="36"/>
    </row>
    <row r="39" spans="1:27" ht="15.75" customHeight="1">
      <c r="A39" s="27" t="s">
        <v>184</v>
      </c>
      <c r="B39" s="28"/>
      <c r="C39" s="29">
        <v>110</v>
      </c>
      <c r="D39" s="30">
        <f t="shared" si="0"/>
        <v>19</v>
      </c>
      <c r="E39" s="37" t="s">
        <v>185</v>
      </c>
      <c r="F39" s="32"/>
      <c r="G39" s="28"/>
      <c r="H39" s="32" t="s">
        <v>137</v>
      </c>
      <c r="I39" s="33" t="s">
        <v>138</v>
      </c>
      <c r="J39" s="32"/>
      <c r="K39" s="28">
        <f>IFERROR(VLOOKUP(L39,Ingredients!A:B,2,FALSE),"")</f>
        <v>1</v>
      </c>
      <c r="L39" s="34" t="s">
        <v>140</v>
      </c>
      <c r="M39" s="32" t="s">
        <v>89</v>
      </c>
      <c r="N39" s="28">
        <f>IFERROR(VLOOKUP(O39,Ingredients!$A:$B,2,FALSE),"")</f>
        <v>90</v>
      </c>
      <c r="O39" s="34" t="s">
        <v>186</v>
      </c>
      <c r="P39" s="32" t="s">
        <v>87</v>
      </c>
      <c r="Q39" s="28"/>
      <c r="R39" s="35"/>
      <c r="S39" s="32"/>
      <c r="T39" s="28"/>
      <c r="U39" s="35"/>
      <c r="V39" s="32"/>
      <c r="W39" s="28"/>
      <c r="X39" s="35"/>
      <c r="Y39" s="32"/>
      <c r="Z39" s="28"/>
      <c r="AA39" s="36"/>
    </row>
    <row r="40" spans="1:27" ht="15.75" customHeight="1">
      <c r="A40" s="35" t="s">
        <v>139</v>
      </c>
      <c r="B40" s="28"/>
      <c r="C40" s="29">
        <v>30</v>
      </c>
      <c r="D40" s="30">
        <f t="shared" si="0"/>
        <v>4</v>
      </c>
      <c r="E40" s="37" t="s">
        <v>187</v>
      </c>
      <c r="F40" s="32"/>
      <c r="G40" s="28"/>
      <c r="H40" s="32" t="s">
        <v>137</v>
      </c>
      <c r="I40" s="33" t="s">
        <v>138</v>
      </c>
      <c r="J40" s="32"/>
      <c r="K40" s="28">
        <f>IFERROR(VLOOKUP(L40,Ingredients!A:B,2,FALSE),"")</f>
        <v>1</v>
      </c>
      <c r="L40" s="34" t="s">
        <v>140</v>
      </c>
      <c r="M40" s="32" t="s">
        <v>89</v>
      </c>
      <c r="N40" s="28">
        <f>IFERROR(VLOOKUP(O40,Ingredients!$A:$B,2,FALSE),"")</f>
        <v>25</v>
      </c>
      <c r="O40" s="38" t="s">
        <v>188</v>
      </c>
      <c r="P40" s="32" t="s">
        <v>87</v>
      </c>
      <c r="Q40" s="28"/>
      <c r="R40" s="35"/>
      <c r="S40" s="32"/>
      <c r="T40" s="28"/>
      <c r="U40" s="35"/>
      <c r="V40" s="32"/>
      <c r="W40" s="28"/>
      <c r="X40" s="35"/>
      <c r="Y40" s="32"/>
      <c r="Z40" s="28"/>
      <c r="AA40" s="36"/>
    </row>
    <row r="41" spans="1:27" ht="15.75" customHeight="1">
      <c r="A41" s="35" t="s">
        <v>139</v>
      </c>
      <c r="B41" s="28"/>
      <c r="C41" s="29">
        <v>30</v>
      </c>
      <c r="D41" s="30">
        <f t="shared" si="0"/>
        <v>29</v>
      </c>
      <c r="E41" s="37" t="s">
        <v>187</v>
      </c>
      <c r="F41" s="32"/>
      <c r="G41" s="28"/>
      <c r="H41" s="32" t="s">
        <v>137</v>
      </c>
      <c r="I41" s="33" t="s">
        <v>138</v>
      </c>
      <c r="J41" s="32"/>
      <c r="K41" s="28"/>
      <c r="L41" s="38" t="s">
        <v>189</v>
      </c>
      <c r="M41" s="32" t="s">
        <v>129</v>
      </c>
      <c r="N41" s="28">
        <f>IFERROR(VLOOKUP(O41,Ingredients!$A:$B,2,FALSE),"")</f>
        <v>1</v>
      </c>
      <c r="O41" s="38" t="s">
        <v>138</v>
      </c>
      <c r="P41" s="32" t="s">
        <v>89</v>
      </c>
      <c r="Q41" s="28"/>
      <c r="R41" s="35"/>
      <c r="S41" s="32"/>
      <c r="T41" s="28"/>
      <c r="U41" s="35"/>
      <c r="V41" s="32"/>
      <c r="W41" s="28"/>
      <c r="X41" s="35"/>
      <c r="Y41" s="32"/>
      <c r="Z41" s="28"/>
      <c r="AA41" s="36"/>
    </row>
    <row r="42" spans="1:27" ht="15.75" customHeight="1">
      <c r="A42" s="35" t="s">
        <v>138</v>
      </c>
      <c r="B42" s="28"/>
      <c r="C42" s="29">
        <v>1</v>
      </c>
      <c r="D42" s="30">
        <f t="shared" si="0"/>
        <v>-2</v>
      </c>
      <c r="E42" s="37" t="s">
        <v>126</v>
      </c>
      <c r="F42" s="32"/>
      <c r="G42" s="28"/>
      <c r="H42" s="32" t="s">
        <v>137</v>
      </c>
      <c r="I42" s="33" t="s">
        <v>127</v>
      </c>
      <c r="J42" s="32"/>
      <c r="K42" s="28">
        <f>IFERROR(VLOOKUP(L42,Ingredients!A:B,2,FALSE),"")</f>
        <v>1</v>
      </c>
      <c r="L42" s="38" t="s">
        <v>140</v>
      </c>
      <c r="M42" s="32" t="s">
        <v>89</v>
      </c>
      <c r="N42" s="28">
        <f>IFERROR(VLOOKUP(O42,Ingredients!$A:$B,2,FALSE),"")</f>
        <v>2</v>
      </c>
      <c r="O42" s="38" t="s">
        <v>190</v>
      </c>
      <c r="P42" s="32" t="s">
        <v>87</v>
      </c>
      <c r="Q42" s="28"/>
      <c r="R42" s="35"/>
      <c r="S42" s="32"/>
      <c r="T42" s="28"/>
      <c r="U42" s="35"/>
      <c r="V42" s="32"/>
      <c r="W42" s="28"/>
      <c r="X42" s="35"/>
      <c r="Y42" s="32"/>
      <c r="Z42" s="28"/>
      <c r="AA42" s="36"/>
    </row>
    <row r="43" spans="1:27" ht="15.75" customHeight="1">
      <c r="A43" s="35" t="s">
        <v>140</v>
      </c>
      <c r="B43" s="29">
        <v>4</v>
      </c>
      <c r="C43" s="29">
        <v>1</v>
      </c>
      <c r="D43" s="30">
        <f t="shared" si="0"/>
        <v>0</v>
      </c>
      <c r="E43" s="37" t="s">
        <v>126</v>
      </c>
      <c r="F43" s="32" t="s">
        <v>134</v>
      </c>
      <c r="G43" s="28"/>
      <c r="H43" s="32" t="s">
        <v>137</v>
      </c>
      <c r="I43" s="33" t="s">
        <v>127</v>
      </c>
      <c r="J43" s="32"/>
      <c r="K43" s="28"/>
      <c r="L43" s="38" t="s">
        <v>128</v>
      </c>
      <c r="M43" s="32" t="s">
        <v>129</v>
      </c>
      <c r="N43" s="28">
        <f>IFERROR(VLOOKUP(O43,Ingredients!$A:$B,2,FALSE),"")</f>
        <v>1</v>
      </c>
      <c r="O43" s="38" t="s">
        <v>191</v>
      </c>
      <c r="P43" s="32" t="s">
        <v>89</v>
      </c>
      <c r="Q43" s="28"/>
      <c r="R43" s="35"/>
      <c r="S43" s="32"/>
      <c r="T43" s="28"/>
      <c r="U43" s="35"/>
      <c r="V43" s="32"/>
      <c r="W43" s="28"/>
      <c r="X43" s="35"/>
      <c r="Y43" s="32"/>
      <c r="Z43" s="28"/>
      <c r="AA43" s="36"/>
    </row>
    <row r="44" spans="1:27" ht="15.75" customHeight="1">
      <c r="A44" s="35" t="s">
        <v>190</v>
      </c>
      <c r="B44" s="28">
        <v>4</v>
      </c>
      <c r="C44" s="29">
        <v>2</v>
      </c>
      <c r="D44" s="30">
        <f t="shared" si="0"/>
        <v>-48</v>
      </c>
      <c r="E44" s="37" t="s">
        <v>126</v>
      </c>
      <c r="F44" s="32" t="s">
        <v>190</v>
      </c>
      <c r="G44" s="28"/>
      <c r="H44" s="32" t="s">
        <v>137</v>
      </c>
      <c r="I44" s="33" t="s">
        <v>127</v>
      </c>
      <c r="J44" s="32"/>
      <c r="K44" s="28"/>
      <c r="L44" s="38" t="s">
        <v>128</v>
      </c>
      <c r="M44" s="32" t="s">
        <v>129</v>
      </c>
      <c r="N44" s="28">
        <f>IFERROR(VLOOKUP(O44,Ingredients!$A:$B,2,FALSE),"")</f>
        <v>50</v>
      </c>
      <c r="O44" s="38" t="s">
        <v>192</v>
      </c>
      <c r="P44" s="32" t="s">
        <v>89</v>
      </c>
      <c r="Q44" s="28"/>
      <c r="R44" s="35"/>
      <c r="S44" s="32"/>
      <c r="T44" s="28"/>
      <c r="U44" s="35"/>
      <c r="V44" s="32"/>
      <c r="W44" s="28"/>
      <c r="X44" s="35"/>
      <c r="Y44" s="32"/>
      <c r="Z44" s="28"/>
      <c r="AA44" s="36"/>
    </row>
    <row r="45" spans="1:27" ht="15.75" customHeight="1">
      <c r="A45" s="35" t="s">
        <v>190</v>
      </c>
      <c r="B45" s="28">
        <v>2</v>
      </c>
      <c r="C45" s="29">
        <v>2</v>
      </c>
      <c r="D45" s="30">
        <f t="shared" si="0"/>
        <v>1</v>
      </c>
      <c r="E45" s="37" t="s">
        <v>126</v>
      </c>
      <c r="F45" s="32" t="s">
        <v>190</v>
      </c>
      <c r="G45" s="28"/>
      <c r="H45" s="32" t="s">
        <v>137</v>
      </c>
      <c r="I45" s="33" t="s">
        <v>127</v>
      </c>
      <c r="J45" s="32"/>
      <c r="K45" s="28"/>
      <c r="L45" s="38" t="s">
        <v>128</v>
      </c>
      <c r="M45" s="32" t="s">
        <v>129</v>
      </c>
      <c r="N45" s="28">
        <f>IFERROR(VLOOKUP(O45,Ingredients!$A:$B,2,FALSE),"")</f>
        <v>1</v>
      </c>
      <c r="O45" s="38" t="s">
        <v>193</v>
      </c>
      <c r="P45" s="32" t="s">
        <v>89</v>
      </c>
      <c r="Q45" s="28"/>
      <c r="R45" s="35"/>
      <c r="S45" s="32"/>
      <c r="T45" s="28"/>
      <c r="U45" s="35"/>
      <c r="V45" s="32"/>
      <c r="W45" s="28"/>
      <c r="X45" s="35"/>
      <c r="Y45" s="32"/>
      <c r="Z45" s="28"/>
      <c r="AA45" s="36"/>
    </row>
    <row r="46" spans="1:27" ht="15.75" customHeight="1">
      <c r="A46" s="35" t="s">
        <v>190</v>
      </c>
      <c r="B46" s="28">
        <v>2</v>
      </c>
      <c r="C46" s="29">
        <v>2</v>
      </c>
      <c r="D46" s="30">
        <f t="shared" si="0"/>
        <v>1</v>
      </c>
      <c r="E46" s="37" t="s">
        <v>126</v>
      </c>
      <c r="F46" s="32" t="s">
        <v>190</v>
      </c>
      <c r="G46" s="28"/>
      <c r="H46" s="32" t="s">
        <v>137</v>
      </c>
      <c r="I46" s="33" t="s">
        <v>127</v>
      </c>
      <c r="J46" s="32"/>
      <c r="K46" s="28"/>
      <c r="L46" s="38" t="s">
        <v>128</v>
      </c>
      <c r="M46" s="32" t="s">
        <v>129</v>
      </c>
      <c r="N46" s="28">
        <f>IFERROR(VLOOKUP(O46,Ingredients!$A:$B,2,FALSE),"")</f>
        <v>1</v>
      </c>
      <c r="O46" s="34" t="s">
        <v>194</v>
      </c>
      <c r="P46" s="32" t="s">
        <v>89</v>
      </c>
      <c r="Q46" s="28"/>
      <c r="R46" s="35"/>
      <c r="S46" s="32"/>
      <c r="T46" s="28"/>
      <c r="U46" s="35"/>
      <c r="V46" s="32"/>
      <c r="W46" s="28"/>
      <c r="X46" s="35"/>
      <c r="Y46" s="32"/>
      <c r="Z46" s="28"/>
      <c r="AA46" s="36"/>
    </row>
    <row r="47" spans="1:27" ht="15.75" customHeight="1">
      <c r="A47" s="27" t="s">
        <v>141</v>
      </c>
      <c r="B47" s="28"/>
      <c r="C47" s="29">
        <v>290</v>
      </c>
      <c r="D47" s="30">
        <f t="shared" si="0"/>
        <v>-1135</v>
      </c>
      <c r="E47" s="37" t="s">
        <v>126</v>
      </c>
      <c r="F47" s="32"/>
      <c r="G47" s="28"/>
      <c r="H47" s="32" t="s">
        <v>137</v>
      </c>
      <c r="I47" s="33" t="s">
        <v>127</v>
      </c>
      <c r="J47" s="32"/>
      <c r="K47" s="28">
        <f>IFERROR(VLOOKUP(L47,Ingredients!A:B,2,FALSE),"")</f>
        <v>1400</v>
      </c>
      <c r="L47" s="38" t="s">
        <v>91</v>
      </c>
      <c r="M47" s="32" t="s">
        <v>87</v>
      </c>
      <c r="N47" s="28">
        <f>IFERROR(VLOOKUP(O47,Ingredients!$A:$B,2,FALSE),"")</f>
        <v>25</v>
      </c>
      <c r="O47" s="38" t="s">
        <v>188</v>
      </c>
      <c r="P47" s="32" t="s">
        <v>89</v>
      </c>
      <c r="Q47" s="28"/>
      <c r="R47" s="35"/>
      <c r="S47" s="32"/>
      <c r="T47" s="28"/>
      <c r="U47" s="35"/>
      <c r="V47" s="32"/>
      <c r="W47" s="28"/>
      <c r="X47" s="35"/>
      <c r="Y47" s="32"/>
      <c r="Z47" s="28"/>
      <c r="AA47" s="36"/>
    </row>
    <row r="48" spans="1:27" ht="15.75" customHeight="1">
      <c r="A48" s="27" t="s">
        <v>144</v>
      </c>
      <c r="B48" s="28"/>
      <c r="C48" s="29">
        <v>125</v>
      </c>
      <c r="D48" s="30">
        <f t="shared" si="0"/>
        <v>123</v>
      </c>
      <c r="E48" s="37" t="s">
        <v>126</v>
      </c>
      <c r="F48" s="32"/>
      <c r="G48" s="28"/>
      <c r="H48" s="32" t="s">
        <v>137</v>
      </c>
      <c r="I48" s="33" t="s">
        <v>127</v>
      </c>
      <c r="J48" s="32"/>
      <c r="K48" s="28"/>
      <c r="L48" s="34" t="s">
        <v>145</v>
      </c>
      <c r="M48" s="32" t="s">
        <v>129</v>
      </c>
      <c r="N48" s="28">
        <f>IFERROR(VLOOKUP(O48,Ingredients!$A:$B,2,FALSE),"")</f>
        <v>2</v>
      </c>
      <c r="O48" s="38" t="s">
        <v>190</v>
      </c>
      <c r="P48" s="32" t="s">
        <v>89</v>
      </c>
      <c r="Q48" s="28"/>
      <c r="R48" s="35"/>
      <c r="S48" s="32"/>
      <c r="T48" s="28"/>
      <c r="U48" s="35"/>
      <c r="V48" s="32"/>
      <c r="W48" s="28"/>
      <c r="X48" s="35"/>
      <c r="Y48" s="32"/>
      <c r="Z48" s="28"/>
      <c r="AA48" s="36"/>
    </row>
    <row r="49" spans="1:27" ht="15.75" customHeight="1">
      <c r="A49" s="27" t="s">
        <v>149</v>
      </c>
      <c r="B49" s="28"/>
      <c r="C49" s="29">
        <v>320</v>
      </c>
      <c r="D49" s="30">
        <f t="shared" si="0"/>
        <v>-1115</v>
      </c>
      <c r="E49" s="37" t="s">
        <v>126</v>
      </c>
      <c r="F49" s="32"/>
      <c r="G49" s="28"/>
      <c r="H49" s="32" t="s">
        <v>137</v>
      </c>
      <c r="I49" s="33" t="s">
        <v>127</v>
      </c>
      <c r="J49" s="32"/>
      <c r="K49" s="28">
        <f>IFERROR(VLOOKUP(L49,Ingredients!A:B,2,FALSE),"")</f>
        <v>1400</v>
      </c>
      <c r="L49" s="38" t="s">
        <v>91</v>
      </c>
      <c r="M49" s="32" t="s">
        <v>87</v>
      </c>
      <c r="N49" s="28">
        <f>IFERROR(VLOOKUP(O49,Ingredients!$A:$B,2,FALSE),"")</f>
        <v>35</v>
      </c>
      <c r="O49" s="38" t="s">
        <v>153</v>
      </c>
      <c r="P49" s="32" t="s">
        <v>89</v>
      </c>
      <c r="Q49" s="28"/>
      <c r="R49" s="35"/>
      <c r="S49" s="32"/>
      <c r="T49" s="28"/>
      <c r="U49" s="35"/>
      <c r="V49" s="32"/>
      <c r="W49" s="28"/>
      <c r="X49" s="35"/>
      <c r="Y49" s="32"/>
      <c r="Z49" s="28"/>
      <c r="AA49" s="36"/>
    </row>
    <row r="50" spans="1:27" ht="15.75" customHeight="1">
      <c r="A50" s="27" t="s">
        <v>152</v>
      </c>
      <c r="B50" s="28"/>
      <c r="C50" s="29">
        <v>140</v>
      </c>
      <c r="D50" s="30">
        <f t="shared" si="0"/>
        <v>105</v>
      </c>
      <c r="E50" s="37" t="s">
        <v>126</v>
      </c>
      <c r="F50" s="32"/>
      <c r="G50" s="28"/>
      <c r="H50" s="32" t="s">
        <v>137</v>
      </c>
      <c r="I50" s="33" t="s">
        <v>127</v>
      </c>
      <c r="J50" s="32"/>
      <c r="K50" s="28"/>
      <c r="L50" s="38" t="s">
        <v>177</v>
      </c>
      <c r="M50" s="32" t="s">
        <v>129</v>
      </c>
      <c r="N50" s="28">
        <f>IFERROR(VLOOKUP(O50,Ingredients!$A:$B,2,FALSE),"")</f>
        <v>35</v>
      </c>
      <c r="O50" s="38" t="s">
        <v>153</v>
      </c>
      <c r="P50" s="32" t="s">
        <v>89</v>
      </c>
      <c r="Q50" s="28"/>
      <c r="R50" s="35"/>
      <c r="S50" s="32"/>
      <c r="T50" s="28"/>
      <c r="U50" s="35"/>
      <c r="V50" s="32"/>
      <c r="W50" s="28"/>
      <c r="X50" s="35"/>
      <c r="Y50" s="32"/>
      <c r="Z50" s="28"/>
      <c r="AA50" s="36"/>
    </row>
    <row r="51" spans="1:27" ht="15.75" customHeight="1">
      <c r="A51" s="35" t="s">
        <v>153</v>
      </c>
      <c r="B51" s="28"/>
      <c r="C51" s="29">
        <v>35</v>
      </c>
      <c r="D51" s="30">
        <f t="shared" si="0"/>
        <v>3</v>
      </c>
      <c r="E51" s="37" t="s">
        <v>126</v>
      </c>
      <c r="F51" s="32"/>
      <c r="G51" s="28"/>
      <c r="H51" s="32" t="s">
        <v>137</v>
      </c>
      <c r="I51" s="33" t="s">
        <v>127</v>
      </c>
      <c r="J51" s="32"/>
      <c r="K51" s="28">
        <f>IFERROR(VLOOKUP(L51,Ingredients!A:B,2,FALSE),"")</f>
        <v>30</v>
      </c>
      <c r="L51" s="34" t="s">
        <v>154</v>
      </c>
      <c r="M51" s="32" t="s">
        <v>87</v>
      </c>
      <c r="N51" s="28">
        <f>IFERROR(VLOOKUP(O51,Ingredients!$A:$B,2,FALSE),"")</f>
        <v>2</v>
      </c>
      <c r="O51" s="38" t="s">
        <v>190</v>
      </c>
      <c r="P51" s="32" t="s">
        <v>89</v>
      </c>
      <c r="Q51" s="28"/>
      <c r="R51" s="35"/>
      <c r="S51" s="32"/>
      <c r="T51" s="28"/>
      <c r="U51" s="35"/>
      <c r="V51" s="32"/>
      <c r="W51" s="28"/>
      <c r="X51" s="35"/>
      <c r="Y51" s="32"/>
      <c r="Z51" s="28"/>
      <c r="AA51" s="36"/>
    </row>
    <row r="52" spans="1:27" ht="15.75" customHeight="1">
      <c r="A52" s="27" t="s">
        <v>157</v>
      </c>
      <c r="B52" s="28"/>
      <c r="C52" s="29">
        <v>120</v>
      </c>
      <c r="D52" s="30">
        <f t="shared" si="0"/>
        <v>88</v>
      </c>
      <c r="E52" s="37" t="s">
        <v>126</v>
      </c>
      <c r="F52" s="32"/>
      <c r="G52" s="28"/>
      <c r="H52" s="32" t="s">
        <v>137</v>
      </c>
      <c r="I52" s="33" t="s">
        <v>127</v>
      </c>
      <c r="J52" s="32"/>
      <c r="K52" s="28">
        <f>IFERROR(VLOOKUP(L52,Ingredients!A:B,2,FALSE),"")</f>
        <v>30</v>
      </c>
      <c r="L52" s="34" t="s">
        <v>158</v>
      </c>
      <c r="M52" s="32" t="s">
        <v>87</v>
      </c>
      <c r="N52" s="28">
        <f>IFERROR(VLOOKUP(O52,Ingredients!$A:$B,2,FALSE),"")</f>
        <v>2</v>
      </c>
      <c r="O52" s="38" t="s">
        <v>190</v>
      </c>
      <c r="P52" s="32" t="s">
        <v>89</v>
      </c>
      <c r="Q52" s="28"/>
      <c r="R52" s="35"/>
      <c r="S52" s="32"/>
      <c r="T52" s="28"/>
      <c r="U52" s="35"/>
      <c r="V52" s="32"/>
      <c r="W52" s="28"/>
      <c r="X52" s="35"/>
      <c r="Y52" s="32"/>
      <c r="Z52" s="28"/>
      <c r="AA52" s="36"/>
    </row>
    <row r="53" spans="1:27" ht="15.75" customHeight="1">
      <c r="A53" s="27" t="s">
        <v>161</v>
      </c>
      <c r="B53" s="28"/>
      <c r="C53" s="29">
        <v>80</v>
      </c>
      <c r="D53" s="30">
        <f t="shared" si="0"/>
        <v>-20</v>
      </c>
      <c r="E53" s="37" t="s">
        <v>126</v>
      </c>
      <c r="F53" s="32"/>
      <c r="G53" s="28"/>
      <c r="H53" s="32" t="s">
        <v>137</v>
      </c>
      <c r="I53" s="33" t="s">
        <v>127</v>
      </c>
      <c r="J53" s="32"/>
      <c r="K53" s="28"/>
      <c r="L53" s="38" t="s">
        <v>128</v>
      </c>
      <c r="M53" s="32" t="s">
        <v>129</v>
      </c>
      <c r="N53" s="28">
        <f>IFERROR(VLOOKUP(O53,Ingredients!$A:$B,2,FALSE),"")</f>
        <v>100</v>
      </c>
      <c r="O53" s="38" t="s">
        <v>195</v>
      </c>
      <c r="P53" s="32" t="s">
        <v>89</v>
      </c>
      <c r="Q53" s="28"/>
      <c r="R53" s="35"/>
      <c r="S53" s="32"/>
      <c r="T53" s="28"/>
      <c r="U53" s="35"/>
      <c r="V53" s="32"/>
      <c r="W53" s="28"/>
      <c r="X53" s="35"/>
      <c r="Y53" s="32"/>
      <c r="Z53" s="28"/>
      <c r="AA53" s="36"/>
    </row>
    <row r="54" spans="1:27" ht="15.75" customHeight="1">
      <c r="A54" s="27" t="s">
        <v>161</v>
      </c>
      <c r="B54" s="28"/>
      <c r="C54" s="29">
        <v>80</v>
      </c>
      <c r="D54" s="30">
        <f t="shared" si="0"/>
        <v>10</v>
      </c>
      <c r="E54" s="37" t="s">
        <v>126</v>
      </c>
      <c r="F54" s="32"/>
      <c r="G54" s="28"/>
      <c r="H54" s="32" t="s">
        <v>137</v>
      </c>
      <c r="I54" s="33" t="s">
        <v>127</v>
      </c>
      <c r="J54" s="32"/>
      <c r="K54" s="28"/>
      <c r="L54" s="38" t="s">
        <v>128</v>
      </c>
      <c r="M54" s="32" t="s">
        <v>129</v>
      </c>
      <c r="N54" s="28">
        <f>IFERROR(VLOOKUP(O54,Ingredients!$A:$B,2,FALSE),"")</f>
        <v>70</v>
      </c>
      <c r="O54" s="38" t="s">
        <v>196</v>
      </c>
      <c r="P54" s="32" t="s">
        <v>89</v>
      </c>
      <c r="Q54" s="28"/>
      <c r="R54" s="35"/>
      <c r="S54" s="32"/>
      <c r="T54" s="28"/>
      <c r="U54" s="35"/>
      <c r="V54" s="32"/>
      <c r="W54" s="28"/>
      <c r="X54" s="35"/>
      <c r="Y54" s="32"/>
      <c r="Z54" s="28"/>
      <c r="AA54" s="36"/>
    </row>
    <row r="55" spans="1:27" ht="15.75" customHeight="1">
      <c r="A55" s="27" t="s">
        <v>164</v>
      </c>
      <c r="B55" s="28"/>
      <c r="C55" s="29">
        <v>145</v>
      </c>
      <c r="D55" s="30">
        <f t="shared" si="0"/>
        <v>113</v>
      </c>
      <c r="E55" s="37" t="s">
        <v>126</v>
      </c>
      <c r="F55" s="32"/>
      <c r="G55" s="28"/>
      <c r="H55" s="32" t="s">
        <v>137</v>
      </c>
      <c r="I55" s="33" t="s">
        <v>127</v>
      </c>
      <c r="J55" s="32"/>
      <c r="K55" s="28">
        <f>IFERROR(VLOOKUP(L55,Ingredients!A:B,2,FALSE),"")</f>
        <v>30</v>
      </c>
      <c r="L55" s="34" t="s">
        <v>165</v>
      </c>
      <c r="M55" s="32" t="s">
        <v>87</v>
      </c>
      <c r="N55" s="28">
        <f>IFERROR(VLOOKUP(O55,Ingredients!$A:$B,2,FALSE),"")</f>
        <v>2</v>
      </c>
      <c r="O55" s="38" t="s">
        <v>190</v>
      </c>
      <c r="P55" s="32" t="s">
        <v>89</v>
      </c>
      <c r="Q55" s="28"/>
      <c r="R55" s="35"/>
      <c r="S55" s="32"/>
      <c r="T55" s="28"/>
      <c r="U55" s="35"/>
      <c r="V55" s="32"/>
      <c r="W55" s="28"/>
      <c r="X55" s="35"/>
      <c r="Y55" s="32"/>
      <c r="Z55" s="28"/>
      <c r="AA55" s="36"/>
    </row>
    <row r="56" spans="1:27" ht="15.75" customHeight="1">
      <c r="A56" s="27" t="s">
        <v>168</v>
      </c>
      <c r="B56" s="28"/>
      <c r="C56" s="29">
        <v>30</v>
      </c>
      <c r="D56" s="30">
        <f t="shared" si="0"/>
        <v>28</v>
      </c>
      <c r="E56" s="37" t="s">
        <v>126</v>
      </c>
      <c r="F56" s="32"/>
      <c r="G56" s="28"/>
      <c r="H56" s="32" t="s">
        <v>137</v>
      </c>
      <c r="I56" s="33" t="s">
        <v>127</v>
      </c>
      <c r="J56" s="32"/>
      <c r="K56" s="28"/>
      <c r="L56" s="38" t="s">
        <v>169</v>
      </c>
      <c r="M56" s="32" t="s">
        <v>129</v>
      </c>
      <c r="N56" s="28">
        <f>IFERROR(VLOOKUP(O56,Ingredients!$A:$B,2,FALSE),"")</f>
        <v>2</v>
      </c>
      <c r="O56" s="38" t="s">
        <v>190</v>
      </c>
      <c r="P56" s="32" t="s">
        <v>89</v>
      </c>
      <c r="Q56" s="28"/>
      <c r="R56" s="35"/>
      <c r="S56" s="32"/>
      <c r="T56" s="28"/>
      <c r="U56" s="35"/>
      <c r="V56" s="32"/>
      <c r="W56" s="28"/>
      <c r="X56" s="35"/>
      <c r="Y56" s="32"/>
      <c r="Z56" s="28"/>
      <c r="AA56" s="36"/>
    </row>
    <row r="57" spans="1:27" ht="15.75" customHeight="1">
      <c r="A57" s="27" t="s">
        <v>172</v>
      </c>
      <c r="B57" s="28"/>
      <c r="C57" s="29">
        <v>120</v>
      </c>
      <c r="D57" s="30">
        <f t="shared" si="0"/>
        <v>85</v>
      </c>
      <c r="E57" s="37" t="s">
        <v>126</v>
      </c>
      <c r="F57" s="32"/>
      <c r="G57" s="28"/>
      <c r="H57" s="32" t="s">
        <v>137</v>
      </c>
      <c r="I57" s="33" t="s">
        <v>127</v>
      </c>
      <c r="J57" s="32"/>
      <c r="K57" s="28"/>
      <c r="L57" s="38" t="s">
        <v>128</v>
      </c>
      <c r="M57" s="32" t="s">
        <v>129</v>
      </c>
      <c r="N57" s="28">
        <f>IFERROR(VLOOKUP(O57,Ingredients!$A:$B,2,FALSE),"")</f>
        <v>35</v>
      </c>
      <c r="O57" s="38" t="s">
        <v>197</v>
      </c>
      <c r="P57" s="32" t="s">
        <v>89</v>
      </c>
      <c r="Q57" s="28"/>
      <c r="R57" s="35"/>
      <c r="S57" s="32"/>
      <c r="T57" s="28"/>
      <c r="U57" s="35"/>
      <c r="V57" s="32"/>
      <c r="W57" s="28"/>
      <c r="X57" s="35"/>
      <c r="Y57" s="32"/>
      <c r="Z57" s="28"/>
      <c r="AA57" s="36"/>
    </row>
    <row r="58" spans="1:27" ht="14">
      <c r="A58" s="27" t="s">
        <v>172</v>
      </c>
      <c r="B58" s="28"/>
      <c r="C58" s="29">
        <v>120</v>
      </c>
      <c r="D58" s="30">
        <f t="shared" si="0"/>
        <v>88</v>
      </c>
      <c r="E58" s="37" t="s">
        <v>126</v>
      </c>
      <c r="F58" s="32"/>
      <c r="G58" s="28"/>
      <c r="H58" s="32" t="s">
        <v>137</v>
      </c>
      <c r="I58" s="33" t="s">
        <v>127</v>
      </c>
      <c r="J58" s="32"/>
      <c r="K58" s="28">
        <f>IFERROR(VLOOKUP(L58,Ingredients!A:B,2,FALSE),"")</f>
        <v>30</v>
      </c>
      <c r="L58" s="34" t="s">
        <v>173</v>
      </c>
      <c r="M58" s="32" t="s">
        <v>87</v>
      </c>
      <c r="N58" s="28">
        <f>IFERROR(VLOOKUP(O58,Ingredients!$A:$B,2,FALSE),"")</f>
        <v>2</v>
      </c>
      <c r="O58" s="38" t="s">
        <v>190</v>
      </c>
      <c r="P58" s="32" t="s">
        <v>89</v>
      </c>
      <c r="Q58" s="28"/>
      <c r="R58" s="35"/>
      <c r="S58" s="32"/>
      <c r="T58" s="28"/>
      <c r="U58" s="35"/>
      <c r="V58" s="32"/>
      <c r="W58" s="28"/>
      <c r="X58" s="35"/>
      <c r="Y58" s="32"/>
      <c r="Z58" s="28"/>
      <c r="AA58" s="36"/>
    </row>
    <row r="59" spans="1:27" ht="14">
      <c r="A59" s="27" t="s">
        <v>176</v>
      </c>
      <c r="B59" s="28"/>
      <c r="C59" s="29">
        <v>30</v>
      </c>
      <c r="D59" s="30">
        <f t="shared" si="0"/>
        <v>28</v>
      </c>
      <c r="E59" s="37" t="s">
        <v>126</v>
      </c>
      <c r="F59" s="32"/>
      <c r="G59" s="28"/>
      <c r="H59" s="32" t="s">
        <v>137</v>
      </c>
      <c r="I59" s="33" t="s">
        <v>127</v>
      </c>
      <c r="J59" s="32"/>
      <c r="K59" s="28"/>
      <c r="L59" s="38" t="s">
        <v>177</v>
      </c>
      <c r="M59" s="32" t="s">
        <v>129</v>
      </c>
      <c r="N59" s="28">
        <f>IFERROR(VLOOKUP(O59,Ingredients!$A:$B,2,FALSE),"")</f>
        <v>2</v>
      </c>
      <c r="O59" s="38" t="s">
        <v>190</v>
      </c>
      <c r="P59" s="32" t="s">
        <v>89</v>
      </c>
      <c r="Q59" s="28"/>
      <c r="R59" s="35"/>
      <c r="S59" s="32"/>
      <c r="T59" s="28"/>
      <c r="U59" s="35"/>
      <c r="V59" s="32"/>
      <c r="W59" s="28"/>
      <c r="X59" s="35"/>
      <c r="Y59" s="32"/>
      <c r="Z59" s="28"/>
      <c r="AA59" s="36"/>
    </row>
    <row r="60" spans="1:27" ht="13">
      <c r="A60" s="27" t="s">
        <v>186</v>
      </c>
      <c r="B60" s="28"/>
      <c r="C60" s="29">
        <v>90</v>
      </c>
      <c r="D60" s="30">
        <f t="shared" si="0"/>
        <v>55</v>
      </c>
      <c r="F60" s="32"/>
      <c r="G60" s="28"/>
      <c r="H60" s="32" t="s">
        <v>137</v>
      </c>
      <c r="I60" s="33" t="s">
        <v>127</v>
      </c>
      <c r="J60" s="32"/>
      <c r="K60" s="28"/>
      <c r="L60" s="38" t="s">
        <v>189</v>
      </c>
      <c r="M60" s="32" t="s">
        <v>129</v>
      </c>
      <c r="N60" s="28">
        <f>IFERROR(VLOOKUP(O60,Ingredients!$A:$B,2,FALSE),"")</f>
        <v>35</v>
      </c>
      <c r="O60" s="38" t="s">
        <v>153</v>
      </c>
      <c r="P60" s="32" t="s">
        <v>89</v>
      </c>
      <c r="Q60" s="28"/>
      <c r="R60" s="35"/>
      <c r="S60" s="32"/>
      <c r="T60" s="28"/>
      <c r="U60" s="35"/>
      <c r="V60" s="32"/>
      <c r="W60" s="28"/>
      <c r="X60" s="35"/>
      <c r="Y60" s="32"/>
      <c r="Z60" s="28"/>
      <c r="AA60" s="36"/>
    </row>
    <row r="61" spans="1:27" ht="14">
      <c r="A61" s="35" t="s">
        <v>188</v>
      </c>
      <c r="B61" s="28"/>
      <c r="C61" s="29">
        <v>25</v>
      </c>
      <c r="D61" s="30">
        <f t="shared" si="0"/>
        <v>23</v>
      </c>
      <c r="E61" s="37" t="s">
        <v>126</v>
      </c>
      <c r="F61" s="32"/>
      <c r="G61" s="28"/>
      <c r="H61" s="32" t="s">
        <v>137</v>
      </c>
      <c r="I61" s="33" t="s">
        <v>127</v>
      </c>
      <c r="J61" s="32"/>
      <c r="K61" s="28"/>
      <c r="L61" s="38" t="s">
        <v>189</v>
      </c>
      <c r="M61" s="32" t="s">
        <v>129</v>
      </c>
      <c r="N61" s="28">
        <f>IFERROR(VLOOKUP(O61,Ingredients!$A:$B,2,FALSE),"")</f>
        <v>2</v>
      </c>
      <c r="O61" s="38" t="s">
        <v>190</v>
      </c>
      <c r="P61" s="32" t="s">
        <v>89</v>
      </c>
      <c r="Q61" s="28"/>
      <c r="R61" s="35"/>
      <c r="S61" s="32"/>
      <c r="T61" s="28"/>
      <c r="U61" s="35"/>
      <c r="V61" s="32"/>
      <c r="W61" s="28"/>
      <c r="X61" s="35"/>
      <c r="Y61" s="32"/>
      <c r="Z61" s="28"/>
      <c r="AA61" s="36"/>
    </row>
    <row r="62" spans="1:27" ht="56">
      <c r="A62" s="27" t="s">
        <v>198</v>
      </c>
      <c r="B62" s="28"/>
      <c r="C62" s="29">
        <v>0</v>
      </c>
      <c r="D62" s="30">
        <f t="shared" si="0"/>
        <v>-700</v>
      </c>
      <c r="E62" s="39" t="s">
        <v>199</v>
      </c>
      <c r="F62" s="32"/>
      <c r="G62" s="28"/>
      <c r="H62" s="33" t="s">
        <v>200</v>
      </c>
      <c r="I62" s="33" t="s">
        <v>201</v>
      </c>
      <c r="J62" s="32"/>
      <c r="K62" s="28">
        <f>IFERROR(VLOOKUP(L62,Ingredients!A:B,2,FALSE),"")</f>
        <v>700</v>
      </c>
      <c r="L62" s="34" t="s">
        <v>86</v>
      </c>
      <c r="M62" s="32" t="s">
        <v>87</v>
      </c>
      <c r="N62" s="28"/>
      <c r="O62" s="38" t="s">
        <v>201</v>
      </c>
      <c r="P62" s="32" t="s">
        <v>200</v>
      </c>
      <c r="Q62" s="28"/>
      <c r="R62" s="35"/>
      <c r="S62" s="32"/>
      <c r="T62" s="28"/>
      <c r="U62" s="35"/>
      <c r="V62" s="32"/>
      <c r="W62" s="28"/>
      <c r="X62" s="35"/>
      <c r="Y62" s="32"/>
      <c r="Z62" s="28"/>
      <c r="AA62" s="36"/>
    </row>
    <row r="63" spans="1:27" ht="28">
      <c r="A63" s="27" t="s">
        <v>202</v>
      </c>
      <c r="B63" s="28"/>
      <c r="C63" s="29">
        <v>0</v>
      </c>
      <c r="D63" s="30">
        <f t="shared" si="0"/>
        <v>-700</v>
      </c>
      <c r="E63" s="39" t="s">
        <v>203</v>
      </c>
      <c r="F63" s="32"/>
      <c r="G63" s="28"/>
      <c r="H63" s="33" t="s">
        <v>200</v>
      </c>
      <c r="I63" s="33" t="s">
        <v>85</v>
      </c>
      <c r="J63" s="32"/>
      <c r="K63" s="28">
        <f>IFERROR(VLOOKUP(L63,Ingredients!A:B,2,FALSE),"")</f>
        <v>700</v>
      </c>
      <c r="L63" s="34" t="s">
        <v>86</v>
      </c>
      <c r="M63" s="32" t="s">
        <v>87</v>
      </c>
      <c r="N63" s="28"/>
      <c r="O63" s="34" t="s">
        <v>204</v>
      </c>
      <c r="P63" s="32" t="s">
        <v>200</v>
      </c>
      <c r="Q63" s="28"/>
      <c r="R63" s="35"/>
      <c r="S63" s="32"/>
      <c r="T63" s="28"/>
      <c r="U63" s="35"/>
      <c r="V63" s="32"/>
      <c r="W63" s="28"/>
      <c r="X63" s="35"/>
      <c r="Y63" s="32"/>
      <c r="Z63" s="28"/>
      <c r="AA63" s="36"/>
    </row>
    <row r="64" spans="1:27" ht="42">
      <c r="A64" s="27" t="s">
        <v>205</v>
      </c>
      <c r="B64" s="28"/>
      <c r="C64" s="29">
        <v>0</v>
      </c>
      <c r="D64" s="30">
        <f t="shared" si="0"/>
        <v>-700</v>
      </c>
      <c r="E64" s="39" t="s">
        <v>206</v>
      </c>
      <c r="F64" s="32"/>
      <c r="G64" s="28"/>
      <c r="H64" s="33" t="s">
        <v>200</v>
      </c>
      <c r="I64" s="33" t="s">
        <v>207</v>
      </c>
      <c r="J64" s="32"/>
      <c r="K64" s="28">
        <f>IFERROR(VLOOKUP(L64,Ingredients!A:B,2,FALSE),"")</f>
        <v>700</v>
      </c>
      <c r="L64" s="34" t="s">
        <v>86</v>
      </c>
      <c r="M64" s="32" t="s">
        <v>87</v>
      </c>
      <c r="N64" s="28"/>
      <c r="O64" s="38" t="s">
        <v>208</v>
      </c>
      <c r="P64" s="32" t="s">
        <v>200</v>
      </c>
      <c r="Q64" s="28"/>
      <c r="R64" s="35"/>
      <c r="S64" s="32"/>
      <c r="T64" s="28"/>
      <c r="U64" s="35"/>
      <c r="V64" s="32"/>
      <c r="W64" s="28"/>
      <c r="X64" s="35"/>
      <c r="Y64" s="32"/>
      <c r="Z64" s="28"/>
      <c r="AA64" s="36"/>
    </row>
    <row r="65" spans="1:27" ht="14">
      <c r="A65" s="27" t="s">
        <v>209</v>
      </c>
      <c r="B65" s="28"/>
      <c r="C65" s="29">
        <v>0</v>
      </c>
      <c r="D65" s="30">
        <f t="shared" si="0"/>
        <v>-1</v>
      </c>
      <c r="E65" s="37" t="s">
        <v>210</v>
      </c>
      <c r="F65" s="32"/>
      <c r="G65" s="28"/>
      <c r="H65" s="33" t="s">
        <v>200</v>
      </c>
      <c r="I65" s="33" t="s">
        <v>207</v>
      </c>
      <c r="J65" s="32"/>
      <c r="K65" s="28">
        <f>IFERROR(VLOOKUP(L65,Ingredients!A:B,2,FALSE),"")</f>
        <v>1</v>
      </c>
      <c r="L65" s="38" t="s">
        <v>211</v>
      </c>
      <c r="M65" s="32" t="s">
        <v>87</v>
      </c>
      <c r="N65" s="28"/>
      <c r="O65" s="38" t="s">
        <v>208</v>
      </c>
      <c r="P65" s="32" t="s">
        <v>200</v>
      </c>
      <c r="Q65" s="28"/>
      <c r="R65" s="35"/>
      <c r="S65" s="32"/>
      <c r="T65" s="28"/>
      <c r="U65" s="35"/>
      <c r="V65" s="32"/>
      <c r="W65" s="28"/>
      <c r="X65" s="35"/>
      <c r="Y65" s="32"/>
      <c r="Z65" s="28"/>
      <c r="AA65" s="36"/>
    </row>
    <row r="66" spans="1:27" ht="42">
      <c r="A66" s="27" t="s">
        <v>212</v>
      </c>
      <c r="B66" s="28"/>
      <c r="C66" s="29">
        <v>0</v>
      </c>
      <c r="D66" s="30">
        <f t="shared" si="0"/>
        <v>-700</v>
      </c>
      <c r="E66" s="39" t="s">
        <v>213</v>
      </c>
      <c r="F66" s="32"/>
      <c r="G66" s="28"/>
      <c r="H66" s="33" t="s">
        <v>200</v>
      </c>
      <c r="I66" s="33" t="s">
        <v>214</v>
      </c>
      <c r="J66" s="32"/>
      <c r="K66" s="28">
        <f>IFERROR(VLOOKUP(L66,Ingredients!A:B,2,FALSE),"")</f>
        <v>700</v>
      </c>
      <c r="L66" s="34" t="s">
        <v>86</v>
      </c>
      <c r="M66" s="32" t="s">
        <v>87</v>
      </c>
      <c r="N66" s="28"/>
      <c r="O66" s="38" t="s">
        <v>215</v>
      </c>
      <c r="P66" s="32" t="s">
        <v>200</v>
      </c>
      <c r="Q66" s="28"/>
      <c r="R66" s="35"/>
      <c r="S66" s="32"/>
      <c r="T66" s="28"/>
      <c r="U66" s="35"/>
      <c r="V66" s="32"/>
      <c r="W66" s="28"/>
      <c r="X66" s="35"/>
      <c r="Y66" s="32"/>
      <c r="Z66" s="28"/>
      <c r="AA66" s="36"/>
    </row>
    <row r="67" spans="1:27" ht="42">
      <c r="A67" s="27" t="s">
        <v>216</v>
      </c>
      <c r="B67" s="28"/>
      <c r="C67" s="29">
        <v>0</v>
      </c>
      <c r="D67" s="30">
        <f t="shared" si="0"/>
        <v>-700</v>
      </c>
      <c r="E67" s="39" t="s">
        <v>217</v>
      </c>
      <c r="F67" s="32"/>
      <c r="G67" s="28"/>
      <c r="H67" s="33" t="s">
        <v>200</v>
      </c>
      <c r="I67" s="33" t="s">
        <v>113</v>
      </c>
      <c r="J67" s="32"/>
      <c r="K67" s="28">
        <f>IFERROR(VLOOKUP(L67,Ingredients!A:B,2,FALSE),"")</f>
        <v>700</v>
      </c>
      <c r="L67" s="34" t="s">
        <v>86</v>
      </c>
      <c r="M67" s="32" t="s">
        <v>87</v>
      </c>
      <c r="N67" s="28"/>
      <c r="O67" s="38" t="s">
        <v>218</v>
      </c>
      <c r="P67" s="32" t="s">
        <v>200</v>
      </c>
      <c r="Q67" s="28"/>
      <c r="R67" s="35"/>
      <c r="S67" s="32"/>
      <c r="T67" s="28"/>
      <c r="U67" s="35"/>
      <c r="V67" s="32"/>
      <c r="W67" s="28"/>
      <c r="X67" s="35"/>
      <c r="Y67" s="32"/>
      <c r="Z67" s="28"/>
      <c r="AA67" s="36"/>
    </row>
    <row r="68" spans="1:27" ht="42">
      <c r="A68" s="27" t="s">
        <v>219</v>
      </c>
      <c r="B68" s="28"/>
      <c r="C68" s="29">
        <v>0</v>
      </c>
      <c r="D68" s="30">
        <f t="shared" si="0"/>
        <v>-700</v>
      </c>
      <c r="E68" s="39" t="s">
        <v>220</v>
      </c>
      <c r="F68" s="32"/>
      <c r="G68" s="28"/>
      <c r="H68" s="33" t="s">
        <v>200</v>
      </c>
      <c r="I68" s="33" t="s">
        <v>221</v>
      </c>
      <c r="J68" s="32"/>
      <c r="K68" s="28">
        <f>IFERROR(VLOOKUP(L68,Ingredients!A:B,2,FALSE),"")</f>
        <v>700</v>
      </c>
      <c r="L68" s="34" t="s">
        <v>86</v>
      </c>
      <c r="M68" s="32" t="s">
        <v>87</v>
      </c>
      <c r="N68" s="28"/>
      <c r="O68" s="38" t="s">
        <v>222</v>
      </c>
      <c r="P68" s="32" t="s">
        <v>200</v>
      </c>
      <c r="Q68" s="28"/>
      <c r="R68" s="35"/>
      <c r="S68" s="32"/>
      <c r="T68" s="28"/>
      <c r="U68" s="35"/>
      <c r="V68" s="32"/>
      <c r="W68" s="28"/>
      <c r="X68" s="35"/>
      <c r="Y68" s="32"/>
      <c r="Z68" s="28"/>
      <c r="AA68" s="36"/>
    </row>
    <row r="69" spans="1:27" ht="42">
      <c r="A69" s="27" t="s">
        <v>223</v>
      </c>
      <c r="B69" s="28"/>
      <c r="C69" s="29">
        <v>0</v>
      </c>
      <c r="D69" s="30">
        <f t="shared" si="0"/>
        <v>-700</v>
      </c>
      <c r="E69" s="39" t="s">
        <v>224</v>
      </c>
      <c r="F69" s="32"/>
      <c r="G69" s="28"/>
      <c r="H69" s="33" t="s">
        <v>200</v>
      </c>
      <c r="I69" s="33" t="s">
        <v>225</v>
      </c>
      <c r="J69" s="32"/>
      <c r="K69" s="28">
        <f>IFERROR(VLOOKUP(L69,Ingredients!A:B,2,FALSE),"")</f>
        <v>700</v>
      </c>
      <c r="L69" s="34" t="s">
        <v>86</v>
      </c>
      <c r="M69" s="32" t="s">
        <v>87</v>
      </c>
      <c r="N69" s="28"/>
      <c r="O69" s="38" t="s">
        <v>225</v>
      </c>
      <c r="P69" s="32" t="s">
        <v>200</v>
      </c>
      <c r="Q69" s="28"/>
      <c r="R69" s="35"/>
      <c r="S69" s="32"/>
      <c r="T69" s="28"/>
      <c r="U69" s="35"/>
      <c r="V69" s="32"/>
      <c r="W69" s="28"/>
      <c r="X69" s="35"/>
      <c r="Y69" s="32"/>
      <c r="Z69" s="28"/>
      <c r="AA69" s="36"/>
    </row>
    <row r="70" spans="1:27" ht="42">
      <c r="A70" s="27" t="s">
        <v>226</v>
      </c>
      <c r="B70" s="28"/>
      <c r="C70" s="29">
        <v>0</v>
      </c>
      <c r="D70" s="30">
        <f t="shared" si="0"/>
        <v>-700</v>
      </c>
      <c r="E70" s="39" t="s">
        <v>227</v>
      </c>
      <c r="F70" s="32"/>
      <c r="G70" s="28"/>
      <c r="H70" s="33" t="s">
        <v>200</v>
      </c>
      <c r="I70" s="33" t="s">
        <v>228</v>
      </c>
      <c r="J70" s="32"/>
      <c r="K70" s="28">
        <f>IFERROR(VLOOKUP(L70,Ingredients!A:B,2,FALSE),"")</f>
        <v>700</v>
      </c>
      <c r="L70" s="34" t="s">
        <v>86</v>
      </c>
      <c r="M70" s="32" t="s">
        <v>87</v>
      </c>
      <c r="N70" s="28"/>
      <c r="O70" s="38" t="s">
        <v>229</v>
      </c>
      <c r="P70" s="32" t="s">
        <v>200</v>
      </c>
      <c r="Q70" s="28"/>
      <c r="R70" s="35"/>
      <c r="S70" s="32"/>
      <c r="T70" s="28"/>
      <c r="U70" s="35"/>
      <c r="V70" s="32"/>
      <c r="W70" s="28"/>
      <c r="X70" s="35"/>
      <c r="Y70" s="32"/>
      <c r="Z70" s="28"/>
      <c r="AA70" s="36"/>
    </row>
    <row r="71" spans="1:27" ht="28">
      <c r="A71" s="27" t="s">
        <v>230</v>
      </c>
      <c r="B71" s="28"/>
      <c r="C71" s="29">
        <v>0</v>
      </c>
      <c r="D71" s="30">
        <f t="shared" si="0"/>
        <v>-350</v>
      </c>
      <c r="E71" s="37" t="s">
        <v>231</v>
      </c>
      <c r="F71" s="32"/>
      <c r="G71" s="28"/>
      <c r="H71" s="33" t="s">
        <v>200</v>
      </c>
      <c r="I71" s="33" t="s">
        <v>232</v>
      </c>
      <c r="J71" s="32"/>
      <c r="K71" s="28">
        <f>IFERROR(VLOOKUP(L71,Ingredients!A:B,2,FALSE),"")</f>
        <v>350</v>
      </c>
      <c r="L71" s="34" t="s">
        <v>93</v>
      </c>
      <c r="M71" s="32" t="s">
        <v>87</v>
      </c>
      <c r="N71" s="28"/>
      <c r="O71" s="34" t="s">
        <v>233</v>
      </c>
      <c r="P71" s="32" t="s">
        <v>200</v>
      </c>
      <c r="Q71" s="28"/>
      <c r="R71" s="35"/>
      <c r="S71" s="32"/>
      <c r="T71" s="28"/>
      <c r="U71" s="35"/>
      <c r="V71" s="32"/>
      <c r="W71" s="28"/>
      <c r="X71" s="35"/>
      <c r="Y71" s="32"/>
      <c r="Z71" s="28"/>
      <c r="AA71" s="36"/>
    </row>
    <row r="72" spans="1:27" ht="28">
      <c r="A72" s="27" t="s">
        <v>234</v>
      </c>
      <c r="B72" s="28"/>
      <c r="C72" s="29">
        <v>0</v>
      </c>
      <c r="D72" s="30">
        <f t="shared" si="0"/>
        <v>0</v>
      </c>
      <c r="E72" s="37" t="s">
        <v>235</v>
      </c>
      <c r="F72" s="32"/>
      <c r="G72" s="28"/>
      <c r="H72" s="33" t="s">
        <v>200</v>
      </c>
      <c r="I72" s="33" t="s">
        <v>232</v>
      </c>
      <c r="J72" s="32"/>
      <c r="K72" s="28"/>
      <c r="L72" s="38" t="s">
        <v>169</v>
      </c>
      <c r="M72" s="33" t="s">
        <v>236</v>
      </c>
      <c r="N72" s="28"/>
      <c r="O72" s="34" t="s">
        <v>237</v>
      </c>
      <c r="P72" s="32" t="s">
        <v>200</v>
      </c>
      <c r="Q72" s="28"/>
      <c r="R72" s="35"/>
      <c r="S72" s="32"/>
      <c r="T72" s="28"/>
      <c r="U72" s="35"/>
      <c r="V72" s="32"/>
      <c r="W72" s="28"/>
      <c r="X72" s="35"/>
      <c r="Y72" s="32"/>
      <c r="Z72" s="28"/>
      <c r="AA72" s="36"/>
    </row>
    <row r="73" spans="1:27" ht="14">
      <c r="A73" s="35" t="s">
        <v>238</v>
      </c>
      <c r="B73" s="28"/>
      <c r="C73" s="29">
        <v>4</v>
      </c>
      <c r="D73" s="30">
        <f t="shared" si="0"/>
        <v>1</v>
      </c>
      <c r="E73" s="37" t="s">
        <v>239</v>
      </c>
      <c r="F73" s="32"/>
      <c r="G73" s="28"/>
      <c r="H73" s="32" t="s">
        <v>240</v>
      </c>
      <c r="I73" s="33" t="s">
        <v>241</v>
      </c>
      <c r="J73" s="32"/>
      <c r="K73" s="28">
        <f>IFERROR(VLOOKUP(L73,Ingredients!A:B,2,FALSE),"")</f>
        <v>1</v>
      </c>
      <c r="L73" s="38" t="s">
        <v>242</v>
      </c>
      <c r="M73" s="32" t="s">
        <v>87</v>
      </c>
      <c r="N73" s="28">
        <f>IFERROR(VLOOKUP(O73,Ingredients!$A:$B,2,FALSE),"")</f>
        <v>2</v>
      </c>
      <c r="O73" s="38" t="s">
        <v>243</v>
      </c>
      <c r="P73" s="32" t="s">
        <v>89</v>
      </c>
      <c r="Q73" s="28"/>
      <c r="R73" s="35"/>
      <c r="S73" s="32"/>
      <c r="T73" s="28"/>
      <c r="U73" s="35"/>
      <c r="V73" s="32"/>
      <c r="W73" s="28"/>
      <c r="X73" s="35"/>
      <c r="Y73" s="32"/>
      <c r="Z73" s="28"/>
      <c r="AA73" s="36"/>
    </row>
    <row r="74" spans="1:27" ht="14">
      <c r="A74" s="27" t="s">
        <v>244</v>
      </c>
      <c r="B74" s="28"/>
      <c r="C74" s="29">
        <v>7</v>
      </c>
      <c r="D74" s="30">
        <f t="shared" si="0"/>
        <v>6</v>
      </c>
      <c r="E74" s="37" t="s">
        <v>245</v>
      </c>
      <c r="F74" s="32"/>
      <c r="G74" s="28"/>
      <c r="H74" s="32" t="s">
        <v>240</v>
      </c>
      <c r="I74" s="33" t="s">
        <v>241</v>
      </c>
      <c r="J74" s="32"/>
      <c r="K74" s="28"/>
      <c r="L74" s="38" t="s">
        <v>246</v>
      </c>
      <c r="M74" s="32" t="s">
        <v>129</v>
      </c>
      <c r="N74" s="28">
        <f>IFERROR(VLOOKUP(O74,Ingredients!$A:$B,2,FALSE),"")</f>
        <v>1</v>
      </c>
      <c r="O74" s="38" t="s">
        <v>247</v>
      </c>
      <c r="P74" s="32" t="s">
        <v>89</v>
      </c>
      <c r="Q74" s="28"/>
      <c r="R74" s="35"/>
      <c r="S74" s="32"/>
      <c r="T74" s="28"/>
      <c r="U74" s="35"/>
      <c r="V74" s="32"/>
      <c r="W74" s="28"/>
      <c r="X74" s="35"/>
      <c r="Y74" s="32"/>
      <c r="Z74" s="28"/>
      <c r="AA74" s="36"/>
    </row>
    <row r="75" spans="1:27" ht="14">
      <c r="A75" s="27" t="s">
        <v>248</v>
      </c>
      <c r="B75" s="28"/>
      <c r="C75" s="29">
        <v>1</v>
      </c>
      <c r="D75" s="30">
        <f t="shared" si="0"/>
        <v>0</v>
      </c>
      <c r="E75" s="37" t="s">
        <v>249</v>
      </c>
      <c r="F75" s="32"/>
      <c r="G75" s="28"/>
      <c r="H75" s="32" t="s">
        <v>240</v>
      </c>
      <c r="I75" s="33" t="s">
        <v>241</v>
      </c>
      <c r="J75" s="32"/>
      <c r="K75" s="28">
        <f>IFERROR(VLOOKUP(L75,Ingredients!A:B,2,FALSE),"")</f>
        <v>1</v>
      </c>
      <c r="L75" s="38" t="s">
        <v>247</v>
      </c>
      <c r="M75" s="32" t="s">
        <v>89</v>
      </c>
      <c r="N75" s="28"/>
      <c r="O75" s="34" t="s">
        <v>189</v>
      </c>
      <c r="P75" s="32" t="s">
        <v>129</v>
      </c>
      <c r="Q75" s="28"/>
      <c r="R75" s="35"/>
      <c r="S75" s="32"/>
      <c r="T75" s="28"/>
      <c r="U75" s="35"/>
      <c r="V75" s="32"/>
      <c r="W75" s="28"/>
      <c r="X75" s="35"/>
      <c r="Y75" s="32"/>
      <c r="Z75" s="28"/>
      <c r="AA75" s="36"/>
    </row>
    <row r="76" spans="1:27" ht="14">
      <c r="A76" s="27" t="s">
        <v>250</v>
      </c>
      <c r="B76" s="28"/>
      <c r="C76" s="29">
        <v>20</v>
      </c>
      <c r="D76" s="30">
        <f t="shared" si="0"/>
        <v>19</v>
      </c>
      <c r="E76" s="37" t="s">
        <v>251</v>
      </c>
      <c r="F76" s="32"/>
      <c r="G76" s="28"/>
      <c r="H76" s="32" t="s">
        <v>240</v>
      </c>
      <c r="I76" s="33" t="s">
        <v>241</v>
      </c>
      <c r="J76" s="32"/>
      <c r="K76" s="28"/>
      <c r="L76" s="38" t="s">
        <v>252</v>
      </c>
      <c r="M76" s="32" t="s">
        <v>129</v>
      </c>
      <c r="N76" s="28">
        <f>IFERROR(VLOOKUP(O76,Ingredients!$A:$B,2,FALSE),"")</f>
        <v>1</v>
      </c>
      <c r="O76" s="38" t="s">
        <v>247</v>
      </c>
      <c r="P76" s="32" t="s">
        <v>89</v>
      </c>
      <c r="Q76" s="28"/>
      <c r="R76" s="35"/>
      <c r="S76" s="32"/>
      <c r="T76" s="28"/>
      <c r="U76" s="35"/>
      <c r="V76" s="32"/>
      <c r="W76" s="28"/>
      <c r="X76" s="35"/>
      <c r="Y76" s="32"/>
      <c r="Z76" s="28"/>
      <c r="AA76" s="36"/>
    </row>
    <row r="77" spans="1:27" ht="14">
      <c r="A77" s="35" t="s">
        <v>253</v>
      </c>
      <c r="B77" s="28"/>
      <c r="C77" s="29">
        <v>2</v>
      </c>
      <c r="D77" s="30" t="e">
        <f t="shared" si="0"/>
        <v>#VALUE!</v>
      </c>
      <c r="E77" s="37" t="s">
        <v>249</v>
      </c>
      <c r="F77" s="32"/>
      <c r="G77" s="28"/>
      <c r="H77" s="32" t="s">
        <v>240</v>
      </c>
      <c r="I77" s="33" t="s">
        <v>241</v>
      </c>
      <c r="J77" s="32"/>
      <c r="K77" s="28">
        <f>IFERROR(VLOOKUP(L77,Ingredients!A:B,2,FALSE),"")</f>
        <v>4</v>
      </c>
      <c r="L77" s="38" t="s">
        <v>254</v>
      </c>
      <c r="M77" s="32" t="s">
        <v>87</v>
      </c>
      <c r="N77" s="28" t="str">
        <f>IFERROR(VLOOKUP(O77,Ingredients!$A:$B,2,FALSE),"")</f>
        <v/>
      </c>
      <c r="O77" s="38" t="s">
        <v>255</v>
      </c>
      <c r="P77" s="32" t="s">
        <v>89</v>
      </c>
      <c r="Q77" s="28"/>
      <c r="R77" s="35"/>
      <c r="S77" s="32"/>
      <c r="T77" s="28"/>
      <c r="U77" s="35"/>
      <c r="V77" s="32"/>
      <c r="W77" s="28"/>
      <c r="X77" s="35"/>
      <c r="Y77" s="32"/>
      <c r="Z77" s="28"/>
      <c r="AA77" s="36"/>
    </row>
    <row r="78" spans="1:27" ht="14">
      <c r="A78" s="35" t="s">
        <v>255</v>
      </c>
      <c r="B78" s="28"/>
      <c r="C78" s="29">
        <v>1</v>
      </c>
      <c r="D78" s="30">
        <f t="shared" si="0"/>
        <v>0</v>
      </c>
      <c r="E78" s="37" t="s">
        <v>249</v>
      </c>
      <c r="F78" s="32"/>
      <c r="G78" s="28"/>
      <c r="H78" s="32" t="s">
        <v>240</v>
      </c>
      <c r="I78" s="33" t="s">
        <v>241</v>
      </c>
      <c r="J78" s="32"/>
      <c r="K78" s="28">
        <f>IFERROR(VLOOKUP(L78,Ingredients!A:B,2,FALSE),"")</f>
        <v>1</v>
      </c>
      <c r="L78" s="34" t="s">
        <v>242</v>
      </c>
      <c r="M78" s="32" t="s">
        <v>89</v>
      </c>
      <c r="N78" s="28"/>
      <c r="O78" s="38" t="s">
        <v>189</v>
      </c>
      <c r="P78" s="32" t="s">
        <v>129</v>
      </c>
      <c r="Q78" s="28"/>
      <c r="R78" s="35"/>
      <c r="S78" s="32"/>
      <c r="T78" s="28"/>
      <c r="U78" s="35"/>
      <c r="V78" s="32"/>
      <c r="W78" s="28"/>
      <c r="X78" s="35"/>
      <c r="Y78" s="32"/>
      <c r="Z78" s="28"/>
      <c r="AA78" s="36"/>
    </row>
    <row r="79" spans="1:27" ht="14">
      <c r="A79" s="35" t="s">
        <v>256</v>
      </c>
      <c r="B79" s="28"/>
      <c r="C79" s="29">
        <v>4</v>
      </c>
      <c r="D79" s="30">
        <f t="shared" si="0"/>
        <v>-15</v>
      </c>
      <c r="E79" s="37" t="s">
        <v>257</v>
      </c>
      <c r="F79" s="32"/>
      <c r="G79" s="28"/>
      <c r="H79" s="32" t="s">
        <v>240</v>
      </c>
      <c r="I79" s="33" t="s">
        <v>241</v>
      </c>
      <c r="J79" s="32"/>
      <c r="K79" s="28">
        <f>IFERROR(VLOOKUP(L79,Ingredients!A:B,2,FALSE),"")</f>
        <v>1</v>
      </c>
      <c r="L79" s="34" t="s">
        <v>242</v>
      </c>
      <c r="M79" s="32" t="s">
        <v>89</v>
      </c>
      <c r="N79" s="28">
        <f>IFERROR(VLOOKUP(O79,Ingredients!$A:$B,2,FALSE),"")</f>
        <v>18</v>
      </c>
      <c r="O79" s="38" t="s">
        <v>258</v>
      </c>
      <c r="P79" s="32" t="s">
        <v>87</v>
      </c>
      <c r="Q79" s="28"/>
      <c r="R79" s="35"/>
      <c r="S79" s="32"/>
      <c r="T79" s="28"/>
      <c r="U79" s="35"/>
      <c r="V79" s="32"/>
      <c r="W79" s="28"/>
      <c r="X79" s="35"/>
      <c r="Y79" s="32"/>
      <c r="Z79" s="28"/>
      <c r="AA79" s="36"/>
    </row>
    <row r="80" spans="1:27" ht="14">
      <c r="A80" s="35" t="s">
        <v>256</v>
      </c>
      <c r="B80" s="28"/>
      <c r="C80" s="29">
        <v>4</v>
      </c>
      <c r="D80" s="30">
        <f t="shared" si="0"/>
        <v>3</v>
      </c>
      <c r="E80" s="37" t="s">
        <v>257</v>
      </c>
      <c r="F80" s="32"/>
      <c r="G80" s="28"/>
      <c r="H80" s="32" t="s">
        <v>240</v>
      </c>
      <c r="I80" s="33" t="s">
        <v>241</v>
      </c>
      <c r="J80" s="32"/>
      <c r="K80" s="28">
        <f>IFERROR(VLOOKUP(L80,Ingredients!A:B,2,FALSE),"")</f>
        <v>1</v>
      </c>
      <c r="L80" s="34" t="s">
        <v>242</v>
      </c>
      <c r="M80" s="32" t="s">
        <v>89</v>
      </c>
      <c r="N80" s="28"/>
      <c r="O80" s="34" t="s">
        <v>252</v>
      </c>
      <c r="P80" s="32" t="s">
        <v>129</v>
      </c>
      <c r="Q80" s="28"/>
      <c r="R80" s="35"/>
      <c r="S80" s="32"/>
      <c r="T80" s="28"/>
      <c r="U80" s="35"/>
      <c r="V80" s="32"/>
      <c r="W80" s="28"/>
      <c r="X80" s="35"/>
      <c r="Y80" s="32"/>
      <c r="Z80" s="28"/>
      <c r="AA80" s="36"/>
    </row>
    <row r="81" spans="1:27" ht="14">
      <c r="A81" s="27" t="s">
        <v>259</v>
      </c>
      <c r="B81" s="28"/>
      <c r="C81" s="29">
        <v>20</v>
      </c>
      <c r="D81" s="30">
        <f t="shared" si="0"/>
        <v>3</v>
      </c>
      <c r="E81" s="37" t="s">
        <v>260</v>
      </c>
      <c r="F81" s="32"/>
      <c r="G81" s="28"/>
      <c r="H81" s="32" t="s">
        <v>240</v>
      </c>
      <c r="I81" s="33" t="s">
        <v>241</v>
      </c>
      <c r="J81" s="32"/>
      <c r="K81" s="28">
        <f>IFERROR(VLOOKUP(L81,Ingredients!A:B,2,FALSE),"")</f>
        <v>1</v>
      </c>
      <c r="L81" s="34" t="s">
        <v>242</v>
      </c>
      <c r="M81" s="32" t="s">
        <v>89</v>
      </c>
      <c r="N81" s="28">
        <f>IFERROR(VLOOKUP(O81,Ingredients!$A:$B,2,FALSE),"")</f>
        <v>16</v>
      </c>
      <c r="O81" s="38" t="s">
        <v>261</v>
      </c>
      <c r="P81" s="32" t="s">
        <v>87</v>
      </c>
      <c r="Q81" s="28"/>
      <c r="R81" s="35"/>
      <c r="S81" s="32"/>
      <c r="T81" s="28"/>
      <c r="U81" s="35"/>
      <c r="V81" s="32"/>
      <c r="W81" s="28"/>
      <c r="X81" s="35"/>
      <c r="Y81" s="32"/>
      <c r="Z81" s="28"/>
      <c r="AA81" s="36"/>
    </row>
    <row r="82" spans="1:27" ht="14">
      <c r="A82" s="27" t="s">
        <v>259</v>
      </c>
      <c r="B82" s="28"/>
      <c r="C82" s="29">
        <v>20</v>
      </c>
      <c r="D82" s="30">
        <f t="shared" si="0"/>
        <v>3</v>
      </c>
      <c r="E82" s="37" t="s">
        <v>260</v>
      </c>
      <c r="F82" s="32"/>
      <c r="G82" s="28"/>
      <c r="H82" s="32" t="s">
        <v>240</v>
      </c>
      <c r="I82" s="33" t="s">
        <v>241</v>
      </c>
      <c r="J82" s="32"/>
      <c r="K82" s="28">
        <f>IFERROR(VLOOKUP(L82,Ingredients!A:B,2,FALSE),"")</f>
        <v>1</v>
      </c>
      <c r="L82" s="38" t="s">
        <v>262</v>
      </c>
      <c r="M82" s="32" t="s">
        <v>89</v>
      </c>
      <c r="N82" s="28">
        <f>IFERROR(VLOOKUP(O82,Ingredients!$A:$B,2,FALSE),"")</f>
        <v>16</v>
      </c>
      <c r="O82" s="38" t="s">
        <v>261</v>
      </c>
      <c r="P82" s="32" t="s">
        <v>87</v>
      </c>
      <c r="Q82" s="28"/>
      <c r="R82" s="35"/>
      <c r="S82" s="32"/>
      <c r="T82" s="28"/>
      <c r="U82" s="35"/>
      <c r="V82" s="32"/>
      <c r="W82" s="28"/>
      <c r="X82" s="35"/>
      <c r="Y82" s="32"/>
      <c r="Z82" s="28"/>
      <c r="AA82" s="36"/>
    </row>
    <row r="83" spans="1:27" ht="14">
      <c r="A83" s="27" t="s">
        <v>263</v>
      </c>
      <c r="B83" s="28"/>
      <c r="C83" s="29">
        <v>5</v>
      </c>
      <c r="D83" s="30" t="e">
        <f t="shared" si="0"/>
        <v>#VALUE!</v>
      </c>
      <c r="E83" s="37" t="s">
        <v>264</v>
      </c>
      <c r="F83" s="32"/>
      <c r="G83" s="28"/>
      <c r="H83" s="32" t="s">
        <v>240</v>
      </c>
      <c r="I83" s="33" t="s">
        <v>241</v>
      </c>
      <c r="J83" s="32"/>
      <c r="K83" s="28">
        <f>IFERROR(VLOOKUP(L83,Ingredients!A:B,2,FALSE),"")</f>
        <v>12</v>
      </c>
      <c r="L83" s="38" t="s">
        <v>145</v>
      </c>
      <c r="M83" s="32" t="s">
        <v>87</v>
      </c>
      <c r="N83" s="28" t="str">
        <f>IFERROR(VLOOKUP(O83,Ingredients!$A:$B,2,FALSE),"")</f>
        <v/>
      </c>
      <c r="O83" s="34" t="s">
        <v>265</v>
      </c>
      <c r="P83" s="32" t="s">
        <v>89</v>
      </c>
      <c r="Q83" s="28"/>
      <c r="R83" s="35"/>
      <c r="S83" s="32"/>
      <c r="T83" s="28"/>
      <c r="U83" s="35"/>
      <c r="V83" s="32"/>
      <c r="W83" s="28"/>
      <c r="X83" s="35"/>
      <c r="Y83" s="32"/>
      <c r="Z83" s="28"/>
      <c r="AA83" s="36"/>
    </row>
    <row r="84" spans="1:27" ht="14">
      <c r="A84" s="27" t="s">
        <v>266</v>
      </c>
      <c r="B84" s="29"/>
      <c r="C84" s="29">
        <v>2</v>
      </c>
      <c r="D84" s="30">
        <f t="shared" si="0"/>
        <v>1</v>
      </c>
      <c r="E84" s="37" t="s">
        <v>267</v>
      </c>
      <c r="F84" s="32"/>
      <c r="G84" s="28"/>
      <c r="H84" s="32" t="s">
        <v>240</v>
      </c>
      <c r="I84" s="33" t="s">
        <v>241</v>
      </c>
      <c r="J84" s="32"/>
      <c r="K84" s="28">
        <f>IFERROR(VLOOKUP(L84,Ingredients!A:B,2,FALSE),"")</f>
        <v>1</v>
      </c>
      <c r="L84" s="34" t="s">
        <v>242</v>
      </c>
      <c r="M84" s="32" t="s">
        <v>89</v>
      </c>
      <c r="N84" s="28"/>
      <c r="O84" s="34" t="s">
        <v>246</v>
      </c>
      <c r="P84" s="32" t="s">
        <v>129</v>
      </c>
      <c r="Q84" s="28"/>
      <c r="R84" s="35"/>
      <c r="S84" s="32"/>
      <c r="T84" s="28"/>
      <c r="U84" s="35"/>
      <c r="V84" s="32"/>
      <c r="W84" s="28"/>
      <c r="X84" s="35"/>
      <c r="Y84" s="32"/>
      <c r="Z84" s="28"/>
      <c r="AA84" s="36"/>
    </row>
    <row r="85" spans="1:27" ht="14">
      <c r="A85" s="27" t="s">
        <v>266</v>
      </c>
      <c r="B85" s="29"/>
      <c r="C85" s="29">
        <v>2</v>
      </c>
      <c r="D85" s="30">
        <f t="shared" si="0"/>
        <v>1</v>
      </c>
      <c r="E85" s="37" t="s">
        <v>267</v>
      </c>
      <c r="F85" s="32"/>
      <c r="G85" s="28"/>
      <c r="H85" s="32" t="s">
        <v>240</v>
      </c>
      <c r="I85" s="33" t="s">
        <v>241</v>
      </c>
      <c r="J85" s="32"/>
      <c r="K85" s="28">
        <f>IFERROR(VLOOKUP(L85,Ingredients!A:B,2,FALSE),"")</f>
        <v>1</v>
      </c>
      <c r="L85" s="38" t="s">
        <v>262</v>
      </c>
      <c r="M85" s="32" t="s">
        <v>89</v>
      </c>
      <c r="N85" s="28"/>
      <c r="O85" s="34" t="s">
        <v>246</v>
      </c>
      <c r="P85" s="32" t="s">
        <v>129</v>
      </c>
      <c r="Q85" s="28"/>
      <c r="R85" s="35"/>
      <c r="S85" s="32"/>
      <c r="T85" s="28"/>
      <c r="U85" s="35"/>
      <c r="V85" s="32"/>
      <c r="W85" s="28"/>
      <c r="X85" s="35"/>
      <c r="Y85" s="32"/>
      <c r="Z85" s="28"/>
      <c r="AA85" s="36"/>
    </row>
    <row r="86" spans="1:27" ht="14">
      <c r="A86" s="35" t="s">
        <v>268</v>
      </c>
      <c r="B86" s="28"/>
      <c r="C86" s="29">
        <v>2</v>
      </c>
      <c r="D86" s="30">
        <f t="shared" si="0"/>
        <v>-3</v>
      </c>
      <c r="E86" s="37" t="s">
        <v>249</v>
      </c>
      <c r="F86" s="32"/>
      <c r="G86" s="28"/>
      <c r="H86" s="32" t="s">
        <v>240</v>
      </c>
      <c r="I86" s="33" t="s">
        <v>241</v>
      </c>
      <c r="J86" s="32"/>
      <c r="K86" s="28">
        <f>IFERROR(VLOOKUP(L86,Ingredients!A:B,2,FALSE),"")</f>
        <v>4</v>
      </c>
      <c r="L86" s="38" t="s">
        <v>254</v>
      </c>
      <c r="M86" s="32" t="s">
        <v>87</v>
      </c>
      <c r="N86" s="28">
        <f>IFERROR(VLOOKUP(O86,Ingredients!$A:$B,2,FALSE),"")</f>
        <v>1</v>
      </c>
      <c r="O86" s="38" t="s">
        <v>269</v>
      </c>
      <c r="P86" s="32" t="s">
        <v>89</v>
      </c>
      <c r="Q86" s="28"/>
      <c r="R86" s="35"/>
      <c r="S86" s="32"/>
      <c r="T86" s="28"/>
      <c r="U86" s="35"/>
      <c r="V86" s="32"/>
      <c r="W86" s="28"/>
      <c r="X86" s="35"/>
      <c r="Y86" s="32"/>
      <c r="Z86" s="28"/>
      <c r="AA86" s="36"/>
    </row>
    <row r="87" spans="1:27" ht="14">
      <c r="A87" s="35" t="s">
        <v>269</v>
      </c>
      <c r="B87" s="28"/>
      <c r="C87" s="29">
        <v>1</v>
      </c>
      <c r="D87" s="30">
        <f t="shared" si="0"/>
        <v>0</v>
      </c>
      <c r="E87" s="37" t="s">
        <v>249</v>
      </c>
      <c r="F87" s="32"/>
      <c r="G87" s="28"/>
      <c r="H87" s="32" t="s">
        <v>240</v>
      </c>
      <c r="I87" s="33" t="s">
        <v>241</v>
      </c>
      <c r="J87" s="32"/>
      <c r="K87" s="28">
        <f>IFERROR(VLOOKUP(L87,Ingredients!A:B,2,FALSE),"")</f>
        <v>1</v>
      </c>
      <c r="L87" s="38" t="s">
        <v>262</v>
      </c>
      <c r="M87" s="32" t="s">
        <v>89</v>
      </c>
      <c r="N87" s="28"/>
      <c r="O87" s="38" t="s">
        <v>189</v>
      </c>
      <c r="P87" s="32" t="s">
        <v>129</v>
      </c>
      <c r="Q87" s="28"/>
      <c r="R87" s="35"/>
      <c r="S87" s="32"/>
      <c r="T87" s="28"/>
      <c r="U87" s="35"/>
      <c r="V87" s="32"/>
      <c r="W87" s="28"/>
      <c r="X87" s="35"/>
      <c r="Y87" s="32"/>
      <c r="Z87" s="28"/>
      <c r="AA87" s="36"/>
    </row>
    <row r="88" spans="1:27" ht="14">
      <c r="A88" s="27" t="s">
        <v>270</v>
      </c>
      <c r="B88" s="29"/>
      <c r="C88" s="29">
        <v>4</v>
      </c>
      <c r="D88" s="30">
        <f t="shared" si="0"/>
        <v>-15</v>
      </c>
      <c r="E88" s="37" t="s">
        <v>257</v>
      </c>
      <c r="F88" s="32"/>
      <c r="G88" s="28"/>
      <c r="H88" s="32" t="s">
        <v>240</v>
      </c>
      <c r="I88" s="33" t="s">
        <v>241</v>
      </c>
      <c r="J88" s="32"/>
      <c r="K88" s="28">
        <f>IFERROR(VLOOKUP(L88,Ingredients!A:B,2,FALSE),"")</f>
        <v>1</v>
      </c>
      <c r="L88" s="38" t="s">
        <v>262</v>
      </c>
      <c r="M88" s="32" t="s">
        <v>89</v>
      </c>
      <c r="N88" s="28">
        <f>IFERROR(VLOOKUP(O88,Ingredients!$A:$B,2,FALSE),"")</f>
        <v>18</v>
      </c>
      <c r="O88" s="38" t="s">
        <v>258</v>
      </c>
      <c r="P88" s="32" t="s">
        <v>87</v>
      </c>
      <c r="Q88" s="28"/>
      <c r="R88" s="35"/>
      <c r="S88" s="32"/>
      <c r="T88" s="28"/>
      <c r="U88" s="35"/>
      <c r="V88" s="32"/>
      <c r="W88" s="28"/>
      <c r="X88" s="35"/>
      <c r="Y88" s="32"/>
      <c r="Z88" s="28"/>
      <c r="AA88" s="36"/>
    </row>
    <row r="89" spans="1:27" ht="14">
      <c r="A89" s="27" t="s">
        <v>270</v>
      </c>
      <c r="B89" s="29"/>
      <c r="C89" s="29">
        <v>4</v>
      </c>
      <c r="D89" s="30">
        <f t="shared" si="0"/>
        <v>3</v>
      </c>
      <c r="E89" s="37" t="s">
        <v>257</v>
      </c>
      <c r="F89" s="32"/>
      <c r="G89" s="28"/>
      <c r="H89" s="32" t="s">
        <v>240</v>
      </c>
      <c r="I89" s="33" t="s">
        <v>241</v>
      </c>
      <c r="J89" s="32"/>
      <c r="K89" s="28">
        <f>IFERROR(VLOOKUP(L89,Ingredients!A:B,2,FALSE),"")</f>
        <v>1</v>
      </c>
      <c r="L89" s="38" t="s">
        <v>262</v>
      </c>
      <c r="M89" s="32" t="s">
        <v>89</v>
      </c>
      <c r="N89" s="28"/>
      <c r="O89" s="34" t="s">
        <v>252</v>
      </c>
      <c r="P89" s="32" t="s">
        <v>129</v>
      </c>
      <c r="Q89" s="28"/>
      <c r="R89" s="35"/>
      <c r="S89" s="32"/>
      <c r="T89" s="28"/>
      <c r="U89" s="35"/>
      <c r="V89" s="32"/>
      <c r="W89" s="28"/>
      <c r="X89" s="35"/>
      <c r="Y89" s="32"/>
      <c r="Z89" s="28"/>
      <c r="AA89" s="36"/>
    </row>
    <row r="90" spans="1:27" ht="14">
      <c r="A90" s="35" t="s">
        <v>271</v>
      </c>
      <c r="B90" s="28"/>
      <c r="C90" s="29">
        <v>4</v>
      </c>
      <c r="D90" s="30">
        <f t="shared" si="0"/>
        <v>1</v>
      </c>
      <c r="E90" s="37" t="s">
        <v>272</v>
      </c>
      <c r="F90" s="32"/>
      <c r="G90" s="28"/>
      <c r="H90" s="32" t="s">
        <v>240</v>
      </c>
      <c r="I90" s="33" t="s">
        <v>241</v>
      </c>
      <c r="J90" s="32"/>
      <c r="K90" s="28">
        <f>IFERROR(VLOOKUP(L90,Ingredients!A:B,2,FALSE),"")</f>
        <v>1</v>
      </c>
      <c r="L90" s="38" t="s">
        <v>242</v>
      </c>
      <c r="M90" s="32" t="s">
        <v>87</v>
      </c>
      <c r="N90" s="28">
        <f>IFERROR(VLOOKUP(O90,Ingredients!$A:$B,2,FALSE),"")</f>
        <v>2</v>
      </c>
      <c r="O90" s="38" t="s">
        <v>273</v>
      </c>
      <c r="P90" s="32" t="s">
        <v>89</v>
      </c>
      <c r="Q90" s="28"/>
      <c r="R90" s="35"/>
      <c r="S90" s="32"/>
      <c r="T90" s="28"/>
      <c r="U90" s="35"/>
      <c r="V90" s="32"/>
      <c r="W90" s="28"/>
      <c r="X90" s="35"/>
      <c r="Y90" s="32"/>
      <c r="Z90" s="28"/>
      <c r="AA90" s="36"/>
    </row>
    <row r="91" spans="1:27" ht="14">
      <c r="A91" s="35" t="s">
        <v>274</v>
      </c>
      <c r="B91" s="28"/>
      <c r="C91" s="29">
        <v>8</v>
      </c>
      <c r="D91" s="30">
        <f t="shared" si="0"/>
        <v>6</v>
      </c>
      <c r="E91" s="37" t="s">
        <v>275</v>
      </c>
      <c r="F91" s="32"/>
      <c r="G91" s="28"/>
      <c r="H91" s="32" t="s">
        <v>240</v>
      </c>
      <c r="I91" s="33" t="s">
        <v>240</v>
      </c>
      <c r="J91" s="32" t="s">
        <v>276</v>
      </c>
      <c r="K91" s="28">
        <f>IFERROR(VLOOKUP(L91,Ingredients!A:B,2,FALSE),"")</f>
        <v>2</v>
      </c>
      <c r="L91" s="34" t="s">
        <v>277</v>
      </c>
      <c r="M91" s="32" t="s">
        <v>89</v>
      </c>
      <c r="N91" s="28"/>
      <c r="O91" s="38"/>
      <c r="P91" s="32"/>
      <c r="Q91" s="28"/>
      <c r="R91" s="35"/>
      <c r="S91" s="32"/>
      <c r="T91" s="28"/>
      <c r="U91" s="35"/>
      <c r="V91" s="32"/>
      <c r="W91" s="28"/>
      <c r="X91" s="35"/>
      <c r="Y91" s="32"/>
      <c r="Z91" s="28"/>
      <c r="AA91" s="36"/>
    </row>
    <row r="92" spans="1:27" ht="14">
      <c r="A92" s="35" t="s">
        <v>278</v>
      </c>
      <c r="B92" s="28"/>
      <c r="C92" s="29">
        <v>6</v>
      </c>
      <c r="D92" s="30">
        <f t="shared" si="0"/>
        <v>4</v>
      </c>
      <c r="E92" s="37" t="s">
        <v>279</v>
      </c>
      <c r="F92" s="32"/>
      <c r="G92" s="28"/>
      <c r="H92" s="32" t="s">
        <v>240</v>
      </c>
      <c r="I92" s="33" t="s">
        <v>240</v>
      </c>
      <c r="J92" s="33" t="s">
        <v>280</v>
      </c>
      <c r="K92" s="28">
        <f>IFERROR(VLOOKUP(L92,Ingredients!A:B,2,FALSE),"")</f>
        <v>2</v>
      </c>
      <c r="L92" s="38" t="s">
        <v>281</v>
      </c>
      <c r="M92" s="32" t="s">
        <v>89</v>
      </c>
      <c r="N92" s="28"/>
      <c r="O92" s="38"/>
      <c r="P92" s="32"/>
      <c r="Q92" s="28"/>
      <c r="R92" s="35"/>
      <c r="S92" s="32"/>
      <c r="T92" s="28"/>
      <c r="U92" s="35"/>
      <c r="V92" s="32"/>
      <c r="W92" s="28"/>
      <c r="X92" s="35"/>
      <c r="Y92" s="32"/>
      <c r="Z92" s="28"/>
      <c r="AA92" s="36"/>
    </row>
    <row r="93" spans="1:27" ht="14">
      <c r="A93" s="35" t="s">
        <v>282</v>
      </c>
      <c r="B93" s="28"/>
      <c r="C93" s="29">
        <v>2</v>
      </c>
      <c r="D93" s="30">
        <f t="shared" si="0"/>
        <v>1</v>
      </c>
      <c r="E93" s="37" t="s">
        <v>283</v>
      </c>
      <c r="F93" s="32"/>
      <c r="G93" s="28"/>
      <c r="H93" s="32" t="s">
        <v>240</v>
      </c>
      <c r="I93" s="33" t="s">
        <v>240</v>
      </c>
      <c r="J93" s="32" t="s">
        <v>276</v>
      </c>
      <c r="K93" s="28">
        <f>IFERROR(VLOOKUP(L93,Ingredients!A:B,2,FALSE),"")</f>
        <v>1</v>
      </c>
      <c r="L93" s="38" t="s">
        <v>284</v>
      </c>
      <c r="M93" s="32" t="s">
        <v>89</v>
      </c>
      <c r="N93" s="28"/>
      <c r="O93" s="38"/>
      <c r="P93" s="32"/>
      <c r="Q93" s="28"/>
      <c r="R93" s="35"/>
      <c r="S93" s="32"/>
      <c r="T93" s="28"/>
      <c r="U93" s="35"/>
      <c r="V93" s="32"/>
      <c r="W93" s="28"/>
      <c r="X93" s="35"/>
      <c r="Y93" s="32"/>
      <c r="Z93" s="28"/>
      <c r="AA93" s="36"/>
    </row>
    <row r="94" spans="1:27" ht="14">
      <c r="A94" s="35" t="s">
        <v>285</v>
      </c>
      <c r="B94" s="28"/>
      <c r="C94" s="29">
        <v>7</v>
      </c>
      <c r="D94" s="30">
        <f t="shared" si="0"/>
        <v>5</v>
      </c>
      <c r="E94" s="37" t="s">
        <v>279</v>
      </c>
      <c r="F94" s="32"/>
      <c r="G94" s="28"/>
      <c r="H94" s="32" t="s">
        <v>240</v>
      </c>
      <c r="I94" s="33" t="s">
        <v>240</v>
      </c>
      <c r="J94" s="32" t="s">
        <v>276</v>
      </c>
      <c r="K94" s="28">
        <f>IFERROR(VLOOKUP(L94,Ingredients!A:B,2,FALSE),"")</f>
        <v>2</v>
      </c>
      <c r="L94" s="34" t="s">
        <v>286</v>
      </c>
      <c r="M94" s="32" t="s">
        <v>89</v>
      </c>
      <c r="N94" s="28"/>
      <c r="O94" s="38"/>
      <c r="P94" s="32"/>
      <c r="Q94" s="28"/>
      <c r="R94" s="35"/>
      <c r="S94" s="32"/>
      <c r="T94" s="28"/>
      <c r="U94" s="35"/>
      <c r="V94" s="32"/>
      <c r="W94" s="28"/>
      <c r="X94" s="35"/>
      <c r="Y94" s="32"/>
      <c r="Z94" s="28"/>
      <c r="AA94" s="36"/>
    </row>
    <row r="95" spans="1:27" ht="14">
      <c r="A95" s="35" t="s">
        <v>287</v>
      </c>
      <c r="B95" s="28"/>
      <c r="C95" s="29">
        <v>8</v>
      </c>
      <c r="D95" s="30" t="e">
        <f t="shared" si="0"/>
        <v>#VALUE!</v>
      </c>
      <c r="E95" s="37" t="s">
        <v>288</v>
      </c>
      <c r="F95" s="32"/>
      <c r="G95" s="28"/>
      <c r="H95" s="32" t="s">
        <v>240</v>
      </c>
      <c r="I95" s="33" t="s">
        <v>240</v>
      </c>
      <c r="J95" s="32" t="s">
        <v>276</v>
      </c>
      <c r="K95" s="28" t="str">
        <f>IFERROR(VLOOKUP(L95,Ingredients!A:B,2,FALSE),"")</f>
        <v/>
      </c>
      <c r="L95" s="38" t="s">
        <v>289</v>
      </c>
      <c r="M95" s="32" t="s">
        <v>89</v>
      </c>
      <c r="N95" s="28"/>
      <c r="O95" s="38"/>
      <c r="P95" s="32"/>
      <c r="Q95" s="28"/>
      <c r="R95" s="35"/>
      <c r="S95" s="32"/>
      <c r="T95" s="28"/>
      <c r="U95" s="35"/>
      <c r="V95" s="32"/>
      <c r="W95" s="28"/>
      <c r="X95" s="35"/>
      <c r="Y95" s="32"/>
      <c r="Z95" s="28"/>
      <c r="AA95" s="36"/>
    </row>
    <row r="96" spans="1:27" ht="14">
      <c r="A96" s="35" t="s">
        <v>287</v>
      </c>
      <c r="B96" s="28"/>
      <c r="C96" s="29">
        <v>8</v>
      </c>
      <c r="D96" s="30" t="e">
        <f t="shared" si="0"/>
        <v>#VALUE!</v>
      </c>
      <c r="E96" s="37" t="s">
        <v>288</v>
      </c>
      <c r="F96" s="32"/>
      <c r="G96" s="28"/>
      <c r="H96" s="32" t="s">
        <v>240</v>
      </c>
      <c r="I96" s="33" t="s">
        <v>240</v>
      </c>
      <c r="J96" s="33" t="s">
        <v>280</v>
      </c>
      <c r="K96" s="28" t="str">
        <f>IFERROR(VLOOKUP(L96,Ingredients!A:B,2,FALSE),"")</f>
        <v/>
      </c>
      <c r="L96" s="38" t="s">
        <v>289</v>
      </c>
      <c r="M96" s="32" t="s">
        <v>89</v>
      </c>
      <c r="N96" s="28"/>
      <c r="O96" s="38"/>
      <c r="P96" s="32"/>
      <c r="Q96" s="28"/>
      <c r="R96" s="35"/>
      <c r="S96" s="32"/>
      <c r="T96" s="28"/>
      <c r="U96" s="35"/>
      <c r="V96" s="32"/>
      <c r="W96" s="28"/>
      <c r="X96" s="35"/>
      <c r="Y96" s="32"/>
      <c r="Z96" s="28"/>
      <c r="AA96" s="36"/>
    </row>
    <row r="97" spans="1:27" ht="14">
      <c r="A97" s="35" t="s">
        <v>287</v>
      </c>
      <c r="B97" s="28"/>
      <c r="C97" s="29">
        <v>8</v>
      </c>
      <c r="D97" s="30" t="e">
        <f t="shared" si="0"/>
        <v>#VALUE!</v>
      </c>
      <c r="E97" s="37" t="s">
        <v>288</v>
      </c>
      <c r="F97" s="32"/>
      <c r="G97" s="28"/>
      <c r="H97" s="32" t="s">
        <v>240</v>
      </c>
      <c r="I97" s="33" t="s">
        <v>240</v>
      </c>
      <c r="J97" s="32" t="s">
        <v>276</v>
      </c>
      <c r="K97" s="28" t="str">
        <f>IFERROR(VLOOKUP(L97,Ingredients!A:B,2,FALSE),"")</f>
        <v/>
      </c>
      <c r="L97" s="38" t="s">
        <v>290</v>
      </c>
      <c r="M97" s="32" t="s">
        <v>89</v>
      </c>
      <c r="N97" s="28"/>
      <c r="O97" s="38"/>
      <c r="P97" s="32"/>
      <c r="Q97" s="28"/>
      <c r="R97" s="35"/>
      <c r="S97" s="32"/>
      <c r="T97" s="28"/>
      <c r="U97" s="35"/>
      <c r="V97" s="32"/>
      <c r="W97" s="28"/>
      <c r="X97" s="35"/>
      <c r="Y97" s="32"/>
      <c r="Z97" s="28"/>
      <c r="AA97" s="36"/>
    </row>
    <row r="98" spans="1:27" ht="14">
      <c r="A98" s="35" t="s">
        <v>287</v>
      </c>
      <c r="B98" s="28"/>
      <c r="C98" s="29">
        <v>8</v>
      </c>
      <c r="D98" s="30" t="e">
        <f t="shared" si="0"/>
        <v>#VALUE!</v>
      </c>
      <c r="E98" s="37" t="s">
        <v>288</v>
      </c>
      <c r="F98" s="32"/>
      <c r="G98" s="28"/>
      <c r="H98" s="32" t="s">
        <v>240</v>
      </c>
      <c r="I98" s="33" t="s">
        <v>240</v>
      </c>
      <c r="J98" s="33" t="s">
        <v>280</v>
      </c>
      <c r="K98" s="28" t="str">
        <f>IFERROR(VLOOKUP(L98,Ingredients!A:B,2,FALSE),"")</f>
        <v/>
      </c>
      <c r="L98" s="38" t="s">
        <v>290</v>
      </c>
      <c r="M98" s="32" t="s">
        <v>89</v>
      </c>
      <c r="N98" s="28"/>
      <c r="O98" s="38"/>
      <c r="P98" s="32"/>
      <c r="Q98" s="28"/>
      <c r="R98" s="35"/>
      <c r="S98" s="32"/>
      <c r="T98" s="28"/>
      <c r="U98" s="35"/>
      <c r="V98" s="32"/>
      <c r="W98" s="28"/>
      <c r="X98" s="35"/>
      <c r="Y98" s="32"/>
      <c r="Z98" s="28"/>
      <c r="AA98" s="36"/>
    </row>
    <row r="99" spans="1:27" ht="14">
      <c r="A99" s="35" t="s">
        <v>287</v>
      </c>
      <c r="B99" s="28"/>
      <c r="C99" s="29">
        <v>8</v>
      </c>
      <c r="D99" s="30">
        <f t="shared" si="0"/>
        <v>7</v>
      </c>
      <c r="E99" s="37" t="s">
        <v>288</v>
      </c>
      <c r="F99" s="32"/>
      <c r="G99" s="28"/>
      <c r="H99" s="32" t="s">
        <v>240</v>
      </c>
      <c r="I99" s="33" t="s">
        <v>240</v>
      </c>
      <c r="J99" s="32" t="s">
        <v>276</v>
      </c>
      <c r="K99" s="28">
        <f>IFERROR(VLOOKUP(L99,Ingredients!A:B,2,FALSE),"")</f>
        <v>1</v>
      </c>
      <c r="L99" s="38" t="s">
        <v>291</v>
      </c>
      <c r="M99" s="32" t="s">
        <v>89</v>
      </c>
      <c r="N99" s="28"/>
      <c r="O99" s="38"/>
      <c r="P99" s="32"/>
      <c r="Q99" s="28"/>
      <c r="R99" s="35"/>
      <c r="S99" s="32"/>
      <c r="T99" s="28"/>
      <c r="U99" s="35"/>
      <c r="V99" s="32"/>
      <c r="W99" s="28"/>
      <c r="X99" s="35"/>
      <c r="Y99" s="32"/>
      <c r="Z99" s="28"/>
      <c r="AA99" s="36"/>
    </row>
    <row r="100" spans="1:27" ht="14">
      <c r="A100" s="35" t="s">
        <v>287</v>
      </c>
      <c r="B100" s="28"/>
      <c r="C100" s="29">
        <v>8</v>
      </c>
      <c r="D100" s="30">
        <f t="shared" si="0"/>
        <v>7</v>
      </c>
      <c r="E100" s="37" t="s">
        <v>288</v>
      </c>
      <c r="F100" s="32"/>
      <c r="G100" s="28"/>
      <c r="H100" s="32" t="s">
        <v>240</v>
      </c>
      <c r="I100" s="33" t="s">
        <v>240</v>
      </c>
      <c r="J100" s="33" t="s">
        <v>280</v>
      </c>
      <c r="K100" s="28">
        <f>IFERROR(VLOOKUP(L100,Ingredients!A:B,2,FALSE),"")</f>
        <v>1</v>
      </c>
      <c r="L100" s="38" t="s">
        <v>291</v>
      </c>
      <c r="M100" s="32" t="s">
        <v>89</v>
      </c>
      <c r="N100" s="28"/>
      <c r="O100" s="38"/>
      <c r="P100" s="32"/>
      <c r="Q100" s="28"/>
      <c r="R100" s="35"/>
      <c r="S100" s="32"/>
      <c r="T100" s="28"/>
      <c r="U100" s="35"/>
      <c r="V100" s="32"/>
      <c r="W100" s="28"/>
      <c r="X100" s="35"/>
      <c r="Y100" s="32"/>
      <c r="Z100" s="28"/>
      <c r="AA100" s="36"/>
    </row>
    <row r="101" spans="1:27" ht="14">
      <c r="A101" s="35" t="s">
        <v>292</v>
      </c>
      <c r="B101" s="28"/>
      <c r="C101" s="29">
        <v>10</v>
      </c>
      <c r="D101" s="30">
        <f t="shared" si="0"/>
        <v>2</v>
      </c>
      <c r="E101" s="37" t="s">
        <v>293</v>
      </c>
      <c r="F101" s="32"/>
      <c r="G101" s="28"/>
      <c r="H101" s="32" t="s">
        <v>240</v>
      </c>
      <c r="I101" s="33" t="s">
        <v>240</v>
      </c>
      <c r="J101" s="32"/>
      <c r="K101" s="28">
        <f>IFERROR(VLOOKUP(L101,Ingredients!A:B,2,FALSE),"")</f>
        <v>8</v>
      </c>
      <c r="L101" s="38" t="s">
        <v>287</v>
      </c>
      <c r="M101" s="32" t="s">
        <v>89</v>
      </c>
      <c r="N101" s="28"/>
      <c r="O101" s="38" t="s">
        <v>294</v>
      </c>
      <c r="P101" s="32" t="s">
        <v>129</v>
      </c>
      <c r="Q101" s="28"/>
      <c r="R101" s="35"/>
      <c r="S101" s="32"/>
      <c r="T101" s="28"/>
      <c r="U101" s="35"/>
      <c r="V101" s="32"/>
      <c r="W101" s="28"/>
      <c r="X101" s="35"/>
      <c r="Y101" s="32"/>
      <c r="Z101" s="28"/>
      <c r="AA101" s="36"/>
    </row>
    <row r="102" spans="1:27" ht="14">
      <c r="A102" s="35" t="s">
        <v>295</v>
      </c>
      <c r="B102" s="28"/>
      <c r="C102" s="29">
        <v>10</v>
      </c>
      <c r="D102" s="30">
        <f t="shared" si="0"/>
        <v>0</v>
      </c>
      <c r="E102" s="37" t="s">
        <v>296</v>
      </c>
      <c r="F102" s="32"/>
      <c r="G102" s="28"/>
      <c r="H102" s="32" t="s">
        <v>240</v>
      </c>
      <c r="I102" s="33" t="s">
        <v>240</v>
      </c>
      <c r="J102" s="32"/>
      <c r="K102" s="28">
        <f>IFERROR(VLOOKUP(L102,Ingredients!A:B,2,FALSE),"")</f>
        <v>8</v>
      </c>
      <c r="L102" s="38" t="s">
        <v>287</v>
      </c>
      <c r="M102" s="32" t="s">
        <v>89</v>
      </c>
      <c r="N102" s="28">
        <f>IFERROR(VLOOKUP(O102,Ingredients!$A:$B,2,FALSE),"")</f>
        <v>2</v>
      </c>
      <c r="O102" s="38" t="s">
        <v>297</v>
      </c>
      <c r="P102" s="32" t="s">
        <v>87</v>
      </c>
      <c r="Q102" s="28"/>
      <c r="R102" s="35"/>
      <c r="S102" s="32"/>
      <c r="T102" s="28"/>
      <c r="U102" s="35"/>
      <c r="V102" s="32"/>
      <c r="W102" s="28"/>
      <c r="X102" s="35"/>
      <c r="Y102" s="32"/>
      <c r="Z102" s="28"/>
      <c r="AA102" s="36"/>
    </row>
    <row r="103" spans="1:27" ht="14">
      <c r="A103" s="27" t="s">
        <v>298</v>
      </c>
      <c r="B103" s="28"/>
      <c r="C103" s="29">
        <v>7</v>
      </c>
      <c r="D103" s="30">
        <f t="shared" si="0"/>
        <v>4</v>
      </c>
      <c r="E103" s="37" t="s">
        <v>299</v>
      </c>
      <c r="F103" s="32"/>
      <c r="G103" s="28"/>
      <c r="H103" s="32" t="s">
        <v>240</v>
      </c>
      <c r="I103" s="33" t="s">
        <v>240</v>
      </c>
      <c r="J103" s="32" t="s">
        <v>276</v>
      </c>
      <c r="K103" s="28">
        <f>IFERROR(VLOOKUP(L103,Ingredients!A:B,2,FALSE),"")</f>
        <v>3</v>
      </c>
      <c r="L103" s="34" t="s">
        <v>300</v>
      </c>
      <c r="M103" s="32" t="s">
        <v>89</v>
      </c>
      <c r="N103" s="28"/>
      <c r="O103" s="38"/>
      <c r="P103" s="32"/>
      <c r="Q103" s="28"/>
      <c r="R103" s="35"/>
      <c r="S103" s="32"/>
      <c r="T103" s="28"/>
      <c r="U103" s="35"/>
      <c r="V103" s="32"/>
      <c r="W103" s="28"/>
      <c r="X103" s="35"/>
      <c r="Y103" s="32"/>
      <c r="Z103" s="28"/>
      <c r="AA103" s="36"/>
    </row>
    <row r="104" spans="1:27" ht="14">
      <c r="A104" s="35" t="s">
        <v>301</v>
      </c>
      <c r="B104" s="28"/>
      <c r="C104" s="29">
        <v>7</v>
      </c>
      <c r="D104" s="30">
        <f t="shared" si="0"/>
        <v>1</v>
      </c>
      <c r="E104" s="37" t="s">
        <v>302</v>
      </c>
      <c r="F104" s="32"/>
      <c r="G104" s="28"/>
      <c r="H104" s="32" t="s">
        <v>240</v>
      </c>
      <c r="I104" s="33" t="s">
        <v>240</v>
      </c>
      <c r="J104" s="32"/>
      <c r="K104" s="28">
        <f>IFERROR(VLOOKUP(L104,Ingredients!A:B,2,FALSE),"")</f>
        <v>6</v>
      </c>
      <c r="L104" s="38" t="s">
        <v>278</v>
      </c>
      <c r="M104" s="32" t="s">
        <v>87</v>
      </c>
      <c r="N104" s="28"/>
      <c r="O104" s="38" t="s">
        <v>265</v>
      </c>
      <c r="P104" s="32" t="s">
        <v>129</v>
      </c>
      <c r="Q104" s="28"/>
      <c r="R104" s="35"/>
      <c r="S104" s="32"/>
      <c r="T104" s="28"/>
      <c r="U104" s="35"/>
      <c r="V104" s="32"/>
      <c r="W104" s="28"/>
      <c r="X104" s="35"/>
      <c r="Y104" s="32"/>
      <c r="Z104" s="28"/>
      <c r="AA104" s="36"/>
    </row>
    <row r="105" spans="1:27" ht="14">
      <c r="A105" s="35" t="s">
        <v>301</v>
      </c>
      <c r="B105" s="28"/>
      <c r="C105" s="29">
        <v>7</v>
      </c>
      <c r="D105" s="30">
        <f t="shared" si="0"/>
        <v>3</v>
      </c>
      <c r="E105" s="37" t="s">
        <v>302</v>
      </c>
      <c r="F105" s="32"/>
      <c r="G105" s="28"/>
      <c r="H105" s="32" t="s">
        <v>240</v>
      </c>
      <c r="I105" s="33" t="s">
        <v>240</v>
      </c>
      <c r="J105" s="33" t="s">
        <v>280</v>
      </c>
      <c r="K105" s="28">
        <f>IFERROR(VLOOKUP(L105,Ingredients!A:B,2,FALSE),"")</f>
        <v>4</v>
      </c>
      <c r="L105" s="38" t="s">
        <v>303</v>
      </c>
      <c r="M105" s="32" t="s">
        <v>89</v>
      </c>
      <c r="N105" s="28"/>
      <c r="O105" s="38"/>
      <c r="P105" s="32"/>
      <c r="Q105" s="28"/>
      <c r="R105" s="35"/>
      <c r="S105" s="32"/>
      <c r="T105" s="28"/>
      <c r="U105" s="35"/>
      <c r="V105" s="32"/>
      <c r="W105" s="28"/>
      <c r="X105" s="35"/>
      <c r="Y105" s="32"/>
      <c r="Z105" s="28"/>
      <c r="AA105" s="36"/>
    </row>
    <row r="106" spans="1:27" ht="14">
      <c r="A106" s="35" t="s">
        <v>301</v>
      </c>
      <c r="B106" s="28"/>
      <c r="C106" s="29">
        <v>7</v>
      </c>
      <c r="D106" s="30">
        <f t="shared" si="0"/>
        <v>3</v>
      </c>
      <c r="E106" s="37" t="s">
        <v>302</v>
      </c>
      <c r="F106" s="32"/>
      <c r="G106" s="28"/>
      <c r="H106" s="32" t="s">
        <v>240</v>
      </c>
      <c r="I106" s="33" t="s">
        <v>240</v>
      </c>
      <c r="J106" s="32" t="s">
        <v>276</v>
      </c>
      <c r="K106" s="28">
        <f>IFERROR(VLOOKUP(L106,Ingredients!A:B,2,FALSE),"")</f>
        <v>4</v>
      </c>
      <c r="L106" s="38" t="s">
        <v>303</v>
      </c>
      <c r="M106" s="32" t="s">
        <v>89</v>
      </c>
      <c r="N106" s="28"/>
      <c r="O106" s="38"/>
      <c r="P106" s="32"/>
      <c r="Q106" s="28"/>
      <c r="R106" s="35"/>
      <c r="S106" s="32"/>
      <c r="T106" s="28"/>
      <c r="U106" s="35"/>
      <c r="V106" s="32"/>
      <c r="W106" s="28"/>
      <c r="X106" s="35"/>
      <c r="Y106" s="32"/>
      <c r="Z106" s="28"/>
      <c r="AA106" s="36"/>
    </row>
    <row r="107" spans="1:27" ht="14">
      <c r="A107" s="35" t="s">
        <v>304</v>
      </c>
      <c r="B107" s="40"/>
      <c r="C107" s="29">
        <v>7</v>
      </c>
      <c r="D107" s="30">
        <f t="shared" si="0"/>
        <v>5</v>
      </c>
      <c r="E107" s="37" t="s">
        <v>305</v>
      </c>
      <c r="F107" s="32"/>
      <c r="G107" s="28"/>
      <c r="H107" s="32" t="s">
        <v>240</v>
      </c>
      <c r="I107" s="33" t="s">
        <v>240</v>
      </c>
      <c r="J107" s="32" t="s">
        <v>276</v>
      </c>
      <c r="K107" s="28">
        <f>IFERROR(VLOOKUP(L107,Ingredients!A:B,2,FALSE),"")</f>
        <v>2</v>
      </c>
      <c r="L107" s="38" t="s">
        <v>306</v>
      </c>
      <c r="M107" s="32" t="s">
        <v>89</v>
      </c>
      <c r="N107" s="28"/>
      <c r="O107" s="38"/>
      <c r="P107" s="32"/>
      <c r="Q107" s="28"/>
      <c r="R107" s="35"/>
      <c r="S107" s="32"/>
      <c r="T107" s="28"/>
      <c r="U107" s="35"/>
      <c r="V107" s="32"/>
      <c r="W107" s="28"/>
      <c r="X107" s="35"/>
      <c r="Y107" s="32"/>
      <c r="Z107" s="28"/>
      <c r="AA107" s="36"/>
    </row>
    <row r="108" spans="1:27" ht="14">
      <c r="A108" s="35" t="s">
        <v>307</v>
      </c>
      <c r="B108" s="28"/>
      <c r="C108" s="29">
        <v>7</v>
      </c>
      <c r="D108" s="30" t="e">
        <f t="shared" si="0"/>
        <v>#VALUE!</v>
      </c>
      <c r="E108" s="37" t="s">
        <v>293</v>
      </c>
      <c r="F108" s="32"/>
      <c r="G108" s="28"/>
      <c r="H108" s="32" t="s">
        <v>240</v>
      </c>
      <c r="I108" s="33" t="s">
        <v>240</v>
      </c>
      <c r="J108" s="32"/>
      <c r="K108" s="28">
        <f>IFERROR(VLOOKUP(L108,Ingredients!A:B,2,FALSE),"")</f>
        <v>3</v>
      </c>
      <c r="L108" s="38" t="s">
        <v>308</v>
      </c>
      <c r="M108" s="32" t="s">
        <v>87</v>
      </c>
      <c r="N108" s="28" t="str">
        <f>IFERROR(VLOOKUP(O108,Ingredients!$A:$B,2,FALSE),"")</f>
        <v/>
      </c>
      <c r="O108" s="34" t="s">
        <v>265</v>
      </c>
      <c r="P108" s="32" t="s">
        <v>89</v>
      </c>
      <c r="Q108" s="28"/>
      <c r="R108" s="35"/>
      <c r="S108" s="32"/>
      <c r="T108" s="28"/>
      <c r="U108" s="35"/>
      <c r="V108" s="32"/>
      <c r="W108" s="28"/>
      <c r="X108" s="35"/>
      <c r="Y108" s="32"/>
      <c r="Z108" s="28"/>
      <c r="AA108" s="36"/>
    </row>
    <row r="109" spans="1:27" ht="14">
      <c r="A109" s="35" t="s">
        <v>309</v>
      </c>
      <c r="B109" s="28"/>
      <c r="C109" s="29">
        <v>8</v>
      </c>
      <c r="D109" s="30">
        <f t="shared" si="0"/>
        <v>6</v>
      </c>
      <c r="E109" s="37" t="s">
        <v>288</v>
      </c>
      <c r="F109" s="32"/>
      <c r="G109" s="28"/>
      <c r="H109" s="32" t="s">
        <v>240</v>
      </c>
      <c r="I109" s="33" t="s">
        <v>240</v>
      </c>
      <c r="J109" s="32"/>
      <c r="K109" s="28">
        <f>IFERROR(VLOOKUP(L109,Ingredients!A:B,2,FALSE),"")</f>
        <v>2</v>
      </c>
      <c r="L109" s="38" t="s">
        <v>281</v>
      </c>
      <c r="M109" s="32" t="s">
        <v>87</v>
      </c>
      <c r="N109" s="28"/>
      <c r="O109" s="38" t="s">
        <v>265</v>
      </c>
      <c r="P109" s="32" t="s">
        <v>129</v>
      </c>
      <c r="Q109" s="28"/>
      <c r="R109" s="35"/>
      <c r="S109" s="32"/>
      <c r="T109" s="28"/>
      <c r="U109" s="35"/>
      <c r="V109" s="32"/>
      <c r="W109" s="28"/>
      <c r="X109" s="35"/>
      <c r="Y109" s="32"/>
      <c r="Z109" s="28"/>
      <c r="AA109" s="36"/>
    </row>
    <row r="110" spans="1:27" ht="14">
      <c r="A110" s="35" t="s">
        <v>310</v>
      </c>
      <c r="B110" s="28"/>
      <c r="C110" s="29">
        <v>8</v>
      </c>
      <c r="D110" s="30">
        <f t="shared" si="0"/>
        <v>7</v>
      </c>
      <c r="E110" s="37" t="s">
        <v>311</v>
      </c>
      <c r="F110" s="32"/>
      <c r="G110" s="28"/>
      <c r="H110" s="32" t="s">
        <v>240</v>
      </c>
      <c r="I110" s="33" t="s">
        <v>240</v>
      </c>
      <c r="J110" s="33" t="s">
        <v>280</v>
      </c>
      <c r="K110" s="28">
        <f>IFERROR(VLOOKUP(L110,Ingredients!A:B,2,FALSE),"")</f>
        <v>1</v>
      </c>
      <c r="L110" s="38" t="s">
        <v>312</v>
      </c>
      <c r="M110" s="32" t="s">
        <v>89</v>
      </c>
      <c r="N110" s="28"/>
      <c r="O110" s="38"/>
      <c r="P110" s="32"/>
      <c r="Q110" s="28"/>
      <c r="R110" s="35"/>
      <c r="S110" s="32"/>
      <c r="T110" s="28"/>
      <c r="U110" s="35"/>
      <c r="V110" s="32"/>
      <c r="W110" s="28"/>
      <c r="X110" s="35"/>
      <c r="Y110" s="32"/>
      <c r="Z110" s="28"/>
      <c r="AA110" s="36"/>
    </row>
    <row r="111" spans="1:27" ht="14">
      <c r="A111" s="35" t="s">
        <v>310</v>
      </c>
      <c r="B111" s="28"/>
      <c r="C111" s="29">
        <v>8</v>
      </c>
      <c r="D111" s="30">
        <f t="shared" si="0"/>
        <v>7</v>
      </c>
      <c r="E111" s="37" t="s">
        <v>311</v>
      </c>
      <c r="F111" s="32"/>
      <c r="G111" s="28"/>
      <c r="H111" s="32" t="s">
        <v>240</v>
      </c>
      <c r="I111" s="33" t="s">
        <v>240</v>
      </c>
      <c r="J111" s="33" t="s">
        <v>280</v>
      </c>
      <c r="K111" s="28">
        <f>IFERROR(VLOOKUP(L111,Ingredients!A:B,2,FALSE),"")</f>
        <v>1</v>
      </c>
      <c r="L111" s="38" t="s">
        <v>313</v>
      </c>
      <c r="M111" s="32" t="s">
        <v>89</v>
      </c>
      <c r="N111" s="28"/>
      <c r="O111" s="38"/>
      <c r="P111" s="32"/>
      <c r="Q111" s="28"/>
      <c r="R111" s="35"/>
      <c r="S111" s="32"/>
      <c r="T111" s="28"/>
      <c r="U111" s="35"/>
      <c r="V111" s="32"/>
      <c r="W111" s="28"/>
      <c r="X111" s="35"/>
      <c r="Y111" s="32"/>
      <c r="Z111" s="28"/>
      <c r="AA111" s="36"/>
    </row>
    <row r="112" spans="1:27" ht="14">
      <c r="A112" s="35" t="s">
        <v>310</v>
      </c>
      <c r="B112" s="28"/>
      <c r="C112" s="29">
        <v>8</v>
      </c>
      <c r="D112" s="30">
        <f t="shared" si="0"/>
        <v>7</v>
      </c>
      <c r="E112" s="37" t="s">
        <v>311</v>
      </c>
      <c r="F112" s="32"/>
      <c r="G112" s="28"/>
      <c r="H112" s="32" t="s">
        <v>240</v>
      </c>
      <c r="I112" s="33" t="s">
        <v>240</v>
      </c>
      <c r="J112" s="33" t="s">
        <v>280</v>
      </c>
      <c r="K112" s="28">
        <f>IFERROR(VLOOKUP(L112,Ingredients!A:B,2,FALSE),"")</f>
        <v>1</v>
      </c>
      <c r="L112" s="34" t="s">
        <v>314</v>
      </c>
      <c r="M112" s="32" t="s">
        <v>89</v>
      </c>
      <c r="N112" s="28"/>
      <c r="O112" s="38"/>
      <c r="P112" s="32"/>
      <c r="Q112" s="28"/>
      <c r="R112" s="35"/>
      <c r="S112" s="32"/>
      <c r="T112" s="28"/>
      <c r="U112" s="35"/>
      <c r="V112" s="32"/>
      <c r="W112" s="28"/>
      <c r="X112" s="35"/>
      <c r="Y112" s="32"/>
      <c r="Z112" s="28"/>
      <c r="AA112" s="36"/>
    </row>
    <row r="113" spans="1:27" ht="14">
      <c r="A113" s="35" t="s">
        <v>315</v>
      </c>
      <c r="B113" s="28"/>
      <c r="C113" s="29">
        <v>7</v>
      </c>
      <c r="D113" s="30">
        <f t="shared" si="0"/>
        <v>3</v>
      </c>
      <c r="E113" s="37" t="s">
        <v>316</v>
      </c>
      <c r="F113" s="32"/>
      <c r="G113" s="28"/>
      <c r="H113" s="32" t="s">
        <v>240</v>
      </c>
      <c r="I113" s="33" t="s">
        <v>240</v>
      </c>
      <c r="J113" s="33" t="s">
        <v>280</v>
      </c>
      <c r="K113" s="28">
        <f>IFERROR(VLOOKUP(L113,Ingredients!A:B,2,FALSE),"")</f>
        <v>4</v>
      </c>
      <c r="L113" s="38" t="s">
        <v>317</v>
      </c>
      <c r="M113" s="32" t="s">
        <v>89</v>
      </c>
      <c r="N113" s="28"/>
      <c r="O113" s="38"/>
      <c r="P113" s="32"/>
      <c r="Q113" s="28"/>
      <c r="R113" s="35"/>
      <c r="S113" s="32"/>
      <c r="T113" s="28"/>
      <c r="U113" s="35"/>
      <c r="V113" s="32"/>
      <c r="W113" s="28"/>
      <c r="X113" s="35"/>
      <c r="Y113" s="32"/>
      <c r="Z113" s="28"/>
      <c r="AA113" s="36"/>
    </row>
    <row r="114" spans="1:27" ht="14">
      <c r="A114" s="27" t="s">
        <v>277</v>
      </c>
      <c r="B114" s="28"/>
      <c r="C114" s="29">
        <v>2</v>
      </c>
      <c r="D114" s="30">
        <f t="shared" si="0"/>
        <v>-1</v>
      </c>
      <c r="E114" s="37" t="s">
        <v>318</v>
      </c>
      <c r="F114" s="32"/>
      <c r="G114" s="28"/>
      <c r="H114" s="32" t="s">
        <v>240</v>
      </c>
      <c r="I114" s="33" t="s">
        <v>127</v>
      </c>
      <c r="J114" s="32"/>
      <c r="K114" s="28">
        <f>IFERROR(VLOOKUP(L114,Ingredients!A:B,2,FALSE),"")</f>
        <v>2</v>
      </c>
      <c r="L114" s="38" t="s">
        <v>243</v>
      </c>
      <c r="M114" s="32" t="s">
        <v>87</v>
      </c>
      <c r="N114" s="28">
        <f>IFERROR(VLOOKUP(O114,Ingredients!$A:$B,2,FALSE),"")</f>
        <v>1</v>
      </c>
      <c r="O114" s="38" t="s">
        <v>284</v>
      </c>
      <c r="P114" s="32" t="s">
        <v>89</v>
      </c>
      <c r="Q114" s="28"/>
      <c r="R114" s="35"/>
      <c r="S114" s="32"/>
      <c r="T114" s="28"/>
      <c r="U114" s="35"/>
      <c r="V114" s="32"/>
      <c r="W114" s="28"/>
      <c r="X114" s="35"/>
      <c r="Y114" s="32"/>
      <c r="Z114" s="28"/>
      <c r="AA114" s="36"/>
    </row>
    <row r="115" spans="1:27" ht="14">
      <c r="A115" s="27" t="s">
        <v>286</v>
      </c>
      <c r="B115" s="28"/>
      <c r="C115" s="29">
        <v>2</v>
      </c>
      <c r="D115" s="30">
        <f t="shared" si="0"/>
        <v>-1</v>
      </c>
      <c r="E115" s="37" t="s">
        <v>318</v>
      </c>
      <c r="F115" s="32"/>
      <c r="G115" s="28"/>
      <c r="H115" s="32" t="s">
        <v>240</v>
      </c>
      <c r="I115" s="33" t="s">
        <v>127</v>
      </c>
      <c r="J115" s="32"/>
      <c r="K115" s="28">
        <f>IFERROR(VLOOKUP(L115,Ingredients!A:B,2,FALSE),"")</f>
        <v>2</v>
      </c>
      <c r="L115" s="38" t="s">
        <v>319</v>
      </c>
      <c r="M115" s="32" t="s">
        <v>87</v>
      </c>
      <c r="N115" s="28">
        <f>IFERROR(VLOOKUP(O115,Ingredients!$A:$B,2,FALSE),"")</f>
        <v>1</v>
      </c>
      <c r="O115" s="38" t="s">
        <v>284</v>
      </c>
      <c r="P115" s="32" t="s">
        <v>89</v>
      </c>
      <c r="Q115" s="28"/>
      <c r="R115" s="35"/>
      <c r="S115" s="32"/>
      <c r="T115" s="28"/>
      <c r="U115" s="35"/>
      <c r="V115" s="32"/>
      <c r="W115" s="28"/>
      <c r="X115" s="35"/>
      <c r="Y115" s="32"/>
      <c r="Z115" s="28"/>
      <c r="AA115" s="36"/>
    </row>
    <row r="116" spans="1:27" ht="14">
      <c r="A116" s="35" t="s">
        <v>317</v>
      </c>
      <c r="B116" s="28"/>
      <c r="C116" s="29">
        <v>4</v>
      </c>
      <c r="D116" s="30">
        <f t="shared" si="0"/>
        <v>2</v>
      </c>
      <c r="E116" s="37" t="s">
        <v>249</v>
      </c>
      <c r="F116" s="32"/>
      <c r="G116" s="28"/>
      <c r="H116" s="32" t="s">
        <v>240</v>
      </c>
      <c r="I116" s="33" t="s">
        <v>127</v>
      </c>
      <c r="J116" s="32"/>
      <c r="K116" s="28"/>
      <c r="L116" s="38" t="s">
        <v>320</v>
      </c>
      <c r="M116" s="32" t="s">
        <v>129</v>
      </c>
      <c r="N116" s="28">
        <f>IFERROR(VLOOKUP(O116,Ingredients!$A:$B,2,FALSE),"")</f>
        <v>2</v>
      </c>
      <c r="O116" s="38" t="s">
        <v>281</v>
      </c>
      <c r="P116" s="32" t="s">
        <v>89</v>
      </c>
      <c r="Q116" s="28"/>
      <c r="R116" s="35"/>
      <c r="S116" s="32"/>
      <c r="T116" s="28"/>
      <c r="U116" s="35"/>
      <c r="V116" s="32"/>
      <c r="W116" s="28"/>
      <c r="X116" s="35"/>
      <c r="Y116" s="32"/>
      <c r="Z116" s="28"/>
      <c r="AA116" s="36"/>
    </row>
    <row r="117" spans="1:27" ht="14">
      <c r="A117" s="35" t="s">
        <v>317</v>
      </c>
      <c r="B117" s="28"/>
      <c r="C117" s="29">
        <v>4</v>
      </c>
      <c r="D117" s="30">
        <f t="shared" si="0"/>
        <v>2</v>
      </c>
      <c r="E117" s="37" t="s">
        <v>249</v>
      </c>
      <c r="F117" s="32"/>
      <c r="G117" s="28"/>
      <c r="H117" s="32" t="s">
        <v>240</v>
      </c>
      <c r="I117" s="33" t="s">
        <v>127</v>
      </c>
      <c r="J117" s="32"/>
      <c r="K117" s="28"/>
      <c r="L117" s="38" t="s">
        <v>321</v>
      </c>
      <c r="M117" s="32" t="s">
        <v>129</v>
      </c>
      <c r="N117" s="28">
        <f>IFERROR(VLOOKUP(O117,Ingredients!$A:$B,2,FALSE),"")</f>
        <v>2</v>
      </c>
      <c r="O117" s="38" t="s">
        <v>281</v>
      </c>
      <c r="P117" s="32" t="s">
        <v>89</v>
      </c>
      <c r="Q117" s="28"/>
      <c r="R117" s="35"/>
      <c r="S117" s="32"/>
      <c r="T117" s="28"/>
      <c r="U117" s="35"/>
      <c r="V117" s="32"/>
      <c r="W117" s="28"/>
      <c r="X117" s="35"/>
      <c r="Y117" s="32"/>
      <c r="Z117" s="28"/>
      <c r="AA117" s="36"/>
    </row>
    <row r="118" spans="1:27" ht="14">
      <c r="A118" s="35" t="s">
        <v>303</v>
      </c>
      <c r="B118" s="28"/>
      <c r="C118" s="29">
        <v>4</v>
      </c>
      <c r="D118" s="30">
        <f t="shared" si="0"/>
        <v>2</v>
      </c>
      <c r="E118" s="37" t="s">
        <v>249</v>
      </c>
      <c r="F118" s="32"/>
      <c r="G118" s="28"/>
      <c r="H118" s="32" t="s">
        <v>240</v>
      </c>
      <c r="I118" s="33" t="s">
        <v>127</v>
      </c>
      <c r="J118" s="32"/>
      <c r="K118" s="28">
        <f>IFERROR(VLOOKUP(L118,Ingredients!A:B,2,FALSE),"")</f>
        <v>2</v>
      </c>
      <c r="L118" s="38" t="s">
        <v>281</v>
      </c>
      <c r="M118" s="32" t="s">
        <v>89</v>
      </c>
      <c r="N118" s="28"/>
      <c r="O118" s="38" t="s">
        <v>322</v>
      </c>
      <c r="P118" s="32" t="s">
        <v>129</v>
      </c>
      <c r="Q118" s="28"/>
      <c r="R118" s="35"/>
      <c r="S118" s="32"/>
      <c r="T118" s="28"/>
      <c r="U118" s="35"/>
      <c r="V118" s="32"/>
      <c r="W118" s="28"/>
      <c r="X118" s="35"/>
      <c r="Y118" s="32"/>
      <c r="Z118" s="28"/>
      <c r="AA118" s="36"/>
    </row>
    <row r="119" spans="1:27" ht="14">
      <c r="A119" s="35" t="s">
        <v>284</v>
      </c>
      <c r="B119" s="28"/>
      <c r="C119" s="29">
        <v>1</v>
      </c>
      <c r="D119" s="30" t="e">
        <f t="shared" si="0"/>
        <v>#VALUE!</v>
      </c>
      <c r="E119" s="37" t="s">
        <v>249</v>
      </c>
      <c r="F119" s="32"/>
      <c r="G119" s="28"/>
      <c r="H119" s="32" t="s">
        <v>240</v>
      </c>
      <c r="I119" s="33" t="s">
        <v>127</v>
      </c>
      <c r="J119" s="32"/>
      <c r="K119" s="28">
        <f>IFERROR(VLOOKUP(L119,Ingredients!A:B,2,FALSE),"")</f>
        <v>1</v>
      </c>
      <c r="L119" s="38" t="s">
        <v>323</v>
      </c>
      <c r="M119" s="32" t="s">
        <v>89</v>
      </c>
      <c r="N119" s="28"/>
      <c r="O119" s="38" t="s">
        <v>265</v>
      </c>
      <c r="P119" s="32" t="s">
        <v>129</v>
      </c>
      <c r="Q119" s="28" t="str">
        <f>IFERROR(VLOOKUP(R119,Ingredients!$A:$B,2,FALSE),"")</f>
        <v/>
      </c>
      <c r="R119" s="35" t="s">
        <v>290</v>
      </c>
      <c r="S119" s="32" t="s">
        <v>87</v>
      </c>
      <c r="T119" s="28"/>
      <c r="U119" s="35"/>
      <c r="V119" s="32"/>
      <c r="W119" s="28"/>
      <c r="X119" s="35"/>
      <c r="Y119" s="32"/>
      <c r="Z119" s="28"/>
      <c r="AA119" s="36"/>
    </row>
    <row r="120" spans="1:27" ht="14">
      <c r="A120" s="35" t="s">
        <v>284</v>
      </c>
      <c r="B120" s="28"/>
      <c r="C120" s="29">
        <v>1</v>
      </c>
      <c r="D120" s="30">
        <f t="shared" si="0"/>
        <v>0</v>
      </c>
      <c r="E120" s="37" t="s">
        <v>249</v>
      </c>
      <c r="F120" s="32"/>
      <c r="G120" s="28"/>
      <c r="H120" s="32" t="s">
        <v>240</v>
      </c>
      <c r="I120" s="33" t="s">
        <v>127</v>
      </c>
      <c r="J120" s="32"/>
      <c r="K120" s="28">
        <f>IFERROR(VLOOKUP(L120,Ingredients!A:B,2,FALSE),"")</f>
        <v>1</v>
      </c>
      <c r="L120" s="38" t="s">
        <v>323</v>
      </c>
      <c r="M120" s="32" t="s">
        <v>89</v>
      </c>
      <c r="N120" s="28"/>
      <c r="O120" s="38" t="s">
        <v>265</v>
      </c>
      <c r="P120" s="32" t="s">
        <v>129</v>
      </c>
      <c r="Q120" s="28"/>
      <c r="R120" s="35"/>
      <c r="S120" s="32"/>
      <c r="T120" s="28"/>
      <c r="U120" s="35"/>
      <c r="V120" s="32"/>
      <c r="W120" s="28"/>
      <c r="X120" s="35"/>
      <c r="Y120" s="32"/>
      <c r="Z120" s="28"/>
      <c r="AA120" s="36"/>
    </row>
    <row r="121" spans="1:27" ht="14">
      <c r="A121" s="35" t="s">
        <v>284</v>
      </c>
      <c r="B121" s="28"/>
      <c r="C121" s="29">
        <v>1</v>
      </c>
      <c r="D121" s="30">
        <f t="shared" si="0"/>
        <v>0</v>
      </c>
      <c r="E121" s="37" t="s">
        <v>249</v>
      </c>
      <c r="F121" s="32"/>
      <c r="G121" s="28"/>
      <c r="H121" s="32" t="s">
        <v>240</v>
      </c>
      <c r="I121" s="33" t="s">
        <v>127</v>
      </c>
      <c r="J121" s="32"/>
      <c r="K121" s="28">
        <f>IFERROR(VLOOKUP(L121,Ingredients!A:B,2,FALSE),"")</f>
        <v>1</v>
      </c>
      <c r="L121" s="38" t="s">
        <v>323</v>
      </c>
      <c r="M121" s="32" t="s">
        <v>89</v>
      </c>
      <c r="N121" s="28"/>
      <c r="O121" s="38" t="s">
        <v>189</v>
      </c>
      <c r="P121" s="32" t="s">
        <v>129</v>
      </c>
      <c r="Q121" s="28"/>
      <c r="R121" s="35"/>
      <c r="S121" s="32"/>
      <c r="T121" s="28"/>
      <c r="U121" s="35"/>
      <c r="V121" s="32"/>
      <c r="W121" s="28"/>
      <c r="X121" s="35"/>
      <c r="Y121" s="32"/>
      <c r="Z121" s="28"/>
      <c r="AA121" s="36"/>
    </row>
    <row r="122" spans="1:27" ht="14">
      <c r="A122" s="27" t="s">
        <v>300</v>
      </c>
      <c r="B122" s="28"/>
      <c r="C122" s="29">
        <v>3</v>
      </c>
      <c r="D122" s="30">
        <f t="shared" si="0"/>
        <v>1</v>
      </c>
      <c r="E122" s="37" t="s">
        <v>318</v>
      </c>
      <c r="F122" s="32"/>
      <c r="G122" s="28"/>
      <c r="H122" s="32" t="s">
        <v>240</v>
      </c>
      <c r="I122" s="33" t="s">
        <v>127</v>
      </c>
      <c r="J122" s="32"/>
      <c r="K122" s="28">
        <f>IFERROR(VLOOKUP(L122,Ingredients!A:B,2,FALSE),"")</f>
        <v>1</v>
      </c>
      <c r="L122" s="38" t="s">
        <v>291</v>
      </c>
      <c r="M122" s="32" t="s">
        <v>87</v>
      </c>
      <c r="N122" s="28">
        <f>IFERROR(VLOOKUP(O122,Ingredients!$A:$B,2,FALSE),"")</f>
        <v>1</v>
      </c>
      <c r="O122" s="38" t="s">
        <v>284</v>
      </c>
      <c r="P122" s="32" t="s">
        <v>89</v>
      </c>
      <c r="Q122" s="28"/>
      <c r="R122" s="35"/>
      <c r="S122" s="32"/>
      <c r="T122" s="28"/>
      <c r="U122" s="35"/>
      <c r="V122" s="32"/>
      <c r="W122" s="28"/>
      <c r="X122" s="35"/>
      <c r="Y122" s="32"/>
      <c r="Z122" s="28"/>
      <c r="AA122" s="36"/>
    </row>
    <row r="123" spans="1:27" ht="14">
      <c r="A123" s="35" t="s">
        <v>323</v>
      </c>
      <c r="B123" s="28"/>
      <c r="C123" s="29">
        <v>1</v>
      </c>
      <c r="D123" s="30">
        <f t="shared" si="0"/>
        <v>-2</v>
      </c>
      <c r="E123" s="37" t="s">
        <v>126</v>
      </c>
      <c r="F123" s="32"/>
      <c r="G123" s="28"/>
      <c r="H123" s="32" t="s">
        <v>240</v>
      </c>
      <c r="I123" s="33" t="s">
        <v>127</v>
      </c>
      <c r="J123" s="32"/>
      <c r="K123" s="28">
        <f>IFERROR(VLOOKUP(L123,Ingredients!A:B,2,FALSE),"")</f>
        <v>3</v>
      </c>
      <c r="L123" s="38" t="s">
        <v>308</v>
      </c>
      <c r="M123" s="32" t="s">
        <v>89</v>
      </c>
      <c r="N123" s="28"/>
      <c r="O123" s="38" t="s">
        <v>324</v>
      </c>
      <c r="P123" s="32" t="s">
        <v>129</v>
      </c>
      <c r="Q123" s="28"/>
      <c r="R123" s="35"/>
      <c r="S123" s="32"/>
      <c r="T123" s="28"/>
      <c r="U123" s="35"/>
      <c r="V123" s="32"/>
      <c r="W123" s="28"/>
      <c r="X123" s="35"/>
      <c r="Y123" s="32"/>
      <c r="Z123" s="28"/>
      <c r="AA123" s="36"/>
    </row>
    <row r="124" spans="1:27" ht="14">
      <c r="A124" s="35" t="s">
        <v>145</v>
      </c>
      <c r="B124" s="28"/>
      <c r="C124" s="29">
        <v>12</v>
      </c>
      <c r="D124" s="30">
        <f t="shared" si="0"/>
        <v>11</v>
      </c>
      <c r="E124" s="37" t="s">
        <v>325</v>
      </c>
      <c r="F124" s="32"/>
      <c r="G124" s="28"/>
      <c r="H124" s="32" t="s">
        <v>240</v>
      </c>
      <c r="I124" s="33" t="s">
        <v>127</v>
      </c>
      <c r="J124" s="32" t="s">
        <v>326</v>
      </c>
      <c r="K124" s="28">
        <f>IFERROR(VLOOKUP(L124,Ingredients!A:B,2,FALSE),"")</f>
        <v>1</v>
      </c>
      <c r="L124" s="34" t="s">
        <v>327</v>
      </c>
      <c r="M124" s="32" t="s">
        <v>89</v>
      </c>
      <c r="N124" s="28"/>
      <c r="O124" s="38"/>
      <c r="P124" s="32"/>
      <c r="Q124" s="28"/>
      <c r="R124" s="35"/>
      <c r="S124" s="32"/>
      <c r="T124" s="28"/>
      <c r="U124" s="35"/>
      <c r="V124" s="32"/>
      <c r="W124" s="28"/>
      <c r="X124" s="35"/>
      <c r="Y124" s="32"/>
      <c r="Z124" s="28"/>
      <c r="AA124" s="36"/>
    </row>
    <row r="125" spans="1:27" ht="14">
      <c r="A125" s="27" t="s">
        <v>265</v>
      </c>
      <c r="B125" s="28"/>
      <c r="C125" s="29">
        <v>4</v>
      </c>
      <c r="D125" s="30">
        <f t="shared" si="0"/>
        <v>-1</v>
      </c>
      <c r="E125" s="37" t="s">
        <v>318</v>
      </c>
      <c r="F125" s="32"/>
      <c r="G125" s="28"/>
      <c r="H125" s="32" t="s">
        <v>240</v>
      </c>
      <c r="I125" s="33" t="s">
        <v>127</v>
      </c>
      <c r="J125" s="32"/>
      <c r="K125" s="28">
        <f>IFERROR(VLOOKUP(L125,Ingredients!A:B,2,FALSE),"")</f>
        <v>4</v>
      </c>
      <c r="L125" s="34" t="s">
        <v>328</v>
      </c>
      <c r="M125" s="32" t="s">
        <v>87</v>
      </c>
      <c r="N125" s="28">
        <f>IFERROR(VLOOKUP(O125,Ingredients!$A:$B,2,FALSE),"")</f>
        <v>1</v>
      </c>
      <c r="O125" s="34" t="s">
        <v>242</v>
      </c>
      <c r="P125" s="32" t="s">
        <v>89</v>
      </c>
      <c r="Q125" s="28"/>
      <c r="R125" s="35"/>
      <c r="S125" s="32"/>
      <c r="T125" s="28"/>
      <c r="U125" s="35"/>
      <c r="V125" s="32"/>
      <c r="W125" s="28"/>
      <c r="X125" s="35"/>
      <c r="Y125" s="32"/>
      <c r="Z125" s="28"/>
      <c r="AA125" s="36"/>
    </row>
    <row r="126" spans="1:27" ht="14">
      <c r="A126" s="27" t="s">
        <v>265</v>
      </c>
      <c r="B126" s="28"/>
      <c r="C126" s="29">
        <v>4</v>
      </c>
      <c r="D126" s="30" t="e">
        <f t="shared" si="0"/>
        <v>#VALUE!</v>
      </c>
      <c r="E126" s="37" t="s">
        <v>318</v>
      </c>
      <c r="F126" s="33" t="s">
        <v>329</v>
      </c>
      <c r="G126" s="28"/>
      <c r="H126" s="32" t="s">
        <v>240</v>
      </c>
      <c r="I126" s="33" t="s">
        <v>127</v>
      </c>
      <c r="J126" s="32"/>
      <c r="K126" s="28" t="str">
        <f>IFERROR(VLOOKUP(L126,Ingredients!A:B,2,FALSE),"")</f>
        <v/>
      </c>
      <c r="L126" s="34" t="s">
        <v>330</v>
      </c>
      <c r="M126" s="32" t="s">
        <v>89</v>
      </c>
      <c r="N126" s="28">
        <f>IFERROR(VLOOKUP(O126,Ingredients!$A:$B,2,FALSE),"")</f>
        <v>1</v>
      </c>
      <c r="O126" s="34" t="s">
        <v>242</v>
      </c>
      <c r="P126" s="32" t="s">
        <v>89</v>
      </c>
      <c r="Q126" s="28"/>
      <c r="R126" s="35"/>
      <c r="S126" s="32"/>
      <c r="T126" s="28"/>
      <c r="U126" s="35"/>
      <c r="V126" s="32"/>
      <c r="W126" s="28"/>
      <c r="X126" s="35"/>
      <c r="Y126" s="32"/>
      <c r="Z126" s="28"/>
      <c r="AA126" s="36"/>
    </row>
    <row r="127" spans="1:27" ht="14">
      <c r="A127" s="35" t="s">
        <v>306</v>
      </c>
      <c r="B127" s="28"/>
      <c r="C127" s="29">
        <v>2</v>
      </c>
      <c r="D127" s="30">
        <f t="shared" si="0"/>
        <v>-1</v>
      </c>
      <c r="E127" s="12" t="s">
        <v>318</v>
      </c>
      <c r="F127" s="32"/>
      <c r="G127" s="28"/>
      <c r="H127" s="32" t="s">
        <v>240</v>
      </c>
      <c r="I127" s="33" t="s">
        <v>127</v>
      </c>
      <c r="J127" s="32"/>
      <c r="K127" s="28">
        <f>IFERROR(VLOOKUP(L127,Ingredients!A:B,2,FALSE),"")</f>
        <v>2</v>
      </c>
      <c r="L127" s="38" t="s">
        <v>297</v>
      </c>
      <c r="M127" s="32" t="s">
        <v>87</v>
      </c>
      <c r="N127" s="28">
        <f>IFERROR(VLOOKUP(O127,Ingredients!$A:$B,2,FALSE),"")</f>
        <v>1</v>
      </c>
      <c r="O127" s="38" t="s">
        <v>284</v>
      </c>
      <c r="P127" s="32" t="s">
        <v>89</v>
      </c>
      <c r="Q127" s="28"/>
      <c r="R127" s="35"/>
      <c r="S127" s="32"/>
      <c r="T127" s="28"/>
      <c r="U127" s="35"/>
      <c r="V127" s="32"/>
      <c r="W127" s="28"/>
      <c r="X127" s="35"/>
      <c r="Y127" s="32"/>
      <c r="Z127" s="28"/>
      <c r="AA127" s="36"/>
    </row>
    <row r="128" spans="1:27" ht="14">
      <c r="A128" s="35" t="s">
        <v>297</v>
      </c>
      <c r="B128" s="28"/>
      <c r="C128" s="29">
        <v>2</v>
      </c>
      <c r="D128" s="30">
        <f t="shared" si="0"/>
        <v>1</v>
      </c>
      <c r="E128" s="37" t="s">
        <v>126</v>
      </c>
      <c r="F128" s="32"/>
      <c r="G128" s="28"/>
      <c r="H128" s="32" t="s">
        <v>240</v>
      </c>
      <c r="I128" s="33" t="s">
        <v>127</v>
      </c>
      <c r="J128" s="32"/>
      <c r="K128" s="28">
        <f>IFERROR(VLOOKUP(L128,Ingredients!A:B,2,FALSE),"")</f>
        <v>1</v>
      </c>
      <c r="L128" s="38" t="s">
        <v>331</v>
      </c>
      <c r="M128" s="32" t="s">
        <v>89</v>
      </c>
      <c r="N128" s="28"/>
      <c r="O128" s="38" t="s">
        <v>322</v>
      </c>
      <c r="P128" s="32" t="s">
        <v>129</v>
      </c>
      <c r="Q128" s="28"/>
      <c r="R128" s="35"/>
      <c r="S128" s="32"/>
      <c r="T128" s="28"/>
      <c r="U128" s="35"/>
      <c r="V128" s="32"/>
      <c r="W128" s="28"/>
      <c r="X128" s="35"/>
      <c r="Y128" s="32"/>
      <c r="Z128" s="28"/>
      <c r="AA128" s="36"/>
    </row>
    <row r="129" spans="1:27" ht="14">
      <c r="A129" s="27" t="s">
        <v>332</v>
      </c>
      <c r="B129" s="28"/>
      <c r="C129" s="29">
        <v>0</v>
      </c>
      <c r="D129" s="30" t="e">
        <f t="shared" si="0"/>
        <v>#VALUE!</v>
      </c>
      <c r="E129" s="37" t="s">
        <v>333</v>
      </c>
      <c r="F129" s="32"/>
      <c r="G129" s="28"/>
      <c r="H129" s="32" t="s">
        <v>240</v>
      </c>
      <c r="I129" s="33" t="s">
        <v>169</v>
      </c>
      <c r="J129" s="32"/>
      <c r="K129" s="28" t="str">
        <f>IFERROR(VLOOKUP(L129,Ingredients!A:B,2,FALSE),"")</f>
        <v/>
      </c>
      <c r="L129" s="38" t="s">
        <v>240</v>
      </c>
      <c r="M129" s="32" t="s">
        <v>169</v>
      </c>
      <c r="N129" s="28"/>
      <c r="O129" s="38" t="s">
        <v>169</v>
      </c>
      <c r="P129" s="32" t="s">
        <v>129</v>
      </c>
      <c r="Q129" s="28"/>
      <c r="R129" s="35"/>
      <c r="S129" s="32"/>
      <c r="T129" s="28"/>
      <c r="U129" s="35"/>
      <c r="V129" s="32"/>
      <c r="W129" s="28"/>
      <c r="X129" s="35"/>
      <c r="Y129" s="32"/>
      <c r="Z129" s="28"/>
      <c r="AA129" s="36"/>
    </row>
    <row r="130" spans="1:27" ht="14">
      <c r="A130" s="27" t="s">
        <v>332</v>
      </c>
      <c r="B130" s="28"/>
      <c r="C130" s="29">
        <v>0</v>
      </c>
      <c r="D130" s="30" t="e">
        <f t="shared" si="0"/>
        <v>#VALUE!</v>
      </c>
      <c r="E130" s="37" t="s">
        <v>333</v>
      </c>
      <c r="F130" s="32"/>
      <c r="G130" s="28"/>
      <c r="H130" s="32" t="s">
        <v>240</v>
      </c>
      <c r="I130" s="33" t="s">
        <v>169</v>
      </c>
      <c r="J130" s="32"/>
      <c r="K130" s="28" t="str">
        <f>IFERROR(VLOOKUP(L130,Ingredients!A:B,2,FALSE),"")</f>
        <v/>
      </c>
      <c r="L130" s="38" t="s">
        <v>240</v>
      </c>
      <c r="M130" s="32" t="s">
        <v>169</v>
      </c>
      <c r="N130" s="28"/>
      <c r="O130" s="38" t="s">
        <v>334</v>
      </c>
      <c r="P130" s="32" t="s">
        <v>129</v>
      </c>
      <c r="Q130" s="28"/>
      <c r="R130" s="35"/>
      <c r="S130" s="32"/>
      <c r="T130" s="28"/>
      <c r="U130" s="35"/>
      <c r="V130" s="32"/>
      <c r="W130" s="28"/>
      <c r="X130" s="35"/>
      <c r="Y130" s="32"/>
      <c r="Z130" s="28"/>
      <c r="AA130" s="36"/>
    </row>
    <row r="131" spans="1:27" ht="14">
      <c r="A131" s="35" t="s">
        <v>335</v>
      </c>
      <c r="B131" s="28"/>
      <c r="C131" s="29">
        <v>0</v>
      </c>
      <c r="D131" s="30" t="e">
        <f t="shared" si="0"/>
        <v>#VALUE!</v>
      </c>
      <c r="E131" s="37" t="s">
        <v>333</v>
      </c>
      <c r="F131" s="32"/>
      <c r="G131" s="28"/>
      <c r="H131" s="32" t="s">
        <v>240</v>
      </c>
      <c r="I131" s="33" t="s">
        <v>169</v>
      </c>
      <c r="J131" s="32"/>
      <c r="K131" s="28" t="str">
        <f>IFERROR(VLOOKUP(L131,Ingredients!A:B,2,FALSE),"")</f>
        <v/>
      </c>
      <c r="L131" s="38" t="s">
        <v>241</v>
      </c>
      <c r="M131" s="32" t="s">
        <v>169</v>
      </c>
      <c r="N131" s="28"/>
      <c r="O131" s="38" t="s">
        <v>169</v>
      </c>
      <c r="P131" s="32" t="s">
        <v>129</v>
      </c>
      <c r="Q131" s="28"/>
      <c r="R131" s="35"/>
      <c r="S131" s="32"/>
      <c r="T131" s="28"/>
      <c r="U131" s="35"/>
      <c r="V131" s="32"/>
      <c r="W131" s="28"/>
      <c r="X131" s="35"/>
      <c r="Y131" s="32"/>
      <c r="Z131" s="28"/>
      <c r="AA131" s="36"/>
    </row>
    <row r="132" spans="1:27" ht="14">
      <c r="A132" s="35" t="s">
        <v>335</v>
      </c>
      <c r="B132" s="28"/>
      <c r="C132" s="29">
        <v>0</v>
      </c>
      <c r="D132" s="30" t="e">
        <f t="shared" si="0"/>
        <v>#VALUE!</v>
      </c>
      <c r="E132" s="37" t="s">
        <v>333</v>
      </c>
      <c r="F132" s="32"/>
      <c r="G132" s="28"/>
      <c r="H132" s="32" t="s">
        <v>240</v>
      </c>
      <c r="I132" s="33" t="s">
        <v>169</v>
      </c>
      <c r="J132" s="32"/>
      <c r="K132" s="28" t="str">
        <f>IFERROR(VLOOKUP(L132,Ingredients!A:B,2,FALSE),"")</f>
        <v/>
      </c>
      <c r="L132" s="38" t="s">
        <v>241</v>
      </c>
      <c r="M132" s="32" t="s">
        <v>169</v>
      </c>
      <c r="N132" s="28"/>
      <c r="O132" s="38" t="s">
        <v>334</v>
      </c>
      <c r="P132" s="32" t="s">
        <v>129</v>
      </c>
      <c r="Q132" s="28"/>
      <c r="R132" s="35"/>
      <c r="S132" s="32"/>
      <c r="T132" s="28"/>
      <c r="U132" s="35"/>
      <c r="V132" s="32"/>
      <c r="W132" s="28"/>
      <c r="X132" s="35"/>
      <c r="Y132" s="32"/>
      <c r="Z132" s="28"/>
      <c r="AA132" s="36"/>
    </row>
    <row r="133" spans="1:27" ht="28">
      <c r="A133" s="27" t="s">
        <v>336</v>
      </c>
      <c r="B133" s="28"/>
      <c r="C133" s="29">
        <v>0</v>
      </c>
      <c r="D133" s="30">
        <f>IF(ISNUMBER(C133),C133-(IF(M133="None",0,K133)+IF(P133="None",0,N133)+IF(S133="None",0,Q133)+IF(V133="None",0,T133)+IF(Y133="None",0,W133)),"")</f>
        <v>-9</v>
      </c>
      <c r="E133" s="31" t="s">
        <v>337</v>
      </c>
      <c r="F133" s="32"/>
      <c r="G133" s="28"/>
      <c r="H133" s="33" t="s">
        <v>240</v>
      </c>
      <c r="I133" s="33" t="s">
        <v>338</v>
      </c>
      <c r="J133" s="32"/>
      <c r="K133" s="28">
        <f>IFERROR(VLOOKUP(L133,Ingredients!A:B,2,FALSE),"")</f>
        <v>8</v>
      </c>
      <c r="L133" s="34" t="s">
        <v>339</v>
      </c>
      <c r="M133" s="32" t="s">
        <v>87</v>
      </c>
      <c r="N133" s="28">
        <f>IFERROR(VLOOKUP(O133,Ingredients!$A:$B,2,FALSE),"")</f>
        <v>1</v>
      </c>
      <c r="O133" s="34" t="s">
        <v>340</v>
      </c>
      <c r="P133" s="32" t="s">
        <v>89</v>
      </c>
      <c r="Q133" s="28"/>
      <c r="R133" s="35"/>
      <c r="S133" s="32"/>
      <c r="T133" s="28"/>
      <c r="U133" s="35"/>
      <c r="V133" s="32"/>
      <c r="W133" s="28"/>
      <c r="X133" s="35"/>
      <c r="Y133" s="32"/>
      <c r="Z133" s="28"/>
      <c r="AA133" s="36"/>
    </row>
    <row r="134" spans="1:27" ht="14">
      <c r="A134" s="27" t="s">
        <v>280</v>
      </c>
      <c r="B134" s="28"/>
      <c r="C134" s="29">
        <v>0</v>
      </c>
      <c r="D134" s="30" t="e">
        <f t="shared" ref="D134:D365" si="1">IF(ISNUMBER(C134),C134-K134-N134-Q134-T134-W134,"")</f>
        <v>#VALUE!</v>
      </c>
      <c r="E134" s="37" t="s">
        <v>341</v>
      </c>
      <c r="F134" s="32"/>
      <c r="G134" s="28"/>
      <c r="H134" s="32" t="s">
        <v>240</v>
      </c>
      <c r="I134" s="33" t="s">
        <v>342</v>
      </c>
      <c r="J134" s="32"/>
      <c r="K134" s="28">
        <f>IFERROR(VLOOKUP(L134,Ingredients!A:B,2,FALSE),"")</f>
        <v>4</v>
      </c>
      <c r="L134" s="38" t="s">
        <v>343</v>
      </c>
      <c r="M134" s="32" t="s">
        <v>87</v>
      </c>
      <c r="N134" s="28" t="str">
        <f>IFERROR(VLOOKUP(O134,Ingredients!$A:$B,2,FALSE),"")</f>
        <v/>
      </c>
      <c r="O134" s="38" t="s">
        <v>344</v>
      </c>
      <c r="P134" s="32" t="s">
        <v>89</v>
      </c>
      <c r="Q134" s="28"/>
      <c r="R134" s="35"/>
      <c r="S134" s="32"/>
      <c r="T134" s="28"/>
      <c r="U134" s="35"/>
      <c r="V134" s="32"/>
      <c r="W134" s="28"/>
      <c r="X134" s="35"/>
      <c r="Y134" s="32"/>
      <c r="Z134" s="28"/>
      <c r="AA134" s="36"/>
    </row>
    <row r="135" spans="1:27" ht="28">
      <c r="A135" s="27" t="s">
        <v>345</v>
      </c>
      <c r="B135" s="28"/>
      <c r="C135" s="29">
        <v>900</v>
      </c>
      <c r="D135" s="30">
        <f t="shared" si="1"/>
        <v>799</v>
      </c>
      <c r="E135" s="37" t="s">
        <v>346</v>
      </c>
      <c r="F135" s="32"/>
      <c r="G135" s="28"/>
      <c r="H135" s="32" t="s">
        <v>347</v>
      </c>
      <c r="I135" s="33" t="s">
        <v>348</v>
      </c>
      <c r="J135" s="32"/>
      <c r="K135" s="28">
        <f>IFERROR(VLOOKUP(L135,Ingredients!A:B,2,FALSE),"")</f>
        <v>100</v>
      </c>
      <c r="L135" s="34" t="s">
        <v>349</v>
      </c>
      <c r="M135" s="32" t="s">
        <v>89</v>
      </c>
      <c r="N135" s="28">
        <f>IFERROR(VLOOKUP(O135,Ingredients!$A:$B,2,FALSE),"")</f>
        <v>1</v>
      </c>
      <c r="O135" s="38" t="s">
        <v>350</v>
      </c>
      <c r="P135" s="32" t="s">
        <v>87</v>
      </c>
      <c r="Q135" s="28"/>
      <c r="R135" s="35"/>
      <c r="S135" s="32"/>
      <c r="T135" s="28"/>
      <c r="U135" s="35"/>
      <c r="V135" s="32"/>
      <c r="W135" s="28"/>
      <c r="X135" s="35"/>
      <c r="Y135" s="32"/>
      <c r="Z135" s="28"/>
      <c r="AA135" s="36"/>
    </row>
    <row r="136" spans="1:27" ht="42">
      <c r="A136" s="27" t="s">
        <v>351</v>
      </c>
      <c r="B136" s="28"/>
      <c r="C136" s="29">
        <v>900</v>
      </c>
      <c r="D136" s="30">
        <f t="shared" si="1"/>
        <v>770</v>
      </c>
      <c r="E136" s="37" t="s">
        <v>352</v>
      </c>
      <c r="F136" s="32"/>
      <c r="G136" s="28"/>
      <c r="H136" s="32" t="s">
        <v>347</v>
      </c>
      <c r="I136" s="33" t="s">
        <v>348</v>
      </c>
      <c r="J136" s="32"/>
      <c r="K136" s="28">
        <f>IFERROR(VLOOKUP(L136,Ingredients!A:B,2,FALSE),"")</f>
        <v>100</v>
      </c>
      <c r="L136" s="38" t="s">
        <v>353</v>
      </c>
      <c r="M136" s="32" t="s">
        <v>89</v>
      </c>
      <c r="N136" s="28">
        <f>IFERROR(VLOOKUP(O136,Ingredients!$A:$B,2,FALSE),"")</f>
        <v>30</v>
      </c>
      <c r="O136" s="34" t="s">
        <v>154</v>
      </c>
      <c r="P136" s="32" t="s">
        <v>87</v>
      </c>
      <c r="Q136" s="28"/>
      <c r="R136" s="35"/>
      <c r="S136" s="32"/>
      <c r="T136" s="28"/>
      <c r="U136" s="35"/>
      <c r="V136" s="32"/>
      <c r="W136" s="28"/>
      <c r="X136" s="35"/>
      <c r="Y136" s="32"/>
      <c r="Z136" s="28"/>
      <c r="AA136" s="36"/>
    </row>
    <row r="137" spans="1:27" ht="42">
      <c r="A137" s="27" t="s">
        <v>354</v>
      </c>
      <c r="B137" s="28"/>
      <c r="C137" s="29">
        <v>1000</v>
      </c>
      <c r="D137" s="30">
        <f t="shared" si="1"/>
        <v>-1300</v>
      </c>
      <c r="E137" s="31" t="s">
        <v>355</v>
      </c>
      <c r="F137" s="32"/>
      <c r="G137" s="28"/>
      <c r="H137" s="32" t="s">
        <v>347</v>
      </c>
      <c r="I137" s="33" t="s">
        <v>348</v>
      </c>
      <c r="J137" s="32"/>
      <c r="K137" s="28">
        <f>IFERROR(VLOOKUP(L137,Ingredients!A:B,2,FALSE),"")</f>
        <v>1400</v>
      </c>
      <c r="L137" s="38" t="s">
        <v>91</v>
      </c>
      <c r="M137" s="32" t="s">
        <v>87</v>
      </c>
      <c r="N137" s="28">
        <f>IFERROR(VLOOKUP(O137,Ingredients!$A:$B,2,FALSE),"")</f>
        <v>900</v>
      </c>
      <c r="O137" s="34" t="s">
        <v>351</v>
      </c>
      <c r="P137" s="32" t="s">
        <v>89</v>
      </c>
      <c r="Q137" s="28"/>
      <c r="R137" s="35"/>
      <c r="S137" s="32"/>
      <c r="T137" s="28"/>
      <c r="U137" s="35"/>
      <c r="V137" s="32"/>
      <c r="W137" s="28"/>
      <c r="X137" s="35"/>
      <c r="Y137" s="32"/>
      <c r="Z137" s="28"/>
      <c r="AA137" s="36"/>
    </row>
    <row r="138" spans="1:27" ht="28">
      <c r="A138" s="27" t="s">
        <v>356</v>
      </c>
      <c r="B138" s="28"/>
      <c r="C138" s="29">
        <v>900</v>
      </c>
      <c r="D138" s="30">
        <f t="shared" si="1"/>
        <v>-540</v>
      </c>
      <c r="E138" s="31" t="s">
        <v>357</v>
      </c>
      <c r="F138" s="32"/>
      <c r="G138" s="28"/>
      <c r="H138" s="32" t="s">
        <v>347</v>
      </c>
      <c r="I138" s="33" t="s">
        <v>348</v>
      </c>
      <c r="J138" s="32"/>
      <c r="K138" s="28">
        <f>IFERROR(VLOOKUP(L138,Ingredients!A:B,2,FALSE),"")</f>
        <v>1400</v>
      </c>
      <c r="L138" s="38" t="s">
        <v>91</v>
      </c>
      <c r="M138" s="32" t="s">
        <v>87</v>
      </c>
      <c r="N138" s="28">
        <f>IFERROR(VLOOKUP(O138,Ingredients!$A:$B,2,FALSE),"")</f>
        <v>40</v>
      </c>
      <c r="O138" s="34" t="s">
        <v>358</v>
      </c>
      <c r="P138" s="32" t="s">
        <v>89</v>
      </c>
      <c r="Q138" s="28"/>
      <c r="R138" s="35"/>
      <c r="S138" s="32"/>
      <c r="T138" s="28"/>
      <c r="U138" s="35"/>
      <c r="V138" s="32"/>
      <c r="W138" s="28"/>
      <c r="X138" s="35"/>
      <c r="Y138" s="32"/>
      <c r="Z138" s="28"/>
      <c r="AA138" s="36"/>
    </row>
    <row r="139" spans="1:27" ht="14">
      <c r="A139" s="27" t="s">
        <v>358</v>
      </c>
      <c r="B139" s="28"/>
      <c r="C139" s="29">
        <v>40</v>
      </c>
      <c r="D139" s="30">
        <f t="shared" si="1"/>
        <v>34</v>
      </c>
      <c r="E139" s="37" t="s">
        <v>359</v>
      </c>
      <c r="F139" s="32"/>
      <c r="G139" s="28"/>
      <c r="H139" s="32" t="s">
        <v>347</v>
      </c>
      <c r="I139" s="33" t="s">
        <v>348</v>
      </c>
      <c r="J139" s="32"/>
      <c r="K139" s="28">
        <f>IFERROR(VLOOKUP(L139,Ingredients!A:B,2,FALSE),"")</f>
        <v>3</v>
      </c>
      <c r="L139" s="34" t="s">
        <v>360</v>
      </c>
      <c r="M139" s="32" t="s">
        <v>89</v>
      </c>
      <c r="N139" s="28">
        <f>IFERROR(VLOOKUP(O139,Ingredients!$A:$B,2,FALSE),"")</f>
        <v>3</v>
      </c>
      <c r="O139" s="38" t="s">
        <v>361</v>
      </c>
      <c r="P139" s="32" t="s">
        <v>87</v>
      </c>
      <c r="Q139" s="28"/>
      <c r="R139" s="35"/>
      <c r="S139" s="32"/>
      <c r="T139" s="28"/>
      <c r="U139" s="35"/>
      <c r="V139" s="32"/>
      <c r="W139" s="28"/>
      <c r="X139" s="35"/>
      <c r="Y139" s="32"/>
      <c r="Z139" s="28"/>
      <c r="AA139" s="36"/>
    </row>
    <row r="140" spans="1:27" ht="28">
      <c r="A140" s="27" t="s">
        <v>362</v>
      </c>
      <c r="B140" s="28"/>
      <c r="C140" s="29">
        <v>400</v>
      </c>
      <c r="D140" s="30">
        <f t="shared" si="1"/>
        <v>270</v>
      </c>
      <c r="E140" s="37" t="s">
        <v>363</v>
      </c>
      <c r="F140" s="32"/>
      <c r="G140" s="28"/>
      <c r="H140" s="32" t="s">
        <v>347</v>
      </c>
      <c r="I140" s="33" t="s">
        <v>348</v>
      </c>
      <c r="J140" s="32"/>
      <c r="K140" s="28">
        <f>IFERROR(VLOOKUP(L140,Ingredients!A:B,2,FALSE),"")</f>
        <v>100</v>
      </c>
      <c r="L140" s="38" t="s">
        <v>353</v>
      </c>
      <c r="M140" s="32" t="s">
        <v>89</v>
      </c>
      <c r="N140" s="28">
        <f>IFERROR(VLOOKUP(O140,Ingredients!$A:$B,2,FALSE),"")</f>
        <v>30</v>
      </c>
      <c r="O140" s="34" t="s">
        <v>158</v>
      </c>
      <c r="P140" s="32" t="s">
        <v>87</v>
      </c>
      <c r="Q140" s="28"/>
      <c r="R140" s="35"/>
      <c r="S140" s="32"/>
      <c r="T140" s="28"/>
      <c r="U140" s="35"/>
      <c r="V140" s="32"/>
      <c r="W140" s="28"/>
      <c r="X140" s="35"/>
      <c r="Y140" s="32"/>
      <c r="Z140" s="28"/>
      <c r="AA140" s="36"/>
    </row>
    <row r="141" spans="1:27" ht="28">
      <c r="A141" s="27" t="s">
        <v>364</v>
      </c>
      <c r="B141" s="28"/>
      <c r="C141" s="29">
        <v>110</v>
      </c>
      <c r="D141" s="30">
        <f t="shared" si="1"/>
        <v>9</v>
      </c>
      <c r="E141" s="37" t="s">
        <v>365</v>
      </c>
      <c r="F141" s="32"/>
      <c r="G141" s="28"/>
      <c r="H141" s="32" t="s">
        <v>347</v>
      </c>
      <c r="I141" s="33" t="s">
        <v>348</v>
      </c>
      <c r="J141" s="32"/>
      <c r="K141" s="28">
        <f>IFERROR(VLOOKUP(L141,Ingredients!A:B,2,FALSE),"")</f>
        <v>100</v>
      </c>
      <c r="L141" s="38" t="s">
        <v>353</v>
      </c>
      <c r="M141" s="32" t="s">
        <v>89</v>
      </c>
      <c r="N141" s="28">
        <f>IFERROR(VLOOKUP(O141,Ingredients!$A:$B,2,FALSE),"")</f>
        <v>1</v>
      </c>
      <c r="O141" s="38" t="s">
        <v>366</v>
      </c>
      <c r="P141" s="32" t="s">
        <v>87</v>
      </c>
      <c r="Q141" s="28"/>
      <c r="R141" s="35"/>
      <c r="S141" s="32"/>
      <c r="T141" s="28"/>
      <c r="U141" s="35"/>
      <c r="V141" s="32"/>
      <c r="W141" s="28"/>
      <c r="X141" s="35"/>
      <c r="Y141" s="32"/>
      <c r="Z141" s="28"/>
      <c r="AA141" s="36"/>
    </row>
    <row r="142" spans="1:27" ht="28">
      <c r="A142" s="27" t="s">
        <v>364</v>
      </c>
      <c r="B142" s="28"/>
      <c r="C142" s="29">
        <v>110</v>
      </c>
      <c r="D142" s="30">
        <f t="shared" si="1"/>
        <v>9</v>
      </c>
      <c r="E142" s="37" t="s">
        <v>365</v>
      </c>
      <c r="F142" s="32"/>
      <c r="G142" s="28"/>
      <c r="H142" s="32" t="s">
        <v>347</v>
      </c>
      <c r="I142" s="33" t="s">
        <v>348</v>
      </c>
      <c r="J142" s="32"/>
      <c r="K142" s="28">
        <f>IFERROR(VLOOKUP(L142,Ingredients!A:B,2,FALSE),"")</f>
        <v>100</v>
      </c>
      <c r="L142" s="38" t="s">
        <v>353</v>
      </c>
      <c r="M142" s="32" t="s">
        <v>89</v>
      </c>
      <c r="N142" s="28">
        <f>IFERROR(VLOOKUP(O142,Ingredients!$A:$B,2,FALSE),"")</f>
        <v>1</v>
      </c>
      <c r="O142" s="38" t="s">
        <v>211</v>
      </c>
      <c r="P142" s="32" t="s">
        <v>87</v>
      </c>
      <c r="Q142" s="28"/>
      <c r="R142" s="35"/>
      <c r="S142" s="32"/>
      <c r="T142" s="28"/>
      <c r="U142" s="35"/>
      <c r="V142" s="32"/>
      <c r="W142" s="28"/>
      <c r="X142" s="35"/>
      <c r="Y142" s="32"/>
      <c r="Z142" s="28"/>
      <c r="AA142" s="36"/>
    </row>
    <row r="143" spans="1:27" ht="28">
      <c r="A143" s="27" t="s">
        <v>367</v>
      </c>
      <c r="B143" s="28"/>
      <c r="C143" s="29">
        <v>150</v>
      </c>
      <c r="D143" s="30">
        <f t="shared" si="1"/>
        <v>20</v>
      </c>
      <c r="E143" s="37" t="s">
        <v>368</v>
      </c>
      <c r="F143" s="33"/>
      <c r="G143" s="28"/>
      <c r="H143" s="32" t="s">
        <v>347</v>
      </c>
      <c r="I143" s="33" t="s">
        <v>348</v>
      </c>
      <c r="J143" s="32"/>
      <c r="K143" s="28">
        <f>IFERROR(VLOOKUP(L143,Ingredients!A:B,2,FALSE),"")</f>
        <v>100</v>
      </c>
      <c r="L143" s="34" t="s">
        <v>349</v>
      </c>
      <c r="M143" s="32" t="s">
        <v>89</v>
      </c>
      <c r="N143" s="28">
        <f>IFERROR(VLOOKUP(O143,Ingredients!$A:$B,2,FALSE),"")</f>
        <v>30</v>
      </c>
      <c r="O143" s="34" t="s">
        <v>173</v>
      </c>
      <c r="P143" s="32" t="s">
        <v>87</v>
      </c>
      <c r="Q143" s="28"/>
      <c r="R143" s="35"/>
      <c r="S143" s="32"/>
      <c r="T143" s="28"/>
      <c r="U143" s="35"/>
      <c r="V143" s="32"/>
      <c r="W143" s="28"/>
      <c r="X143" s="35"/>
      <c r="Y143" s="32"/>
      <c r="Z143" s="28"/>
      <c r="AA143" s="36"/>
    </row>
    <row r="144" spans="1:27" ht="28">
      <c r="A144" s="27" t="s">
        <v>369</v>
      </c>
      <c r="B144" s="28"/>
      <c r="C144" s="29">
        <v>400</v>
      </c>
      <c r="D144" s="30">
        <f t="shared" si="1"/>
        <v>270</v>
      </c>
      <c r="E144" s="37" t="s">
        <v>370</v>
      </c>
      <c r="F144" s="32"/>
      <c r="G144" s="28"/>
      <c r="H144" s="32" t="s">
        <v>347</v>
      </c>
      <c r="I144" s="33" t="s">
        <v>348</v>
      </c>
      <c r="J144" s="32"/>
      <c r="K144" s="28">
        <f>IFERROR(VLOOKUP(L144,Ingredients!A:B,2,FALSE),"")</f>
        <v>100</v>
      </c>
      <c r="L144" s="34" t="s">
        <v>349</v>
      </c>
      <c r="M144" s="32" t="s">
        <v>89</v>
      </c>
      <c r="N144" s="28">
        <f>IFERROR(VLOOKUP(O144,Ingredients!$A:$B,2,FALSE),"")</f>
        <v>30</v>
      </c>
      <c r="O144" s="34" t="s">
        <v>165</v>
      </c>
      <c r="P144" s="32" t="s">
        <v>87</v>
      </c>
      <c r="Q144" s="28"/>
      <c r="R144" s="35"/>
      <c r="S144" s="32"/>
      <c r="T144" s="28"/>
      <c r="U144" s="35"/>
      <c r="V144" s="32"/>
      <c r="W144" s="28"/>
      <c r="X144" s="35"/>
      <c r="Y144" s="32"/>
      <c r="Z144" s="28"/>
      <c r="AA144" s="36"/>
    </row>
    <row r="145" spans="1:27" ht="14">
      <c r="A145" s="27" t="s">
        <v>371</v>
      </c>
      <c r="B145" s="28"/>
      <c r="C145" s="29">
        <v>1000</v>
      </c>
      <c r="D145" s="30">
        <f t="shared" si="1"/>
        <v>-800</v>
      </c>
      <c r="E145" s="37" t="s">
        <v>372</v>
      </c>
      <c r="F145" s="32"/>
      <c r="G145" s="28"/>
      <c r="H145" s="32" t="s">
        <v>347</v>
      </c>
      <c r="I145" s="33" t="s">
        <v>373</v>
      </c>
      <c r="J145" s="32"/>
      <c r="K145" s="28">
        <f>IFERROR(VLOOKUP(L145,Ingredients!A:B,2,FALSE),"")</f>
        <v>1400</v>
      </c>
      <c r="L145" s="38" t="s">
        <v>91</v>
      </c>
      <c r="M145" s="32" t="s">
        <v>87</v>
      </c>
      <c r="N145" s="28">
        <f>IFERROR(VLOOKUP(O145,Ingredients!$A:$B,2,FALSE),"")</f>
        <v>400</v>
      </c>
      <c r="O145" s="34" t="s">
        <v>362</v>
      </c>
      <c r="P145" s="32" t="s">
        <v>89</v>
      </c>
      <c r="Q145" s="28"/>
      <c r="R145" s="35"/>
      <c r="S145" s="32"/>
      <c r="T145" s="28"/>
      <c r="U145" s="35"/>
      <c r="V145" s="32"/>
      <c r="W145" s="28"/>
      <c r="X145" s="35"/>
      <c r="Y145" s="32"/>
      <c r="Z145" s="28"/>
      <c r="AA145" s="36"/>
    </row>
    <row r="146" spans="1:27" ht="14">
      <c r="A146" s="27" t="s">
        <v>374</v>
      </c>
      <c r="B146" s="28"/>
      <c r="C146" s="29">
        <v>900</v>
      </c>
      <c r="D146" s="30">
        <f t="shared" si="1"/>
        <v>-530</v>
      </c>
      <c r="E146" s="37" t="s">
        <v>375</v>
      </c>
      <c r="F146" s="32"/>
      <c r="G146" s="28"/>
      <c r="H146" s="32" t="s">
        <v>347</v>
      </c>
      <c r="I146" s="33" t="s">
        <v>373</v>
      </c>
      <c r="J146" s="32"/>
      <c r="K146" s="28">
        <f>IFERROR(VLOOKUP(L146,Ingredients!A:B,2,FALSE),"")</f>
        <v>1400</v>
      </c>
      <c r="L146" s="38" t="s">
        <v>91</v>
      </c>
      <c r="M146" s="32" t="s">
        <v>87</v>
      </c>
      <c r="N146" s="28">
        <f>IFERROR(VLOOKUP(O146,Ingredients!$A:$B,2,FALSE),"")</f>
        <v>30</v>
      </c>
      <c r="O146" s="38" t="s">
        <v>376</v>
      </c>
      <c r="P146" s="32" t="s">
        <v>89</v>
      </c>
      <c r="Q146" s="28"/>
      <c r="R146" s="35"/>
      <c r="S146" s="32"/>
      <c r="T146" s="28"/>
      <c r="U146" s="35"/>
      <c r="V146" s="32"/>
      <c r="W146" s="28"/>
      <c r="X146" s="35"/>
      <c r="Y146" s="32"/>
      <c r="Z146" s="28"/>
      <c r="AA146" s="36"/>
    </row>
    <row r="147" spans="1:27" ht="14">
      <c r="A147" s="27" t="s">
        <v>377</v>
      </c>
      <c r="B147" s="28"/>
      <c r="C147" s="29">
        <v>800</v>
      </c>
      <c r="D147" s="30">
        <f t="shared" si="1"/>
        <v>-610</v>
      </c>
      <c r="E147" s="37" t="s">
        <v>378</v>
      </c>
      <c r="F147" s="32"/>
      <c r="G147" s="28"/>
      <c r="H147" s="32" t="s">
        <v>347</v>
      </c>
      <c r="I147" s="33" t="s">
        <v>373</v>
      </c>
      <c r="J147" s="32"/>
      <c r="K147" s="28">
        <f>IFERROR(VLOOKUP(L147,Ingredients!A:B,2,FALSE),"")</f>
        <v>1400</v>
      </c>
      <c r="L147" s="38" t="s">
        <v>91</v>
      </c>
      <c r="M147" s="32" t="s">
        <v>87</v>
      </c>
      <c r="N147" s="28">
        <f>IFERROR(VLOOKUP(O147,Ingredients!$A:$B,2,FALSE),"")</f>
        <v>10</v>
      </c>
      <c r="O147" s="38" t="s">
        <v>379</v>
      </c>
      <c r="P147" s="32" t="s">
        <v>89</v>
      </c>
      <c r="Q147" s="28"/>
      <c r="R147" s="35"/>
      <c r="S147" s="32"/>
      <c r="T147" s="28"/>
      <c r="U147" s="35"/>
      <c r="V147" s="32"/>
      <c r="W147" s="28"/>
      <c r="X147" s="35"/>
      <c r="Y147" s="32"/>
      <c r="Z147" s="28"/>
      <c r="AA147" s="36"/>
    </row>
    <row r="148" spans="1:27" ht="28">
      <c r="A148" s="27" t="s">
        <v>380</v>
      </c>
      <c r="B148" s="28"/>
      <c r="C148" s="29">
        <v>900</v>
      </c>
      <c r="D148" s="30">
        <f t="shared" si="1"/>
        <v>-540</v>
      </c>
      <c r="E148" s="31" t="s">
        <v>381</v>
      </c>
      <c r="F148" s="32"/>
      <c r="G148" s="28"/>
      <c r="H148" s="32" t="s">
        <v>347</v>
      </c>
      <c r="I148" s="33" t="s">
        <v>373</v>
      </c>
      <c r="J148" s="32"/>
      <c r="K148" s="28">
        <f>IFERROR(VLOOKUP(L148,Ingredients!A:B,2,FALSE),"")</f>
        <v>1400</v>
      </c>
      <c r="L148" s="38" t="s">
        <v>91</v>
      </c>
      <c r="M148" s="32" t="s">
        <v>87</v>
      </c>
      <c r="N148" s="28">
        <f>IFERROR(VLOOKUP(O148,Ingredients!$A:$B,2,FALSE),"")</f>
        <v>40</v>
      </c>
      <c r="O148" s="34" t="s">
        <v>382</v>
      </c>
      <c r="P148" s="32" t="s">
        <v>89</v>
      </c>
      <c r="Q148" s="28"/>
      <c r="R148" s="35"/>
      <c r="S148" s="32"/>
      <c r="T148" s="28"/>
      <c r="U148" s="35"/>
      <c r="V148" s="32"/>
      <c r="W148" s="28"/>
      <c r="X148" s="35"/>
      <c r="Y148" s="32"/>
      <c r="Z148" s="28"/>
      <c r="AA148" s="36"/>
    </row>
    <row r="149" spans="1:27" ht="14">
      <c r="A149" s="27" t="s">
        <v>383</v>
      </c>
      <c r="B149" s="28"/>
      <c r="C149" s="29">
        <v>600</v>
      </c>
      <c r="D149" s="30">
        <f t="shared" si="1"/>
        <v>0</v>
      </c>
      <c r="E149" s="37" t="s">
        <v>384</v>
      </c>
      <c r="F149" s="32"/>
      <c r="G149" s="28"/>
      <c r="H149" s="32" t="s">
        <v>347</v>
      </c>
      <c r="I149" s="33" t="s">
        <v>373</v>
      </c>
      <c r="J149" s="32"/>
      <c r="K149" s="28">
        <f>IFERROR(VLOOKUP(L149,Ingredients!A:B,2,FALSE),"")</f>
        <v>150</v>
      </c>
      <c r="L149" s="34" t="s">
        <v>385</v>
      </c>
      <c r="M149" s="32" t="s">
        <v>89</v>
      </c>
      <c r="N149" s="28">
        <f>IFERROR(VLOOKUP(O149,Ingredients!$A:$B,2,FALSE),"")</f>
        <v>450</v>
      </c>
      <c r="O149" s="38" t="s">
        <v>103</v>
      </c>
      <c r="P149" s="32" t="s">
        <v>87</v>
      </c>
      <c r="Q149" s="28"/>
      <c r="R149" s="35"/>
      <c r="S149" s="32"/>
      <c r="T149" s="28"/>
      <c r="U149" s="35"/>
      <c r="V149" s="32"/>
      <c r="W149" s="28"/>
      <c r="X149" s="35"/>
      <c r="Y149" s="32"/>
      <c r="Z149" s="28"/>
      <c r="AA149" s="36"/>
    </row>
    <row r="150" spans="1:27" ht="14">
      <c r="A150" s="27" t="s">
        <v>383</v>
      </c>
      <c r="B150" s="28"/>
      <c r="C150" s="29">
        <v>600</v>
      </c>
      <c r="D150" s="30">
        <f t="shared" si="1"/>
        <v>350</v>
      </c>
      <c r="E150" s="37" t="s">
        <v>384</v>
      </c>
      <c r="F150" s="32"/>
      <c r="G150" s="28"/>
      <c r="H150" s="32" t="s">
        <v>347</v>
      </c>
      <c r="I150" s="33" t="s">
        <v>373</v>
      </c>
      <c r="J150" s="32"/>
      <c r="K150" s="28">
        <f>IFERROR(VLOOKUP(L150,Ingredients!A:B,2,FALSE),"")</f>
        <v>150</v>
      </c>
      <c r="L150" s="34" t="s">
        <v>385</v>
      </c>
      <c r="M150" s="32" t="s">
        <v>89</v>
      </c>
      <c r="N150" s="28">
        <f>IFERROR(VLOOKUP(O150,Ingredients!$A:$B,2,FALSE),"")</f>
        <v>100</v>
      </c>
      <c r="O150" s="38" t="s">
        <v>386</v>
      </c>
      <c r="P150" s="32" t="s">
        <v>87</v>
      </c>
      <c r="Q150" s="28"/>
      <c r="R150" s="35"/>
      <c r="S150" s="32"/>
      <c r="T150" s="28"/>
      <c r="U150" s="35"/>
      <c r="V150" s="32"/>
      <c r="W150" s="28"/>
      <c r="X150" s="35"/>
      <c r="Y150" s="32"/>
      <c r="Z150" s="28"/>
      <c r="AA150" s="36"/>
    </row>
    <row r="151" spans="1:27" ht="14">
      <c r="A151" s="27" t="s">
        <v>387</v>
      </c>
      <c r="B151" s="28"/>
      <c r="C151" s="29">
        <v>600</v>
      </c>
      <c r="D151" s="30">
        <f t="shared" si="1"/>
        <v>-20</v>
      </c>
      <c r="E151" s="37" t="s">
        <v>388</v>
      </c>
      <c r="F151" s="32"/>
      <c r="G151" s="28"/>
      <c r="H151" s="32" t="s">
        <v>347</v>
      </c>
      <c r="I151" s="33" t="s">
        <v>373</v>
      </c>
      <c r="J151" s="32"/>
      <c r="K151" s="28">
        <f>IFERROR(VLOOKUP(L151,Ingredients!A:B,2,FALSE),"")</f>
        <v>170</v>
      </c>
      <c r="L151" s="34" t="s">
        <v>389</v>
      </c>
      <c r="M151" s="32" t="s">
        <v>89</v>
      </c>
      <c r="N151" s="28">
        <f>IFERROR(VLOOKUP(O151,Ingredients!$A:$B,2,FALSE),"")</f>
        <v>450</v>
      </c>
      <c r="O151" s="38" t="s">
        <v>103</v>
      </c>
      <c r="P151" s="32" t="s">
        <v>87</v>
      </c>
      <c r="Q151" s="28"/>
      <c r="R151" s="35"/>
      <c r="S151" s="32"/>
      <c r="T151" s="28"/>
      <c r="U151" s="35"/>
      <c r="V151" s="32"/>
      <c r="W151" s="28"/>
      <c r="X151" s="35"/>
      <c r="Y151" s="32"/>
      <c r="Z151" s="28"/>
      <c r="AA151" s="36"/>
    </row>
    <row r="152" spans="1:27" ht="14">
      <c r="A152" s="27" t="s">
        <v>387</v>
      </c>
      <c r="B152" s="28"/>
      <c r="C152" s="29">
        <v>600</v>
      </c>
      <c r="D152" s="30">
        <f t="shared" si="1"/>
        <v>430</v>
      </c>
      <c r="E152" s="37" t="s">
        <v>388</v>
      </c>
      <c r="F152" s="32"/>
      <c r="G152" s="28"/>
      <c r="H152" s="32" t="s">
        <v>347</v>
      </c>
      <c r="I152" s="33" t="s">
        <v>373</v>
      </c>
      <c r="J152" s="32"/>
      <c r="K152" s="28">
        <f>IFERROR(VLOOKUP(L152,Ingredients!A:B,2,FALSE),"")</f>
        <v>170</v>
      </c>
      <c r="L152" s="34" t="s">
        <v>389</v>
      </c>
      <c r="M152" s="32" t="s">
        <v>89</v>
      </c>
      <c r="N152" s="28"/>
      <c r="O152" s="34" t="s">
        <v>145</v>
      </c>
      <c r="P152" s="32" t="s">
        <v>129</v>
      </c>
      <c r="Q152" s="28"/>
      <c r="R152" s="35"/>
      <c r="S152" s="32"/>
      <c r="T152" s="28"/>
      <c r="U152" s="35"/>
      <c r="V152" s="32"/>
      <c r="W152" s="28"/>
      <c r="X152" s="35"/>
      <c r="Y152" s="32"/>
      <c r="Z152" s="28"/>
      <c r="AA152" s="36"/>
    </row>
    <row r="153" spans="1:27" ht="14">
      <c r="A153" s="27" t="s">
        <v>387</v>
      </c>
      <c r="B153" s="28"/>
      <c r="C153" s="29">
        <v>600</v>
      </c>
      <c r="D153" s="30">
        <f t="shared" si="1"/>
        <v>430</v>
      </c>
      <c r="E153" s="37" t="s">
        <v>388</v>
      </c>
      <c r="F153" s="32"/>
      <c r="G153" s="28"/>
      <c r="H153" s="32" t="s">
        <v>347</v>
      </c>
      <c r="I153" s="33" t="s">
        <v>373</v>
      </c>
      <c r="J153" s="32" t="s">
        <v>326</v>
      </c>
      <c r="K153" s="28">
        <f>IFERROR(VLOOKUP(L153,Ingredients!A:B,2,FALSE),"")</f>
        <v>170</v>
      </c>
      <c r="L153" s="34" t="s">
        <v>389</v>
      </c>
      <c r="M153" s="32" t="s">
        <v>89</v>
      </c>
      <c r="N153" s="28"/>
      <c r="O153" s="38"/>
      <c r="P153" s="32"/>
      <c r="Q153" s="28"/>
      <c r="R153" s="35"/>
      <c r="S153" s="32"/>
      <c r="T153" s="28"/>
      <c r="U153" s="35"/>
      <c r="V153" s="32"/>
      <c r="W153" s="28"/>
      <c r="X153" s="35"/>
      <c r="Y153" s="32"/>
      <c r="Z153" s="28"/>
      <c r="AA153" s="36"/>
    </row>
    <row r="154" spans="1:27" ht="14">
      <c r="A154" s="27" t="s">
        <v>390</v>
      </c>
      <c r="B154" s="28"/>
      <c r="C154" s="29">
        <v>600</v>
      </c>
      <c r="D154" s="30">
        <f t="shared" si="1"/>
        <v>50</v>
      </c>
      <c r="E154" s="37" t="s">
        <v>391</v>
      </c>
      <c r="F154" s="32"/>
      <c r="G154" s="28"/>
      <c r="H154" s="32" t="s">
        <v>347</v>
      </c>
      <c r="I154" s="33" t="s">
        <v>373</v>
      </c>
      <c r="J154" s="32"/>
      <c r="K154" s="28">
        <f>IFERROR(VLOOKUP(L154,Ingredients!A:B,2,FALSE),"")</f>
        <v>100</v>
      </c>
      <c r="L154" s="38" t="s">
        <v>353</v>
      </c>
      <c r="M154" s="32" t="s">
        <v>89</v>
      </c>
      <c r="N154" s="28">
        <f>IFERROR(VLOOKUP(O154,Ingredients!$A:$B,2,FALSE),"")</f>
        <v>450</v>
      </c>
      <c r="O154" s="38" t="s">
        <v>392</v>
      </c>
      <c r="P154" s="32" t="s">
        <v>87</v>
      </c>
      <c r="Q154" s="28"/>
      <c r="R154" s="35"/>
      <c r="S154" s="32"/>
      <c r="T154" s="28"/>
      <c r="U154" s="35"/>
      <c r="V154" s="32"/>
      <c r="W154" s="28"/>
      <c r="X154" s="35"/>
      <c r="Y154" s="32"/>
      <c r="Z154" s="28"/>
      <c r="AA154" s="36"/>
    </row>
    <row r="155" spans="1:27" ht="14">
      <c r="A155" s="35" t="s">
        <v>376</v>
      </c>
      <c r="B155" s="28"/>
      <c r="C155" s="29">
        <v>30</v>
      </c>
      <c r="D155" s="30">
        <f t="shared" si="1"/>
        <v>5</v>
      </c>
      <c r="E155" s="37" t="s">
        <v>393</v>
      </c>
      <c r="F155" s="32"/>
      <c r="G155" s="28"/>
      <c r="H155" s="32" t="s">
        <v>347</v>
      </c>
      <c r="I155" s="33" t="s">
        <v>373</v>
      </c>
      <c r="J155" s="32"/>
      <c r="K155" s="28">
        <f>IFERROR(VLOOKUP(L155,Ingredients!A:B,2,FALSE),"")</f>
        <v>25</v>
      </c>
      <c r="L155" s="34" t="s">
        <v>394</v>
      </c>
      <c r="M155" s="32" t="s">
        <v>89</v>
      </c>
      <c r="N155" s="28"/>
      <c r="O155" s="38" t="s">
        <v>177</v>
      </c>
      <c r="P155" s="32" t="s">
        <v>129</v>
      </c>
      <c r="Q155" s="28"/>
      <c r="R155" s="35"/>
      <c r="S155" s="32"/>
      <c r="T155" s="28"/>
      <c r="U155" s="35"/>
      <c r="V155" s="32"/>
      <c r="W155" s="28"/>
      <c r="X155" s="35"/>
      <c r="Y155" s="32"/>
      <c r="Z155" s="28"/>
      <c r="AA155" s="36"/>
    </row>
    <row r="156" spans="1:27" ht="28">
      <c r="A156" s="27" t="s">
        <v>395</v>
      </c>
      <c r="B156" s="28"/>
      <c r="C156" s="29">
        <v>150</v>
      </c>
      <c r="D156" s="30">
        <f t="shared" si="1"/>
        <v>49</v>
      </c>
      <c r="E156" s="37" t="s">
        <v>396</v>
      </c>
      <c r="F156" s="32"/>
      <c r="G156" s="28"/>
      <c r="H156" s="32" t="s">
        <v>347</v>
      </c>
      <c r="I156" s="33" t="s">
        <v>373</v>
      </c>
      <c r="J156" s="32"/>
      <c r="K156" s="28">
        <f>IFERROR(VLOOKUP(L156,Ingredients!A:B,2,FALSE),"")</f>
        <v>100</v>
      </c>
      <c r="L156" s="34" t="s">
        <v>349</v>
      </c>
      <c r="M156" s="32" t="s">
        <v>89</v>
      </c>
      <c r="N156" s="28">
        <f>IFERROR(VLOOKUP(O156,Ingredients!$A:$B,2,FALSE),"")</f>
        <v>1</v>
      </c>
      <c r="O156" s="38" t="s">
        <v>397</v>
      </c>
      <c r="P156" s="32" t="s">
        <v>87</v>
      </c>
      <c r="Q156" s="28"/>
      <c r="R156" s="35"/>
      <c r="S156" s="32"/>
      <c r="T156" s="28"/>
      <c r="U156" s="35"/>
      <c r="V156" s="32"/>
      <c r="W156" s="28"/>
      <c r="X156" s="35"/>
      <c r="Y156" s="32"/>
      <c r="Z156" s="28"/>
      <c r="AA156" s="36"/>
    </row>
    <row r="157" spans="1:27" ht="28">
      <c r="A157" s="27" t="s">
        <v>395</v>
      </c>
      <c r="B157" s="28"/>
      <c r="C157" s="29">
        <v>150</v>
      </c>
      <c r="D157" s="30">
        <f t="shared" si="1"/>
        <v>50</v>
      </c>
      <c r="E157" s="37" t="s">
        <v>396</v>
      </c>
      <c r="F157" s="32"/>
      <c r="G157" s="28"/>
      <c r="H157" s="32" t="s">
        <v>347</v>
      </c>
      <c r="I157" s="33" t="s">
        <v>373</v>
      </c>
      <c r="J157" s="32"/>
      <c r="K157" s="28">
        <f>IFERROR(VLOOKUP(L157,Ingredients!A:B,2,FALSE),"")</f>
        <v>100</v>
      </c>
      <c r="L157" s="34" t="s">
        <v>349</v>
      </c>
      <c r="M157" s="32" t="s">
        <v>89</v>
      </c>
      <c r="N157" s="28"/>
      <c r="O157" s="38" t="s">
        <v>169</v>
      </c>
      <c r="P157" s="32" t="s">
        <v>129</v>
      </c>
      <c r="Q157" s="28"/>
      <c r="R157" s="35"/>
      <c r="S157" s="32"/>
      <c r="T157" s="28"/>
      <c r="U157" s="35"/>
      <c r="V157" s="32"/>
      <c r="W157" s="28"/>
      <c r="X157" s="35"/>
      <c r="Y157" s="32"/>
      <c r="Z157" s="28"/>
      <c r="AA157" s="36"/>
    </row>
    <row r="158" spans="1:27" ht="28">
      <c r="A158" s="27" t="s">
        <v>382</v>
      </c>
      <c r="B158" s="28"/>
      <c r="C158" s="29">
        <v>40</v>
      </c>
      <c r="D158" s="30">
        <f t="shared" si="1"/>
        <v>15</v>
      </c>
      <c r="E158" s="37" t="s">
        <v>398</v>
      </c>
      <c r="F158" s="32"/>
      <c r="G158" s="28"/>
      <c r="H158" s="32" t="s">
        <v>347</v>
      </c>
      <c r="I158" s="33" t="s">
        <v>373</v>
      </c>
      <c r="J158" s="32"/>
      <c r="K158" s="28">
        <f>IFERROR(VLOOKUP(L158,Ingredients!A:B,2,FALSE),"")</f>
        <v>25</v>
      </c>
      <c r="L158" s="34" t="s">
        <v>394</v>
      </c>
      <c r="M158" s="32" t="s">
        <v>89</v>
      </c>
      <c r="N158" s="28"/>
      <c r="O158" s="38" t="s">
        <v>169</v>
      </c>
      <c r="P158" s="32" t="s">
        <v>129</v>
      </c>
      <c r="Q158" s="28"/>
      <c r="R158" s="35"/>
      <c r="S158" s="32"/>
      <c r="T158" s="28"/>
      <c r="U158" s="35"/>
      <c r="V158" s="32"/>
      <c r="W158" s="28"/>
      <c r="X158" s="35"/>
      <c r="Y158" s="32"/>
      <c r="Z158" s="28"/>
      <c r="AA158" s="36"/>
    </row>
    <row r="159" spans="1:27" ht="14">
      <c r="A159" s="27" t="s">
        <v>399</v>
      </c>
      <c r="B159" s="28"/>
      <c r="C159" s="29">
        <v>170</v>
      </c>
      <c r="D159" s="30">
        <f t="shared" si="1"/>
        <v>-20</v>
      </c>
      <c r="E159" s="37" t="s">
        <v>400</v>
      </c>
      <c r="F159" s="32"/>
      <c r="G159" s="28"/>
      <c r="H159" s="32" t="s">
        <v>347</v>
      </c>
      <c r="I159" s="33" t="s">
        <v>373</v>
      </c>
      <c r="J159" s="32"/>
      <c r="K159" s="28">
        <f>IFERROR(VLOOKUP(L159,Ingredients!A:B,2,FALSE),"")</f>
        <v>100</v>
      </c>
      <c r="L159" s="34" t="s">
        <v>349</v>
      </c>
      <c r="M159" s="32" t="s">
        <v>89</v>
      </c>
      <c r="N159" s="28">
        <f>IFERROR(VLOOKUP(O159,Ingredients!$A:$B,2,FALSE),"")</f>
        <v>90</v>
      </c>
      <c r="O159" s="38" t="s">
        <v>401</v>
      </c>
      <c r="P159" s="32" t="s">
        <v>87</v>
      </c>
      <c r="Q159" s="28"/>
      <c r="R159" s="35"/>
      <c r="S159" s="32"/>
      <c r="T159" s="28"/>
      <c r="U159" s="35"/>
      <c r="V159" s="32"/>
      <c r="W159" s="28"/>
      <c r="X159" s="35"/>
      <c r="Y159" s="32"/>
      <c r="Z159" s="28"/>
      <c r="AA159" s="36"/>
    </row>
    <row r="160" spans="1:27" ht="14">
      <c r="A160" s="27" t="s">
        <v>399</v>
      </c>
      <c r="B160" s="28"/>
      <c r="C160" s="29">
        <v>170</v>
      </c>
      <c r="D160" s="30">
        <f t="shared" si="1"/>
        <v>40</v>
      </c>
      <c r="E160" s="37" t="s">
        <v>400</v>
      </c>
      <c r="F160" s="32"/>
      <c r="G160" s="28"/>
      <c r="H160" s="32" t="s">
        <v>347</v>
      </c>
      <c r="I160" s="33" t="s">
        <v>373</v>
      </c>
      <c r="J160" s="32"/>
      <c r="K160" s="28">
        <f>IFERROR(VLOOKUP(L160,Ingredients!A:B,2,FALSE),"")</f>
        <v>100</v>
      </c>
      <c r="L160" s="34" t="s">
        <v>349</v>
      </c>
      <c r="M160" s="32" t="s">
        <v>89</v>
      </c>
      <c r="N160" s="28">
        <f>IFERROR(VLOOKUP(O160,Ingredients!$A:$B,2,FALSE),"")</f>
        <v>30</v>
      </c>
      <c r="O160" s="34" t="s">
        <v>402</v>
      </c>
      <c r="P160" s="32" t="s">
        <v>87</v>
      </c>
      <c r="Q160" s="28"/>
      <c r="R160" s="35"/>
      <c r="S160" s="32"/>
      <c r="T160" s="28"/>
      <c r="U160" s="35"/>
      <c r="V160" s="32"/>
      <c r="W160" s="28"/>
      <c r="X160" s="35"/>
      <c r="Y160" s="32"/>
      <c r="Z160" s="28"/>
      <c r="AA160" s="36"/>
    </row>
    <row r="161" spans="1:27" ht="14">
      <c r="A161" s="27" t="s">
        <v>403</v>
      </c>
      <c r="B161" s="28"/>
      <c r="C161" s="29">
        <v>430</v>
      </c>
      <c r="D161" s="30">
        <f t="shared" si="1"/>
        <v>300</v>
      </c>
      <c r="E161" s="37" t="s">
        <v>404</v>
      </c>
      <c r="F161" s="32"/>
      <c r="G161" s="28"/>
      <c r="H161" s="32" t="s">
        <v>347</v>
      </c>
      <c r="I161" s="33" t="s">
        <v>373</v>
      </c>
      <c r="J161" s="32"/>
      <c r="K161" s="28">
        <f>IFERROR(VLOOKUP(L161,Ingredients!A:B,2,FALSE),"")</f>
        <v>100</v>
      </c>
      <c r="L161" s="34" t="s">
        <v>349</v>
      </c>
      <c r="M161" s="32" t="s">
        <v>89</v>
      </c>
      <c r="N161" s="28">
        <f>IFERROR(VLOOKUP(O161,Ingredients!$A:$B,2,FALSE),"")</f>
        <v>30</v>
      </c>
      <c r="O161" s="34" t="s">
        <v>405</v>
      </c>
      <c r="P161" s="32" t="s">
        <v>87</v>
      </c>
      <c r="Q161" s="28"/>
      <c r="R161" s="35"/>
      <c r="S161" s="32"/>
      <c r="T161" s="28"/>
      <c r="U161" s="35"/>
      <c r="V161" s="32"/>
      <c r="W161" s="28"/>
      <c r="X161" s="35"/>
      <c r="Y161" s="32"/>
      <c r="Z161" s="28"/>
      <c r="AA161" s="36"/>
    </row>
    <row r="162" spans="1:27" ht="14">
      <c r="A162" s="35" t="s">
        <v>379</v>
      </c>
      <c r="B162" s="28"/>
      <c r="C162" s="29">
        <v>10</v>
      </c>
      <c r="D162" s="30">
        <f t="shared" si="1"/>
        <v>9</v>
      </c>
      <c r="E162" s="37" t="s">
        <v>406</v>
      </c>
      <c r="F162" s="32"/>
      <c r="G162" s="28"/>
      <c r="H162" s="32" t="s">
        <v>347</v>
      </c>
      <c r="I162" s="33" t="s">
        <v>373</v>
      </c>
      <c r="J162" s="32"/>
      <c r="K162" s="28">
        <f>IFERROR(VLOOKUP(L162,Ingredients!A:B,2,FALSE),"")</f>
        <v>1</v>
      </c>
      <c r="L162" s="38" t="s">
        <v>350</v>
      </c>
      <c r="M162" s="32" t="s">
        <v>89</v>
      </c>
      <c r="N162" s="28"/>
      <c r="O162" s="38" t="s">
        <v>189</v>
      </c>
      <c r="P162" s="32" t="s">
        <v>129</v>
      </c>
      <c r="Q162" s="28"/>
      <c r="R162" s="35"/>
      <c r="S162" s="32"/>
      <c r="T162" s="28"/>
      <c r="U162" s="35"/>
      <c r="V162" s="32"/>
      <c r="W162" s="28"/>
      <c r="X162" s="35"/>
      <c r="Y162" s="32"/>
      <c r="Z162" s="28"/>
      <c r="AA162" s="36"/>
    </row>
    <row r="163" spans="1:27" ht="14">
      <c r="A163" s="27" t="s">
        <v>360</v>
      </c>
      <c r="B163" s="28"/>
      <c r="C163" s="29">
        <v>3</v>
      </c>
      <c r="D163" s="30">
        <f t="shared" si="1"/>
        <v>2</v>
      </c>
      <c r="E163" s="37" t="s">
        <v>407</v>
      </c>
      <c r="F163" s="32"/>
      <c r="G163" s="28"/>
      <c r="H163" s="32" t="s">
        <v>347</v>
      </c>
      <c r="I163" s="33" t="s">
        <v>127</v>
      </c>
      <c r="J163" s="32"/>
      <c r="K163" s="28">
        <f>IFERROR(VLOOKUP(L163,Ingredients!A:B,2,FALSE),"")</f>
        <v>1</v>
      </c>
      <c r="L163" s="38" t="s">
        <v>247</v>
      </c>
      <c r="M163" s="32" t="s">
        <v>89</v>
      </c>
      <c r="N163" s="28"/>
      <c r="O163" s="38" t="s">
        <v>177</v>
      </c>
      <c r="P163" s="32" t="s">
        <v>129</v>
      </c>
      <c r="Q163" s="28"/>
      <c r="R163" s="35"/>
      <c r="S163" s="32"/>
      <c r="T163" s="28"/>
      <c r="U163" s="35"/>
      <c r="V163" s="32"/>
      <c r="W163" s="28"/>
      <c r="X163" s="35"/>
      <c r="Y163" s="32"/>
      <c r="Z163" s="28"/>
      <c r="AA163" s="36"/>
    </row>
    <row r="164" spans="1:27" ht="14">
      <c r="A164" s="35" t="s">
        <v>361</v>
      </c>
      <c r="B164" s="28"/>
      <c r="C164" s="29">
        <v>3</v>
      </c>
      <c r="D164" s="30">
        <f t="shared" si="1"/>
        <v>1</v>
      </c>
      <c r="E164" s="37" t="s">
        <v>126</v>
      </c>
      <c r="F164" s="32"/>
      <c r="G164" s="28"/>
      <c r="H164" s="32" t="s">
        <v>347</v>
      </c>
      <c r="I164" s="33" t="s">
        <v>127</v>
      </c>
      <c r="J164" s="32"/>
      <c r="K164" s="28">
        <f>IFERROR(VLOOKUP(L164,Ingredients!A:B,2,FALSE),"")</f>
        <v>1</v>
      </c>
      <c r="L164" s="38" t="s">
        <v>408</v>
      </c>
      <c r="M164" s="32" t="s">
        <v>89</v>
      </c>
      <c r="N164" s="28">
        <f>IFERROR(VLOOKUP(O164,Ingredients!$A:$B,2,FALSE),"")</f>
        <v>1</v>
      </c>
      <c r="O164" s="38" t="s">
        <v>408</v>
      </c>
      <c r="P164" s="32" t="s">
        <v>87</v>
      </c>
      <c r="Q164" s="28"/>
      <c r="R164" s="35"/>
      <c r="S164" s="32"/>
      <c r="T164" s="28"/>
      <c r="U164" s="35"/>
      <c r="V164" s="32"/>
      <c r="W164" s="28"/>
      <c r="X164" s="35"/>
      <c r="Y164" s="32"/>
      <c r="Z164" s="28"/>
      <c r="AA164" s="36"/>
    </row>
    <row r="165" spans="1:27" ht="13">
      <c r="A165" t="s">
        <v>409</v>
      </c>
      <c r="B165" s="28"/>
      <c r="C165" s="29">
        <v>500</v>
      </c>
      <c r="D165" s="30">
        <f t="shared" si="1"/>
        <v>-500</v>
      </c>
      <c r="F165" s="32"/>
      <c r="G165" s="28"/>
      <c r="H165" s="32" t="s">
        <v>410</v>
      </c>
      <c r="I165" s="33" t="s">
        <v>411</v>
      </c>
      <c r="J165" s="32"/>
      <c r="K165" s="28">
        <f>IFERROR(VLOOKUP(L165,Ingredients!A:B,2,FALSE),"")</f>
        <v>500</v>
      </c>
      <c r="L165" s="34" t="s">
        <v>412</v>
      </c>
      <c r="M165" s="32" t="s">
        <v>89</v>
      </c>
      <c r="N165" s="28">
        <f>IFERROR(VLOOKUP(O165,Ingredients!$A:$B,2,FALSE),"")</f>
        <v>500</v>
      </c>
      <c r="O165" s="34" t="s">
        <v>413</v>
      </c>
      <c r="P165" s="32" t="s">
        <v>87</v>
      </c>
      <c r="Q165" s="28"/>
      <c r="R165" s="35"/>
      <c r="S165" s="32"/>
      <c r="T165" s="28"/>
      <c r="U165" s="35"/>
      <c r="V165" s="32"/>
      <c r="W165" s="28"/>
      <c r="X165" s="35"/>
      <c r="Y165" s="32"/>
      <c r="Z165" s="28"/>
      <c r="AA165" s="36"/>
    </row>
    <row r="166" spans="1:27" ht="13">
      <c r="A166" t="s">
        <v>409</v>
      </c>
      <c r="B166" s="28"/>
      <c r="C166" s="29">
        <v>500</v>
      </c>
      <c r="D166" s="30">
        <f t="shared" si="1"/>
        <v>-120</v>
      </c>
      <c r="F166" s="32"/>
      <c r="G166" s="28"/>
      <c r="H166" s="32" t="s">
        <v>410</v>
      </c>
      <c r="I166" s="33" t="s">
        <v>411</v>
      </c>
      <c r="J166" s="32"/>
      <c r="K166" s="28">
        <f>IFERROR(VLOOKUP(L166,Ingredients!A:B,2,FALSE),"")</f>
        <v>500</v>
      </c>
      <c r="L166" s="34" t="s">
        <v>412</v>
      </c>
      <c r="M166" s="32" t="s">
        <v>89</v>
      </c>
      <c r="N166" s="28">
        <f>IFERROR(VLOOKUP(O166,Ingredients!$A:$B,2,FALSE),"")</f>
        <v>120</v>
      </c>
      <c r="O166" s="34" t="s">
        <v>414</v>
      </c>
      <c r="P166" s="32" t="s">
        <v>87</v>
      </c>
      <c r="Q166" s="28"/>
      <c r="R166" s="35"/>
      <c r="S166" s="32"/>
      <c r="T166" s="28"/>
      <c r="U166" s="35"/>
      <c r="V166" s="32"/>
      <c r="W166" s="28"/>
      <c r="X166" s="35"/>
      <c r="Y166" s="32"/>
      <c r="Z166" s="28"/>
      <c r="AA166" s="36"/>
    </row>
    <row r="167" spans="1:27" ht="13">
      <c r="A167" t="s">
        <v>409</v>
      </c>
      <c r="B167" s="28"/>
      <c r="C167" s="29">
        <v>500</v>
      </c>
      <c r="D167" s="30">
        <f t="shared" si="1"/>
        <v>-120</v>
      </c>
      <c r="F167" s="32"/>
      <c r="G167" s="28"/>
      <c r="H167" s="32" t="s">
        <v>410</v>
      </c>
      <c r="I167" s="33" t="s">
        <v>411</v>
      </c>
      <c r="J167" s="32"/>
      <c r="K167" s="28">
        <f>IFERROR(VLOOKUP(L167,Ingredients!A:B,2,FALSE),"")</f>
        <v>120</v>
      </c>
      <c r="L167" s="34" t="s">
        <v>415</v>
      </c>
      <c r="M167" s="32" t="s">
        <v>89</v>
      </c>
      <c r="N167" s="28">
        <f>IFERROR(VLOOKUP(O167,Ingredients!$A:$B,2,FALSE),"")</f>
        <v>500</v>
      </c>
      <c r="O167" s="34" t="s">
        <v>413</v>
      </c>
      <c r="P167" s="32" t="s">
        <v>87</v>
      </c>
      <c r="Q167" s="28"/>
      <c r="R167" s="35"/>
      <c r="S167" s="32"/>
      <c r="T167" s="28"/>
      <c r="U167" s="35"/>
      <c r="V167" s="32"/>
      <c r="W167" s="28"/>
      <c r="X167" s="35"/>
      <c r="Y167" s="32"/>
      <c r="Z167" s="28"/>
      <c r="AA167" s="36"/>
    </row>
    <row r="168" spans="1:27" ht="13">
      <c r="A168" s="35" t="s">
        <v>416</v>
      </c>
      <c r="B168" s="28"/>
      <c r="C168" s="29">
        <v>750</v>
      </c>
      <c r="D168" s="30">
        <f t="shared" si="1"/>
        <v>90</v>
      </c>
      <c r="E168" s="41"/>
      <c r="F168" s="32"/>
      <c r="G168" s="28"/>
      <c r="H168" s="32" t="s">
        <v>410</v>
      </c>
      <c r="I168" s="33" t="s">
        <v>411</v>
      </c>
      <c r="J168" s="32"/>
      <c r="K168" s="28">
        <f>IFERROR(VLOOKUP(L168,Ingredients!A:B,2,FALSE),"")</f>
        <v>400</v>
      </c>
      <c r="L168" s="34" t="s">
        <v>417</v>
      </c>
      <c r="M168" s="32" t="s">
        <v>89</v>
      </c>
      <c r="N168" s="28">
        <f>IFERROR(VLOOKUP(O168,Ingredients!$A:$B,2,FALSE),"")</f>
        <v>260</v>
      </c>
      <c r="O168" s="34" t="s">
        <v>418</v>
      </c>
      <c r="P168" s="32" t="s">
        <v>87</v>
      </c>
      <c r="Q168" s="28"/>
      <c r="R168" s="35"/>
      <c r="S168" s="32"/>
      <c r="T168" s="28"/>
      <c r="U168" s="35"/>
      <c r="V168" s="32"/>
      <c r="W168" s="28"/>
      <c r="X168" s="35"/>
      <c r="Y168" s="32"/>
      <c r="Z168" s="28"/>
      <c r="AA168" s="36"/>
    </row>
    <row r="169" spans="1:27" ht="13">
      <c r="A169" s="35" t="s">
        <v>419</v>
      </c>
      <c r="B169" s="28"/>
      <c r="C169" s="29">
        <v>3000</v>
      </c>
      <c r="D169" s="30">
        <f t="shared" si="1"/>
        <v>2600</v>
      </c>
      <c r="E169" s="41"/>
      <c r="F169" s="32"/>
      <c r="G169" s="28"/>
      <c r="H169" s="32" t="s">
        <v>410</v>
      </c>
      <c r="I169" s="33" t="s">
        <v>411</v>
      </c>
      <c r="J169" s="32"/>
      <c r="K169" s="28">
        <f>IFERROR(VLOOKUP(L169,Ingredients!A:B,2,FALSE),"")</f>
        <v>400</v>
      </c>
      <c r="L169" s="34" t="s">
        <v>420</v>
      </c>
      <c r="M169" s="32" t="s">
        <v>89</v>
      </c>
      <c r="N169" s="28">
        <f>IFERROR(VLOOKUP(O169,Ingredients!$A:$B,2,FALSE),"")</f>
        <v>0</v>
      </c>
      <c r="O169" s="34" t="s">
        <v>421</v>
      </c>
      <c r="P169" s="32" t="s">
        <v>87</v>
      </c>
      <c r="Q169" s="28"/>
      <c r="R169" s="35"/>
      <c r="S169" s="32"/>
      <c r="T169" s="28"/>
      <c r="U169" s="35"/>
      <c r="V169" s="32"/>
      <c r="W169" s="28"/>
      <c r="X169" s="35"/>
      <c r="Y169" s="32"/>
      <c r="Z169" s="28"/>
      <c r="AA169" s="36"/>
    </row>
    <row r="170" spans="1:27" ht="13">
      <c r="A170" s="35" t="s">
        <v>422</v>
      </c>
      <c r="B170" s="28"/>
      <c r="C170" s="29">
        <v>500</v>
      </c>
      <c r="D170" s="30">
        <f t="shared" si="1"/>
        <v>249</v>
      </c>
      <c r="E170" s="41"/>
      <c r="F170" s="32"/>
      <c r="G170" s="28"/>
      <c r="H170" s="32" t="s">
        <v>410</v>
      </c>
      <c r="I170" s="33" t="s">
        <v>411</v>
      </c>
      <c r="J170" s="32"/>
      <c r="K170" s="28">
        <f>IFERROR(VLOOKUP(L170,Ingredients!A:B,2,FALSE),"")</f>
        <v>250</v>
      </c>
      <c r="L170" s="34" t="s">
        <v>423</v>
      </c>
      <c r="M170" s="32" t="s">
        <v>89</v>
      </c>
      <c r="N170" s="28">
        <f>IFERROR(VLOOKUP(O170,Ingredients!$A:$B,2,FALSE),"")</f>
        <v>1</v>
      </c>
      <c r="O170" s="34" t="s">
        <v>424</v>
      </c>
      <c r="P170" s="32" t="s">
        <v>87</v>
      </c>
      <c r="Q170" s="28"/>
      <c r="R170" s="35"/>
      <c r="S170" s="32"/>
      <c r="T170" s="28"/>
      <c r="U170" s="35"/>
      <c r="V170" s="32"/>
      <c r="W170" s="28"/>
      <c r="X170" s="35"/>
      <c r="Y170" s="32"/>
      <c r="Z170" s="28"/>
      <c r="AA170" s="36"/>
    </row>
    <row r="171" spans="1:27" ht="13">
      <c r="A171" s="35" t="s">
        <v>425</v>
      </c>
      <c r="B171" s="28"/>
      <c r="C171" s="29">
        <v>800</v>
      </c>
      <c r="D171" s="30">
        <f t="shared" si="1"/>
        <v>550</v>
      </c>
      <c r="E171" s="41"/>
      <c r="F171" s="32"/>
      <c r="G171" s="28"/>
      <c r="H171" s="32" t="s">
        <v>410</v>
      </c>
      <c r="I171" s="33" t="s">
        <v>411</v>
      </c>
      <c r="J171" s="32"/>
      <c r="K171" s="28">
        <f>IFERROR(VLOOKUP(L171,Ingredients!A:B,2,FALSE),"")</f>
        <v>250</v>
      </c>
      <c r="L171" s="34" t="s">
        <v>426</v>
      </c>
      <c r="M171" s="32" t="s">
        <v>89</v>
      </c>
      <c r="N171" s="28">
        <f>IFERROR(VLOOKUP(O171,Ingredients!$A:$B,2,FALSE),"")</f>
        <v>0</v>
      </c>
      <c r="O171" s="34" t="s">
        <v>427</v>
      </c>
      <c r="P171" s="32" t="s">
        <v>87</v>
      </c>
      <c r="Q171" s="28"/>
      <c r="R171" s="35"/>
      <c r="S171" s="32"/>
      <c r="T171" s="28"/>
      <c r="U171" s="35"/>
      <c r="V171" s="32"/>
      <c r="W171" s="28"/>
      <c r="X171" s="35"/>
      <c r="Y171" s="32"/>
      <c r="Z171" s="28"/>
      <c r="AA171" s="36"/>
    </row>
    <row r="172" spans="1:27" ht="13">
      <c r="A172" s="35" t="s">
        <v>428</v>
      </c>
      <c r="B172" s="28"/>
      <c r="C172" s="29">
        <v>120</v>
      </c>
      <c r="D172" s="30">
        <f t="shared" si="1"/>
        <v>-190</v>
      </c>
      <c r="E172" s="41"/>
      <c r="F172" s="32"/>
      <c r="G172" s="28"/>
      <c r="H172" s="32" t="s">
        <v>410</v>
      </c>
      <c r="I172" s="33" t="s">
        <v>411</v>
      </c>
      <c r="J172" s="32"/>
      <c r="K172" s="28">
        <f>IFERROR(VLOOKUP(L172,Ingredients!A:B,2,FALSE),"")</f>
        <v>250</v>
      </c>
      <c r="L172" s="34" t="s">
        <v>426</v>
      </c>
      <c r="M172" s="32" t="s">
        <v>89</v>
      </c>
      <c r="N172" s="28">
        <f>IFERROR(VLOOKUP(O172,Ingredients!$A:$B,2,FALSE),"")</f>
        <v>60</v>
      </c>
      <c r="O172" s="34" t="s">
        <v>429</v>
      </c>
      <c r="P172" s="32" t="s">
        <v>87</v>
      </c>
      <c r="Q172" s="28"/>
      <c r="R172" s="35"/>
      <c r="S172" s="32"/>
      <c r="T172" s="28"/>
      <c r="U172" s="35"/>
      <c r="V172" s="32"/>
      <c r="W172" s="28"/>
      <c r="X172" s="35"/>
      <c r="Y172" s="32"/>
      <c r="Z172" s="28"/>
      <c r="AA172" s="36"/>
    </row>
    <row r="173" spans="1:27" ht="13">
      <c r="A173" s="35" t="s">
        <v>430</v>
      </c>
      <c r="B173" s="28"/>
      <c r="C173" s="29">
        <v>800</v>
      </c>
      <c r="D173" s="30">
        <f t="shared" si="1"/>
        <v>290</v>
      </c>
      <c r="E173" s="41"/>
      <c r="F173" s="32"/>
      <c r="G173" s="28"/>
      <c r="H173" s="32" t="s">
        <v>410</v>
      </c>
      <c r="I173" s="33" t="s">
        <v>411</v>
      </c>
      <c r="J173" s="32"/>
      <c r="K173" s="28">
        <f>IFERROR(VLOOKUP(L173,Ingredients!A:B,2,FALSE),"")</f>
        <v>250</v>
      </c>
      <c r="L173" s="34" t="s">
        <v>431</v>
      </c>
      <c r="M173" s="32" t="s">
        <v>89</v>
      </c>
      <c r="N173" s="28">
        <f>IFERROR(VLOOKUP(O173,Ingredients!$A:$B,2,FALSE),"")</f>
        <v>260</v>
      </c>
      <c r="O173" s="34" t="s">
        <v>432</v>
      </c>
      <c r="P173" s="32" t="s">
        <v>87</v>
      </c>
      <c r="Q173" s="28"/>
      <c r="R173" s="35"/>
      <c r="S173" s="32"/>
      <c r="T173" s="28"/>
      <c r="U173" s="35"/>
      <c r="V173" s="32"/>
      <c r="W173" s="28"/>
      <c r="X173" s="35"/>
      <c r="Y173" s="32"/>
      <c r="Z173" s="28"/>
      <c r="AA173" s="36"/>
    </row>
    <row r="174" spans="1:27" ht="13">
      <c r="A174" s="35" t="s">
        <v>433</v>
      </c>
      <c r="B174" s="28"/>
      <c r="C174" s="29">
        <v>800</v>
      </c>
      <c r="D174" s="30">
        <f t="shared" si="1"/>
        <v>290</v>
      </c>
      <c r="E174" s="41"/>
      <c r="F174" s="32"/>
      <c r="G174" s="28"/>
      <c r="H174" s="32" t="s">
        <v>410</v>
      </c>
      <c r="I174" s="33" t="s">
        <v>411</v>
      </c>
      <c r="J174" s="32"/>
      <c r="K174" s="28">
        <f>IFERROR(VLOOKUP(L174,Ingredients!A:B,2,FALSE),"")</f>
        <v>250</v>
      </c>
      <c r="L174" s="34" t="s">
        <v>434</v>
      </c>
      <c r="M174" s="32" t="s">
        <v>89</v>
      </c>
      <c r="N174" s="28">
        <f>IFERROR(VLOOKUP(O174,Ingredients!$A:$B,2,FALSE),"")</f>
        <v>260</v>
      </c>
      <c r="O174" s="34" t="s">
        <v>435</v>
      </c>
      <c r="P174" s="32" t="s">
        <v>87</v>
      </c>
      <c r="Q174" s="28"/>
      <c r="R174" s="35"/>
      <c r="S174" s="32"/>
      <c r="T174" s="28"/>
      <c r="U174" s="35"/>
      <c r="V174" s="32"/>
      <c r="W174" s="28"/>
      <c r="X174" s="35"/>
      <c r="Y174" s="32"/>
      <c r="Z174" s="28"/>
      <c r="AA174" s="36"/>
    </row>
    <row r="175" spans="1:27" ht="13">
      <c r="A175" s="27" t="s">
        <v>436</v>
      </c>
      <c r="B175" s="28"/>
      <c r="C175" s="29">
        <v>190</v>
      </c>
      <c r="D175" s="30">
        <f t="shared" si="1"/>
        <v>-60</v>
      </c>
      <c r="E175" s="41"/>
      <c r="F175" s="32"/>
      <c r="G175" s="28"/>
      <c r="H175" s="32" t="s">
        <v>410</v>
      </c>
      <c r="I175" s="33" t="s">
        <v>411</v>
      </c>
      <c r="J175" s="32"/>
      <c r="K175" s="28">
        <f>IFERROR(VLOOKUP(L175,Ingredients!A:B,2,FALSE),"")</f>
        <v>250</v>
      </c>
      <c r="L175" s="34" t="s">
        <v>437</v>
      </c>
      <c r="M175" s="32" t="s">
        <v>89</v>
      </c>
      <c r="N175" s="28">
        <f>IFERROR(VLOOKUP(O175,Ingredients!$A:$B,2,FALSE),"")</f>
        <v>0</v>
      </c>
      <c r="O175" s="34" t="s">
        <v>438</v>
      </c>
      <c r="P175" s="32" t="s">
        <v>87</v>
      </c>
      <c r="Q175" s="28"/>
      <c r="R175" s="35"/>
      <c r="S175" s="32"/>
      <c r="T175" s="28"/>
      <c r="U175" s="35"/>
      <c r="V175" s="32"/>
      <c r="W175" s="28"/>
      <c r="X175" s="35"/>
      <c r="Y175" s="32"/>
      <c r="Z175" s="28"/>
      <c r="AA175" s="36"/>
    </row>
    <row r="176" spans="1:27" ht="13">
      <c r="A176" s="42" t="s">
        <v>436</v>
      </c>
      <c r="B176" s="28"/>
      <c r="C176" s="29">
        <v>190</v>
      </c>
      <c r="D176" s="30">
        <f t="shared" si="1"/>
        <v>-50</v>
      </c>
      <c r="F176" s="32"/>
      <c r="G176" s="28"/>
      <c r="H176" s="32" t="s">
        <v>410</v>
      </c>
      <c r="I176" s="33" t="s">
        <v>411</v>
      </c>
      <c r="J176" s="32"/>
      <c r="K176" s="28">
        <f>IFERROR(VLOOKUP(L176,Ingredients!A:B,2,FALSE),"")</f>
        <v>120</v>
      </c>
      <c r="L176" s="34" t="s">
        <v>439</v>
      </c>
      <c r="M176" s="32" t="s">
        <v>89</v>
      </c>
      <c r="N176" s="28">
        <f>IFERROR(VLOOKUP(O176,Ingredients!$A:$B,2,FALSE),"")</f>
        <v>120</v>
      </c>
      <c r="O176" s="34" t="s">
        <v>440</v>
      </c>
      <c r="P176" s="32" t="s">
        <v>87</v>
      </c>
      <c r="Q176" s="28"/>
      <c r="R176" s="35"/>
      <c r="S176" s="32"/>
      <c r="T176" s="28"/>
      <c r="U176" s="35"/>
      <c r="V176" s="32"/>
      <c r="W176" s="28"/>
      <c r="X176" s="35"/>
      <c r="Y176" s="32"/>
      <c r="Z176" s="28"/>
      <c r="AA176" s="36"/>
    </row>
    <row r="177" spans="1:27" ht="13">
      <c r="A177" t="s">
        <v>441</v>
      </c>
      <c r="B177" s="28"/>
      <c r="C177" s="29">
        <v>500</v>
      </c>
      <c r="D177" s="30">
        <f t="shared" si="1"/>
        <v>-500</v>
      </c>
      <c r="F177" s="32"/>
      <c r="G177" s="28"/>
      <c r="H177" s="32" t="s">
        <v>410</v>
      </c>
      <c r="I177" s="33" t="s">
        <v>411</v>
      </c>
      <c r="J177" s="32"/>
      <c r="K177" s="28">
        <f>IFERROR(VLOOKUP(L177,Ingredients!A:B,2,FALSE),"")</f>
        <v>500</v>
      </c>
      <c r="L177" s="34" t="s">
        <v>442</v>
      </c>
      <c r="M177" s="32" t="s">
        <v>89</v>
      </c>
      <c r="N177" s="28">
        <f>IFERROR(VLOOKUP(O177,Ingredients!$A:$B,2,FALSE),"")</f>
        <v>500</v>
      </c>
      <c r="O177" s="34" t="s">
        <v>413</v>
      </c>
      <c r="P177" s="32" t="s">
        <v>87</v>
      </c>
      <c r="Q177" s="28"/>
      <c r="R177" s="35"/>
      <c r="S177" s="32"/>
      <c r="T177" s="28"/>
      <c r="U177" s="35"/>
      <c r="V177" s="32"/>
      <c r="W177" s="28"/>
      <c r="X177" s="35"/>
      <c r="Y177" s="32"/>
      <c r="Z177" s="28"/>
      <c r="AA177" s="36"/>
    </row>
    <row r="178" spans="1:27" ht="13">
      <c r="A178" t="s">
        <v>441</v>
      </c>
      <c r="B178" s="28"/>
      <c r="C178" s="29">
        <v>500</v>
      </c>
      <c r="D178" s="30">
        <f t="shared" si="1"/>
        <v>-120</v>
      </c>
      <c r="F178" s="32"/>
      <c r="G178" s="28"/>
      <c r="H178" s="32" t="s">
        <v>410</v>
      </c>
      <c r="I178" s="33" t="s">
        <v>411</v>
      </c>
      <c r="J178" s="32"/>
      <c r="K178" s="28">
        <f>IFERROR(VLOOKUP(L178,Ingredients!A:B,2,FALSE),"")</f>
        <v>500</v>
      </c>
      <c r="L178" s="34" t="s">
        <v>442</v>
      </c>
      <c r="M178" s="32" t="s">
        <v>89</v>
      </c>
      <c r="N178" s="28">
        <f>IFERROR(VLOOKUP(O178,Ingredients!$A:$B,2,FALSE),"")</f>
        <v>120</v>
      </c>
      <c r="O178" s="34" t="s">
        <v>414</v>
      </c>
      <c r="P178" s="32" t="s">
        <v>87</v>
      </c>
      <c r="Q178" s="28"/>
      <c r="R178" s="35"/>
      <c r="S178" s="32"/>
      <c r="T178" s="28"/>
      <c r="U178" s="35"/>
      <c r="V178" s="32"/>
      <c r="W178" s="28"/>
      <c r="X178" s="35"/>
      <c r="Y178" s="32"/>
      <c r="Z178" s="28"/>
      <c r="AA178" s="36"/>
    </row>
    <row r="179" spans="1:27" ht="13">
      <c r="A179" t="s">
        <v>441</v>
      </c>
      <c r="B179" s="28"/>
      <c r="C179" s="29">
        <v>500</v>
      </c>
      <c r="D179" s="30">
        <f t="shared" si="1"/>
        <v>-120</v>
      </c>
      <c r="F179" s="32"/>
      <c r="G179" s="28"/>
      <c r="H179" s="32" t="s">
        <v>410</v>
      </c>
      <c r="I179" s="33" t="s">
        <v>411</v>
      </c>
      <c r="J179" s="32"/>
      <c r="K179" s="28">
        <f>IFERROR(VLOOKUP(L179,Ingredients!A:B,2,FALSE),"")</f>
        <v>120</v>
      </c>
      <c r="L179" s="34" t="s">
        <v>443</v>
      </c>
      <c r="M179" s="32" t="s">
        <v>89</v>
      </c>
      <c r="N179" s="28">
        <f>IFERROR(VLOOKUP(O179,Ingredients!$A:$B,2,FALSE),"")</f>
        <v>500</v>
      </c>
      <c r="O179" s="34" t="s">
        <v>413</v>
      </c>
      <c r="P179" s="32" t="s">
        <v>87</v>
      </c>
      <c r="Q179" s="28"/>
      <c r="R179" s="35"/>
      <c r="S179" s="32"/>
      <c r="T179" s="28"/>
      <c r="U179" s="35"/>
      <c r="V179" s="32"/>
      <c r="W179" s="28"/>
      <c r="X179" s="35"/>
      <c r="Y179" s="32"/>
      <c r="Z179" s="28"/>
      <c r="AA179" s="36"/>
    </row>
    <row r="180" spans="1:27" ht="13">
      <c r="A180" s="27" t="s">
        <v>444</v>
      </c>
      <c r="B180" s="28"/>
      <c r="C180" s="29">
        <v>500</v>
      </c>
      <c r="D180" s="30">
        <f t="shared" si="1"/>
        <v>-500</v>
      </c>
      <c r="E180" s="41"/>
      <c r="F180" s="32"/>
      <c r="G180" s="28"/>
      <c r="H180" s="32" t="s">
        <v>410</v>
      </c>
      <c r="I180" s="33" t="s">
        <v>411</v>
      </c>
      <c r="J180" s="32"/>
      <c r="K180" s="28">
        <f>IFERROR(VLOOKUP(L180,Ingredients!A:B,2,FALSE),"")</f>
        <v>500</v>
      </c>
      <c r="L180" s="34" t="s">
        <v>445</v>
      </c>
      <c r="M180" s="32" t="s">
        <v>89</v>
      </c>
      <c r="N180" s="28">
        <f>IFERROR(VLOOKUP(O180,Ingredients!$A:$B,2,FALSE),"")</f>
        <v>500</v>
      </c>
      <c r="O180" s="34" t="s">
        <v>446</v>
      </c>
      <c r="P180" s="32" t="s">
        <v>87</v>
      </c>
      <c r="Q180" s="28"/>
      <c r="R180" s="35"/>
      <c r="S180" s="32"/>
      <c r="T180" s="28"/>
      <c r="U180" s="35"/>
      <c r="V180" s="32"/>
      <c r="W180" s="28"/>
      <c r="X180" s="35"/>
      <c r="Y180" s="32"/>
      <c r="Z180" s="28"/>
      <c r="AA180" s="36"/>
    </row>
    <row r="181" spans="1:27" ht="13">
      <c r="A181" s="27" t="s">
        <v>444</v>
      </c>
      <c r="B181" s="28"/>
      <c r="C181" s="29">
        <v>500</v>
      </c>
      <c r="D181" s="30">
        <f t="shared" si="1"/>
        <v>-120</v>
      </c>
      <c r="E181" s="41"/>
      <c r="F181" s="32"/>
      <c r="G181" s="28"/>
      <c r="H181" s="32" t="s">
        <v>410</v>
      </c>
      <c r="I181" s="33" t="s">
        <v>411</v>
      </c>
      <c r="J181" s="32"/>
      <c r="K181" s="28">
        <f>IFERROR(VLOOKUP(L181,Ingredients!A:B,2,FALSE),"")</f>
        <v>500</v>
      </c>
      <c r="L181" s="34" t="s">
        <v>445</v>
      </c>
      <c r="M181" s="32" t="s">
        <v>89</v>
      </c>
      <c r="N181" s="28">
        <f>IFERROR(VLOOKUP(O181,Ingredients!$A:$B,2,FALSE),"")</f>
        <v>120</v>
      </c>
      <c r="O181" s="34" t="s">
        <v>447</v>
      </c>
      <c r="P181" s="32" t="s">
        <v>87</v>
      </c>
      <c r="Q181" s="28"/>
      <c r="R181" s="35"/>
      <c r="S181" s="32"/>
      <c r="T181" s="28"/>
      <c r="U181" s="35"/>
      <c r="V181" s="32"/>
      <c r="W181" s="28"/>
      <c r="X181" s="35"/>
      <c r="Y181" s="32"/>
      <c r="Z181" s="28"/>
      <c r="AA181" s="36"/>
    </row>
    <row r="182" spans="1:27" ht="13">
      <c r="A182" s="27" t="s">
        <v>444</v>
      </c>
      <c r="B182" s="28"/>
      <c r="C182" s="29">
        <v>500</v>
      </c>
      <c r="D182" s="30">
        <f t="shared" si="1"/>
        <v>-120</v>
      </c>
      <c r="E182" s="41"/>
      <c r="F182" s="32"/>
      <c r="G182" s="28"/>
      <c r="H182" s="32" t="s">
        <v>410</v>
      </c>
      <c r="I182" s="33" t="s">
        <v>411</v>
      </c>
      <c r="J182" s="32"/>
      <c r="K182" s="28">
        <f>IFERROR(VLOOKUP(L182,Ingredients!A:B,2,FALSE),"")</f>
        <v>120</v>
      </c>
      <c r="L182" s="34" t="s">
        <v>448</v>
      </c>
      <c r="M182" s="32" t="s">
        <v>89</v>
      </c>
      <c r="N182" s="28">
        <f>IFERROR(VLOOKUP(O182,Ingredients!$A:$B,2,FALSE),"")</f>
        <v>500</v>
      </c>
      <c r="O182" s="34" t="s">
        <v>446</v>
      </c>
      <c r="P182" s="32" t="s">
        <v>87</v>
      </c>
      <c r="Q182" s="28"/>
      <c r="R182" s="35"/>
      <c r="S182" s="32"/>
      <c r="T182" s="28"/>
      <c r="U182" s="35"/>
      <c r="V182" s="32"/>
      <c r="W182" s="28"/>
      <c r="X182" s="35"/>
      <c r="Y182" s="32"/>
      <c r="Z182" s="28"/>
      <c r="AA182" s="36"/>
    </row>
    <row r="183" spans="1:27" ht="13">
      <c r="A183" s="35" t="s">
        <v>449</v>
      </c>
      <c r="B183" s="28"/>
      <c r="C183" s="29">
        <v>120</v>
      </c>
      <c r="D183" s="30">
        <f t="shared" si="1"/>
        <v>-340</v>
      </c>
      <c r="E183" s="41"/>
      <c r="F183" s="32"/>
      <c r="G183" s="28"/>
      <c r="H183" s="32" t="s">
        <v>410</v>
      </c>
      <c r="I183" s="33" t="s">
        <v>411</v>
      </c>
      <c r="J183" s="32"/>
      <c r="K183" s="28">
        <f>IFERROR(VLOOKUP(L183,Ingredients!A:B,2,FALSE),"")</f>
        <v>400</v>
      </c>
      <c r="L183" s="34" t="s">
        <v>450</v>
      </c>
      <c r="M183" s="32" t="s">
        <v>89</v>
      </c>
      <c r="N183" s="28">
        <f>IFERROR(VLOOKUP(O183,Ingredients!$A:$B,2,FALSE),"")</f>
        <v>60</v>
      </c>
      <c r="O183" s="34" t="s">
        <v>451</v>
      </c>
      <c r="P183" s="32" t="s">
        <v>87</v>
      </c>
      <c r="Q183" s="28"/>
      <c r="R183" s="35"/>
      <c r="S183" s="32"/>
      <c r="T183" s="28"/>
      <c r="U183" s="35"/>
      <c r="V183" s="32"/>
      <c r="W183" s="28"/>
      <c r="X183" s="35"/>
      <c r="Y183" s="32"/>
      <c r="Z183" s="28"/>
      <c r="AA183" s="36"/>
    </row>
    <row r="184" spans="1:27" ht="13">
      <c r="A184" t="s">
        <v>452</v>
      </c>
      <c r="B184" s="28"/>
      <c r="C184" s="29">
        <v>500</v>
      </c>
      <c r="D184" s="30">
        <f t="shared" si="1"/>
        <v>-500</v>
      </c>
      <c r="F184" s="32"/>
      <c r="G184" s="28"/>
      <c r="H184" s="32" t="s">
        <v>410</v>
      </c>
      <c r="I184" s="33" t="s">
        <v>411</v>
      </c>
      <c r="J184" s="32"/>
      <c r="K184" s="28">
        <f>IFERROR(VLOOKUP(L184,Ingredients!A:B,2,FALSE),"")</f>
        <v>500</v>
      </c>
      <c r="L184" s="34" t="s">
        <v>442</v>
      </c>
      <c r="M184" s="32" t="s">
        <v>89</v>
      </c>
      <c r="N184" s="28">
        <f>IFERROR(VLOOKUP(O184,Ingredients!$A:$B,2,FALSE),"")</f>
        <v>500</v>
      </c>
      <c r="O184" s="34" t="s">
        <v>453</v>
      </c>
      <c r="P184" s="32" t="s">
        <v>87</v>
      </c>
      <c r="Q184" s="28"/>
      <c r="R184" s="35"/>
      <c r="S184" s="32"/>
      <c r="T184" s="28"/>
      <c r="U184" s="35"/>
      <c r="V184" s="32"/>
      <c r="W184" s="28"/>
      <c r="X184" s="35"/>
      <c r="Y184" s="32"/>
      <c r="Z184" s="28"/>
      <c r="AA184" s="36"/>
    </row>
    <row r="185" spans="1:27" ht="13">
      <c r="A185" t="s">
        <v>452</v>
      </c>
      <c r="B185" s="28"/>
      <c r="C185" s="29">
        <v>500</v>
      </c>
      <c r="D185" s="30">
        <f t="shared" si="1"/>
        <v>-120</v>
      </c>
      <c r="F185" s="32"/>
      <c r="G185" s="28"/>
      <c r="H185" s="32" t="s">
        <v>410</v>
      </c>
      <c r="I185" s="33" t="s">
        <v>411</v>
      </c>
      <c r="J185" s="32"/>
      <c r="K185" s="28">
        <f>IFERROR(VLOOKUP(L185,Ingredients!A:B,2,FALSE),"")</f>
        <v>500</v>
      </c>
      <c r="L185" s="34" t="s">
        <v>442</v>
      </c>
      <c r="M185" s="32" t="s">
        <v>89</v>
      </c>
      <c r="N185" s="28">
        <f>IFERROR(VLOOKUP(O185,Ingredients!$A:$B,2,FALSE),"")</f>
        <v>120</v>
      </c>
      <c r="O185" s="34" t="s">
        <v>454</v>
      </c>
      <c r="P185" s="32" t="s">
        <v>87</v>
      </c>
      <c r="Q185" s="28"/>
      <c r="R185" s="35"/>
      <c r="S185" s="32"/>
      <c r="T185" s="28"/>
      <c r="U185" s="35"/>
      <c r="V185" s="32"/>
      <c r="W185" s="28"/>
      <c r="X185" s="35"/>
      <c r="Y185" s="32"/>
      <c r="Z185" s="28"/>
      <c r="AA185" s="36"/>
    </row>
    <row r="186" spans="1:27" ht="13">
      <c r="A186" t="s">
        <v>452</v>
      </c>
      <c r="B186" s="28"/>
      <c r="C186" s="29">
        <v>500</v>
      </c>
      <c r="D186" s="30">
        <f t="shared" si="1"/>
        <v>-120</v>
      </c>
      <c r="F186" s="32"/>
      <c r="G186" s="28"/>
      <c r="H186" s="32" t="s">
        <v>410</v>
      </c>
      <c r="I186" s="33" t="s">
        <v>411</v>
      </c>
      <c r="J186" s="32"/>
      <c r="K186" s="28">
        <f>IFERROR(VLOOKUP(L186,Ingredients!A:B,2,FALSE),"")</f>
        <v>120</v>
      </c>
      <c r="L186" s="34" t="s">
        <v>443</v>
      </c>
      <c r="M186" s="32" t="s">
        <v>89</v>
      </c>
      <c r="N186" s="28">
        <f>IFERROR(VLOOKUP(O186,Ingredients!$A:$B,2,FALSE),"")</f>
        <v>500</v>
      </c>
      <c r="O186" s="34" t="s">
        <v>453</v>
      </c>
      <c r="P186" s="32" t="s">
        <v>87</v>
      </c>
      <c r="Q186" s="28"/>
      <c r="R186" s="35"/>
      <c r="S186" s="32"/>
      <c r="T186" s="28"/>
      <c r="U186" s="35"/>
      <c r="V186" s="32"/>
      <c r="W186" s="28"/>
      <c r="X186" s="35"/>
      <c r="Y186" s="32"/>
      <c r="Z186" s="28"/>
      <c r="AA186" s="36"/>
    </row>
    <row r="187" spans="1:27" ht="13">
      <c r="A187" s="27" t="s">
        <v>455</v>
      </c>
      <c r="B187" s="28"/>
      <c r="C187" s="29">
        <v>120</v>
      </c>
      <c r="D187" s="30">
        <f t="shared" si="1"/>
        <v>-190</v>
      </c>
      <c r="E187" s="41"/>
      <c r="F187" s="32"/>
      <c r="G187" s="28"/>
      <c r="H187" s="32" t="s">
        <v>410</v>
      </c>
      <c r="I187" s="33" t="s">
        <v>411</v>
      </c>
      <c r="J187" s="32"/>
      <c r="K187" s="28">
        <f>IFERROR(VLOOKUP(L187,Ingredients!A:B,2,FALSE),"")</f>
        <v>250</v>
      </c>
      <c r="L187" s="34" t="s">
        <v>434</v>
      </c>
      <c r="M187" s="32" t="s">
        <v>89</v>
      </c>
      <c r="N187" s="28">
        <f>IFERROR(VLOOKUP(O187,Ingredients!$A:$B,2,FALSE),"")</f>
        <v>60</v>
      </c>
      <c r="O187" s="34" t="s">
        <v>456</v>
      </c>
      <c r="P187" s="32" t="s">
        <v>87</v>
      </c>
      <c r="Q187" s="28"/>
      <c r="R187" s="35"/>
      <c r="S187" s="32"/>
      <c r="T187" s="28"/>
      <c r="U187" s="35"/>
      <c r="V187" s="32"/>
      <c r="W187" s="28"/>
      <c r="X187" s="35"/>
      <c r="Y187" s="32"/>
      <c r="Z187" s="28"/>
      <c r="AA187" s="36"/>
    </row>
    <row r="188" spans="1:27" ht="13">
      <c r="A188" s="35" t="s">
        <v>457</v>
      </c>
      <c r="B188" s="28"/>
      <c r="C188" s="29">
        <v>500</v>
      </c>
      <c r="D188" s="30">
        <f t="shared" si="1"/>
        <v>-10</v>
      </c>
      <c r="E188" s="41"/>
      <c r="F188" s="32"/>
      <c r="G188" s="28"/>
      <c r="H188" s="32" t="s">
        <v>410</v>
      </c>
      <c r="I188" s="33" t="s">
        <v>411</v>
      </c>
      <c r="J188" s="32"/>
      <c r="K188" s="28">
        <f>IFERROR(VLOOKUP(L188,Ingredients!A:B,2,FALSE),"")</f>
        <v>250</v>
      </c>
      <c r="L188" s="34" t="s">
        <v>434</v>
      </c>
      <c r="M188" s="32" t="s">
        <v>89</v>
      </c>
      <c r="N188" s="28">
        <f>IFERROR(VLOOKUP(O188,Ingredients!$A:$B,2,FALSE),"")</f>
        <v>260</v>
      </c>
      <c r="O188" s="34" t="s">
        <v>458</v>
      </c>
      <c r="P188" s="32" t="s">
        <v>87</v>
      </c>
      <c r="Q188" s="28"/>
      <c r="R188" s="35"/>
      <c r="S188" s="32"/>
      <c r="T188" s="28"/>
      <c r="U188" s="35"/>
      <c r="V188" s="32"/>
      <c r="W188" s="28"/>
      <c r="X188" s="35"/>
      <c r="Y188" s="32"/>
      <c r="Z188" s="28"/>
      <c r="AA188" s="36"/>
    </row>
    <row r="189" spans="1:27" ht="13">
      <c r="A189" s="27" t="s">
        <v>459</v>
      </c>
      <c r="B189" s="28"/>
      <c r="C189" s="29">
        <v>190</v>
      </c>
      <c r="D189" s="30">
        <f t="shared" si="1"/>
        <v>-50</v>
      </c>
      <c r="E189" s="41"/>
      <c r="F189" s="32"/>
      <c r="G189" s="28"/>
      <c r="H189" s="32" t="s">
        <v>410</v>
      </c>
      <c r="I189" s="33" t="s">
        <v>411</v>
      </c>
      <c r="J189" s="32"/>
      <c r="K189" s="28">
        <f>IFERROR(VLOOKUP(L189,Ingredients!A:B,2,FALSE),"")</f>
        <v>120</v>
      </c>
      <c r="L189" s="34" t="s">
        <v>448</v>
      </c>
      <c r="M189" s="32" t="s">
        <v>89</v>
      </c>
      <c r="N189" s="28">
        <f>IFERROR(VLOOKUP(O189,Ingredients!$A:$B,2,FALSE),"")</f>
        <v>120</v>
      </c>
      <c r="O189" s="34" t="s">
        <v>460</v>
      </c>
      <c r="P189" s="32" t="s">
        <v>87</v>
      </c>
      <c r="Q189" s="28"/>
      <c r="R189" s="35"/>
      <c r="S189" s="32"/>
      <c r="T189" s="28"/>
      <c r="U189" s="35"/>
      <c r="V189" s="32"/>
      <c r="W189" s="28"/>
      <c r="X189" s="35"/>
      <c r="Y189" s="32"/>
      <c r="Z189" s="28"/>
      <c r="AA189" s="36"/>
    </row>
    <row r="190" spans="1:27" ht="13">
      <c r="A190" s="35" t="s">
        <v>461</v>
      </c>
      <c r="B190" s="28"/>
      <c r="C190" s="29">
        <v>120</v>
      </c>
      <c r="D190" s="30">
        <f t="shared" si="1"/>
        <v>-200</v>
      </c>
      <c r="E190" s="41"/>
      <c r="F190" s="32"/>
      <c r="G190" s="28"/>
      <c r="H190" s="32" t="s">
        <v>410</v>
      </c>
      <c r="I190" s="33" t="s">
        <v>411</v>
      </c>
      <c r="J190" s="32"/>
      <c r="K190" s="28">
        <f>IFERROR(VLOOKUP(L190,Ingredients!A:B,2,FALSE),"")</f>
        <v>250</v>
      </c>
      <c r="L190" s="34" t="s">
        <v>462</v>
      </c>
      <c r="M190" s="32" t="s">
        <v>89</v>
      </c>
      <c r="N190" s="28">
        <f>IFERROR(VLOOKUP(O190,Ingredients!$A:$B,2,FALSE),"")</f>
        <v>70</v>
      </c>
      <c r="O190" s="34" t="s">
        <v>463</v>
      </c>
      <c r="P190" s="32" t="s">
        <v>87</v>
      </c>
      <c r="Q190" s="28"/>
      <c r="R190" s="35"/>
      <c r="S190" s="32"/>
      <c r="T190" s="28"/>
      <c r="U190" s="35"/>
      <c r="V190" s="32"/>
      <c r="W190" s="28"/>
      <c r="X190" s="35"/>
      <c r="Y190" s="32"/>
      <c r="Z190" s="28"/>
      <c r="AA190" s="36"/>
    </row>
    <row r="191" spans="1:27" ht="13">
      <c r="A191" s="35" t="s">
        <v>464</v>
      </c>
      <c r="B191" s="28"/>
      <c r="C191" s="29">
        <v>1400</v>
      </c>
      <c r="D191" s="30">
        <f t="shared" si="1"/>
        <v>1000</v>
      </c>
      <c r="E191" s="41"/>
      <c r="F191" s="32"/>
      <c r="G191" s="28"/>
      <c r="H191" s="32" t="s">
        <v>410</v>
      </c>
      <c r="I191" s="33" t="s">
        <v>411</v>
      </c>
      <c r="J191" s="32"/>
      <c r="K191" s="28">
        <f>IFERROR(VLOOKUP(L191,Ingredients!A:B,2,FALSE),"")</f>
        <v>400</v>
      </c>
      <c r="L191" s="34" t="s">
        <v>465</v>
      </c>
      <c r="M191" s="32" t="s">
        <v>89</v>
      </c>
      <c r="N191" s="28">
        <f>IFERROR(VLOOKUP(O191,Ingredients!$A:$B,2,FALSE),"")</f>
        <v>0</v>
      </c>
      <c r="O191" s="34" t="s">
        <v>466</v>
      </c>
      <c r="P191" s="32" t="s">
        <v>87</v>
      </c>
      <c r="Q191" s="28"/>
      <c r="R191" s="35"/>
      <c r="S191" s="32"/>
      <c r="T191" s="28"/>
      <c r="U191" s="35"/>
      <c r="V191" s="32"/>
      <c r="W191" s="28"/>
      <c r="X191" s="35"/>
      <c r="Y191" s="32"/>
      <c r="Z191" s="28"/>
      <c r="AA191" s="36"/>
    </row>
    <row r="192" spans="1:27" ht="13">
      <c r="A192" s="35" t="s">
        <v>467</v>
      </c>
      <c r="B192" s="28"/>
      <c r="C192" s="29">
        <v>800</v>
      </c>
      <c r="D192" s="30">
        <f t="shared" si="1"/>
        <v>140</v>
      </c>
      <c r="E192" s="41"/>
      <c r="F192" s="32"/>
      <c r="G192" s="28"/>
      <c r="H192" s="32" t="s">
        <v>410</v>
      </c>
      <c r="I192" s="33" t="s">
        <v>411</v>
      </c>
      <c r="J192" s="32"/>
      <c r="K192" s="28">
        <f>IFERROR(VLOOKUP(L192,Ingredients!A:B,2,FALSE),"")</f>
        <v>400</v>
      </c>
      <c r="L192" s="34" t="s">
        <v>450</v>
      </c>
      <c r="M192" s="32" t="s">
        <v>89</v>
      </c>
      <c r="N192" s="28">
        <f>IFERROR(VLOOKUP(O192,Ingredients!$A:$B,2,FALSE),"")</f>
        <v>260</v>
      </c>
      <c r="O192" s="34" t="s">
        <v>468</v>
      </c>
      <c r="P192" s="32" t="s">
        <v>87</v>
      </c>
      <c r="Q192" s="28"/>
      <c r="R192" s="35"/>
      <c r="S192" s="32"/>
      <c r="T192" s="28"/>
      <c r="U192" s="35"/>
      <c r="V192" s="32"/>
      <c r="W192" s="28"/>
      <c r="X192" s="35"/>
      <c r="Y192" s="32"/>
      <c r="Z192" s="28"/>
      <c r="AA192" s="36"/>
    </row>
    <row r="193" spans="1:27" ht="13">
      <c r="A193" s="35" t="s">
        <v>469</v>
      </c>
      <c r="B193" s="28"/>
      <c r="C193" s="29">
        <v>120</v>
      </c>
      <c r="D193" s="30">
        <f t="shared" si="1"/>
        <v>-230</v>
      </c>
      <c r="E193" s="41"/>
      <c r="F193" s="32"/>
      <c r="G193" s="28"/>
      <c r="H193" s="32" t="s">
        <v>410</v>
      </c>
      <c r="I193" s="33" t="s">
        <v>411</v>
      </c>
      <c r="J193" s="32"/>
      <c r="K193" s="28">
        <f>IFERROR(VLOOKUP(L193,Ingredients!A:B,2,FALSE),"")</f>
        <v>250</v>
      </c>
      <c r="L193" s="34" t="s">
        <v>462</v>
      </c>
      <c r="M193" s="32" t="s">
        <v>89</v>
      </c>
      <c r="N193" s="28">
        <f>IFERROR(VLOOKUP(O193,Ingredients!$A:$B,2,FALSE),"")</f>
        <v>100</v>
      </c>
      <c r="O193" s="34" t="s">
        <v>470</v>
      </c>
      <c r="P193" s="32" t="s">
        <v>87</v>
      </c>
      <c r="Q193" s="28"/>
      <c r="R193" s="35"/>
      <c r="S193" s="32"/>
      <c r="T193" s="28"/>
      <c r="U193" s="35"/>
      <c r="V193" s="32"/>
      <c r="W193" s="28"/>
      <c r="X193" s="35"/>
      <c r="Y193" s="32"/>
      <c r="Z193" s="28"/>
      <c r="AA193" s="36"/>
    </row>
    <row r="194" spans="1:27" ht="13">
      <c r="A194" s="35" t="s">
        <v>471</v>
      </c>
      <c r="B194" s="28"/>
      <c r="C194" s="29">
        <v>120</v>
      </c>
      <c r="D194" s="30">
        <f t="shared" si="1"/>
        <v>-200</v>
      </c>
      <c r="E194" s="41"/>
      <c r="F194" s="32"/>
      <c r="G194" s="28"/>
      <c r="H194" s="32" t="s">
        <v>410</v>
      </c>
      <c r="I194" s="33" t="s">
        <v>411</v>
      </c>
      <c r="J194" s="32"/>
      <c r="K194" s="28">
        <f>IFERROR(VLOOKUP(L194,Ingredients!A:B,2,FALSE),"")</f>
        <v>250</v>
      </c>
      <c r="L194" s="34" t="s">
        <v>462</v>
      </c>
      <c r="M194" s="32" t="s">
        <v>89</v>
      </c>
      <c r="N194" s="28">
        <f>IFERROR(VLOOKUP(O194,Ingredients!$A:$B,2,FALSE),"")</f>
        <v>70</v>
      </c>
      <c r="O194" s="34" t="s">
        <v>472</v>
      </c>
      <c r="P194" s="32" t="s">
        <v>87</v>
      </c>
      <c r="Q194" s="28"/>
      <c r="R194" s="35"/>
      <c r="S194" s="32"/>
      <c r="T194" s="28"/>
      <c r="U194" s="35"/>
      <c r="V194" s="32"/>
      <c r="W194" s="28"/>
      <c r="X194" s="35"/>
      <c r="Y194" s="32"/>
      <c r="Z194" s="28"/>
      <c r="AA194" s="36"/>
    </row>
    <row r="195" spans="1:27" ht="13">
      <c r="A195" t="s">
        <v>473</v>
      </c>
      <c r="B195" s="28"/>
      <c r="C195" s="29">
        <v>190</v>
      </c>
      <c r="D195" s="30">
        <f t="shared" si="1"/>
        <v>-50</v>
      </c>
      <c r="F195" s="32"/>
      <c r="G195" s="28"/>
      <c r="H195" s="32" t="s">
        <v>410</v>
      </c>
      <c r="I195" s="33" t="s">
        <v>411</v>
      </c>
      <c r="J195" s="32"/>
      <c r="K195" s="28">
        <f>IFERROR(VLOOKUP(L195,Ingredients!A:B,2,FALSE),"")</f>
        <v>120</v>
      </c>
      <c r="L195" s="34" t="s">
        <v>443</v>
      </c>
      <c r="M195" s="32" t="s">
        <v>89</v>
      </c>
      <c r="N195" s="28">
        <f>IFERROR(VLOOKUP(O195,Ingredients!$A:$B,2,FALSE),"")</f>
        <v>120</v>
      </c>
      <c r="O195" s="34" t="s">
        <v>460</v>
      </c>
      <c r="P195" s="32" t="s">
        <v>87</v>
      </c>
      <c r="Q195" s="28"/>
      <c r="R195" s="35"/>
      <c r="S195" s="32"/>
      <c r="T195" s="28"/>
      <c r="U195" s="35"/>
      <c r="V195" s="32"/>
      <c r="W195" s="28"/>
      <c r="X195" s="35"/>
      <c r="Y195" s="32"/>
      <c r="Z195" s="28"/>
      <c r="AA195" s="36"/>
    </row>
    <row r="196" spans="1:27" ht="13">
      <c r="A196" s="35" t="s">
        <v>474</v>
      </c>
      <c r="B196" s="28"/>
      <c r="C196" s="29">
        <v>750</v>
      </c>
      <c r="D196" s="30">
        <f t="shared" si="1"/>
        <v>0</v>
      </c>
      <c r="E196" s="41"/>
      <c r="F196" s="32"/>
      <c r="G196" s="28"/>
      <c r="H196" s="32" t="s">
        <v>410</v>
      </c>
      <c r="I196" s="33" t="s">
        <v>411</v>
      </c>
      <c r="J196" s="32"/>
      <c r="K196" s="28">
        <f>IFERROR(VLOOKUP(L196,Ingredients!A:B,2,FALSE),"")</f>
        <v>400</v>
      </c>
      <c r="L196" s="34" t="s">
        <v>450</v>
      </c>
      <c r="M196" s="32" t="s">
        <v>89</v>
      </c>
      <c r="N196" s="28">
        <f>IFERROR(VLOOKUP(O196,Ingredients!$A:$B,2,FALSE),"")</f>
        <v>350</v>
      </c>
      <c r="O196" s="34" t="s">
        <v>475</v>
      </c>
      <c r="P196" s="32" t="s">
        <v>87</v>
      </c>
      <c r="Q196" s="28"/>
      <c r="R196" s="35"/>
      <c r="S196" s="32"/>
      <c r="T196" s="28"/>
      <c r="U196" s="35"/>
      <c r="V196" s="32"/>
      <c r="W196" s="28"/>
      <c r="X196" s="35"/>
      <c r="Y196" s="32"/>
      <c r="Z196" s="28"/>
      <c r="AA196" s="36"/>
    </row>
    <row r="197" spans="1:27" ht="13">
      <c r="A197" s="35" t="s">
        <v>476</v>
      </c>
      <c r="B197" s="28"/>
      <c r="C197" s="29">
        <v>120</v>
      </c>
      <c r="D197" s="30">
        <f t="shared" si="1"/>
        <v>-130</v>
      </c>
      <c r="E197" s="41"/>
      <c r="F197" s="32"/>
      <c r="G197" s="28"/>
      <c r="H197" s="32" t="s">
        <v>410</v>
      </c>
      <c r="I197" s="33" t="s">
        <v>411</v>
      </c>
      <c r="J197" s="32"/>
      <c r="K197" s="28">
        <f>IFERROR(VLOOKUP(L197,Ingredients!A:B,2,FALSE),"")</f>
        <v>250</v>
      </c>
      <c r="L197" s="34" t="s">
        <v>477</v>
      </c>
      <c r="M197" s="32" t="s">
        <v>89</v>
      </c>
      <c r="N197" s="28">
        <f>IFERROR(VLOOKUP(O197,Ingredients!$A:$B,2,FALSE),"")</f>
        <v>0</v>
      </c>
      <c r="O197" s="34" t="s">
        <v>478</v>
      </c>
      <c r="P197" s="32" t="s">
        <v>87</v>
      </c>
      <c r="Q197" s="28"/>
      <c r="R197" s="35"/>
      <c r="S197" s="32"/>
      <c r="T197" s="28"/>
      <c r="U197" s="35"/>
      <c r="V197" s="32"/>
      <c r="W197" s="28"/>
      <c r="X197" s="35"/>
      <c r="Y197" s="32"/>
      <c r="Z197" s="28"/>
      <c r="AA197" s="36"/>
    </row>
    <row r="198" spans="1:27" ht="13">
      <c r="A198" s="35" t="s">
        <v>479</v>
      </c>
      <c r="B198" s="28"/>
      <c r="C198" s="29">
        <v>120</v>
      </c>
      <c r="D198" s="30">
        <f t="shared" si="1"/>
        <v>-190</v>
      </c>
      <c r="E198" s="41"/>
      <c r="F198" s="32"/>
      <c r="G198" s="28"/>
      <c r="H198" s="32" t="s">
        <v>410</v>
      </c>
      <c r="I198" s="33" t="s">
        <v>411</v>
      </c>
      <c r="J198" s="32"/>
      <c r="K198" s="28">
        <f>IFERROR(VLOOKUP(L198,Ingredients!A:B,2,FALSE),"")</f>
        <v>250</v>
      </c>
      <c r="L198" s="34" t="s">
        <v>431</v>
      </c>
      <c r="M198" s="32" t="s">
        <v>89</v>
      </c>
      <c r="N198" s="28">
        <f>IFERROR(VLOOKUP(O198,Ingredients!$A:$B,2,FALSE),"")</f>
        <v>60</v>
      </c>
      <c r="O198" s="34" t="s">
        <v>480</v>
      </c>
      <c r="P198" s="32" t="s">
        <v>87</v>
      </c>
      <c r="Q198" s="28"/>
      <c r="R198" s="35"/>
      <c r="S198" s="32"/>
      <c r="T198" s="28"/>
      <c r="U198" s="35"/>
      <c r="V198" s="32"/>
      <c r="W198" s="28"/>
      <c r="X198" s="35"/>
      <c r="Y198" s="32"/>
      <c r="Z198" s="28"/>
      <c r="AA198" s="36"/>
    </row>
    <row r="199" spans="1:27" ht="13">
      <c r="A199" t="s">
        <v>481</v>
      </c>
      <c r="B199" s="28"/>
      <c r="C199" s="29">
        <v>190</v>
      </c>
      <c r="D199" s="30">
        <f t="shared" si="1"/>
        <v>-50</v>
      </c>
      <c r="F199" s="32"/>
      <c r="G199" s="28"/>
      <c r="H199" s="32" t="s">
        <v>410</v>
      </c>
      <c r="I199" s="33" t="s">
        <v>411</v>
      </c>
      <c r="J199" s="32"/>
      <c r="K199" s="28">
        <f>IFERROR(VLOOKUP(L199,Ingredients!A:B,2,FALSE),"")</f>
        <v>120</v>
      </c>
      <c r="L199" s="34" t="s">
        <v>439</v>
      </c>
      <c r="M199" s="32" t="s">
        <v>89</v>
      </c>
      <c r="N199" s="28">
        <f>IFERROR(VLOOKUP(O199,Ingredients!$A:$B,2,FALSE),"")</f>
        <v>120</v>
      </c>
      <c r="O199" s="34" t="s">
        <v>454</v>
      </c>
      <c r="P199" s="32" t="s">
        <v>87</v>
      </c>
      <c r="Q199" s="28"/>
      <c r="R199" s="35"/>
      <c r="S199" s="32"/>
      <c r="T199" s="28"/>
      <c r="U199" s="35"/>
      <c r="V199" s="32"/>
      <c r="W199" s="28"/>
      <c r="X199" s="35"/>
      <c r="Y199" s="32"/>
      <c r="Z199" s="28"/>
      <c r="AA199" s="36"/>
    </row>
    <row r="200" spans="1:27" ht="13">
      <c r="A200" t="s">
        <v>482</v>
      </c>
      <c r="B200" s="28"/>
      <c r="C200" s="29">
        <v>500</v>
      </c>
      <c r="D200" s="30">
        <f t="shared" si="1"/>
        <v>-500</v>
      </c>
      <c r="F200" s="32"/>
      <c r="G200" s="28"/>
      <c r="H200" s="32" t="s">
        <v>410</v>
      </c>
      <c r="I200" s="33" t="s">
        <v>411</v>
      </c>
      <c r="J200" s="32"/>
      <c r="K200" s="28">
        <f>IFERROR(VLOOKUP(L200,Ingredients!A:B,2,FALSE),"")</f>
        <v>500</v>
      </c>
      <c r="L200" s="34" t="s">
        <v>412</v>
      </c>
      <c r="M200" s="32" t="s">
        <v>89</v>
      </c>
      <c r="N200" s="28">
        <f>IFERROR(VLOOKUP(O200,Ingredients!$A:$B,2,FALSE),"")</f>
        <v>500</v>
      </c>
      <c r="O200" s="34" t="s">
        <v>453</v>
      </c>
      <c r="P200" s="32" t="s">
        <v>87</v>
      </c>
      <c r="Q200" s="28"/>
      <c r="R200" s="35"/>
      <c r="S200" s="32"/>
      <c r="T200" s="28"/>
      <c r="U200" s="35"/>
      <c r="V200" s="32"/>
      <c r="W200" s="28"/>
      <c r="X200" s="35"/>
      <c r="Y200" s="32"/>
      <c r="Z200" s="28"/>
      <c r="AA200" s="36"/>
    </row>
    <row r="201" spans="1:27" ht="13">
      <c r="A201" t="s">
        <v>482</v>
      </c>
      <c r="B201" s="28"/>
      <c r="C201" s="29">
        <v>500</v>
      </c>
      <c r="D201" s="30">
        <f t="shared" si="1"/>
        <v>-120</v>
      </c>
      <c r="F201" s="32"/>
      <c r="G201" s="28"/>
      <c r="H201" s="32" t="s">
        <v>410</v>
      </c>
      <c r="I201" s="33" t="s">
        <v>411</v>
      </c>
      <c r="J201" s="32"/>
      <c r="K201" s="28">
        <f>IFERROR(VLOOKUP(L201,Ingredients!A:B,2,FALSE),"")</f>
        <v>500</v>
      </c>
      <c r="L201" s="34" t="s">
        <v>412</v>
      </c>
      <c r="M201" s="32" t="s">
        <v>89</v>
      </c>
      <c r="N201" s="28">
        <f>IFERROR(VLOOKUP(O201,Ingredients!$A:$B,2,FALSE),"")</f>
        <v>120</v>
      </c>
      <c r="O201" s="34" t="s">
        <v>454</v>
      </c>
      <c r="P201" s="32" t="s">
        <v>87</v>
      </c>
      <c r="Q201" s="28"/>
      <c r="R201" s="35"/>
      <c r="S201" s="32"/>
      <c r="T201" s="28"/>
      <c r="U201" s="35"/>
      <c r="V201" s="32"/>
      <c r="W201" s="28"/>
      <c r="X201" s="35"/>
      <c r="Y201" s="32"/>
      <c r="Z201" s="28"/>
      <c r="AA201" s="36"/>
    </row>
    <row r="202" spans="1:27" ht="13">
      <c r="A202" t="s">
        <v>482</v>
      </c>
      <c r="B202" s="28"/>
      <c r="C202" s="29">
        <v>500</v>
      </c>
      <c r="D202" s="30">
        <f t="shared" si="1"/>
        <v>-120</v>
      </c>
      <c r="F202" s="32"/>
      <c r="G202" s="28"/>
      <c r="H202" s="32" t="s">
        <v>410</v>
      </c>
      <c r="I202" s="33" t="s">
        <v>411</v>
      </c>
      <c r="J202" s="32"/>
      <c r="K202" s="28">
        <f>IFERROR(VLOOKUP(L202,Ingredients!A:B,2,FALSE),"")</f>
        <v>120</v>
      </c>
      <c r="L202" s="34" t="s">
        <v>415</v>
      </c>
      <c r="M202" s="32" t="s">
        <v>89</v>
      </c>
      <c r="N202" s="28">
        <f>IFERROR(VLOOKUP(O202,Ingredients!$A:$B,2,FALSE),"")</f>
        <v>500</v>
      </c>
      <c r="O202" s="34" t="s">
        <v>453</v>
      </c>
      <c r="P202" s="32" t="s">
        <v>87</v>
      </c>
      <c r="Q202" s="28"/>
      <c r="R202" s="35"/>
      <c r="S202" s="32"/>
      <c r="T202" s="28"/>
      <c r="U202" s="35"/>
      <c r="V202" s="32"/>
      <c r="W202" s="28"/>
      <c r="X202" s="35"/>
      <c r="Y202" s="32"/>
      <c r="Z202" s="28"/>
      <c r="AA202" s="36"/>
    </row>
    <row r="203" spans="1:27" ht="13">
      <c r="A203" t="s">
        <v>482</v>
      </c>
      <c r="B203" s="28"/>
      <c r="C203" s="29">
        <v>500</v>
      </c>
      <c r="D203" s="30">
        <f t="shared" si="1"/>
        <v>260</v>
      </c>
      <c r="F203" s="32"/>
      <c r="G203" s="28"/>
      <c r="H203" s="32" t="s">
        <v>410</v>
      </c>
      <c r="I203" s="33" t="s">
        <v>411</v>
      </c>
      <c r="J203" s="32"/>
      <c r="K203" s="28">
        <f>IFERROR(VLOOKUP(L203,Ingredients!A:B,2,FALSE),"")</f>
        <v>120</v>
      </c>
      <c r="L203" s="34" t="s">
        <v>415</v>
      </c>
      <c r="M203" s="32" t="s">
        <v>89</v>
      </c>
      <c r="N203" s="28">
        <f>IFERROR(VLOOKUP(O203,Ingredients!$A:$B,2,FALSE),"")</f>
        <v>120</v>
      </c>
      <c r="O203" s="34" t="s">
        <v>454</v>
      </c>
      <c r="P203" s="32" t="s">
        <v>87</v>
      </c>
      <c r="Q203" s="28"/>
      <c r="R203" s="35"/>
      <c r="S203" s="32"/>
      <c r="T203" s="28"/>
      <c r="U203" s="35"/>
      <c r="V203" s="32"/>
      <c r="W203" s="28"/>
      <c r="X203" s="35"/>
      <c r="Y203" s="32"/>
      <c r="Z203" s="28"/>
      <c r="AA203" s="36"/>
    </row>
    <row r="204" spans="1:27" ht="13">
      <c r="A204" s="35" t="s">
        <v>483</v>
      </c>
      <c r="B204" s="28"/>
      <c r="C204" s="29">
        <v>500</v>
      </c>
      <c r="D204" s="30">
        <f t="shared" si="1"/>
        <v>250</v>
      </c>
      <c r="E204" s="41"/>
      <c r="F204" s="32"/>
      <c r="G204" s="28"/>
      <c r="H204" s="32" t="s">
        <v>410</v>
      </c>
      <c r="I204" s="33" t="s">
        <v>411</v>
      </c>
      <c r="J204" s="32"/>
      <c r="K204" s="28">
        <f>IFERROR(VLOOKUP(L204,Ingredients!A:B,2,FALSE),"")</f>
        <v>250</v>
      </c>
      <c r="L204" s="34" t="s">
        <v>426</v>
      </c>
      <c r="M204" s="32" t="s">
        <v>89</v>
      </c>
      <c r="N204" s="28">
        <f>IFERROR(VLOOKUP(O204,Ingredients!$A:$B,2,FALSE),"")</f>
        <v>0</v>
      </c>
      <c r="O204" s="34" t="s">
        <v>484</v>
      </c>
      <c r="P204" s="32" t="s">
        <v>87</v>
      </c>
      <c r="Q204" s="28"/>
      <c r="R204" s="35"/>
      <c r="S204" s="32"/>
      <c r="T204" s="28"/>
      <c r="U204" s="35"/>
      <c r="V204" s="32"/>
      <c r="W204" s="28"/>
      <c r="X204" s="35"/>
      <c r="Y204" s="32"/>
      <c r="Z204" s="28"/>
      <c r="AA204" s="36"/>
    </row>
    <row r="205" spans="1:27" ht="13">
      <c r="A205" t="s">
        <v>485</v>
      </c>
      <c r="B205" s="28"/>
      <c r="C205" s="29">
        <v>190</v>
      </c>
      <c r="D205" s="30">
        <f t="shared" si="1"/>
        <v>-50</v>
      </c>
      <c r="F205" s="32"/>
      <c r="G205" s="28"/>
      <c r="H205" s="32" t="s">
        <v>410</v>
      </c>
      <c r="I205" s="33" t="s">
        <v>411</v>
      </c>
      <c r="J205" s="32"/>
      <c r="K205" s="28">
        <f>IFERROR(VLOOKUP(L205,Ingredients!A:B,2,FALSE),"")</f>
        <v>120</v>
      </c>
      <c r="L205" s="34" t="s">
        <v>443</v>
      </c>
      <c r="M205" s="32" t="s">
        <v>89</v>
      </c>
      <c r="N205" s="28">
        <f>IFERROR(VLOOKUP(O205,Ingredients!$A:$B,2,FALSE),"")</f>
        <v>120</v>
      </c>
      <c r="O205" s="34" t="s">
        <v>486</v>
      </c>
      <c r="P205" s="32" t="s">
        <v>87</v>
      </c>
      <c r="Q205" s="28"/>
      <c r="R205" s="35"/>
      <c r="S205" s="32"/>
      <c r="T205" s="28"/>
      <c r="U205" s="35"/>
      <c r="V205" s="32"/>
      <c r="W205" s="28"/>
      <c r="X205" s="35"/>
      <c r="Y205" s="32"/>
      <c r="Z205" s="28"/>
      <c r="AA205" s="36"/>
    </row>
    <row r="206" spans="1:27" ht="13">
      <c r="A206" s="27" t="s">
        <v>487</v>
      </c>
      <c r="B206" s="28"/>
      <c r="C206" s="29">
        <v>500</v>
      </c>
      <c r="D206" s="30">
        <f t="shared" si="1"/>
        <v>-500</v>
      </c>
      <c r="E206" s="41"/>
      <c r="F206" s="32"/>
      <c r="G206" s="28"/>
      <c r="H206" s="32" t="s">
        <v>410</v>
      </c>
      <c r="I206" s="33" t="s">
        <v>411</v>
      </c>
      <c r="J206" s="32"/>
      <c r="K206" s="28">
        <f>IFERROR(VLOOKUP(L206,Ingredients!A:B,2,FALSE),"")</f>
        <v>500</v>
      </c>
      <c r="L206" s="34" t="s">
        <v>445</v>
      </c>
      <c r="M206" s="32" t="s">
        <v>89</v>
      </c>
      <c r="N206" s="28">
        <f>IFERROR(VLOOKUP(O206,Ingredients!$A:$B,2,FALSE),"")</f>
        <v>500</v>
      </c>
      <c r="O206" s="34" t="s">
        <v>413</v>
      </c>
      <c r="P206" s="32" t="s">
        <v>87</v>
      </c>
      <c r="Q206" s="28"/>
      <c r="R206" s="35"/>
      <c r="S206" s="32"/>
      <c r="T206" s="28"/>
      <c r="U206" s="35"/>
      <c r="V206" s="32"/>
      <c r="W206" s="28"/>
      <c r="X206" s="35"/>
      <c r="Y206" s="32"/>
      <c r="Z206" s="28"/>
      <c r="AA206" s="36"/>
    </row>
    <row r="207" spans="1:27" ht="13">
      <c r="A207" s="27" t="s">
        <v>487</v>
      </c>
      <c r="B207" s="28"/>
      <c r="C207" s="29">
        <v>500</v>
      </c>
      <c r="D207" s="30">
        <f t="shared" si="1"/>
        <v>-120</v>
      </c>
      <c r="E207" s="41"/>
      <c r="F207" s="32"/>
      <c r="G207" s="28"/>
      <c r="H207" s="32" t="s">
        <v>410</v>
      </c>
      <c r="I207" s="33" t="s">
        <v>411</v>
      </c>
      <c r="J207" s="32"/>
      <c r="K207" s="28">
        <f>IFERROR(VLOOKUP(L207,Ingredients!A:B,2,FALSE),"")</f>
        <v>500</v>
      </c>
      <c r="L207" s="34" t="s">
        <v>445</v>
      </c>
      <c r="M207" s="32" t="s">
        <v>89</v>
      </c>
      <c r="N207" s="28">
        <f>IFERROR(VLOOKUP(O207,Ingredients!$A:$B,2,FALSE),"")</f>
        <v>120</v>
      </c>
      <c r="O207" s="34" t="s">
        <v>414</v>
      </c>
      <c r="P207" s="32" t="s">
        <v>87</v>
      </c>
      <c r="Q207" s="28"/>
      <c r="R207" s="35"/>
      <c r="S207" s="32"/>
      <c r="T207" s="28"/>
      <c r="U207" s="35"/>
      <c r="V207" s="32"/>
      <c r="W207" s="28"/>
      <c r="X207" s="35"/>
      <c r="Y207" s="32"/>
      <c r="Z207" s="28"/>
      <c r="AA207" s="36"/>
    </row>
    <row r="208" spans="1:27" ht="13">
      <c r="A208" s="27" t="s">
        <v>487</v>
      </c>
      <c r="B208" s="28"/>
      <c r="C208" s="29">
        <v>500</v>
      </c>
      <c r="D208" s="30">
        <f t="shared" si="1"/>
        <v>-120</v>
      </c>
      <c r="E208" s="41"/>
      <c r="F208" s="32"/>
      <c r="G208" s="28"/>
      <c r="H208" s="32" t="s">
        <v>410</v>
      </c>
      <c r="I208" s="33" t="s">
        <v>411</v>
      </c>
      <c r="J208" s="32"/>
      <c r="K208" s="28">
        <f>IFERROR(VLOOKUP(L208,Ingredients!A:B,2,FALSE),"")</f>
        <v>120</v>
      </c>
      <c r="L208" s="34" t="s">
        <v>448</v>
      </c>
      <c r="M208" s="32" t="s">
        <v>89</v>
      </c>
      <c r="N208" s="28">
        <f>IFERROR(VLOOKUP(O208,Ingredients!$A:$B,2,FALSE),"")</f>
        <v>500</v>
      </c>
      <c r="O208" s="34" t="s">
        <v>413</v>
      </c>
      <c r="P208" s="32" t="s">
        <v>87</v>
      </c>
      <c r="Q208" s="28"/>
      <c r="R208" s="35"/>
      <c r="S208" s="32"/>
      <c r="T208" s="28"/>
      <c r="U208" s="35"/>
      <c r="V208" s="32"/>
      <c r="W208" s="28"/>
      <c r="X208" s="35"/>
      <c r="Y208" s="32"/>
      <c r="Z208" s="28"/>
      <c r="AA208" s="36"/>
    </row>
    <row r="209" spans="1:27" ht="13">
      <c r="A209" s="35" t="s">
        <v>488</v>
      </c>
      <c r="B209" s="28"/>
      <c r="C209" s="29">
        <v>190</v>
      </c>
      <c r="D209" s="30">
        <f t="shared" si="1"/>
        <v>-60</v>
      </c>
      <c r="E209" s="41"/>
      <c r="F209" s="32"/>
      <c r="G209" s="28"/>
      <c r="H209" s="32" t="s">
        <v>410</v>
      </c>
      <c r="I209" s="33" t="s">
        <v>411</v>
      </c>
      <c r="J209" s="32"/>
      <c r="K209" s="28">
        <f>IFERROR(VLOOKUP(L209,Ingredients!A:B,2,FALSE),"")</f>
        <v>250</v>
      </c>
      <c r="L209" s="34" t="s">
        <v>423</v>
      </c>
      <c r="M209" s="32" t="s">
        <v>89</v>
      </c>
      <c r="N209" s="28">
        <f>IFERROR(VLOOKUP(O209,Ingredients!$A:$B,2,FALSE),"")</f>
        <v>0</v>
      </c>
      <c r="O209" s="34" t="s">
        <v>489</v>
      </c>
      <c r="P209" s="32" t="s">
        <v>87</v>
      </c>
      <c r="Q209" s="28"/>
      <c r="R209" s="35"/>
      <c r="S209" s="32"/>
      <c r="T209" s="28"/>
      <c r="U209" s="35"/>
      <c r="V209" s="32"/>
      <c r="W209" s="28"/>
      <c r="X209" s="35"/>
      <c r="Y209" s="32"/>
      <c r="Z209" s="28"/>
      <c r="AA209" s="36"/>
    </row>
    <row r="210" spans="1:27" ht="13">
      <c r="A210" s="35" t="s">
        <v>490</v>
      </c>
      <c r="B210" s="28"/>
      <c r="C210" s="29">
        <v>190</v>
      </c>
      <c r="D210" s="30">
        <f t="shared" si="1"/>
        <v>-60</v>
      </c>
      <c r="E210" s="41"/>
      <c r="F210" s="32"/>
      <c r="G210" s="28"/>
      <c r="H210" s="32" t="s">
        <v>410</v>
      </c>
      <c r="I210" s="33" t="s">
        <v>411</v>
      </c>
      <c r="J210" s="32"/>
      <c r="K210" s="28">
        <f>IFERROR(VLOOKUP(L210,Ingredients!A:B,2,FALSE),"")</f>
        <v>250</v>
      </c>
      <c r="L210" s="34" t="s">
        <v>434</v>
      </c>
      <c r="M210" s="32" t="s">
        <v>89</v>
      </c>
      <c r="N210" s="28">
        <f>IFERROR(VLOOKUP(O210,Ingredients!$A:$B,2,FALSE),"")</f>
        <v>0</v>
      </c>
      <c r="O210" s="34" t="s">
        <v>491</v>
      </c>
      <c r="P210" s="32" t="s">
        <v>87</v>
      </c>
      <c r="Q210" s="28"/>
      <c r="R210" s="35"/>
      <c r="S210" s="32"/>
      <c r="T210" s="28"/>
      <c r="U210" s="35"/>
      <c r="V210" s="32"/>
      <c r="W210" s="28"/>
      <c r="X210" s="35"/>
      <c r="Y210" s="32"/>
      <c r="Z210" s="28"/>
      <c r="AA210" s="36"/>
    </row>
    <row r="211" spans="1:27" ht="13">
      <c r="A211" s="35" t="s">
        <v>492</v>
      </c>
      <c r="B211" s="28"/>
      <c r="C211" s="29">
        <v>120</v>
      </c>
      <c r="D211" s="30">
        <f t="shared" si="1"/>
        <v>-190</v>
      </c>
      <c r="E211" s="41"/>
      <c r="F211" s="32"/>
      <c r="G211" s="28"/>
      <c r="H211" s="32" t="s">
        <v>410</v>
      </c>
      <c r="I211" s="33" t="s">
        <v>411</v>
      </c>
      <c r="J211" s="32"/>
      <c r="K211" s="28">
        <f>IFERROR(VLOOKUP(L211,Ingredients!A:B,2,FALSE),"")</f>
        <v>250</v>
      </c>
      <c r="L211" s="34" t="s">
        <v>434</v>
      </c>
      <c r="M211" s="32" t="s">
        <v>89</v>
      </c>
      <c r="N211" s="28">
        <f>IFERROR(VLOOKUP(O211,Ingredients!$A:$B,2,FALSE),"")</f>
        <v>60</v>
      </c>
      <c r="O211" s="34" t="s">
        <v>493</v>
      </c>
      <c r="P211" s="32" t="s">
        <v>87</v>
      </c>
      <c r="Q211" s="28"/>
      <c r="R211" s="35"/>
      <c r="S211" s="32"/>
      <c r="T211" s="28"/>
      <c r="U211" s="35"/>
      <c r="V211" s="32"/>
      <c r="W211" s="28"/>
      <c r="X211" s="35"/>
      <c r="Y211" s="32"/>
      <c r="Z211" s="28"/>
      <c r="AA211" s="36"/>
    </row>
    <row r="212" spans="1:27" ht="13">
      <c r="A212" s="27" t="s">
        <v>494</v>
      </c>
      <c r="B212" s="28"/>
      <c r="C212" s="29">
        <v>1400</v>
      </c>
      <c r="D212" s="30">
        <f t="shared" si="1"/>
        <v>650</v>
      </c>
      <c r="E212" s="41"/>
      <c r="F212" s="32"/>
      <c r="G212" s="28"/>
      <c r="H212" s="32" t="s">
        <v>410</v>
      </c>
      <c r="I212" s="33" t="s">
        <v>411</v>
      </c>
      <c r="J212" s="32"/>
      <c r="K212" s="28">
        <f>IFERROR(VLOOKUP(L212,Ingredients!A:B,2,FALSE),"")</f>
        <v>400</v>
      </c>
      <c r="L212" s="34" t="s">
        <v>495</v>
      </c>
      <c r="M212" s="32" t="s">
        <v>89</v>
      </c>
      <c r="N212" s="28">
        <f>IFERROR(VLOOKUP(O212,Ingredients!$A:$B,2,FALSE),"")</f>
        <v>350</v>
      </c>
      <c r="O212" s="34" t="s">
        <v>496</v>
      </c>
      <c r="P212" s="32" t="s">
        <v>87</v>
      </c>
      <c r="Q212" s="28"/>
      <c r="R212" s="35"/>
      <c r="S212" s="32"/>
      <c r="T212" s="28"/>
      <c r="U212" s="35"/>
      <c r="V212" s="32"/>
      <c r="W212" s="28"/>
      <c r="X212" s="35"/>
      <c r="Y212" s="32"/>
      <c r="Z212" s="28"/>
      <c r="AA212" s="36"/>
    </row>
    <row r="213" spans="1:27" ht="13">
      <c r="A213" t="s">
        <v>497</v>
      </c>
      <c r="B213" s="28"/>
      <c r="C213" s="29">
        <v>500</v>
      </c>
      <c r="D213" s="30">
        <f t="shared" si="1"/>
        <v>-500</v>
      </c>
      <c r="F213" s="32"/>
      <c r="G213" s="28"/>
      <c r="H213" s="32" t="s">
        <v>410</v>
      </c>
      <c r="I213" s="33" t="s">
        <v>411</v>
      </c>
      <c r="J213" s="32"/>
      <c r="K213" s="28">
        <f>IFERROR(VLOOKUP(L213,Ingredients!A:B,2,FALSE),"")</f>
        <v>500</v>
      </c>
      <c r="L213" s="34" t="s">
        <v>498</v>
      </c>
      <c r="M213" s="32" t="s">
        <v>89</v>
      </c>
      <c r="N213" s="28">
        <f>IFERROR(VLOOKUP(O213,Ingredients!$A:$B,2,FALSE),"")</f>
        <v>500</v>
      </c>
      <c r="O213" s="34" t="s">
        <v>499</v>
      </c>
      <c r="P213" s="32" t="s">
        <v>87</v>
      </c>
      <c r="Q213" s="28"/>
      <c r="R213" s="35"/>
      <c r="S213" s="32"/>
      <c r="T213" s="28"/>
      <c r="U213" s="35"/>
      <c r="V213" s="32"/>
      <c r="W213" s="28"/>
      <c r="X213" s="35"/>
      <c r="Y213" s="32"/>
      <c r="Z213" s="28"/>
      <c r="AA213" s="36"/>
    </row>
    <row r="214" spans="1:27" ht="13">
      <c r="A214" t="s">
        <v>497</v>
      </c>
      <c r="B214" s="28"/>
      <c r="C214" s="29">
        <v>500</v>
      </c>
      <c r="D214" s="30">
        <f t="shared" si="1"/>
        <v>-120</v>
      </c>
      <c r="F214" s="32"/>
      <c r="G214" s="28"/>
      <c r="H214" s="32" t="s">
        <v>410</v>
      </c>
      <c r="I214" s="33" t="s">
        <v>411</v>
      </c>
      <c r="J214" s="32"/>
      <c r="K214" s="28">
        <f>IFERROR(VLOOKUP(L214,Ingredients!A:B,2,FALSE),"")</f>
        <v>120</v>
      </c>
      <c r="L214" s="34" t="s">
        <v>439</v>
      </c>
      <c r="M214" s="32" t="s">
        <v>89</v>
      </c>
      <c r="N214" s="28">
        <f>IFERROR(VLOOKUP(O214,Ingredients!$A:$B,2,FALSE),"")</f>
        <v>500</v>
      </c>
      <c r="O214" s="34" t="s">
        <v>499</v>
      </c>
      <c r="P214" s="32" t="s">
        <v>87</v>
      </c>
      <c r="Q214" s="28"/>
      <c r="R214" s="35"/>
      <c r="S214" s="32"/>
      <c r="T214" s="28"/>
      <c r="U214" s="35"/>
      <c r="V214" s="32"/>
      <c r="W214" s="28"/>
      <c r="X214" s="35"/>
      <c r="Y214" s="32"/>
      <c r="Z214" s="28"/>
      <c r="AA214" s="36"/>
    </row>
    <row r="215" spans="1:27" ht="13">
      <c r="A215" t="s">
        <v>497</v>
      </c>
      <c r="B215" s="28"/>
      <c r="C215" s="29">
        <v>500</v>
      </c>
      <c r="D215" s="30">
        <f t="shared" si="1"/>
        <v>-120</v>
      </c>
      <c r="F215" s="32"/>
      <c r="G215" s="28"/>
      <c r="H215" s="32" t="s">
        <v>410</v>
      </c>
      <c r="I215" s="33" t="s">
        <v>411</v>
      </c>
      <c r="J215" s="32"/>
      <c r="K215" s="28">
        <f>IFERROR(VLOOKUP(L215,Ingredients!A:B,2,FALSE),"")</f>
        <v>500</v>
      </c>
      <c r="L215" s="34" t="s">
        <v>498</v>
      </c>
      <c r="M215" s="32" t="s">
        <v>89</v>
      </c>
      <c r="N215" s="28">
        <f>IFERROR(VLOOKUP(O215,Ingredients!$A:$B,2,FALSE),"")</f>
        <v>120</v>
      </c>
      <c r="O215" s="34" t="s">
        <v>486</v>
      </c>
      <c r="P215" s="32" t="s">
        <v>87</v>
      </c>
      <c r="Q215" s="28"/>
      <c r="R215" s="35"/>
      <c r="S215" s="32"/>
      <c r="T215" s="28"/>
      <c r="U215" s="35"/>
      <c r="V215" s="32"/>
      <c r="W215" s="28"/>
      <c r="X215" s="35"/>
      <c r="Y215" s="32"/>
      <c r="Z215" s="28"/>
      <c r="AA215" s="36"/>
    </row>
    <row r="216" spans="1:27" ht="13">
      <c r="A216" s="35" t="s">
        <v>500</v>
      </c>
      <c r="B216" s="28"/>
      <c r="C216" s="29">
        <v>120</v>
      </c>
      <c r="D216" s="30">
        <f t="shared" si="1"/>
        <v>-200</v>
      </c>
      <c r="E216" s="41"/>
      <c r="F216" s="32"/>
      <c r="G216" s="28"/>
      <c r="H216" s="32" t="s">
        <v>410</v>
      </c>
      <c r="I216" s="33" t="s">
        <v>411</v>
      </c>
      <c r="J216" s="32"/>
      <c r="K216" s="28">
        <f>IFERROR(VLOOKUP(L216,Ingredients!A:B,2,FALSE),"")</f>
        <v>250</v>
      </c>
      <c r="L216" s="34" t="s">
        <v>477</v>
      </c>
      <c r="M216" s="32" t="s">
        <v>89</v>
      </c>
      <c r="N216" s="28">
        <f>IFERROR(VLOOKUP(O216,Ingredients!$A:$B,2,FALSE),"")</f>
        <v>70</v>
      </c>
      <c r="O216" s="34" t="s">
        <v>501</v>
      </c>
      <c r="P216" s="32" t="s">
        <v>87</v>
      </c>
      <c r="Q216" s="28"/>
      <c r="R216" s="35"/>
      <c r="S216" s="32"/>
      <c r="T216" s="28"/>
      <c r="U216" s="35"/>
      <c r="V216" s="32"/>
      <c r="W216" s="28"/>
      <c r="X216" s="35"/>
      <c r="Y216" s="32"/>
      <c r="Z216" s="28"/>
      <c r="AA216" s="36"/>
    </row>
    <row r="217" spans="1:27" ht="13">
      <c r="A217" s="27" t="s">
        <v>502</v>
      </c>
      <c r="B217" s="28"/>
      <c r="C217" s="29">
        <v>500</v>
      </c>
      <c r="D217" s="30">
        <f t="shared" si="1"/>
        <v>200</v>
      </c>
      <c r="E217" s="41"/>
      <c r="F217" s="32"/>
      <c r="G217" s="28"/>
      <c r="H217" s="32" t="s">
        <v>410</v>
      </c>
      <c r="I217" s="33" t="s">
        <v>411</v>
      </c>
      <c r="J217" s="32"/>
      <c r="K217" s="28">
        <f>IFERROR(VLOOKUP(L217,Ingredients!A:B,2,FALSE),"")</f>
        <v>250</v>
      </c>
      <c r="L217" s="34" t="s">
        <v>477</v>
      </c>
      <c r="M217" s="32" t="s">
        <v>89</v>
      </c>
      <c r="N217" s="28">
        <f>IFERROR(VLOOKUP(O217,Ingredients!$A:$B,2,FALSE),"")</f>
        <v>50</v>
      </c>
      <c r="O217" s="34" t="s">
        <v>503</v>
      </c>
      <c r="P217" s="32" t="s">
        <v>87</v>
      </c>
      <c r="Q217" s="28"/>
      <c r="R217" s="35"/>
      <c r="S217" s="32"/>
      <c r="T217" s="28"/>
      <c r="U217" s="35"/>
      <c r="V217" s="32"/>
      <c r="W217" s="28"/>
      <c r="X217" s="35"/>
      <c r="Y217" s="32"/>
      <c r="Z217" s="28"/>
      <c r="AA217" s="36"/>
    </row>
    <row r="218" spans="1:27" ht="13">
      <c r="A218" s="27" t="s">
        <v>504</v>
      </c>
      <c r="B218" s="28"/>
      <c r="C218" s="29">
        <v>800</v>
      </c>
      <c r="D218" s="30">
        <f t="shared" si="1"/>
        <v>400</v>
      </c>
      <c r="E218" s="41"/>
      <c r="F218" s="32"/>
      <c r="G218" s="28"/>
      <c r="H218" s="32" t="s">
        <v>410</v>
      </c>
      <c r="I218" s="33" t="s">
        <v>411</v>
      </c>
      <c r="J218" s="32"/>
      <c r="K218" s="28">
        <f>IFERROR(VLOOKUP(L218,Ingredients!A:B,2,FALSE),"")</f>
        <v>400</v>
      </c>
      <c r="L218" s="34" t="s">
        <v>465</v>
      </c>
      <c r="M218" s="32" t="s">
        <v>89</v>
      </c>
      <c r="N218" s="28">
        <f>IFERROR(VLOOKUP(O218,Ingredients!$A:$B,2,FALSE),"")</f>
        <v>0</v>
      </c>
      <c r="O218" s="34" t="s">
        <v>505</v>
      </c>
      <c r="P218" s="32" t="s">
        <v>87</v>
      </c>
      <c r="Q218" s="28"/>
      <c r="R218" s="35"/>
      <c r="S218" s="32"/>
      <c r="T218" s="28"/>
      <c r="U218" s="35"/>
      <c r="V218" s="32"/>
      <c r="W218" s="28"/>
      <c r="X218" s="35"/>
      <c r="Y218" s="32"/>
      <c r="Z218" s="28"/>
      <c r="AA218" s="36"/>
    </row>
    <row r="219" spans="1:27" ht="13">
      <c r="A219" t="s">
        <v>506</v>
      </c>
      <c r="B219" s="28"/>
      <c r="C219" s="29">
        <v>500</v>
      </c>
      <c r="D219" s="30">
        <f t="shared" si="1"/>
        <v>-500</v>
      </c>
      <c r="F219" s="32"/>
      <c r="G219" s="28"/>
      <c r="H219" s="32" t="s">
        <v>410</v>
      </c>
      <c r="I219" s="33" t="s">
        <v>411</v>
      </c>
      <c r="J219" s="32"/>
      <c r="K219" s="28">
        <f>IFERROR(VLOOKUP(L219,Ingredients!A:B,2,FALSE),"")</f>
        <v>500</v>
      </c>
      <c r="L219" s="34" t="s">
        <v>412</v>
      </c>
      <c r="M219" s="32" t="s">
        <v>89</v>
      </c>
      <c r="N219" s="28">
        <f>IFERROR(VLOOKUP(O219,Ingredients!$A:$B,2,FALSE),"")</f>
        <v>500</v>
      </c>
      <c r="O219" s="34" t="s">
        <v>499</v>
      </c>
      <c r="P219" s="32" t="s">
        <v>87</v>
      </c>
      <c r="Q219" s="28"/>
      <c r="R219" s="35"/>
      <c r="S219" s="32"/>
      <c r="T219" s="28"/>
      <c r="U219" s="35"/>
      <c r="V219" s="32"/>
      <c r="W219" s="28"/>
      <c r="X219" s="35"/>
      <c r="Y219" s="32"/>
      <c r="Z219" s="28"/>
      <c r="AA219" s="36"/>
    </row>
    <row r="220" spans="1:27" ht="13">
      <c r="A220" t="s">
        <v>506</v>
      </c>
      <c r="B220" s="28"/>
      <c r="C220" s="29">
        <v>500</v>
      </c>
      <c r="D220" s="30">
        <f t="shared" si="1"/>
        <v>-120</v>
      </c>
      <c r="F220" s="32"/>
      <c r="G220" s="28"/>
      <c r="H220" s="32" t="s">
        <v>410</v>
      </c>
      <c r="I220" s="33" t="s">
        <v>411</v>
      </c>
      <c r="J220" s="32"/>
      <c r="K220" s="28">
        <f>IFERROR(VLOOKUP(L220,Ingredients!A:B,2,FALSE),"")</f>
        <v>120</v>
      </c>
      <c r="L220" s="34" t="s">
        <v>415</v>
      </c>
      <c r="M220" s="32" t="s">
        <v>89</v>
      </c>
      <c r="N220" s="28">
        <f>IFERROR(VLOOKUP(O220,Ingredients!$A:$B,2,FALSE),"")</f>
        <v>500</v>
      </c>
      <c r="O220" s="34" t="s">
        <v>499</v>
      </c>
      <c r="P220" s="32" t="s">
        <v>87</v>
      </c>
      <c r="Q220" s="28"/>
      <c r="R220" s="35"/>
      <c r="S220" s="32"/>
      <c r="T220" s="28"/>
      <c r="U220" s="35"/>
      <c r="V220" s="32"/>
      <c r="W220" s="28"/>
      <c r="X220" s="35"/>
      <c r="Y220" s="32"/>
      <c r="Z220" s="28"/>
      <c r="AA220" s="36"/>
    </row>
    <row r="221" spans="1:27" ht="13">
      <c r="A221" t="s">
        <v>506</v>
      </c>
      <c r="B221" s="28"/>
      <c r="C221" s="29">
        <v>500</v>
      </c>
      <c r="D221" s="30">
        <f t="shared" si="1"/>
        <v>-120</v>
      </c>
      <c r="F221" s="32"/>
      <c r="G221" s="28"/>
      <c r="H221" s="32" t="s">
        <v>410</v>
      </c>
      <c r="I221" s="33" t="s">
        <v>411</v>
      </c>
      <c r="J221" s="32"/>
      <c r="K221" s="28">
        <f>IFERROR(VLOOKUP(L221,Ingredients!A:B,2,FALSE),"")</f>
        <v>500</v>
      </c>
      <c r="L221" s="34" t="s">
        <v>412</v>
      </c>
      <c r="M221" s="32" t="s">
        <v>89</v>
      </c>
      <c r="N221" s="28">
        <f>IFERROR(VLOOKUP(O221,Ingredients!$A:$B,2,FALSE),"")</f>
        <v>120</v>
      </c>
      <c r="O221" s="34" t="s">
        <v>486</v>
      </c>
      <c r="P221" s="32" t="s">
        <v>87</v>
      </c>
      <c r="Q221" s="28"/>
      <c r="R221" s="35"/>
      <c r="S221" s="32"/>
      <c r="T221" s="28"/>
      <c r="U221" s="35"/>
      <c r="V221" s="32"/>
      <c r="W221" s="28"/>
      <c r="X221" s="35"/>
      <c r="Y221" s="32"/>
      <c r="Z221" s="28"/>
      <c r="AA221" s="36"/>
    </row>
    <row r="222" spans="1:27" ht="13">
      <c r="A222" s="35" t="s">
        <v>507</v>
      </c>
      <c r="B222" s="28"/>
      <c r="C222" s="29">
        <v>500</v>
      </c>
      <c r="D222" s="30">
        <f t="shared" si="1"/>
        <v>-10</v>
      </c>
      <c r="E222" s="41"/>
      <c r="F222" s="32"/>
      <c r="G222" s="28"/>
      <c r="H222" s="32" t="s">
        <v>410</v>
      </c>
      <c r="I222" s="33" t="s">
        <v>411</v>
      </c>
      <c r="J222" s="32"/>
      <c r="K222" s="28">
        <f>IFERROR(VLOOKUP(L222,Ingredients!A:B,2,FALSE),"")</f>
        <v>250</v>
      </c>
      <c r="L222" s="34" t="s">
        <v>431</v>
      </c>
      <c r="M222" s="32" t="s">
        <v>89</v>
      </c>
      <c r="N222" s="28">
        <f>IFERROR(VLOOKUP(O222,Ingredients!$A:$B,2,FALSE),"")</f>
        <v>260</v>
      </c>
      <c r="O222" s="34" t="s">
        <v>508</v>
      </c>
      <c r="P222" s="32" t="s">
        <v>87</v>
      </c>
      <c r="Q222" s="28"/>
      <c r="R222" s="35"/>
      <c r="S222" s="32"/>
      <c r="T222" s="28"/>
      <c r="U222" s="35"/>
      <c r="V222" s="32"/>
      <c r="W222" s="28"/>
      <c r="X222" s="35"/>
      <c r="Y222" s="32"/>
      <c r="Z222" s="28"/>
      <c r="AA222" s="36"/>
    </row>
    <row r="223" spans="1:27" ht="13">
      <c r="A223" s="35" t="s">
        <v>509</v>
      </c>
      <c r="B223" s="28"/>
      <c r="C223" s="29">
        <v>120</v>
      </c>
      <c r="D223" s="30">
        <f t="shared" si="1"/>
        <v>-200</v>
      </c>
      <c r="E223" s="41"/>
      <c r="F223" s="32"/>
      <c r="G223" s="28"/>
      <c r="H223" s="32" t="s">
        <v>410</v>
      </c>
      <c r="I223" s="33" t="s">
        <v>411</v>
      </c>
      <c r="J223" s="32"/>
      <c r="K223" s="28">
        <f>IFERROR(VLOOKUP(L223,Ingredients!A:B,2,FALSE),"")</f>
        <v>250</v>
      </c>
      <c r="L223" s="34" t="s">
        <v>423</v>
      </c>
      <c r="M223" s="32" t="s">
        <v>89</v>
      </c>
      <c r="N223" s="28">
        <f>IFERROR(VLOOKUP(O223,Ingredients!$A:$B,2,FALSE),"")</f>
        <v>70</v>
      </c>
      <c r="O223" s="34" t="s">
        <v>510</v>
      </c>
      <c r="P223" s="32" t="s">
        <v>87</v>
      </c>
      <c r="Q223" s="28"/>
      <c r="R223" s="35"/>
      <c r="S223" s="32"/>
      <c r="T223" s="28"/>
      <c r="U223" s="35"/>
      <c r="V223" s="32"/>
      <c r="W223" s="28"/>
      <c r="X223" s="35"/>
      <c r="Y223" s="32"/>
      <c r="Z223" s="28"/>
      <c r="AA223" s="36"/>
    </row>
    <row r="224" spans="1:27" ht="13">
      <c r="A224" s="27" t="s">
        <v>511</v>
      </c>
      <c r="B224" s="28"/>
      <c r="C224" s="29">
        <v>190</v>
      </c>
      <c r="D224" s="30">
        <f t="shared" si="1"/>
        <v>-50</v>
      </c>
      <c r="E224" s="41"/>
      <c r="F224" s="32"/>
      <c r="G224" s="28"/>
      <c r="H224" s="32" t="s">
        <v>410</v>
      </c>
      <c r="I224" s="33" t="s">
        <v>411</v>
      </c>
      <c r="J224" s="32"/>
      <c r="K224" s="28">
        <f>IFERROR(VLOOKUP(L224,Ingredients!A:B,2,FALSE),"")</f>
        <v>120</v>
      </c>
      <c r="L224" s="34" t="s">
        <v>448</v>
      </c>
      <c r="M224" s="32" t="s">
        <v>89</v>
      </c>
      <c r="N224" s="28">
        <f>IFERROR(VLOOKUP(O224,Ingredients!$A:$B,2,FALSE),"")</f>
        <v>120</v>
      </c>
      <c r="O224" s="34" t="s">
        <v>414</v>
      </c>
      <c r="P224" s="32" t="s">
        <v>87</v>
      </c>
      <c r="Q224" s="28"/>
      <c r="R224" s="35"/>
      <c r="S224" s="32"/>
      <c r="T224" s="28"/>
      <c r="U224" s="35"/>
      <c r="V224" s="32"/>
      <c r="W224" s="28"/>
      <c r="X224" s="35"/>
      <c r="Y224" s="32"/>
      <c r="Z224" s="28"/>
      <c r="AA224" s="36"/>
    </row>
    <row r="225" spans="1:27" ht="13">
      <c r="A225" s="35" t="s">
        <v>512</v>
      </c>
      <c r="B225" s="28"/>
      <c r="C225" s="29">
        <v>120</v>
      </c>
      <c r="D225" s="30">
        <f t="shared" si="1"/>
        <v>-190</v>
      </c>
      <c r="E225" s="41"/>
      <c r="F225" s="32"/>
      <c r="G225" s="28"/>
      <c r="H225" s="32" t="s">
        <v>410</v>
      </c>
      <c r="I225" s="33" t="s">
        <v>411</v>
      </c>
      <c r="J225" s="32"/>
      <c r="K225" s="28">
        <f>IFERROR(VLOOKUP(L225,Ingredients!A:B,2,FALSE),"")</f>
        <v>250</v>
      </c>
      <c r="L225" s="34" t="s">
        <v>477</v>
      </c>
      <c r="M225" s="32" t="s">
        <v>89</v>
      </c>
      <c r="N225" s="28">
        <f>IFERROR(VLOOKUP(O225,Ingredients!$A:$B,2,FALSE),"")</f>
        <v>60</v>
      </c>
      <c r="O225" s="34" t="s">
        <v>513</v>
      </c>
      <c r="P225" s="32" t="s">
        <v>87</v>
      </c>
      <c r="Q225" s="28"/>
      <c r="R225" s="35"/>
      <c r="S225" s="32"/>
      <c r="T225" s="28"/>
      <c r="U225" s="35"/>
      <c r="V225" s="32"/>
      <c r="W225" s="28"/>
      <c r="X225" s="35"/>
      <c r="Y225" s="32"/>
      <c r="Z225" s="28"/>
      <c r="AA225" s="36"/>
    </row>
    <row r="226" spans="1:27" ht="13">
      <c r="A226" s="35" t="s">
        <v>514</v>
      </c>
      <c r="B226" s="28"/>
      <c r="C226" s="29">
        <v>750</v>
      </c>
      <c r="D226" s="30">
        <f t="shared" si="1"/>
        <v>0</v>
      </c>
      <c r="E226" s="41"/>
      <c r="F226" s="32"/>
      <c r="G226" s="28"/>
      <c r="H226" s="32" t="s">
        <v>410</v>
      </c>
      <c r="I226" s="33" t="s">
        <v>411</v>
      </c>
      <c r="J226" s="32"/>
      <c r="K226" s="28">
        <f>IFERROR(VLOOKUP(L226,Ingredients!A:B,2,FALSE),"")</f>
        <v>400</v>
      </c>
      <c r="L226" s="34" t="s">
        <v>515</v>
      </c>
      <c r="M226" s="32" t="s">
        <v>89</v>
      </c>
      <c r="N226" s="28">
        <f>IFERROR(VLOOKUP(O226,Ingredients!$A:$B,2,FALSE),"")</f>
        <v>350</v>
      </c>
      <c r="O226" s="34" t="s">
        <v>516</v>
      </c>
      <c r="P226" s="32" t="s">
        <v>87</v>
      </c>
      <c r="Q226" s="28"/>
      <c r="R226" s="35"/>
      <c r="S226" s="32"/>
      <c r="T226" s="28"/>
      <c r="U226" s="35"/>
      <c r="V226" s="32"/>
      <c r="W226" s="28"/>
      <c r="X226" s="35"/>
      <c r="Y226" s="32"/>
      <c r="Z226" s="28"/>
      <c r="AA226" s="36"/>
    </row>
    <row r="227" spans="1:27" ht="13">
      <c r="A227" s="27" t="s">
        <v>517</v>
      </c>
      <c r="B227" s="28"/>
      <c r="C227" s="29">
        <v>1400</v>
      </c>
      <c r="D227" s="30">
        <f t="shared" si="1"/>
        <v>650</v>
      </c>
      <c r="E227" s="41"/>
      <c r="F227" s="32"/>
      <c r="G227" s="28"/>
      <c r="H227" s="32" t="s">
        <v>410</v>
      </c>
      <c r="I227" s="33" t="s">
        <v>411</v>
      </c>
      <c r="J227" s="32"/>
      <c r="K227" s="28">
        <f>IFERROR(VLOOKUP(L227,Ingredients!A:B,2,FALSE),"")</f>
        <v>400</v>
      </c>
      <c r="L227" s="34" t="s">
        <v>420</v>
      </c>
      <c r="M227" s="32" t="s">
        <v>89</v>
      </c>
      <c r="N227" s="28">
        <f>IFERROR(VLOOKUP(O227,Ingredients!$A:$B,2,FALSE),"")</f>
        <v>350</v>
      </c>
      <c r="O227" s="34" t="s">
        <v>518</v>
      </c>
      <c r="P227" s="32" t="s">
        <v>87</v>
      </c>
      <c r="Q227" s="28"/>
      <c r="R227" s="35"/>
      <c r="S227" s="32"/>
      <c r="T227" s="28"/>
      <c r="U227" s="35"/>
      <c r="V227" s="32"/>
      <c r="W227" s="28"/>
      <c r="X227" s="35"/>
      <c r="Y227" s="32"/>
      <c r="Z227" s="28"/>
      <c r="AA227" s="36"/>
    </row>
    <row r="228" spans="1:27" ht="13">
      <c r="A228" s="35" t="s">
        <v>519</v>
      </c>
      <c r="B228" s="28"/>
      <c r="C228" s="29">
        <v>3000</v>
      </c>
      <c r="D228" s="30">
        <f t="shared" si="1"/>
        <v>2340</v>
      </c>
      <c r="E228" s="41"/>
      <c r="F228" s="32"/>
      <c r="G228" s="28"/>
      <c r="H228" s="32" t="s">
        <v>410</v>
      </c>
      <c r="I228" s="33" t="s">
        <v>411</v>
      </c>
      <c r="J228" s="32"/>
      <c r="K228" s="28">
        <f>IFERROR(VLOOKUP(L228,Ingredients!A:B,2,FALSE),"")</f>
        <v>400</v>
      </c>
      <c r="L228" s="34" t="s">
        <v>465</v>
      </c>
      <c r="M228" s="32" t="s">
        <v>89</v>
      </c>
      <c r="N228" s="28">
        <f>IFERROR(VLOOKUP(O228,Ingredients!$A:$B,2,FALSE),"")</f>
        <v>260</v>
      </c>
      <c r="O228" s="34" t="s">
        <v>520</v>
      </c>
      <c r="P228" s="32" t="s">
        <v>87</v>
      </c>
      <c r="Q228" s="28"/>
      <c r="R228" s="35"/>
      <c r="S228" s="32"/>
      <c r="T228" s="28"/>
      <c r="U228" s="35"/>
      <c r="V228" s="32"/>
      <c r="W228" s="28"/>
      <c r="X228" s="35"/>
      <c r="Y228" s="32"/>
      <c r="Z228" s="28"/>
      <c r="AA228" s="36"/>
    </row>
    <row r="229" spans="1:27" ht="13">
      <c r="A229" t="s">
        <v>521</v>
      </c>
      <c r="B229" s="28"/>
      <c r="C229" s="29">
        <v>190</v>
      </c>
      <c r="D229" s="30">
        <f t="shared" si="1"/>
        <v>-50</v>
      </c>
      <c r="F229" s="32"/>
      <c r="G229" s="28"/>
      <c r="H229" s="32" t="s">
        <v>410</v>
      </c>
      <c r="I229" s="33" t="s">
        <v>411</v>
      </c>
      <c r="J229" s="32"/>
      <c r="K229" s="28">
        <f>IFERROR(VLOOKUP(L229,Ingredients!A:B,2,FALSE),"")</f>
        <v>120</v>
      </c>
      <c r="L229" s="34" t="s">
        <v>439</v>
      </c>
      <c r="M229" s="32" t="s">
        <v>89</v>
      </c>
      <c r="N229" s="28">
        <f>IFERROR(VLOOKUP(O229,Ingredients!$A:$B,2,FALSE),"")</f>
        <v>120</v>
      </c>
      <c r="O229" s="34" t="s">
        <v>486</v>
      </c>
      <c r="P229" s="32" t="s">
        <v>87</v>
      </c>
      <c r="Q229" s="28"/>
      <c r="R229" s="35"/>
      <c r="S229" s="32"/>
      <c r="T229" s="28"/>
      <c r="U229" s="35"/>
      <c r="V229" s="32"/>
      <c r="W229" s="28"/>
      <c r="X229" s="35"/>
      <c r="Y229" s="32"/>
      <c r="Z229" s="28"/>
      <c r="AA229" s="36"/>
    </row>
    <row r="230" spans="1:27" ht="13">
      <c r="A230" s="35" t="s">
        <v>522</v>
      </c>
      <c r="B230" s="28"/>
      <c r="C230" s="29">
        <v>120</v>
      </c>
      <c r="D230" s="30">
        <f t="shared" si="1"/>
        <v>-130</v>
      </c>
      <c r="E230" s="41"/>
      <c r="F230" s="32"/>
      <c r="G230" s="28"/>
      <c r="H230" s="32" t="s">
        <v>410</v>
      </c>
      <c r="I230" s="33" t="s">
        <v>411</v>
      </c>
      <c r="J230" s="32"/>
      <c r="K230" s="28">
        <f>IFERROR(VLOOKUP(L230,Ingredients!A:B,2,FALSE),"")</f>
        <v>250</v>
      </c>
      <c r="L230" s="34" t="s">
        <v>477</v>
      </c>
      <c r="M230" s="32" t="s">
        <v>89</v>
      </c>
      <c r="N230" s="28">
        <f>IFERROR(VLOOKUP(O230,Ingredients!$A:$B,2,FALSE),"")</f>
        <v>0</v>
      </c>
      <c r="O230" s="34" t="s">
        <v>523</v>
      </c>
      <c r="P230" s="32" t="s">
        <v>87</v>
      </c>
      <c r="Q230" s="28"/>
      <c r="R230" s="35"/>
      <c r="S230" s="32"/>
      <c r="T230" s="28"/>
      <c r="U230" s="35"/>
      <c r="V230" s="32"/>
      <c r="W230" s="28"/>
      <c r="X230" s="35"/>
      <c r="Y230" s="32"/>
      <c r="Z230" s="28"/>
      <c r="AA230" s="36"/>
    </row>
    <row r="231" spans="1:27" ht="13">
      <c r="A231" s="35" t="s">
        <v>524</v>
      </c>
      <c r="B231" s="28"/>
      <c r="C231" s="29">
        <v>120</v>
      </c>
      <c r="D231" s="30">
        <f t="shared" si="1"/>
        <v>-190</v>
      </c>
      <c r="E231" s="41"/>
      <c r="F231" s="32"/>
      <c r="G231" s="28"/>
      <c r="H231" s="32" t="s">
        <v>410</v>
      </c>
      <c r="I231" s="33" t="s">
        <v>411</v>
      </c>
      <c r="J231" s="32"/>
      <c r="K231" s="28">
        <f>IFERROR(VLOOKUP(L231,Ingredients!A:B,2,FALSE),"")</f>
        <v>250</v>
      </c>
      <c r="L231" s="34" t="s">
        <v>423</v>
      </c>
      <c r="M231" s="32" t="s">
        <v>89</v>
      </c>
      <c r="N231" s="28">
        <f>IFERROR(VLOOKUP(O231,Ingredients!$A:$B,2,FALSE),"")</f>
        <v>60</v>
      </c>
      <c r="O231" s="34" t="s">
        <v>525</v>
      </c>
      <c r="P231" s="32" t="s">
        <v>87</v>
      </c>
      <c r="Q231" s="28"/>
      <c r="R231" s="35"/>
      <c r="S231" s="32"/>
      <c r="T231" s="28"/>
      <c r="U231" s="35"/>
      <c r="V231" s="32"/>
      <c r="W231" s="28"/>
      <c r="X231" s="35"/>
      <c r="Y231" s="32"/>
      <c r="Z231" s="28"/>
      <c r="AA231" s="36"/>
    </row>
    <row r="232" spans="1:27" ht="13">
      <c r="A232" t="s">
        <v>526</v>
      </c>
      <c r="B232" s="28"/>
      <c r="C232" s="29">
        <v>190</v>
      </c>
      <c r="D232" s="30">
        <f t="shared" si="1"/>
        <v>-50</v>
      </c>
      <c r="F232" s="32"/>
      <c r="G232" s="28"/>
      <c r="H232" s="32" t="s">
        <v>410</v>
      </c>
      <c r="I232" s="33" t="s">
        <v>411</v>
      </c>
      <c r="J232" s="32"/>
      <c r="K232" s="28">
        <f>IFERROR(VLOOKUP(L232,Ingredients!A:B,2,FALSE),"")</f>
        <v>120</v>
      </c>
      <c r="L232" s="34" t="s">
        <v>439</v>
      </c>
      <c r="M232" s="32" t="s">
        <v>89</v>
      </c>
      <c r="N232" s="28">
        <f>IFERROR(VLOOKUP(O232,Ingredients!$A:$B,2,FALSE),"")</f>
        <v>120</v>
      </c>
      <c r="O232" s="34" t="s">
        <v>414</v>
      </c>
      <c r="P232" s="32" t="s">
        <v>87</v>
      </c>
      <c r="Q232" s="28"/>
      <c r="R232" s="35"/>
      <c r="S232" s="32"/>
      <c r="T232" s="28"/>
      <c r="U232" s="35"/>
      <c r="V232" s="32"/>
      <c r="W232" s="28"/>
      <c r="X232" s="35"/>
      <c r="Y232" s="32"/>
      <c r="Z232" s="28"/>
      <c r="AA232" s="36"/>
    </row>
    <row r="233" spans="1:27" ht="13">
      <c r="A233" s="35" t="s">
        <v>527</v>
      </c>
      <c r="B233" s="28"/>
      <c r="C233" s="29">
        <v>500</v>
      </c>
      <c r="D233" s="30">
        <f t="shared" si="1"/>
        <v>-10</v>
      </c>
      <c r="E233" s="41"/>
      <c r="F233" s="32"/>
      <c r="G233" s="28"/>
      <c r="H233" s="32" t="s">
        <v>410</v>
      </c>
      <c r="I233" s="33" t="s">
        <v>411</v>
      </c>
      <c r="J233" s="32"/>
      <c r="K233" s="28">
        <f>IFERROR(VLOOKUP(L233,Ingredients!A:B,2,FALSE),"")</f>
        <v>250</v>
      </c>
      <c r="L233" s="34" t="s">
        <v>437</v>
      </c>
      <c r="M233" s="32" t="s">
        <v>89</v>
      </c>
      <c r="N233" s="28">
        <f>IFERROR(VLOOKUP(O233,Ingredients!$A:$B,2,FALSE),"")</f>
        <v>260</v>
      </c>
      <c r="O233" s="34" t="s">
        <v>528</v>
      </c>
      <c r="P233" s="32" t="s">
        <v>87</v>
      </c>
      <c r="Q233" s="28"/>
      <c r="R233" s="35"/>
      <c r="S233" s="32"/>
      <c r="T233" s="28"/>
      <c r="U233" s="35"/>
      <c r="V233" s="32"/>
      <c r="W233" s="28"/>
      <c r="X233" s="35"/>
      <c r="Y233" s="32"/>
      <c r="Z233" s="28"/>
      <c r="AA233" s="36"/>
    </row>
    <row r="234" spans="1:27" ht="13">
      <c r="A234" s="35" t="s">
        <v>529</v>
      </c>
      <c r="B234" s="28"/>
      <c r="C234" s="29">
        <v>190</v>
      </c>
      <c r="D234" s="30">
        <f t="shared" si="1"/>
        <v>-160</v>
      </c>
      <c r="E234" s="41"/>
      <c r="F234" s="32"/>
      <c r="G234" s="28"/>
      <c r="H234" s="32" t="s">
        <v>410</v>
      </c>
      <c r="I234" s="33" t="s">
        <v>411</v>
      </c>
      <c r="J234" s="32"/>
      <c r="K234" s="28">
        <f>IFERROR(VLOOKUP(L234,Ingredients!A:B,2,FALSE),"")</f>
        <v>250</v>
      </c>
      <c r="L234" s="34" t="s">
        <v>437</v>
      </c>
      <c r="M234" s="32" t="s">
        <v>89</v>
      </c>
      <c r="N234" s="28">
        <f>IFERROR(VLOOKUP(O234,Ingredients!$A:$B,2,FALSE),"")</f>
        <v>100</v>
      </c>
      <c r="O234" s="34" t="s">
        <v>530</v>
      </c>
      <c r="P234" s="32" t="s">
        <v>87</v>
      </c>
      <c r="Q234" s="28"/>
      <c r="R234" s="35"/>
      <c r="S234" s="32"/>
      <c r="T234" s="28"/>
      <c r="U234" s="35"/>
      <c r="V234" s="32"/>
      <c r="W234" s="28"/>
      <c r="X234" s="35"/>
      <c r="Y234" s="32"/>
      <c r="Z234" s="28"/>
      <c r="AA234" s="36"/>
    </row>
    <row r="235" spans="1:27" ht="13">
      <c r="A235" s="27" t="s">
        <v>531</v>
      </c>
      <c r="B235" s="28"/>
      <c r="C235" s="29">
        <v>1400</v>
      </c>
      <c r="D235" s="30">
        <f t="shared" si="1"/>
        <v>650</v>
      </c>
      <c r="E235" s="41"/>
      <c r="F235" s="32"/>
      <c r="G235" s="28"/>
      <c r="H235" s="32" t="s">
        <v>410</v>
      </c>
      <c r="I235" s="33" t="s">
        <v>411</v>
      </c>
      <c r="J235" s="32"/>
      <c r="K235" s="28">
        <f>IFERROR(VLOOKUP(L235,Ingredients!A:B,2,FALSE),"")</f>
        <v>400</v>
      </c>
      <c r="L235" s="34" t="s">
        <v>515</v>
      </c>
      <c r="M235" s="32" t="s">
        <v>89</v>
      </c>
      <c r="N235" s="28">
        <f>IFERROR(VLOOKUP(O235,Ingredients!$A:$B,2,FALSE),"")</f>
        <v>350</v>
      </c>
      <c r="O235" s="34" t="s">
        <v>532</v>
      </c>
      <c r="P235" s="32" t="s">
        <v>87</v>
      </c>
      <c r="Q235" s="28"/>
      <c r="R235" s="35"/>
      <c r="S235" s="32"/>
      <c r="T235" s="28"/>
      <c r="U235" s="35"/>
      <c r="V235" s="32"/>
      <c r="W235" s="28"/>
      <c r="X235" s="35"/>
      <c r="Y235" s="32"/>
      <c r="Z235" s="28"/>
      <c r="AA235" s="36"/>
    </row>
    <row r="236" spans="1:27" ht="13">
      <c r="A236" s="35" t="s">
        <v>533</v>
      </c>
      <c r="B236" s="28"/>
      <c r="C236" s="29">
        <v>1400</v>
      </c>
      <c r="D236" s="30">
        <f t="shared" si="1"/>
        <v>650</v>
      </c>
      <c r="E236" s="41"/>
      <c r="F236" s="32"/>
      <c r="G236" s="28"/>
      <c r="H236" s="32" t="s">
        <v>410</v>
      </c>
      <c r="I236" s="33" t="s">
        <v>411</v>
      </c>
      <c r="J236" s="32"/>
      <c r="K236" s="28">
        <f>IFERROR(VLOOKUP(L236,Ingredients!A:B,2,FALSE),"")</f>
        <v>400</v>
      </c>
      <c r="L236" s="34" t="s">
        <v>515</v>
      </c>
      <c r="M236" s="32" t="s">
        <v>89</v>
      </c>
      <c r="N236" s="28">
        <f>IFERROR(VLOOKUP(O236,Ingredients!$A:$B,2,FALSE),"")</f>
        <v>350</v>
      </c>
      <c r="O236" s="34" t="s">
        <v>534</v>
      </c>
      <c r="P236" s="32" t="s">
        <v>87</v>
      </c>
      <c r="Q236" s="28"/>
      <c r="R236" s="35"/>
      <c r="S236" s="32"/>
      <c r="T236" s="28"/>
      <c r="U236" s="35"/>
      <c r="V236" s="32"/>
      <c r="W236" s="28"/>
      <c r="X236" s="35"/>
      <c r="Y236" s="32"/>
      <c r="Z236" s="28"/>
      <c r="AA236" s="36"/>
    </row>
    <row r="237" spans="1:27" ht="13">
      <c r="A237" s="42" t="s">
        <v>535</v>
      </c>
      <c r="B237" s="28"/>
      <c r="C237" s="29">
        <v>500</v>
      </c>
      <c r="D237" s="30">
        <f t="shared" si="1"/>
        <v>-500</v>
      </c>
      <c r="F237" s="32"/>
      <c r="G237" s="28"/>
      <c r="H237" s="32" t="s">
        <v>410</v>
      </c>
      <c r="I237" s="33" t="s">
        <v>411</v>
      </c>
      <c r="J237" s="32"/>
      <c r="K237" s="28">
        <f>IFERROR(VLOOKUP(L237,Ingredients!A:B,2,FALSE),"")</f>
        <v>500</v>
      </c>
      <c r="L237" s="34" t="s">
        <v>498</v>
      </c>
      <c r="M237" s="32" t="s">
        <v>89</v>
      </c>
      <c r="N237" s="28">
        <f>IFERROR(VLOOKUP(O237,Ingredients!$A:$B,2,FALSE),"")</f>
        <v>500</v>
      </c>
      <c r="O237" s="34" t="s">
        <v>536</v>
      </c>
      <c r="P237" s="32" t="s">
        <v>87</v>
      </c>
      <c r="Q237" s="28"/>
      <c r="R237" s="35"/>
      <c r="S237" s="32"/>
      <c r="T237" s="28"/>
      <c r="U237" s="35"/>
      <c r="V237" s="32"/>
      <c r="W237" s="28"/>
      <c r="X237" s="35"/>
      <c r="Y237" s="32"/>
      <c r="Z237" s="28"/>
      <c r="AA237" s="36"/>
    </row>
    <row r="238" spans="1:27" ht="13">
      <c r="A238" s="42" t="s">
        <v>535</v>
      </c>
      <c r="B238" s="28"/>
      <c r="C238" s="29">
        <v>500</v>
      </c>
      <c r="D238" s="30">
        <f t="shared" si="1"/>
        <v>-120</v>
      </c>
      <c r="F238" s="32"/>
      <c r="G238" s="28"/>
      <c r="H238" s="32" t="s">
        <v>410</v>
      </c>
      <c r="I238" s="33" t="s">
        <v>411</v>
      </c>
      <c r="J238" s="32"/>
      <c r="K238" s="28">
        <f>IFERROR(VLOOKUP(L238,Ingredients!A:B,2,FALSE),"")</f>
        <v>500</v>
      </c>
      <c r="L238" s="34" t="s">
        <v>498</v>
      </c>
      <c r="M238" s="32" t="s">
        <v>89</v>
      </c>
      <c r="N238" s="28">
        <f>IFERROR(VLOOKUP(O238,Ingredients!$A:$B,2,FALSE),"")</f>
        <v>120</v>
      </c>
      <c r="O238" s="34" t="s">
        <v>440</v>
      </c>
      <c r="P238" s="32" t="s">
        <v>87</v>
      </c>
      <c r="Q238" s="28"/>
      <c r="R238" s="35"/>
      <c r="S238" s="32"/>
      <c r="T238" s="28"/>
      <c r="U238" s="35"/>
      <c r="V238" s="32"/>
      <c r="W238" s="28"/>
      <c r="X238" s="35"/>
      <c r="Y238" s="32"/>
      <c r="Z238" s="28"/>
      <c r="AA238" s="36"/>
    </row>
    <row r="239" spans="1:27" ht="13">
      <c r="A239" s="42" t="s">
        <v>535</v>
      </c>
      <c r="B239" s="28"/>
      <c r="C239" s="29">
        <v>500</v>
      </c>
      <c r="D239" s="30">
        <f t="shared" si="1"/>
        <v>-120</v>
      </c>
      <c r="F239" s="32"/>
      <c r="G239" s="28"/>
      <c r="H239" s="32" t="s">
        <v>410</v>
      </c>
      <c r="I239" s="33" t="s">
        <v>411</v>
      </c>
      <c r="J239" s="32"/>
      <c r="K239" s="28">
        <f>IFERROR(VLOOKUP(L239,Ingredients!A:B,2,FALSE),"")</f>
        <v>120</v>
      </c>
      <c r="L239" s="34" t="s">
        <v>439</v>
      </c>
      <c r="M239" s="32" t="s">
        <v>89</v>
      </c>
      <c r="N239" s="28">
        <f>IFERROR(VLOOKUP(O239,Ingredients!$A:$B,2,FALSE),"")</f>
        <v>500</v>
      </c>
      <c r="O239" s="34" t="s">
        <v>536</v>
      </c>
      <c r="P239" s="32" t="s">
        <v>87</v>
      </c>
      <c r="Q239" s="28"/>
      <c r="R239" s="35"/>
      <c r="S239" s="32"/>
      <c r="T239" s="28"/>
      <c r="U239" s="35"/>
      <c r="V239" s="32"/>
      <c r="W239" s="28"/>
      <c r="X239" s="35"/>
      <c r="Y239" s="32"/>
      <c r="Z239" s="28"/>
      <c r="AA239" s="36"/>
    </row>
    <row r="240" spans="1:27" ht="13">
      <c r="A240" s="35" t="s">
        <v>537</v>
      </c>
      <c r="B240" s="28"/>
      <c r="C240" s="29">
        <v>500</v>
      </c>
      <c r="D240" s="30">
        <f t="shared" si="1"/>
        <v>-10</v>
      </c>
      <c r="E240" s="41"/>
      <c r="F240" s="32"/>
      <c r="G240" s="28"/>
      <c r="H240" s="32" t="s">
        <v>410</v>
      </c>
      <c r="I240" s="33" t="s">
        <v>411</v>
      </c>
      <c r="J240" s="32"/>
      <c r="K240" s="28">
        <f>IFERROR(VLOOKUP(L240,Ingredients!A:B,2,FALSE),"")</f>
        <v>250</v>
      </c>
      <c r="L240" s="34" t="s">
        <v>437</v>
      </c>
      <c r="M240" s="32" t="s">
        <v>89</v>
      </c>
      <c r="N240" s="28">
        <f>IFERROR(VLOOKUP(O240,Ingredients!$A:$B,2,FALSE),"")</f>
        <v>260</v>
      </c>
      <c r="O240" s="34" t="s">
        <v>538</v>
      </c>
      <c r="P240" s="32" t="s">
        <v>87</v>
      </c>
      <c r="Q240" s="28"/>
      <c r="R240" s="35"/>
      <c r="S240" s="32"/>
      <c r="T240" s="28"/>
      <c r="U240" s="35"/>
      <c r="V240" s="32"/>
      <c r="W240" s="28"/>
      <c r="X240" s="35"/>
      <c r="Y240" s="32"/>
      <c r="Z240" s="28"/>
      <c r="AA240" s="36"/>
    </row>
    <row r="241" spans="1:27" ht="13">
      <c r="A241" s="27" t="s">
        <v>539</v>
      </c>
      <c r="B241" s="28"/>
      <c r="C241" s="29">
        <v>1400</v>
      </c>
      <c r="D241" s="30">
        <f t="shared" si="1"/>
        <v>650</v>
      </c>
      <c r="E241" s="41"/>
      <c r="F241" s="32"/>
      <c r="G241" s="28"/>
      <c r="H241" s="32" t="s">
        <v>410</v>
      </c>
      <c r="I241" s="33" t="s">
        <v>411</v>
      </c>
      <c r="J241" s="32"/>
      <c r="K241" s="28">
        <f>IFERROR(VLOOKUP(L241,Ingredients!A:B,2,FALSE),"")</f>
        <v>400</v>
      </c>
      <c r="L241" s="34" t="s">
        <v>420</v>
      </c>
      <c r="M241" s="32" t="s">
        <v>89</v>
      </c>
      <c r="N241" s="28">
        <f>IFERROR(VLOOKUP(O241,Ingredients!$A:$B,2,FALSE),"")</f>
        <v>350</v>
      </c>
      <c r="O241" s="34" t="s">
        <v>540</v>
      </c>
      <c r="P241" s="32" t="s">
        <v>87</v>
      </c>
      <c r="Q241" s="28"/>
      <c r="R241" s="35"/>
      <c r="S241" s="32"/>
      <c r="T241" s="28"/>
      <c r="U241" s="35"/>
      <c r="V241" s="32"/>
      <c r="W241" s="28"/>
      <c r="X241" s="35"/>
      <c r="Y241" s="32"/>
      <c r="Z241" s="28"/>
      <c r="AA241" s="36"/>
    </row>
    <row r="242" spans="1:27" ht="13">
      <c r="A242" s="35" t="s">
        <v>541</v>
      </c>
      <c r="B242" s="28"/>
      <c r="C242" s="29">
        <v>750</v>
      </c>
      <c r="D242" s="30">
        <f t="shared" si="1"/>
        <v>350</v>
      </c>
      <c r="E242" s="41"/>
      <c r="F242" s="32"/>
      <c r="G242" s="28"/>
      <c r="H242" s="32" t="s">
        <v>410</v>
      </c>
      <c r="I242" s="33" t="s">
        <v>411</v>
      </c>
      <c r="J242" s="32"/>
      <c r="K242" s="28">
        <f>IFERROR(VLOOKUP(L242,Ingredients!A:B,2,FALSE),"")</f>
        <v>400</v>
      </c>
      <c r="L242" s="34" t="s">
        <v>420</v>
      </c>
      <c r="M242" s="32" t="s">
        <v>89</v>
      </c>
      <c r="N242" s="28">
        <f>IFERROR(VLOOKUP(O242,Ingredients!$A:$B,2,FALSE),"")</f>
        <v>0</v>
      </c>
      <c r="O242" s="34" t="s">
        <v>542</v>
      </c>
      <c r="P242" s="32" t="s">
        <v>87</v>
      </c>
      <c r="Q242" s="28"/>
      <c r="R242" s="35"/>
      <c r="S242" s="32"/>
      <c r="T242" s="28"/>
      <c r="U242" s="35"/>
      <c r="V242" s="32"/>
      <c r="W242" s="28"/>
      <c r="X242" s="35"/>
      <c r="Y242" s="32"/>
      <c r="Z242" s="28"/>
      <c r="AA242" s="36"/>
    </row>
    <row r="243" spans="1:27" ht="13">
      <c r="A243" s="35" t="s">
        <v>543</v>
      </c>
      <c r="B243" s="28"/>
      <c r="C243" s="29">
        <v>120</v>
      </c>
      <c r="D243" s="30">
        <f t="shared" si="1"/>
        <v>-180</v>
      </c>
      <c r="E243" s="41"/>
      <c r="F243" s="32"/>
      <c r="G243" s="28"/>
      <c r="H243" s="32" t="s">
        <v>410</v>
      </c>
      <c r="I243" s="33" t="s">
        <v>411</v>
      </c>
      <c r="J243" s="32"/>
      <c r="K243" s="28">
        <f>IFERROR(VLOOKUP(L243,Ingredients!A:B,2,FALSE),"")</f>
        <v>250</v>
      </c>
      <c r="L243" s="34" t="s">
        <v>431</v>
      </c>
      <c r="M243" s="32" t="s">
        <v>89</v>
      </c>
      <c r="N243" s="28">
        <f>IFERROR(VLOOKUP(O243,Ingredients!$A:$B,2,FALSE),"")</f>
        <v>50</v>
      </c>
      <c r="O243" s="34" t="s">
        <v>544</v>
      </c>
      <c r="P243" s="32" t="s">
        <v>87</v>
      </c>
      <c r="Q243" s="28"/>
      <c r="R243" s="35"/>
      <c r="S243" s="32"/>
      <c r="T243" s="28"/>
      <c r="U243" s="35"/>
      <c r="V243" s="32"/>
      <c r="W243" s="28"/>
      <c r="X243" s="35"/>
      <c r="Y243" s="32"/>
      <c r="Z243" s="28"/>
      <c r="AA243" s="36"/>
    </row>
    <row r="244" spans="1:27" ht="13">
      <c r="A244" s="35" t="s">
        <v>545</v>
      </c>
      <c r="B244" s="28"/>
      <c r="C244" s="29">
        <v>120</v>
      </c>
      <c r="D244" s="30">
        <f t="shared" si="1"/>
        <v>-200</v>
      </c>
      <c r="E244" s="41"/>
      <c r="F244" s="32"/>
      <c r="G244" s="28"/>
      <c r="H244" s="32" t="s">
        <v>410</v>
      </c>
      <c r="I244" s="33" t="s">
        <v>411</v>
      </c>
      <c r="J244" s="32"/>
      <c r="K244" s="28">
        <f>IFERROR(VLOOKUP(L244,Ingredients!A:B,2,FALSE),"")</f>
        <v>250</v>
      </c>
      <c r="L244" s="34" t="s">
        <v>431</v>
      </c>
      <c r="M244" s="32" t="s">
        <v>89</v>
      </c>
      <c r="N244" s="28">
        <f>IFERROR(VLOOKUP(O244,Ingredients!$A:$B,2,FALSE),"")</f>
        <v>70</v>
      </c>
      <c r="O244" s="34" t="s">
        <v>546</v>
      </c>
      <c r="P244" s="32" t="s">
        <v>87</v>
      </c>
      <c r="Q244" s="28"/>
      <c r="R244" s="35"/>
      <c r="S244" s="32"/>
      <c r="T244" s="28"/>
      <c r="U244" s="35"/>
      <c r="V244" s="32"/>
      <c r="W244" s="28"/>
      <c r="X244" s="35"/>
      <c r="Y244" s="32"/>
      <c r="Z244" s="28"/>
      <c r="AA244" s="36"/>
    </row>
    <row r="245" spans="1:27" ht="13">
      <c r="A245" s="35" t="s">
        <v>547</v>
      </c>
      <c r="B245" s="28"/>
      <c r="C245" s="29">
        <v>500</v>
      </c>
      <c r="D245" s="30">
        <f t="shared" si="1"/>
        <v>100</v>
      </c>
      <c r="E245" s="41"/>
      <c r="F245" s="32"/>
      <c r="G245" s="28"/>
      <c r="H245" s="32" t="s">
        <v>410</v>
      </c>
      <c r="I245" s="33" t="s">
        <v>411</v>
      </c>
      <c r="J245" s="32"/>
      <c r="K245" s="28">
        <f>IFERROR(VLOOKUP(L245,Ingredients!A:B,2,FALSE),"")</f>
        <v>400</v>
      </c>
      <c r="L245" s="34" t="s">
        <v>495</v>
      </c>
      <c r="M245" s="32" t="s">
        <v>89</v>
      </c>
      <c r="N245" s="28">
        <f>IFERROR(VLOOKUP(O245,Ingredients!$A:$B,2,FALSE),"")</f>
        <v>0</v>
      </c>
      <c r="O245" s="34" t="s">
        <v>548</v>
      </c>
      <c r="P245" s="32" t="s">
        <v>87</v>
      </c>
      <c r="Q245" s="28"/>
      <c r="R245" s="35"/>
      <c r="S245" s="32"/>
      <c r="T245" s="28"/>
      <c r="U245" s="35"/>
      <c r="V245" s="32"/>
      <c r="W245" s="28"/>
      <c r="X245" s="35"/>
      <c r="Y245" s="32"/>
      <c r="Z245" s="28"/>
      <c r="AA245" s="36"/>
    </row>
    <row r="246" spans="1:27" ht="13">
      <c r="A246" s="35" t="s">
        <v>549</v>
      </c>
      <c r="B246" s="28"/>
      <c r="C246" s="29">
        <v>750</v>
      </c>
      <c r="D246" s="30">
        <f t="shared" si="1"/>
        <v>90</v>
      </c>
      <c r="E246" s="41"/>
      <c r="F246" s="32"/>
      <c r="G246" s="28"/>
      <c r="H246" s="32" t="s">
        <v>410</v>
      </c>
      <c r="I246" s="33" t="s">
        <v>411</v>
      </c>
      <c r="J246" s="32"/>
      <c r="K246" s="28">
        <f>IFERROR(VLOOKUP(L246,Ingredients!A:B,2,FALSE),"")</f>
        <v>400</v>
      </c>
      <c r="L246" s="34" t="s">
        <v>550</v>
      </c>
      <c r="M246" s="32" t="s">
        <v>89</v>
      </c>
      <c r="N246" s="28">
        <f>IFERROR(VLOOKUP(O246,Ingredients!$A:$B,2,FALSE),"")</f>
        <v>260</v>
      </c>
      <c r="O246" s="34" t="s">
        <v>551</v>
      </c>
      <c r="P246" s="32" t="s">
        <v>87</v>
      </c>
      <c r="Q246" s="28"/>
      <c r="R246" s="35"/>
      <c r="S246" s="32"/>
      <c r="T246" s="28"/>
      <c r="U246" s="35"/>
      <c r="V246" s="32"/>
      <c r="W246" s="28"/>
      <c r="X246" s="35"/>
      <c r="Y246" s="32"/>
      <c r="Z246" s="28"/>
      <c r="AA246" s="36"/>
    </row>
    <row r="247" spans="1:27" ht="13">
      <c r="A247" s="35" t="s">
        <v>552</v>
      </c>
      <c r="B247" s="28"/>
      <c r="C247" s="29">
        <v>120</v>
      </c>
      <c r="D247" s="30">
        <f t="shared" si="1"/>
        <v>-390</v>
      </c>
      <c r="E247" s="41"/>
      <c r="F247" s="32"/>
      <c r="G247" s="28"/>
      <c r="H247" s="32" t="s">
        <v>410</v>
      </c>
      <c r="I247" s="33" t="s">
        <v>411</v>
      </c>
      <c r="J247" s="32"/>
      <c r="K247" s="28">
        <f>IFERROR(VLOOKUP(L247,Ingredients!A:B,2,FALSE),"")</f>
        <v>250</v>
      </c>
      <c r="L247" s="34" t="s">
        <v>426</v>
      </c>
      <c r="M247" s="32" t="s">
        <v>89</v>
      </c>
      <c r="N247" s="28">
        <f>IFERROR(VLOOKUP(O247,Ingredients!$A:$B,2,FALSE),"")</f>
        <v>260</v>
      </c>
      <c r="O247" s="34" t="s">
        <v>553</v>
      </c>
      <c r="P247" s="32" t="s">
        <v>87</v>
      </c>
      <c r="Q247" s="28"/>
      <c r="R247" s="35"/>
      <c r="S247" s="32"/>
      <c r="T247" s="28"/>
      <c r="U247" s="35"/>
      <c r="V247" s="32"/>
      <c r="W247" s="28"/>
      <c r="X247" s="35"/>
      <c r="Y247" s="32"/>
      <c r="Z247" s="28"/>
      <c r="AA247" s="36"/>
    </row>
    <row r="248" spans="1:27" ht="13">
      <c r="A248" s="35" t="s">
        <v>554</v>
      </c>
      <c r="B248" s="28"/>
      <c r="C248" s="29">
        <v>120</v>
      </c>
      <c r="D248" s="30">
        <f t="shared" si="1"/>
        <v>-180</v>
      </c>
      <c r="E248" s="41"/>
      <c r="F248" s="32"/>
      <c r="G248" s="28"/>
      <c r="H248" s="32" t="s">
        <v>410</v>
      </c>
      <c r="I248" s="33" t="s">
        <v>411</v>
      </c>
      <c r="J248" s="32"/>
      <c r="K248" s="28">
        <f>IFERROR(VLOOKUP(L248,Ingredients!A:B,2,FALSE),"")</f>
        <v>250</v>
      </c>
      <c r="L248" s="34" t="s">
        <v>437</v>
      </c>
      <c r="M248" s="32" t="s">
        <v>89</v>
      </c>
      <c r="N248" s="28">
        <f>IFERROR(VLOOKUP(O248,Ingredients!$A:$B,2,FALSE),"")</f>
        <v>50</v>
      </c>
      <c r="O248" s="34" t="s">
        <v>555</v>
      </c>
      <c r="P248" s="32" t="s">
        <v>87</v>
      </c>
      <c r="Q248" s="28"/>
      <c r="R248" s="35"/>
      <c r="S248" s="32"/>
      <c r="T248" s="28"/>
      <c r="U248" s="35"/>
      <c r="V248" s="32"/>
      <c r="W248" s="28"/>
      <c r="X248" s="35"/>
      <c r="Y248" s="32"/>
      <c r="Z248" s="28"/>
      <c r="AA248" s="36"/>
    </row>
    <row r="249" spans="1:27" ht="13">
      <c r="A249" s="35" t="s">
        <v>556</v>
      </c>
      <c r="B249" s="28"/>
      <c r="C249" s="29">
        <v>500</v>
      </c>
      <c r="D249" s="30">
        <f t="shared" si="1"/>
        <v>-160</v>
      </c>
      <c r="E249" s="41"/>
      <c r="F249" s="32"/>
      <c r="G249" s="28"/>
      <c r="H249" s="32" t="s">
        <v>410</v>
      </c>
      <c r="I249" s="33" t="s">
        <v>411</v>
      </c>
      <c r="J249" s="32"/>
      <c r="K249" s="28">
        <f>IFERROR(VLOOKUP(L249,Ingredients!A:B,2,FALSE),"")</f>
        <v>400</v>
      </c>
      <c r="L249" s="34" t="s">
        <v>495</v>
      </c>
      <c r="M249" s="32" t="s">
        <v>89</v>
      </c>
      <c r="N249" s="28">
        <f>IFERROR(VLOOKUP(O249,Ingredients!$A:$B,2,FALSE),"")</f>
        <v>260</v>
      </c>
      <c r="O249" s="34" t="s">
        <v>557</v>
      </c>
      <c r="P249" s="32" t="s">
        <v>87</v>
      </c>
      <c r="Q249" s="28"/>
      <c r="R249" s="35"/>
      <c r="S249" s="32"/>
      <c r="T249" s="28"/>
      <c r="U249" s="35"/>
      <c r="V249" s="32"/>
      <c r="W249" s="28"/>
      <c r="X249" s="35"/>
      <c r="Y249" s="32"/>
      <c r="Z249" s="28"/>
      <c r="AA249" s="36"/>
    </row>
    <row r="250" spans="1:27" ht="13">
      <c r="A250" t="s">
        <v>558</v>
      </c>
      <c r="B250" s="28"/>
      <c r="C250" s="29">
        <v>190</v>
      </c>
      <c r="D250" s="30">
        <f t="shared" si="1"/>
        <v>-50</v>
      </c>
      <c r="F250" s="32"/>
      <c r="G250" s="28"/>
      <c r="H250" s="32" t="s">
        <v>410</v>
      </c>
      <c r="I250" s="33" t="s">
        <v>411</v>
      </c>
      <c r="J250" s="32"/>
      <c r="K250" s="28">
        <f>IFERROR(VLOOKUP(L250,Ingredients!A:B,2,FALSE),"")</f>
        <v>120</v>
      </c>
      <c r="L250" s="34" t="s">
        <v>443</v>
      </c>
      <c r="M250" s="32" t="s">
        <v>89</v>
      </c>
      <c r="N250" s="28">
        <f>IFERROR(VLOOKUP(O250,Ingredients!$A:$B,2,FALSE),"")</f>
        <v>120</v>
      </c>
      <c r="O250" s="34" t="s">
        <v>440</v>
      </c>
      <c r="P250" s="32" t="s">
        <v>87</v>
      </c>
      <c r="Q250" s="28"/>
      <c r="R250" s="35"/>
      <c r="S250" s="32"/>
      <c r="T250" s="28"/>
      <c r="U250" s="35"/>
      <c r="V250" s="32"/>
      <c r="W250" s="28"/>
      <c r="X250" s="35"/>
      <c r="Y250" s="32"/>
      <c r="Z250" s="28"/>
      <c r="AA250" s="36"/>
    </row>
    <row r="251" spans="1:27" ht="13">
      <c r="A251" s="35" t="s">
        <v>559</v>
      </c>
      <c r="B251" s="28"/>
      <c r="C251" s="29">
        <v>190</v>
      </c>
      <c r="D251" s="30">
        <f t="shared" si="1"/>
        <v>-120</v>
      </c>
      <c r="E251" s="41"/>
      <c r="F251" s="32"/>
      <c r="G251" s="28"/>
      <c r="H251" s="32" t="s">
        <v>410</v>
      </c>
      <c r="I251" s="33" t="s">
        <v>411</v>
      </c>
      <c r="J251" s="32"/>
      <c r="K251" s="28">
        <f>IFERROR(VLOOKUP(L251,Ingredients!A:B,2,FALSE),"")</f>
        <v>250</v>
      </c>
      <c r="L251" s="34" t="s">
        <v>462</v>
      </c>
      <c r="M251" s="32" t="s">
        <v>89</v>
      </c>
      <c r="N251" s="28">
        <f>IFERROR(VLOOKUP(O251,Ingredients!$A:$B,2,FALSE),"")</f>
        <v>60</v>
      </c>
      <c r="O251" s="34" t="s">
        <v>560</v>
      </c>
      <c r="P251" s="32" t="s">
        <v>87</v>
      </c>
      <c r="Q251" s="28"/>
      <c r="R251" s="35"/>
      <c r="S251" s="32"/>
      <c r="T251" s="28"/>
      <c r="U251" s="35"/>
      <c r="V251" s="32"/>
      <c r="W251" s="28"/>
      <c r="X251" s="35"/>
      <c r="Y251" s="32"/>
      <c r="Z251" s="28"/>
      <c r="AA251" s="36"/>
    </row>
    <row r="252" spans="1:27" ht="13">
      <c r="A252" s="35" t="s">
        <v>561</v>
      </c>
      <c r="B252" s="28"/>
      <c r="C252" s="29">
        <v>1400</v>
      </c>
      <c r="D252" s="30">
        <f t="shared" si="1"/>
        <v>1000</v>
      </c>
      <c r="E252" s="41"/>
      <c r="F252" s="32"/>
      <c r="G252" s="28"/>
      <c r="H252" s="32" t="s">
        <v>410</v>
      </c>
      <c r="I252" s="33" t="s">
        <v>411</v>
      </c>
      <c r="J252" s="32"/>
      <c r="K252" s="28">
        <f>IFERROR(VLOOKUP(L252,Ingredients!A:B,2,FALSE),"")</f>
        <v>400</v>
      </c>
      <c r="L252" s="34" t="s">
        <v>495</v>
      </c>
      <c r="M252" s="32" t="s">
        <v>89</v>
      </c>
      <c r="N252" s="28">
        <f>IFERROR(VLOOKUP(O252,Ingredients!$A:$B,2,FALSE),"")</f>
        <v>0</v>
      </c>
      <c r="O252" s="34" t="s">
        <v>562</v>
      </c>
      <c r="P252" s="32" t="s">
        <v>87</v>
      </c>
      <c r="Q252" s="28"/>
      <c r="R252" s="35"/>
      <c r="S252" s="32"/>
      <c r="T252" s="28"/>
      <c r="U252" s="35"/>
      <c r="V252" s="32"/>
      <c r="W252" s="28"/>
      <c r="X252" s="35"/>
      <c r="Y252" s="32"/>
      <c r="Z252" s="28"/>
      <c r="AA252" s="36"/>
    </row>
    <row r="253" spans="1:27" ht="13">
      <c r="A253" s="35" t="s">
        <v>563</v>
      </c>
      <c r="B253" s="28"/>
      <c r="C253" s="29">
        <v>190</v>
      </c>
      <c r="D253" s="30">
        <f t="shared" si="1"/>
        <v>-160</v>
      </c>
      <c r="E253" s="41"/>
      <c r="F253" s="32"/>
      <c r="G253" s="28"/>
      <c r="H253" s="32" t="s">
        <v>410</v>
      </c>
      <c r="I253" s="33" t="s">
        <v>411</v>
      </c>
      <c r="J253" s="32"/>
      <c r="K253" s="28">
        <f>IFERROR(VLOOKUP(L253,Ingredients!A:B,2,FALSE),"")</f>
        <v>250</v>
      </c>
      <c r="L253" s="34" t="s">
        <v>426</v>
      </c>
      <c r="M253" s="32" t="s">
        <v>89</v>
      </c>
      <c r="N253" s="28">
        <f>IFERROR(VLOOKUP(O253,Ingredients!$A:$B,2,FALSE),"")</f>
        <v>100</v>
      </c>
      <c r="O253" s="34" t="s">
        <v>564</v>
      </c>
      <c r="P253" s="32" t="s">
        <v>87</v>
      </c>
      <c r="Q253" s="28"/>
      <c r="R253" s="35"/>
      <c r="S253" s="32"/>
      <c r="T253" s="28"/>
      <c r="U253" s="35"/>
      <c r="V253" s="32"/>
      <c r="W253" s="28"/>
      <c r="X253" s="35"/>
      <c r="Y253" s="32"/>
      <c r="Z253" s="28"/>
      <c r="AA253" s="36"/>
    </row>
    <row r="254" spans="1:27" ht="13">
      <c r="A254" t="s">
        <v>565</v>
      </c>
      <c r="B254" s="28"/>
      <c r="C254" s="29">
        <v>500</v>
      </c>
      <c r="D254" s="30">
        <f t="shared" si="1"/>
        <v>-500</v>
      </c>
      <c r="F254" s="32"/>
      <c r="G254" s="28"/>
      <c r="H254" s="32" t="s">
        <v>410</v>
      </c>
      <c r="I254" s="33" t="s">
        <v>411</v>
      </c>
      <c r="J254" s="32"/>
      <c r="K254" s="28">
        <f>IFERROR(VLOOKUP(L254,Ingredients!A:B,2,FALSE),"")</f>
        <v>500</v>
      </c>
      <c r="L254" s="34" t="s">
        <v>442</v>
      </c>
      <c r="M254" s="32" t="s">
        <v>89</v>
      </c>
      <c r="N254" s="28">
        <f>IFERROR(VLOOKUP(O254,Ingredients!$A:$B,2,FALSE),"")</f>
        <v>500</v>
      </c>
      <c r="O254" s="34" t="s">
        <v>536</v>
      </c>
      <c r="P254" s="32" t="s">
        <v>87</v>
      </c>
      <c r="Q254" s="28"/>
      <c r="R254" s="35"/>
      <c r="S254" s="32"/>
      <c r="T254" s="28"/>
      <c r="U254" s="35"/>
      <c r="V254" s="32"/>
      <c r="W254" s="28"/>
      <c r="X254" s="35"/>
      <c r="Y254" s="32"/>
      <c r="Z254" s="28"/>
      <c r="AA254" s="36"/>
    </row>
    <row r="255" spans="1:27" ht="13">
      <c r="A255" t="s">
        <v>565</v>
      </c>
      <c r="B255" s="28"/>
      <c r="C255" s="29">
        <v>500</v>
      </c>
      <c r="D255" s="30">
        <f t="shared" si="1"/>
        <v>-120</v>
      </c>
      <c r="F255" s="32"/>
      <c r="G255" s="28"/>
      <c r="H255" s="32" t="s">
        <v>410</v>
      </c>
      <c r="I255" s="33" t="s">
        <v>411</v>
      </c>
      <c r="J255" s="32"/>
      <c r="K255" s="28">
        <f>IFERROR(VLOOKUP(L255,Ingredients!A:B,2,FALSE),"")</f>
        <v>500</v>
      </c>
      <c r="L255" s="34" t="s">
        <v>442</v>
      </c>
      <c r="M255" s="32" t="s">
        <v>89</v>
      </c>
      <c r="N255" s="28">
        <f>IFERROR(VLOOKUP(O255,Ingredients!$A:$B,2,FALSE),"")</f>
        <v>120</v>
      </c>
      <c r="O255" s="34" t="s">
        <v>440</v>
      </c>
      <c r="P255" s="32" t="s">
        <v>87</v>
      </c>
      <c r="Q255" s="28"/>
      <c r="R255" s="35"/>
      <c r="S255" s="32"/>
      <c r="T255" s="28"/>
      <c r="U255" s="35"/>
      <c r="V255" s="32"/>
      <c r="W255" s="28"/>
      <c r="X255" s="35"/>
      <c r="Y255" s="32"/>
      <c r="Z255" s="28"/>
      <c r="AA255" s="36"/>
    </row>
    <row r="256" spans="1:27" ht="13">
      <c r="A256" t="s">
        <v>565</v>
      </c>
      <c r="B256" s="28"/>
      <c r="C256" s="29">
        <v>500</v>
      </c>
      <c r="D256" s="30">
        <f t="shared" si="1"/>
        <v>-120</v>
      </c>
      <c r="F256" s="32"/>
      <c r="G256" s="28"/>
      <c r="H256" s="32" t="s">
        <v>410</v>
      </c>
      <c r="I256" s="33" t="s">
        <v>411</v>
      </c>
      <c r="J256" s="32"/>
      <c r="K256" s="28">
        <f>IFERROR(VLOOKUP(L256,Ingredients!A:B,2,FALSE),"")</f>
        <v>120</v>
      </c>
      <c r="L256" s="34" t="s">
        <v>443</v>
      </c>
      <c r="M256" s="32" t="s">
        <v>89</v>
      </c>
      <c r="N256" s="28">
        <f>IFERROR(VLOOKUP(O256,Ingredients!$A:$B,2,FALSE),"")</f>
        <v>500</v>
      </c>
      <c r="O256" s="34" t="s">
        <v>536</v>
      </c>
      <c r="P256" s="32" t="s">
        <v>87</v>
      </c>
      <c r="Q256" s="28"/>
      <c r="R256" s="35"/>
      <c r="S256" s="32"/>
      <c r="T256" s="28"/>
      <c r="U256" s="35"/>
      <c r="V256" s="32"/>
      <c r="W256" s="28"/>
      <c r="X256" s="35"/>
      <c r="Y256" s="32"/>
      <c r="Z256" s="28"/>
      <c r="AA256" s="36"/>
    </row>
    <row r="257" spans="1:27" ht="13">
      <c r="A257" s="35" t="s">
        <v>566</v>
      </c>
      <c r="B257" s="28"/>
      <c r="C257" s="29">
        <v>120</v>
      </c>
      <c r="D257" s="30">
        <f t="shared" si="1"/>
        <v>-190</v>
      </c>
      <c r="E257" s="41"/>
      <c r="F257" s="32"/>
      <c r="G257" s="28"/>
      <c r="H257" s="32" t="s">
        <v>410</v>
      </c>
      <c r="I257" s="33" t="s">
        <v>411</v>
      </c>
      <c r="J257" s="32"/>
      <c r="K257" s="28">
        <f>IFERROR(VLOOKUP(L257,Ingredients!A:B,2,FALSE),"")</f>
        <v>250</v>
      </c>
      <c r="L257" s="34" t="s">
        <v>437</v>
      </c>
      <c r="M257" s="32" t="s">
        <v>89</v>
      </c>
      <c r="N257" s="28">
        <f>IFERROR(VLOOKUP(O257,Ingredients!$A:$B,2,FALSE),"")</f>
        <v>60</v>
      </c>
      <c r="O257" s="34" t="s">
        <v>567</v>
      </c>
      <c r="P257" s="32" t="s">
        <v>87</v>
      </c>
      <c r="Q257" s="28"/>
      <c r="R257" s="35"/>
      <c r="S257" s="32"/>
      <c r="T257" s="28"/>
      <c r="U257" s="35"/>
      <c r="V257" s="32"/>
      <c r="W257" s="28"/>
      <c r="X257" s="35"/>
      <c r="Y257" s="32"/>
      <c r="Z257" s="28"/>
      <c r="AA257" s="36"/>
    </row>
    <row r="258" spans="1:27" ht="13">
      <c r="A258" s="35" t="s">
        <v>568</v>
      </c>
      <c r="B258" s="28"/>
      <c r="C258" s="29">
        <v>190</v>
      </c>
      <c r="D258" s="30">
        <f t="shared" si="1"/>
        <v>-160</v>
      </c>
      <c r="E258" s="41"/>
      <c r="F258" s="32"/>
      <c r="G258" s="28"/>
      <c r="H258" s="32" t="s">
        <v>410</v>
      </c>
      <c r="I258" s="33" t="s">
        <v>411</v>
      </c>
      <c r="J258" s="32"/>
      <c r="K258" s="28">
        <f>IFERROR(VLOOKUP(L258,Ingredients!A:B,2,FALSE),"")</f>
        <v>250</v>
      </c>
      <c r="L258" s="34" t="s">
        <v>431</v>
      </c>
      <c r="M258" s="32" t="s">
        <v>89</v>
      </c>
      <c r="N258" s="28">
        <f>IFERROR(VLOOKUP(O258,Ingredients!$A:$B,2,FALSE),"")</f>
        <v>100</v>
      </c>
      <c r="O258" s="34" t="s">
        <v>569</v>
      </c>
      <c r="P258" s="32" t="s">
        <v>87</v>
      </c>
      <c r="Q258" s="28"/>
      <c r="R258" s="35"/>
      <c r="S258" s="32"/>
      <c r="T258" s="28"/>
      <c r="U258" s="35"/>
      <c r="V258" s="32"/>
      <c r="W258" s="28"/>
      <c r="X258" s="35"/>
      <c r="Y258" s="32"/>
      <c r="Z258" s="28"/>
      <c r="AA258" s="36"/>
    </row>
    <row r="259" spans="1:27" ht="13">
      <c r="A259" s="35" t="s">
        <v>570</v>
      </c>
      <c r="B259" s="28"/>
      <c r="C259" s="29">
        <v>190</v>
      </c>
      <c r="D259" s="30">
        <f t="shared" si="1"/>
        <v>-160</v>
      </c>
      <c r="E259" s="41"/>
      <c r="F259" s="32"/>
      <c r="G259" s="28"/>
      <c r="H259" s="32" t="s">
        <v>410</v>
      </c>
      <c r="I259" s="33" t="s">
        <v>411</v>
      </c>
      <c r="J259" s="32"/>
      <c r="K259" s="28">
        <f>IFERROR(VLOOKUP(L259,Ingredients!A:B,2,FALSE),"")</f>
        <v>250</v>
      </c>
      <c r="L259" s="34" t="s">
        <v>434</v>
      </c>
      <c r="M259" s="32" t="s">
        <v>89</v>
      </c>
      <c r="N259" s="28">
        <f>IFERROR(VLOOKUP(O259,Ingredients!$A:$B,2,FALSE),"")</f>
        <v>100</v>
      </c>
      <c r="O259" s="34" t="s">
        <v>571</v>
      </c>
      <c r="P259" s="32" t="s">
        <v>87</v>
      </c>
      <c r="Q259" s="28"/>
      <c r="R259" s="35"/>
      <c r="S259" s="32"/>
      <c r="T259" s="28"/>
      <c r="U259" s="35"/>
      <c r="V259" s="32"/>
      <c r="W259" s="28"/>
      <c r="X259" s="35"/>
      <c r="Y259" s="32"/>
      <c r="Z259" s="28"/>
      <c r="AA259" s="36"/>
    </row>
    <row r="260" spans="1:27" ht="13">
      <c r="A260" s="27" t="s">
        <v>572</v>
      </c>
      <c r="B260" s="28"/>
      <c r="C260" s="29">
        <v>500</v>
      </c>
      <c r="D260" s="30">
        <f t="shared" si="1"/>
        <v>-500</v>
      </c>
      <c r="E260" s="41"/>
      <c r="F260" s="32"/>
      <c r="G260" s="28"/>
      <c r="H260" s="32" t="s">
        <v>410</v>
      </c>
      <c r="I260" s="33" t="s">
        <v>411</v>
      </c>
      <c r="J260" s="32"/>
      <c r="K260" s="28">
        <f>IFERROR(VLOOKUP(L260,Ingredients!A:B,2,FALSE),"")</f>
        <v>500</v>
      </c>
      <c r="L260" s="34" t="s">
        <v>445</v>
      </c>
      <c r="M260" s="32" t="s">
        <v>89</v>
      </c>
      <c r="N260" s="28">
        <f>IFERROR(VLOOKUP(O260,Ingredients!$A:$B,2,FALSE),"")</f>
        <v>500</v>
      </c>
      <c r="O260" s="34" t="s">
        <v>536</v>
      </c>
      <c r="P260" s="32" t="s">
        <v>87</v>
      </c>
      <c r="Q260" s="28"/>
      <c r="R260" s="35"/>
      <c r="S260" s="32"/>
      <c r="T260" s="28"/>
      <c r="U260" s="35"/>
      <c r="V260" s="32"/>
      <c r="W260" s="28"/>
      <c r="X260" s="35"/>
      <c r="Y260" s="32"/>
      <c r="Z260" s="28"/>
      <c r="AA260" s="36"/>
    </row>
    <row r="261" spans="1:27" ht="13">
      <c r="A261" s="27" t="s">
        <v>572</v>
      </c>
      <c r="B261" s="28"/>
      <c r="C261" s="29">
        <v>500</v>
      </c>
      <c r="D261" s="30">
        <f t="shared" si="1"/>
        <v>-120</v>
      </c>
      <c r="E261" s="41"/>
      <c r="F261" s="32"/>
      <c r="G261" s="28"/>
      <c r="H261" s="32" t="s">
        <v>410</v>
      </c>
      <c r="I261" s="33" t="s">
        <v>411</v>
      </c>
      <c r="J261" s="32"/>
      <c r="K261" s="28">
        <f>IFERROR(VLOOKUP(L261,Ingredients!A:B,2,FALSE),"")</f>
        <v>500</v>
      </c>
      <c r="L261" s="34" t="s">
        <v>445</v>
      </c>
      <c r="M261" s="32" t="s">
        <v>89</v>
      </c>
      <c r="N261" s="28">
        <f>IFERROR(VLOOKUP(O261,Ingredients!$A:$B,2,FALSE),"")</f>
        <v>120</v>
      </c>
      <c r="O261" s="34" t="s">
        <v>440</v>
      </c>
      <c r="P261" s="32" t="s">
        <v>87</v>
      </c>
      <c r="Q261" s="28"/>
      <c r="R261" s="35"/>
      <c r="S261" s="32"/>
      <c r="T261" s="28"/>
      <c r="U261" s="35"/>
      <c r="V261" s="32"/>
      <c r="W261" s="28"/>
      <c r="X261" s="35"/>
      <c r="Y261" s="32"/>
      <c r="Z261" s="28"/>
      <c r="AA261" s="36"/>
    </row>
    <row r="262" spans="1:27" ht="13">
      <c r="A262" s="27" t="s">
        <v>572</v>
      </c>
      <c r="B262" s="28"/>
      <c r="C262" s="29">
        <v>500</v>
      </c>
      <c r="D262" s="30">
        <f t="shared" si="1"/>
        <v>-120</v>
      </c>
      <c r="E262" s="41"/>
      <c r="F262" s="32"/>
      <c r="G262" s="28"/>
      <c r="H262" s="32" t="s">
        <v>410</v>
      </c>
      <c r="I262" s="33" t="s">
        <v>411</v>
      </c>
      <c r="J262" s="32"/>
      <c r="K262" s="28">
        <f>IFERROR(VLOOKUP(L262,Ingredients!A:B,2,FALSE),"")</f>
        <v>120</v>
      </c>
      <c r="L262" s="34" t="s">
        <v>448</v>
      </c>
      <c r="M262" s="32" t="s">
        <v>89</v>
      </c>
      <c r="N262" s="28">
        <f>IFERROR(VLOOKUP(O262,Ingredients!$A:$B,2,FALSE),"")</f>
        <v>500</v>
      </c>
      <c r="O262" s="34" t="s">
        <v>536</v>
      </c>
      <c r="P262" s="32" t="s">
        <v>87</v>
      </c>
      <c r="Q262" s="28"/>
      <c r="R262" s="35"/>
      <c r="S262" s="32"/>
      <c r="T262" s="28"/>
      <c r="U262" s="35"/>
      <c r="V262" s="32"/>
      <c r="W262" s="28"/>
      <c r="X262" s="35"/>
      <c r="Y262" s="32"/>
      <c r="Z262" s="28"/>
      <c r="AA262" s="36"/>
    </row>
    <row r="263" spans="1:27" ht="13">
      <c r="A263" s="35" t="s">
        <v>573</v>
      </c>
      <c r="B263" s="28"/>
      <c r="C263" s="29">
        <v>500</v>
      </c>
      <c r="D263" s="30">
        <f t="shared" si="1"/>
        <v>-10</v>
      </c>
      <c r="E263" s="41"/>
      <c r="F263" s="32"/>
      <c r="G263" s="28"/>
      <c r="H263" s="32" t="s">
        <v>410</v>
      </c>
      <c r="I263" s="33" t="s">
        <v>411</v>
      </c>
      <c r="J263" s="32"/>
      <c r="K263" s="28">
        <f>IFERROR(VLOOKUP(L263,Ingredients!A:B,2,FALSE),"")</f>
        <v>250</v>
      </c>
      <c r="L263" s="34" t="s">
        <v>437</v>
      </c>
      <c r="M263" s="32" t="s">
        <v>89</v>
      </c>
      <c r="N263" s="28">
        <f>IFERROR(VLOOKUP(O263,Ingredients!$A:$B,2,FALSE),"")</f>
        <v>260</v>
      </c>
      <c r="O263" s="34" t="s">
        <v>574</v>
      </c>
      <c r="P263" s="32" t="s">
        <v>87</v>
      </c>
      <c r="Q263" s="28"/>
      <c r="R263" s="35"/>
      <c r="S263" s="32"/>
      <c r="T263" s="28"/>
      <c r="U263" s="35"/>
      <c r="V263" s="32"/>
      <c r="W263" s="28"/>
      <c r="X263" s="35"/>
      <c r="Y263" s="32"/>
      <c r="Z263" s="28"/>
      <c r="AA263" s="36"/>
    </row>
    <row r="264" spans="1:27" ht="13">
      <c r="A264" s="35" t="s">
        <v>575</v>
      </c>
      <c r="B264" s="28"/>
      <c r="C264" s="29">
        <v>500</v>
      </c>
      <c r="D264" s="30">
        <f t="shared" si="1"/>
        <v>-10</v>
      </c>
      <c r="E264" s="41"/>
      <c r="F264" s="32"/>
      <c r="G264" s="28"/>
      <c r="H264" s="32" t="s">
        <v>410</v>
      </c>
      <c r="I264" s="33" t="s">
        <v>411</v>
      </c>
      <c r="J264" s="32"/>
      <c r="K264" s="28">
        <f>IFERROR(VLOOKUP(L264,Ingredients!A:B,2,FALSE),"")</f>
        <v>250</v>
      </c>
      <c r="L264" s="34" t="s">
        <v>434</v>
      </c>
      <c r="M264" s="32" t="s">
        <v>89</v>
      </c>
      <c r="N264" s="28">
        <f>IFERROR(VLOOKUP(O264,Ingredients!$A:$B,2,FALSE),"")</f>
        <v>260</v>
      </c>
      <c r="O264" s="34" t="s">
        <v>576</v>
      </c>
      <c r="P264" s="32" t="s">
        <v>87</v>
      </c>
      <c r="Q264" s="28"/>
      <c r="R264" s="35"/>
      <c r="S264" s="32"/>
      <c r="T264" s="28"/>
      <c r="U264" s="35"/>
      <c r="V264" s="32"/>
      <c r="W264" s="28"/>
      <c r="X264" s="35"/>
      <c r="Y264" s="32"/>
      <c r="Z264" s="28"/>
      <c r="AA264" s="36"/>
    </row>
    <row r="265" spans="1:27" ht="13">
      <c r="A265" s="35" t="s">
        <v>577</v>
      </c>
      <c r="B265" s="28"/>
      <c r="C265" s="29">
        <v>1400</v>
      </c>
      <c r="D265" s="30">
        <f t="shared" si="1"/>
        <v>650</v>
      </c>
      <c r="E265" s="41"/>
      <c r="F265" s="32"/>
      <c r="G265" s="28"/>
      <c r="H265" s="32" t="s">
        <v>410</v>
      </c>
      <c r="I265" s="33" t="s">
        <v>411</v>
      </c>
      <c r="J265" s="32"/>
      <c r="K265" s="28">
        <f>IFERROR(VLOOKUP(L265,Ingredients!A:B,2,FALSE),"")</f>
        <v>400</v>
      </c>
      <c r="L265" s="34" t="s">
        <v>417</v>
      </c>
      <c r="M265" s="32" t="s">
        <v>89</v>
      </c>
      <c r="N265" s="28">
        <f>IFERROR(VLOOKUP(O265,Ingredients!$A:$B,2,FALSE),"")</f>
        <v>350</v>
      </c>
      <c r="O265" s="34" t="s">
        <v>578</v>
      </c>
      <c r="P265" s="32" t="s">
        <v>87</v>
      </c>
      <c r="Q265" s="28"/>
      <c r="R265" s="35"/>
      <c r="S265" s="32"/>
      <c r="T265" s="28"/>
      <c r="U265" s="35"/>
      <c r="V265" s="32"/>
      <c r="W265" s="28"/>
      <c r="X265" s="35"/>
      <c r="Y265" s="32"/>
      <c r="Z265" s="28"/>
      <c r="AA265" s="36"/>
    </row>
    <row r="266" spans="1:27" ht="13">
      <c r="A266" s="27" t="s">
        <v>579</v>
      </c>
      <c r="B266" s="28"/>
      <c r="C266" s="29">
        <v>500</v>
      </c>
      <c r="D266" s="30">
        <f t="shared" si="1"/>
        <v>-500</v>
      </c>
      <c r="E266" s="41"/>
      <c r="F266" s="32"/>
      <c r="G266" s="28"/>
      <c r="H266" s="32" t="s">
        <v>410</v>
      </c>
      <c r="I266" s="33" t="s">
        <v>411</v>
      </c>
      <c r="J266" s="32"/>
      <c r="K266" s="28">
        <f>IFERROR(VLOOKUP(L266,Ingredients!A:B,2,FALSE),"")</f>
        <v>500</v>
      </c>
      <c r="L266" s="34" t="s">
        <v>445</v>
      </c>
      <c r="M266" s="32" t="s">
        <v>89</v>
      </c>
      <c r="N266" s="28">
        <f>IFERROR(VLOOKUP(O266,Ingredients!$A:$B,2,FALSE),"")</f>
        <v>500</v>
      </c>
      <c r="O266" s="34" t="s">
        <v>580</v>
      </c>
      <c r="P266" s="32" t="s">
        <v>87</v>
      </c>
      <c r="Q266" s="28"/>
      <c r="R266" s="35"/>
      <c r="S266" s="32"/>
      <c r="T266" s="28"/>
      <c r="U266" s="35"/>
      <c r="V266" s="32"/>
      <c r="W266" s="28"/>
      <c r="X266" s="35"/>
      <c r="Y266" s="32"/>
      <c r="Z266" s="28"/>
      <c r="AA266" s="36"/>
    </row>
    <row r="267" spans="1:27" ht="13">
      <c r="A267" s="27" t="s">
        <v>579</v>
      </c>
      <c r="B267" s="28"/>
      <c r="C267" s="29">
        <v>500</v>
      </c>
      <c r="D267" s="30">
        <f t="shared" si="1"/>
        <v>-120</v>
      </c>
      <c r="E267" s="41"/>
      <c r="F267" s="32"/>
      <c r="G267" s="28"/>
      <c r="H267" s="32" t="s">
        <v>410</v>
      </c>
      <c r="I267" s="33" t="s">
        <v>411</v>
      </c>
      <c r="J267" s="32"/>
      <c r="K267" s="28">
        <f>IFERROR(VLOOKUP(L267,Ingredients!A:B,2,FALSE),"")</f>
        <v>120</v>
      </c>
      <c r="L267" s="34" t="s">
        <v>448</v>
      </c>
      <c r="M267" s="32" t="s">
        <v>89</v>
      </c>
      <c r="N267" s="28">
        <f>IFERROR(VLOOKUP(O267,Ingredients!$A:$B,2,FALSE),"")</f>
        <v>500</v>
      </c>
      <c r="O267" s="34" t="s">
        <v>580</v>
      </c>
      <c r="P267" s="32" t="s">
        <v>87</v>
      </c>
      <c r="Q267" s="28"/>
      <c r="R267" s="35"/>
      <c r="S267" s="32"/>
      <c r="T267" s="28"/>
      <c r="U267" s="35"/>
      <c r="V267" s="32"/>
      <c r="W267" s="28"/>
      <c r="X267" s="35"/>
      <c r="Y267" s="32"/>
      <c r="Z267" s="28"/>
      <c r="AA267" s="36"/>
    </row>
    <row r="268" spans="1:27" ht="13">
      <c r="A268" s="27" t="s">
        <v>579</v>
      </c>
      <c r="B268" s="28"/>
      <c r="C268" s="29">
        <v>500</v>
      </c>
      <c r="D268" s="30">
        <f t="shared" si="1"/>
        <v>-120</v>
      </c>
      <c r="E268" s="41"/>
      <c r="F268" s="32"/>
      <c r="G268" s="28"/>
      <c r="H268" s="32" t="s">
        <v>410</v>
      </c>
      <c r="I268" s="33" t="s">
        <v>411</v>
      </c>
      <c r="J268" s="32"/>
      <c r="K268" s="28">
        <f>IFERROR(VLOOKUP(L268,Ingredients!A:B,2,FALSE),"")</f>
        <v>500</v>
      </c>
      <c r="L268" s="34" t="s">
        <v>445</v>
      </c>
      <c r="M268" s="32" t="s">
        <v>89</v>
      </c>
      <c r="N268" s="28">
        <f>IFERROR(VLOOKUP(O268,Ingredients!$A:$B,2,FALSE),"")</f>
        <v>120</v>
      </c>
      <c r="O268" s="34" t="s">
        <v>460</v>
      </c>
      <c r="P268" s="32" t="s">
        <v>87</v>
      </c>
      <c r="Q268" s="28"/>
      <c r="R268" s="35"/>
      <c r="S268" s="32"/>
      <c r="T268" s="28"/>
      <c r="U268" s="35"/>
      <c r="V268" s="32"/>
      <c r="W268" s="28"/>
      <c r="X268" s="35"/>
      <c r="Y268" s="32"/>
      <c r="Z268" s="28"/>
      <c r="AA268" s="36"/>
    </row>
    <row r="269" spans="1:27" ht="13">
      <c r="A269" t="s">
        <v>581</v>
      </c>
      <c r="B269" s="28"/>
      <c r="C269" s="29">
        <v>500</v>
      </c>
      <c r="D269" s="30">
        <f t="shared" si="1"/>
        <v>-500</v>
      </c>
      <c r="F269" s="32"/>
      <c r="G269" s="28"/>
      <c r="H269" s="32" t="s">
        <v>410</v>
      </c>
      <c r="I269" s="33" t="s">
        <v>411</v>
      </c>
      <c r="J269" s="32"/>
      <c r="K269" s="28">
        <f>IFERROR(VLOOKUP(L269,Ingredients!A:B,2,FALSE),"")</f>
        <v>500</v>
      </c>
      <c r="L269" s="34" t="s">
        <v>442</v>
      </c>
      <c r="M269" s="32" t="s">
        <v>89</v>
      </c>
      <c r="N269" s="28">
        <f>IFERROR(VLOOKUP(O269,Ingredients!$A:$B,2,FALSE),"")</f>
        <v>500</v>
      </c>
      <c r="O269" s="34" t="s">
        <v>580</v>
      </c>
      <c r="P269" s="32" t="s">
        <v>87</v>
      </c>
      <c r="Q269" s="28"/>
      <c r="R269" s="35"/>
      <c r="S269" s="32"/>
      <c r="T269" s="28"/>
      <c r="U269" s="35"/>
      <c r="V269" s="32"/>
      <c r="W269" s="28"/>
      <c r="X269" s="35"/>
      <c r="Y269" s="32"/>
      <c r="Z269" s="28"/>
      <c r="AA269" s="36"/>
    </row>
    <row r="270" spans="1:27" ht="13">
      <c r="A270" t="s">
        <v>581</v>
      </c>
      <c r="B270" s="28"/>
      <c r="C270" s="29">
        <v>500</v>
      </c>
      <c r="D270" s="30">
        <f t="shared" si="1"/>
        <v>-120</v>
      </c>
      <c r="F270" s="32"/>
      <c r="G270" s="28"/>
      <c r="H270" s="32" t="s">
        <v>410</v>
      </c>
      <c r="I270" s="33" t="s">
        <v>411</v>
      </c>
      <c r="J270" s="32"/>
      <c r="K270" s="28">
        <f>IFERROR(VLOOKUP(L270,Ingredients!A:B,2,FALSE),"")</f>
        <v>120</v>
      </c>
      <c r="L270" s="34" t="s">
        <v>443</v>
      </c>
      <c r="M270" s="32" t="s">
        <v>89</v>
      </c>
      <c r="N270" s="28">
        <f>IFERROR(VLOOKUP(O270,Ingredients!$A:$B,2,FALSE),"")</f>
        <v>500</v>
      </c>
      <c r="O270" s="34" t="s">
        <v>580</v>
      </c>
      <c r="P270" s="32" t="s">
        <v>87</v>
      </c>
      <c r="Q270" s="28"/>
      <c r="R270" s="35"/>
      <c r="S270" s="32"/>
      <c r="T270" s="28"/>
      <c r="U270" s="35"/>
      <c r="V270" s="32"/>
      <c r="W270" s="28"/>
      <c r="X270" s="35"/>
      <c r="Y270" s="32"/>
      <c r="Z270" s="28"/>
      <c r="AA270" s="36"/>
    </row>
    <row r="271" spans="1:27" ht="13">
      <c r="A271" t="s">
        <v>581</v>
      </c>
      <c r="B271" s="28"/>
      <c r="C271" s="29">
        <v>500</v>
      </c>
      <c r="D271" s="30">
        <f t="shared" si="1"/>
        <v>-120</v>
      </c>
      <c r="F271" s="32"/>
      <c r="G271" s="28"/>
      <c r="H271" s="32" t="s">
        <v>410</v>
      </c>
      <c r="I271" s="33" t="s">
        <v>411</v>
      </c>
      <c r="J271" s="32"/>
      <c r="K271" s="28">
        <f>IFERROR(VLOOKUP(L271,Ingredients!A:B,2,FALSE),"")</f>
        <v>500</v>
      </c>
      <c r="L271" s="34" t="s">
        <v>442</v>
      </c>
      <c r="M271" s="32" t="s">
        <v>89</v>
      </c>
      <c r="N271" s="28">
        <f>IFERROR(VLOOKUP(O271,Ingredients!$A:$B,2,FALSE),"")</f>
        <v>120</v>
      </c>
      <c r="O271" s="34" t="s">
        <v>460</v>
      </c>
      <c r="P271" s="32" t="s">
        <v>87</v>
      </c>
      <c r="Q271" s="28"/>
      <c r="R271" s="35"/>
      <c r="S271" s="32"/>
      <c r="T271" s="28"/>
      <c r="U271" s="35"/>
      <c r="V271" s="32"/>
      <c r="W271" s="28"/>
      <c r="X271" s="35"/>
      <c r="Y271" s="32"/>
      <c r="Z271" s="28"/>
      <c r="AA271" s="36"/>
    </row>
    <row r="272" spans="1:27" ht="13">
      <c r="A272" t="s">
        <v>582</v>
      </c>
      <c r="B272" s="28"/>
      <c r="C272" s="29">
        <v>500</v>
      </c>
      <c r="D272" s="30">
        <f t="shared" si="1"/>
        <v>-500</v>
      </c>
      <c r="F272" s="32"/>
      <c r="G272" s="28"/>
      <c r="H272" s="32" t="s">
        <v>410</v>
      </c>
      <c r="I272" s="33" t="s">
        <v>411</v>
      </c>
      <c r="J272" s="32"/>
      <c r="K272" s="28">
        <f>IFERROR(VLOOKUP(L272,Ingredients!A:B,2,FALSE),"")</f>
        <v>500</v>
      </c>
      <c r="L272" s="34" t="s">
        <v>498</v>
      </c>
      <c r="M272" s="32" t="s">
        <v>89</v>
      </c>
      <c r="N272" s="28">
        <f>IFERROR(VLOOKUP(O272,Ingredients!$A:$B,2,FALSE),"")</f>
        <v>500</v>
      </c>
      <c r="O272" s="34" t="s">
        <v>453</v>
      </c>
      <c r="P272" s="32" t="s">
        <v>87</v>
      </c>
      <c r="Q272" s="28"/>
      <c r="R272" s="35"/>
      <c r="S272" s="32"/>
      <c r="T272" s="28"/>
      <c r="U272" s="35"/>
      <c r="V272" s="32"/>
      <c r="W272" s="28"/>
      <c r="X272" s="35"/>
      <c r="Y272" s="32"/>
      <c r="Z272" s="28"/>
      <c r="AA272" s="36"/>
    </row>
    <row r="273" spans="1:27" ht="13">
      <c r="A273" t="s">
        <v>582</v>
      </c>
      <c r="B273" s="28"/>
      <c r="C273" s="29">
        <v>500</v>
      </c>
      <c r="D273" s="30">
        <f t="shared" si="1"/>
        <v>-120</v>
      </c>
      <c r="F273" s="32"/>
      <c r="G273" s="28"/>
      <c r="H273" s="32" t="s">
        <v>410</v>
      </c>
      <c r="I273" s="33" t="s">
        <v>411</v>
      </c>
      <c r="J273" s="32"/>
      <c r="K273" s="28">
        <f>IFERROR(VLOOKUP(L273,Ingredients!A:B,2,FALSE),"")</f>
        <v>500</v>
      </c>
      <c r="L273" s="34" t="s">
        <v>498</v>
      </c>
      <c r="M273" s="32" t="s">
        <v>89</v>
      </c>
      <c r="N273" s="28">
        <f>IFERROR(VLOOKUP(O273,Ingredients!$A:$B,2,FALSE),"")</f>
        <v>120</v>
      </c>
      <c r="O273" s="34" t="s">
        <v>454</v>
      </c>
      <c r="P273" s="32" t="s">
        <v>87</v>
      </c>
      <c r="Q273" s="28"/>
      <c r="R273" s="35"/>
      <c r="S273" s="32"/>
      <c r="T273" s="28"/>
      <c r="U273" s="35"/>
      <c r="V273" s="32"/>
      <c r="W273" s="28"/>
      <c r="X273" s="35"/>
      <c r="Y273" s="32"/>
      <c r="Z273" s="28"/>
      <c r="AA273" s="36"/>
    </row>
    <row r="274" spans="1:27" ht="13">
      <c r="A274" t="s">
        <v>582</v>
      </c>
      <c r="B274" s="28"/>
      <c r="C274" s="29">
        <v>500</v>
      </c>
      <c r="D274" s="30">
        <f t="shared" si="1"/>
        <v>-120</v>
      </c>
      <c r="F274" s="32"/>
      <c r="G274" s="28"/>
      <c r="H274" s="32" t="s">
        <v>410</v>
      </c>
      <c r="I274" s="33" t="s">
        <v>411</v>
      </c>
      <c r="J274" s="32"/>
      <c r="K274" s="28">
        <f>IFERROR(VLOOKUP(L274,Ingredients!A:B,2,FALSE),"")</f>
        <v>120</v>
      </c>
      <c r="L274" s="34" t="s">
        <v>439</v>
      </c>
      <c r="M274" s="32" t="s">
        <v>89</v>
      </c>
      <c r="N274" s="28">
        <f>IFERROR(VLOOKUP(O274,Ingredients!$A:$B,2,FALSE),"")</f>
        <v>500</v>
      </c>
      <c r="O274" s="34" t="s">
        <v>453</v>
      </c>
      <c r="P274" s="32" t="s">
        <v>87</v>
      </c>
      <c r="Q274" s="28"/>
      <c r="R274" s="35"/>
      <c r="S274" s="32"/>
      <c r="T274" s="28"/>
      <c r="U274" s="35"/>
      <c r="V274" s="32"/>
      <c r="W274" s="28"/>
      <c r="X274" s="35"/>
      <c r="Y274" s="32"/>
      <c r="Z274" s="28"/>
      <c r="AA274" s="36"/>
    </row>
    <row r="275" spans="1:27" ht="13">
      <c r="A275" t="s">
        <v>583</v>
      </c>
      <c r="B275" s="28"/>
      <c r="C275" s="29">
        <v>500</v>
      </c>
      <c r="D275" s="30">
        <f t="shared" si="1"/>
        <v>-500</v>
      </c>
      <c r="F275" s="32"/>
      <c r="G275" s="28"/>
      <c r="H275" s="32" t="s">
        <v>410</v>
      </c>
      <c r="I275" s="33" t="s">
        <v>411</v>
      </c>
      <c r="J275" s="32"/>
      <c r="K275" s="28">
        <f>IFERROR(VLOOKUP(L275,Ingredients!A:B,2,FALSE),"")</f>
        <v>500</v>
      </c>
      <c r="L275" s="34" t="s">
        <v>442</v>
      </c>
      <c r="M275" s="32" t="s">
        <v>89</v>
      </c>
      <c r="N275" s="28">
        <f>IFERROR(VLOOKUP(O275,Ingredients!$A:$B,2,FALSE),"")</f>
        <v>500</v>
      </c>
      <c r="O275" s="34" t="s">
        <v>499</v>
      </c>
      <c r="P275" s="32" t="s">
        <v>87</v>
      </c>
      <c r="Q275" s="28"/>
      <c r="R275" s="35"/>
      <c r="S275" s="32"/>
      <c r="T275" s="28"/>
      <c r="U275" s="35"/>
      <c r="V275" s="32"/>
      <c r="W275" s="28"/>
      <c r="X275" s="35"/>
      <c r="Y275" s="32"/>
      <c r="Z275" s="28"/>
      <c r="AA275" s="36"/>
    </row>
    <row r="276" spans="1:27" ht="13">
      <c r="A276" t="s">
        <v>583</v>
      </c>
      <c r="B276" s="28"/>
      <c r="C276" s="29">
        <v>500</v>
      </c>
      <c r="D276" s="30">
        <f t="shared" si="1"/>
        <v>-120</v>
      </c>
      <c r="F276" s="32"/>
      <c r="G276" s="28"/>
      <c r="H276" s="32" t="s">
        <v>410</v>
      </c>
      <c r="I276" s="33" t="s">
        <v>411</v>
      </c>
      <c r="J276" s="32"/>
      <c r="K276" s="28">
        <f>IFERROR(VLOOKUP(L276,Ingredients!A:B,2,FALSE),"")</f>
        <v>120</v>
      </c>
      <c r="L276" s="34" t="s">
        <v>443</v>
      </c>
      <c r="M276" s="32" t="s">
        <v>89</v>
      </c>
      <c r="N276" s="28">
        <f>IFERROR(VLOOKUP(O276,Ingredients!$A:$B,2,FALSE),"")</f>
        <v>500</v>
      </c>
      <c r="O276" s="34" t="s">
        <v>499</v>
      </c>
      <c r="P276" s="32" t="s">
        <v>87</v>
      </c>
      <c r="Q276" s="28"/>
      <c r="R276" s="35"/>
      <c r="S276" s="32"/>
      <c r="T276" s="28"/>
      <c r="U276" s="35"/>
      <c r="V276" s="32"/>
      <c r="W276" s="28"/>
      <c r="X276" s="35"/>
      <c r="Y276" s="32"/>
      <c r="Z276" s="28"/>
      <c r="AA276" s="36"/>
    </row>
    <row r="277" spans="1:27" ht="13">
      <c r="A277" t="s">
        <v>583</v>
      </c>
      <c r="B277" s="28"/>
      <c r="C277" s="29">
        <v>500</v>
      </c>
      <c r="D277" s="30">
        <f t="shared" si="1"/>
        <v>-120</v>
      </c>
      <c r="F277" s="32"/>
      <c r="G277" s="28"/>
      <c r="H277" s="32" t="s">
        <v>410</v>
      </c>
      <c r="I277" s="33" t="s">
        <v>411</v>
      </c>
      <c r="J277" s="32"/>
      <c r="K277" s="28">
        <f>IFERROR(VLOOKUP(L277,Ingredients!A:B,2,FALSE),"")</f>
        <v>500</v>
      </c>
      <c r="L277" s="34" t="s">
        <v>442</v>
      </c>
      <c r="M277" s="32" t="s">
        <v>89</v>
      </c>
      <c r="N277" s="28">
        <f>IFERROR(VLOOKUP(O277,Ingredients!$A:$B,2,FALSE),"")</f>
        <v>120</v>
      </c>
      <c r="O277" s="34" t="s">
        <v>486</v>
      </c>
      <c r="P277" s="32" t="s">
        <v>87</v>
      </c>
      <c r="Q277" s="28"/>
      <c r="R277" s="35"/>
      <c r="S277" s="32"/>
      <c r="T277" s="28"/>
      <c r="U277" s="35"/>
      <c r="V277" s="32"/>
      <c r="W277" s="28"/>
      <c r="X277" s="35"/>
      <c r="Y277" s="32"/>
      <c r="Z277" s="28"/>
      <c r="AA277" s="36"/>
    </row>
    <row r="278" spans="1:27" ht="13">
      <c r="A278" t="s">
        <v>584</v>
      </c>
      <c r="B278" s="28"/>
      <c r="C278" s="29">
        <v>500</v>
      </c>
      <c r="D278" s="30">
        <f t="shared" si="1"/>
        <v>-500</v>
      </c>
      <c r="F278" s="32"/>
      <c r="G278" s="28"/>
      <c r="H278" s="32" t="s">
        <v>410</v>
      </c>
      <c r="I278" s="33" t="s">
        <v>411</v>
      </c>
      <c r="J278" s="32"/>
      <c r="K278" s="28">
        <f>IFERROR(VLOOKUP(L278,Ingredients!A:B,2,FALSE),"")</f>
        <v>500</v>
      </c>
      <c r="L278" s="34" t="s">
        <v>412</v>
      </c>
      <c r="M278" s="32" t="s">
        <v>89</v>
      </c>
      <c r="N278" s="28">
        <f>IFERROR(VLOOKUP(O278,Ingredients!$A:$B,2,FALSE),"")</f>
        <v>500</v>
      </c>
      <c r="O278" s="34" t="s">
        <v>580</v>
      </c>
      <c r="P278" s="32" t="s">
        <v>87</v>
      </c>
      <c r="Q278" s="28"/>
      <c r="R278" s="35"/>
      <c r="S278" s="32"/>
      <c r="T278" s="28"/>
      <c r="U278" s="35"/>
      <c r="V278" s="32"/>
      <c r="W278" s="28"/>
      <c r="X278" s="35"/>
      <c r="Y278" s="32"/>
      <c r="Z278" s="28"/>
      <c r="AA278" s="36"/>
    </row>
    <row r="279" spans="1:27" ht="13">
      <c r="A279" t="s">
        <v>584</v>
      </c>
      <c r="B279" s="28"/>
      <c r="C279" s="29">
        <v>500</v>
      </c>
      <c r="D279" s="30">
        <f t="shared" si="1"/>
        <v>-120</v>
      </c>
      <c r="F279" s="32"/>
      <c r="G279" s="28"/>
      <c r="H279" s="32" t="s">
        <v>410</v>
      </c>
      <c r="I279" s="33" t="s">
        <v>411</v>
      </c>
      <c r="J279" s="32"/>
      <c r="K279" s="28">
        <f>IFERROR(VLOOKUP(L279,Ingredients!A:B,2,FALSE),"")</f>
        <v>120</v>
      </c>
      <c r="L279" s="34" t="s">
        <v>415</v>
      </c>
      <c r="M279" s="32" t="s">
        <v>89</v>
      </c>
      <c r="N279" s="28">
        <f>IFERROR(VLOOKUP(O279,Ingredients!$A:$B,2,FALSE),"")</f>
        <v>500</v>
      </c>
      <c r="O279" s="34" t="s">
        <v>580</v>
      </c>
      <c r="P279" s="32" t="s">
        <v>87</v>
      </c>
      <c r="Q279" s="28"/>
      <c r="R279" s="35"/>
      <c r="S279" s="32"/>
      <c r="T279" s="28"/>
      <c r="U279" s="35"/>
      <c r="V279" s="32"/>
      <c r="W279" s="28"/>
      <c r="X279" s="35"/>
      <c r="Y279" s="32"/>
      <c r="Z279" s="28"/>
      <c r="AA279" s="36"/>
    </row>
    <row r="280" spans="1:27" ht="13">
      <c r="A280" t="s">
        <v>584</v>
      </c>
      <c r="B280" s="28"/>
      <c r="C280" s="29">
        <v>500</v>
      </c>
      <c r="D280" s="30">
        <f t="shared" si="1"/>
        <v>-120</v>
      </c>
      <c r="F280" s="32"/>
      <c r="G280" s="28"/>
      <c r="H280" s="32" t="s">
        <v>410</v>
      </c>
      <c r="I280" s="33" t="s">
        <v>411</v>
      </c>
      <c r="J280" s="32"/>
      <c r="K280" s="28">
        <f>IFERROR(VLOOKUP(L280,Ingredients!A:B,2,FALSE),"")</f>
        <v>500</v>
      </c>
      <c r="L280" s="34" t="s">
        <v>412</v>
      </c>
      <c r="M280" s="32" t="s">
        <v>89</v>
      </c>
      <c r="N280" s="28">
        <f>IFERROR(VLOOKUP(O280,Ingredients!$A:$B,2,FALSE),"")</f>
        <v>120</v>
      </c>
      <c r="O280" s="34" t="s">
        <v>460</v>
      </c>
      <c r="P280" s="32" t="s">
        <v>87</v>
      </c>
      <c r="Q280" s="28"/>
      <c r="R280" s="35"/>
      <c r="S280" s="32"/>
      <c r="T280" s="28"/>
      <c r="U280" s="35"/>
      <c r="V280" s="32"/>
      <c r="W280" s="28"/>
      <c r="X280" s="35"/>
      <c r="Y280" s="32"/>
      <c r="Z280" s="28"/>
      <c r="AA280" s="36"/>
    </row>
    <row r="281" spans="1:27" ht="13">
      <c r="A281" t="s">
        <v>585</v>
      </c>
      <c r="B281" s="28"/>
      <c r="C281" s="29">
        <v>500</v>
      </c>
      <c r="D281" s="30">
        <f t="shared" si="1"/>
        <v>-500</v>
      </c>
      <c r="F281" s="32"/>
      <c r="G281" s="28"/>
      <c r="H281" s="32" t="s">
        <v>410</v>
      </c>
      <c r="I281" s="33" t="s">
        <v>411</v>
      </c>
      <c r="J281" s="32"/>
      <c r="K281" s="28">
        <f>IFERROR(VLOOKUP(L281,Ingredients!A:B,2,FALSE),"")</f>
        <v>500</v>
      </c>
      <c r="L281" s="34" t="s">
        <v>498</v>
      </c>
      <c r="M281" s="32" t="s">
        <v>89</v>
      </c>
      <c r="N281" s="28">
        <f>IFERROR(VLOOKUP(O281,Ingredients!$A:$B,2,FALSE),"")</f>
        <v>500</v>
      </c>
      <c r="O281" s="34" t="s">
        <v>446</v>
      </c>
      <c r="P281" s="32" t="s">
        <v>87</v>
      </c>
      <c r="Q281" s="28"/>
      <c r="R281" s="35"/>
      <c r="S281" s="32"/>
      <c r="T281" s="28"/>
      <c r="U281" s="35"/>
      <c r="V281" s="32"/>
      <c r="W281" s="28"/>
      <c r="X281" s="35"/>
      <c r="Y281" s="32"/>
      <c r="Z281" s="28"/>
      <c r="AA281" s="36"/>
    </row>
    <row r="282" spans="1:27" ht="13">
      <c r="A282" t="s">
        <v>585</v>
      </c>
      <c r="B282" s="28"/>
      <c r="C282" s="29">
        <v>500</v>
      </c>
      <c r="D282" s="30">
        <f t="shared" si="1"/>
        <v>-120</v>
      </c>
      <c r="F282" s="32"/>
      <c r="G282" s="28"/>
      <c r="H282" s="32" t="s">
        <v>410</v>
      </c>
      <c r="I282" s="33" t="s">
        <v>411</v>
      </c>
      <c r="J282" s="32"/>
      <c r="K282" s="28">
        <f>IFERROR(VLOOKUP(L282,Ingredients!A:B,2,FALSE),"")</f>
        <v>500</v>
      </c>
      <c r="L282" s="34" t="s">
        <v>498</v>
      </c>
      <c r="M282" s="32" t="s">
        <v>89</v>
      </c>
      <c r="N282" s="28">
        <f>IFERROR(VLOOKUP(O282,Ingredients!$A:$B,2,FALSE),"")</f>
        <v>120</v>
      </c>
      <c r="O282" s="34" t="s">
        <v>447</v>
      </c>
      <c r="P282" s="32" t="s">
        <v>87</v>
      </c>
      <c r="Q282" s="28"/>
      <c r="R282" s="35"/>
      <c r="S282" s="32"/>
      <c r="T282" s="28"/>
      <c r="U282" s="35"/>
      <c r="V282" s="32"/>
      <c r="W282" s="28"/>
      <c r="X282" s="35"/>
      <c r="Y282" s="32"/>
      <c r="Z282" s="28"/>
      <c r="AA282" s="36"/>
    </row>
    <row r="283" spans="1:27" ht="13">
      <c r="A283" t="s">
        <v>585</v>
      </c>
      <c r="B283" s="28"/>
      <c r="C283" s="29">
        <v>500</v>
      </c>
      <c r="D283" s="30">
        <f t="shared" si="1"/>
        <v>-120</v>
      </c>
      <c r="F283" s="32"/>
      <c r="G283" s="28"/>
      <c r="H283" s="32" t="s">
        <v>410</v>
      </c>
      <c r="I283" s="33" t="s">
        <v>411</v>
      </c>
      <c r="J283" s="32"/>
      <c r="K283" s="28">
        <f>IFERROR(VLOOKUP(L283,Ingredients!A:B,2,FALSE),"")</f>
        <v>120</v>
      </c>
      <c r="L283" s="34" t="s">
        <v>439</v>
      </c>
      <c r="M283" s="32" t="s">
        <v>89</v>
      </c>
      <c r="N283" s="28">
        <f>IFERROR(VLOOKUP(O283,Ingredients!$A:$B,2,FALSE),"")</f>
        <v>500</v>
      </c>
      <c r="O283" s="34" t="s">
        <v>446</v>
      </c>
      <c r="P283" s="32" t="s">
        <v>87</v>
      </c>
      <c r="Q283" s="28"/>
      <c r="R283" s="35"/>
      <c r="S283" s="32"/>
      <c r="T283" s="28"/>
      <c r="U283" s="35"/>
      <c r="V283" s="32"/>
      <c r="W283" s="28"/>
      <c r="X283" s="35"/>
      <c r="Y283" s="32"/>
      <c r="Z283" s="28"/>
      <c r="AA283" s="36"/>
    </row>
    <row r="284" spans="1:27" ht="13">
      <c r="A284" t="s">
        <v>586</v>
      </c>
      <c r="B284" s="28"/>
      <c r="C284" s="29">
        <v>500</v>
      </c>
      <c r="D284" s="30">
        <f t="shared" si="1"/>
        <v>-500</v>
      </c>
      <c r="F284" s="32"/>
      <c r="G284" s="28"/>
      <c r="H284" s="32" t="s">
        <v>410</v>
      </c>
      <c r="I284" s="33" t="s">
        <v>411</v>
      </c>
      <c r="J284" s="32"/>
      <c r="K284" s="28">
        <f>IFERROR(VLOOKUP(L284,Ingredients!A:B,2,FALSE),"")</f>
        <v>500</v>
      </c>
      <c r="L284" s="34" t="s">
        <v>498</v>
      </c>
      <c r="M284" s="32" t="s">
        <v>89</v>
      </c>
      <c r="N284" s="28">
        <f>IFERROR(VLOOKUP(O284,Ingredients!$A:$B,2,FALSE),"")</f>
        <v>500</v>
      </c>
      <c r="O284" s="34" t="s">
        <v>580</v>
      </c>
      <c r="P284" s="32" t="s">
        <v>87</v>
      </c>
      <c r="Q284" s="28"/>
      <c r="R284" s="35"/>
      <c r="S284" s="32"/>
      <c r="T284" s="28"/>
      <c r="U284" s="35"/>
      <c r="V284" s="32"/>
      <c r="W284" s="28"/>
      <c r="X284" s="35"/>
      <c r="Y284" s="32"/>
      <c r="Z284" s="28"/>
      <c r="AA284" s="36"/>
    </row>
    <row r="285" spans="1:27" ht="13">
      <c r="A285" t="s">
        <v>586</v>
      </c>
      <c r="B285" s="28"/>
      <c r="C285" s="29">
        <v>500</v>
      </c>
      <c r="D285" s="30">
        <f t="shared" si="1"/>
        <v>-120</v>
      </c>
      <c r="F285" s="32"/>
      <c r="G285" s="28"/>
      <c r="H285" s="32" t="s">
        <v>410</v>
      </c>
      <c r="I285" s="33" t="s">
        <v>411</v>
      </c>
      <c r="J285" s="32"/>
      <c r="K285" s="28">
        <f>IFERROR(VLOOKUP(L285,Ingredients!A:B,2,FALSE),"")</f>
        <v>120</v>
      </c>
      <c r="L285" s="34" t="s">
        <v>439</v>
      </c>
      <c r="M285" s="32" t="s">
        <v>89</v>
      </c>
      <c r="N285" s="28">
        <f>IFERROR(VLOOKUP(O285,Ingredients!$A:$B,2,FALSE),"")</f>
        <v>500</v>
      </c>
      <c r="O285" s="34" t="s">
        <v>580</v>
      </c>
      <c r="P285" s="32" t="s">
        <v>87</v>
      </c>
      <c r="Q285" s="28"/>
      <c r="R285" s="35"/>
      <c r="S285" s="32"/>
      <c r="T285" s="28"/>
      <c r="U285" s="35"/>
      <c r="V285" s="32"/>
      <c r="W285" s="28"/>
      <c r="X285" s="35"/>
      <c r="Y285" s="32"/>
      <c r="Z285" s="28"/>
      <c r="AA285" s="36"/>
    </row>
    <row r="286" spans="1:27" ht="13">
      <c r="A286" t="s">
        <v>586</v>
      </c>
      <c r="B286" s="28"/>
      <c r="C286" s="29">
        <v>500</v>
      </c>
      <c r="D286" s="30">
        <f t="shared" si="1"/>
        <v>-120</v>
      </c>
      <c r="F286" s="32"/>
      <c r="G286" s="28"/>
      <c r="H286" s="32" t="s">
        <v>410</v>
      </c>
      <c r="I286" s="33" t="s">
        <v>411</v>
      </c>
      <c r="J286" s="32"/>
      <c r="K286" s="28">
        <f>IFERROR(VLOOKUP(L286,Ingredients!A:B,2,FALSE),"")</f>
        <v>500</v>
      </c>
      <c r="L286" s="34" t="s">
        <v>498</v>
      </c>
      <c r="M286" s="32" t="s">
        <v>89</v>
      </c>
      <c r="N286" s="28">
        <f>IFERROR(VLOOKUP(O286,Ingredients!$A:$B,2,FALSE),"")</f>
        <v>120</v>
      </c>
      <c r="O286" s="34" t="s">
        <v>460</v>
      </c>
      <c r="P286" s="32" t="s">
        <v>87</v>
      </c>
      <c r="Q286" s="28"/>
      <c r="R286" s="35"/>
      <c r="S286" s="32"/>
      <c r="T286" s="28"/>
      <c r="U286" s="35"/>
      <c r="V286" s="32"/>
      <c r="W286" s="28"/>
      <c r="X286" s="35"/>
      <c r="Y286" s="32"/>
      <c r="Z286" s="28"/>
      <c r="AA286" s="36"/>
    </row>
    <row r="287" spans="1:27" ht="13">
      <c r="A287" s="35" t="s">
        <v>587</v>
      </c>
      <c r="B287" s="28"/>
      <c r="C287" s="29">
        <v>190</v>
      </c>
      <c r="D287" s="30">
        <f t="shared" si="1"/>
        <v>-60</v>
      </c>
      <c r="E287" s="41"/>
      <c r="F287" s="32"/>
      <c r="G287" s="28"/>
      <c r="H287" s="32" t="s">
        <v>410</v>
      </c>
      <c r="I287" s="33" t="s">
        <v>411</v>
      </c>
      <c r="J287" s="32"/>
      <c r="K287" s="28">
        <f>IFERROR(VLOOKUP(L287,Ingredients!A:B,2,FALSE),"")</f>
        <v>250</v>
      </c>
      <c r="L287" s="34" t="s">
        <v>462</v>
      </c>
      <c r="M287" s="32" t="s">
        <v>89</v>
      </c>
      <c r="N287" s="28">
        <f>IFERROR(VLOOKUP(O287,Ingredients!$A:$B,2,FALSE),"")</f>
        <v>0</v>
      </c>
      <c r="O287" s="34" t="s">
        <v>588</v>
      </c>
      <c r="P287" s="32" t="s">
        <v>87</v>
      </c>
      <c r="Q287" s="28"/>
      <c r="R287" s="35"/>
      <c r="S287" s="32"/>
      <c r="T287" s="28"/>
      <c r="U287" s="35"/>
      <c r="V287" s="32"/>
      <c r="W287" s="28"/>
      <c r="X287" s="35"/>
      <c r="Y287" s="32"/>
      <c r="Z287" s="28"/>
      <c r="AA287" s="36"/>
    </row>
    <row r="288" spans="1:27" ht="13">
      <c r="A288" s="35" t="s">
        <v>589</v>
      </c>
      <c r="B288" s="28"/>
      <c r="C288" s="29">
        <v>190</v>
      </c>
      <c r="D288" s="30">
        <f t="shared" si="1"/>
        <v>-160</v>
      </c>
      <c r="E288" s="41"/>
      <c r="F288" s="32"/>
      <c r="G288" s="28"/>
      <c r="H288" s="32" t="s">
        <v>410</v>
      </c>
      <c r="I288" s="33" t="s">
        <v>411</v>
      </c>
      <c r="J288" s="32"/>
      <c r="K288" s="28">
        <f>IFERROR(VLOOKUP(L288,Ingredients!A:B,2,FALSE),"")</f>
        <v>250</v>
      </c>
      <c r="L288" s="34" t="s">
        <v>431</v>
      </c>
      <c r="M288" s="32" t="s">
        <v>89</v>
      </c>
      <c r="N288" s="28">
        <f>IFERROR(VLOOKUP(O288,Ingredients!$A:$B,2,FALSE),"")</f>
        <v>100</v>
      </c>
      <c r="O288" s="34" t="s">
        <v>590</v>
      </c>
      <c r="P288" s="32" t="s">
        <v>87</v>
      </c>
      <c r="Q288" s="28"/>
      <c r="R288" s="35"/>
      <c r="S288" s="32"/>
      <c r="T288" s="28"/>
      <c r="U288" s="35"/>
      <c r="V288" s="32"/>
      <c r="W288" s="28"/>
      <c r="X288" s="35"/>
      <c r="Y288" s="32"/>
      <c r="Z288" s="28"/>
      <c r="AA288" s="36"/>
    </row>
    <row r="289" spans="1:27" ht="13">
      <c r="A289" s="35" t="s">
        <v>591</v>
      </c>
      <c r="B289" s="28"/>
      <c r="C289" s="29">
        <v>3000</v>
      </c>
      <c r="D289" s="30">
        <f t="shared" si="1"/>
        <v>2600</v>
      </c>
      <c r="E289" s="41"/>
      <c r="F289" s="32"/>
      <c r="G289" s="28"/>
      <c r="H289" s="32" t="s">
        <v>410</v>
      </c>
      <c r="I289" s="33" t="s">
        <v>411</v>
      </c>
      <c r="J289" s="32"/>
      <c r="K289" s="28">
        <f>IFERROR(VLOOKUP(L289,Ingredients!A:B,2,FALSE),"")</f>
        <v>400</v>
      </c>
      <c r="L289" s="34" t="s">
        <v>515</v>
      </c>
      <c r="M289" s="32" t="s">
        <v>89</v>
      </c>
      <c r="N289" s="28">
        <f>IFERROR(VLOOKUP(O289,Ingredients!$A:$B,2,FALSE),"")</f>
        <v>0</v>
      </c>
      <c r="O289" s="34" t="s">
        <v>592</v>
      </c>
      <c r="P289" s="32" t="s">
        <v>87</v>
      </c>
      <c r="Q289" s="28"/>
      <c r="R289" s="35"/>
      <c r="S289" s="32"/>
      <c r="T289" s="28"/>
      <c r="U289" s="35"/>
      <c r="V289" s="32"/>
      <c r="W289" s="28"/>
      <c r="X289" s="35"/>
      <c r="Y289" s="32"/>
      <c r="Z289" s="28"/>
      <c r="AA289" s="36"/>
    </row>
    <row r="290" spans="1:27" ht="13">
      <c r="A290" s="35" t="s">
        <v>593</v>
      </c>
      <c r="B290" s="28"/>
      <c r="C290" s="29">
        <v>120</v>
      </c>
      <c r="D290" s="30">
        <f t="shared" si="1"/>
        <v>-130</v>
      </c>
      <c r="E290" s="41"/>
      <c r="F290" s="32"/>
      <c r="G290" s="28"/>
      <c r="H290" s="32" t="s">
        <v>410</v>
      </c>
      <c r="I290" s="33" t="s">
        <v>411</v>
      </c>
      <c r="J290" s="32"/>
      <c r="K290" s="28">
        <f>IFERROR(VLOOKUP(L290,Ingredients!A:B,2,FALSE),"")</f>
        <v>250</v>
      </c>
      <c r="L290" s="34" t="s">
        <v>434</v>
      </c>
      <c r="M290" s="32" t="s">
        <v>89</v>
      </c>
      <c r="N290" s="28">
        <f>IFERROR(VLOOKUP(O290,Ingredients!$A:$B,2,FALSE),"")</f>
        <v>0</v>
      </c>
      <c r="O290" s="34" t="s">
        <v>594</v>
      </c>
      <c r="P290" s="32" t="s">
        <v>87</v>
      </c>
      <c r="Q290" s="28"/>
      <c r="R290" s="35"/>
      <c r="S290" s="32"/>
      <c r="T290" s="28"/>
      <c r="U290" s="35"/>
      <c r="V290" s="32"/>
      <c r="W290" s="28"/>
      <c r="X290" s="35"/>
      <c r="Y290" s="32"/>
      <c r="Z290" s="28"/>
      <c r="AA290" s="36"/>
    </row>
    <row r="291" spans="1:27" ht="13">
      <c r="A291" t="s">
        <v>595</v>
      </c>
      <c r="B291" s="28"/>
      <c r="C291" s="29">
        <v>500</v>
      </c>
      <c r="D291" s="30">
        <f t="shared" si="1"/>
        <v>-500</v>
      </c>
      <c r="F291" s="32"/>
      <c r="G291" s="28"/>
      <c r="H291" s="32" t="s">
        <v>410</v>
      </c>
      <c r="I291" s="33" t="s">
        <v>411</v>
      </c>
      <c r="J291" s="32"/>
      <c r="K291" s="28">
        <f>IFERROR(VLOOKUP(L291,Ingredients!A:B,2,FALSE),"")</f>
        <v>500</v>
      </c>
      <c r="L291" s="34" t="s">
        <v>498</v>
      </c>
      <c r="M291" s="32" t="s">
        <v>89</v>
      </c>
      <c r="N291" s="28">
        <f>IFERROR(VLOOKUP(O291,Ingredients!$A:$B,2,FALSE),"")</f>
        <v>500</v>
      </c>
      <c r="O291" s="34" t="s">
        <v>413</v>
      </c>
      <c r="P291" s="32" t="s">
        <v>87</v>
      </c>
      <c r="Q291" s="28"/>
      <c r="R291" s="35"/>
      <c r="S291" s="32"/>
      <c r="T291" s="28"/>
      <c r="U291" s="35"/>
      <c r="V291" s="32"/>
      <c r="W291" s="28"/>
      <c r="X291" s="35"/>
      <c r="Y291" s="32"/>
      <c r="Z291" s="28"/>
      <c r="AA291" s="36"/>
    </row>
    <row r="292" spans="1:27" ht="13">
      <c r="A292" t="s">
        <v>595</v>
      </c>
      <c r="B292" s="28"/>
      <c r="C292" s="29">
        <v>500</v>
      </c>
      <c r="D292" s="30">
        <f t="shared" si="1"/>
        <v>-120</v>
      </c>
      <c r="F292" s="32"/>
      <c r="G292" s="28"/>
      <c r="H292" s="32" t="s">
        <v>410</v>
      </c>
      <c r="I292" s="33" t="s">
        <v>411</v>
      </c>
      <c r="J292" s="32"/>
      <c r="K292" s="28">
        <f>IFERROR(VLOOKUP(L292,Ingredients!A:B,2,FALSE),"")</f>
        <v>500</v>
      </c>
      <c r="L292" s="34" t="s">
        <v>498</v>
      </c>
      <c r="M292" s="32" t="s">
        <v>89</v>
      </c>
      <c r="N292" s="28">
        <f>IFERROR(VLOOKUP(O292,Ingredients!$A:$B,2,FALSE),"")</f>
        <v>120</v>
      </c>
      <c r="O292" s="34" t="s">
        <v>414</v>
      </c>
      <c r="P292" s="32" t="s">
        <v>87</v>
      </c>
      <c r="Q292" s="28"/>
      <c r="R292" s="35"/>
      <c r="S292" s="32"/>
      <c r="T292" s="28"/>
      <c r="U292" s="35"/>
      <c r="V292" s="32"/>
      <c r="W292" s="28"/>
      <c r="X292" s="35"/>
      <c r="Y292" s="32"/>
      <c r="Z292" s="28"/>
      <c r="AA292" s="36"/>
    </row>
    <row r="293" spans="1:27" ht="13">
      <c r="A293" t="s">
        <v>595</v>
      </c>
      <c r="B293" s="28"/>
      <c r="C293" s="29">
        <v>500</v>
      </c>
      <c r="D293" s="30">
        <f t="shared" si="1"/>
        <v>-120</v>
      </c>
      <c r="F293" s="32"/>
      <c r="G293" s="28"/>
      <c r="H293" s="32" t="s">
        <v>410</v>
      </c>
      <c r="I293" s="33" t="s">
        <v>411</v>
      </c>
      <c r="J293" s="32"/>
      <c r="K293" s="28">
        <f>IFERROR(VLOOKUP(L293,Ingredients!A:B,2,FALSE),"")</f>
        <v>120</v>
      </c>
      <c r="L293" s="34" t="s">
        <v>439</v>
      </c>
      <c r="M293" s="32" t="s">
        <v>89</v>
      </c>
      <c r="N293" s="28">
        <f>IFERROR(VLOOKUP(O293,Ingredients!$A:$B,2,FALSE),"")</f>
        <v>500</v>
      </c>
      <c r="O293" s="34" t="s">
        <v>413</v>
      </c>
      <c r="P293" s="32" t="s">
        <v>87</v>
      </c>
      <c r="Q293" s="28"/>
      <c r="R293" s="35"/>
      <c r="S293" s="32"/>
      <c r="T293" s="28"/>
      <c r="U293" s="35"/>
      <c r="V293" s="32"/>
      <c r="W293" s="28"/>
      <c r="X293" s="35"/>
      <c r="Y293" s="32"/>
      <c r="Z293" s="28"/>
      <c r="AA293" s="36"/>
    </row>
    <row r="294" spans="1:27" ht="13">
      <c r="A294" s="35" t="s">
        <v>596</v>
      </c>
      <c r="B294" s="28"/>
      <c r="C294" s="29">
        <v>500</v>
      </c>
      <c r="D294" s="30">
        <f t="shared" si="1"/>
        <v>-160</v>
      </c>
      <c r="E294" s="41"/>
      <c r="F294" s="32"/>
      <c r="G294" s="28"/>
      <c r="H294" s="32" t="s">
        <v>410</v>
      </c>
      <c r="I294" s="33" t="s">
        <v>411</v>
      </c>
      <c r="J294" s="32"/>
      <c r="K294" s="28">
        <f>IFERROR(VLOOKUP(L294,Ingredients!A:B,2,FALSE),"")</f>
        <v>400</v>
      </c>
      <c r="L294" s="34" t="s">
        <v>450</v>
      </c>
      <c r="M294" s="32" t="s">
        <v>89</v>
      </c>
      <c r="N294" s="28">
        <f>IFERROR(VLOOKUP(O294,Ingredients!$A:$B,2,FALSE),"")</f>
        <v>260</v>
      </c>
      <c r="O294" s="34" t="s">
        <v>597</v>
      </c>
      <c r="P294" s="32" t="s">
        <v>87</v>
      </c>
      <c r="Q294" s="28"/>
      <c r="R294" s="35"/>
      <c r="S294" s="32"/>
      <c r="T294" s="28"/>
      <c r="U294" s="35"/>
      <c r="V294" s="32"/>
      <c r="W294" s="28"/>
      <c r="X294" s="35"/>
      <c r="Y294" s="32"/>
      <c r="Z294" s="28"/>
      <c r="AA294" s="36"/>
    </row>
    <row r="295" spans="1:27" ht="13">
      <c r="A295" s="35" t="s">
        <v>596</v>
      </c>
      <c r="B295" s="28"/>
      <c r="C295" s="29">
        <v>500</v>
      </c>
      <c r="D295" s="30">
        <f t="shared" si="1"/>
        <v>-10</v>
      </c>
      <c r="E295" s="41"/>
      <c r="F295" s="32"/>
      <c r="G295" s="28"/>
      <c r="H295" s="32" t="s">
        <v>410</v>
      </c>
      <c r="I295" s="33" t="s">
        <v>411</v>
      </c>
      <c r="J295" s="32"/>
      <c r="K295" s="28">
        <f>IFERROR(VLOOKUP(L295,Ingredients!A:B,2,FALSE),"")</f>
        <v>250</v>
      </c>
      <c r="L295" s="34" t="s">
        <v>462</v>
      </c>
      <c r="M295" s="32" t="s">
        <v>89</v>
      </c>
      <c r="N295" s="28">
        <f>IFERROR(VLOOKUP(O295,Ingredients!$A:$B,2,FALSE),"")</f>
        <v>260</v>
      </c>
      <c r="O295" s="34" t="s">
        <v>597</v>
      </c>
      <c r="P295" s="32" t="s">
        <v>87</v>
      </c>
      <c r="Q295" s="28"/>
      <c r="R295" s="35"/>
      <c r="S295" s="32"/>
      <c r="T295" s="28"/>
      <c r="U295" s="35"/>
      <c r="V295" s="32"/>
      <c r="W295" s="28"/>
      <c r="X295" s="35"/>
      <c r="Y295" s="32"/>
      <c r="Z295" s="28"/>
      <c r="AA295" s="36"/>
    </row>
    <row r="296" spans="1:27" ht="13">
      <c r="A296" t="s">
        <v>598</v>
      </c>
      <c r="B296" s="28"/>
      <c r="C296" s="29">
        <v>190</v>
      </c>
      <c r="D296" s="30">
        <f t="shared" si="1"/>
        <v>-50</v>
      </c>
      <c r="F296" s="32"/>
      <c r="G296" s="28"/>
      <c r="H296" s="32" t="s">
        <v>410</v>
      </c>
      <c r="I296" s="33" t="s">
        <v>411</v>
      </c>
      <c r="J296" s="32"/>
      <c r="K296" s="28">
        <f>IFERROR(VLOOKUP(L296,Ingredients!A:B,2,FALSE),"")</f>
        <v>120</v>
      </c>
      <c r="L296" s="34" t="s">
        <v>415</v>
      </c>
      <c r="M296" s="32" t="s">
        <v>89</v>
      </c>
      <c r="N296" s="28">
        <f>IFERROR(VLOOKUP(O296,Ingredients!$A:$B,2,FALSE),"")</f>
        <v>120</v>
      </c>
      <c r="O296" s="34" t="s">
        <v>460</v>
      </c>
      <c r="P296" s="32" t="s">
        <v>87</v>
      </c>
      <c r="Q296" s="28"/>
      <c r="R296" s="35"/>
      <c r="S296" s="32"/>
      <c r="T296" s="28"/>
      <c r="U296" s="35"/>
      <c r="V296" s="32"/>
      <c r="W296" s="28"/>
      <c r="X296" s="35"/>
      <c r="Y296" s="32"/>
      <c r="Z296" s="28"/>
      <c r="AA296" s="36"/>
    </row>
    <row r="297" spans="1:27" ht="13">
      <c r="A297" s="35" t="s">
        <v>599</v>
      </c>
      <c r="B297" s="28"/>
      <c r="C297" s="29">
        <v>120</v>
      </c>
      <c r="D297" s="30">
        <f t="shared" si="1"/>
        <v>-190</v>
      </c>
      <c r="E297" s="41"/>
      <c r="F297" s="32"/>
      <c r="G297" s="28"/>
      <c r="H297" s="32" t="s">
        <v>410</v>
      </c>
      <c r="I297" s="33" t="s">
        <v>411</v>
      </c>
      <c r="J297" s="32"/>
      <c r="K297" s="28">
        <f>IFERROR(VLOOKUP(L297,Ingredients!A:B,2,FALSE),"")</f>
        <v>250</v>
      </c>
      <c r="L297" s="34" t="s">
        <v>437</v>
      </c>
      <c r="M297" s="32" t="s">
        <v>89</v>
      </c>
      <c r="N297" s="28">
        <f>IFERROR(VLOOKUP(O297,Ingredients!$A:$B,2,FALSE),"")</f>
        <v>60</v>
      </c>
      <c r="O297" s="34" t="s">
        <v>600</v>
      </c>
      <c r="P297" s="32" t="s">
        <v>87</v>
      </c>
      <c r="Q297" s="28"/>
      <c r="R297" s="35"/>
      <c r="S297" s="32"/>
      <c r="T297" s="28"/>
      <c r="U297" s="35"/>
      <c r="V297" s="32"/>
      <c r="W297" s="28"/>
      <c r="X297" s="35"/>
      <c r="Y297" s="32"/>
      <c r="Z297" s="28"/>
      <c r="AA297" s="36"/>
    </row>
    <row r="298" spans="1:27" ht="13">
      <c r="A298" s="35" t="s">
        <v>601</v>
      </c>
      <c r="B298" s="28"/>
      <c r="C298" s="29">
        <v>750</v>
      </c>
      <c r="D298" s="30">
        <f t="shared" si="1"/>
        <v>240</v>
      </c>
      <c r="E298" s="41"/>
      <c r="F298" s="32"/>
      <c r="G298" s="28"/>
      <c r="H298" s="32" t="s">
        <v>410</v>
      </c>
      <c r="I298" s="33" t="s">
        <v>411</v>
      </c>
      <c r="J298" s="32"/>
      <c r="K298" s="28">
        <f>IFERROR(VLOOKUP(L298,Ingredients!A:B,2,FALSE),"")</f>
        <v>250</v>
      </c>
      <c r="L298" s="34" t="s">
        <v>477</v>
      </c>
      <c r="M298" s="32" t="s">
        <v>89</v>
      </c>
      <c r="N298" s="28">
        <f>IFERROR(VLOOKUP(O298,Ingredients!$A:$B,2,FALSE),"")</f>
        <v>260</v>
      </c>
      <c r="O298" s="34" t="s">
        <v>602</v>
      </c>
      <c r="P298" s="32" t="s">
        <v>87</v>
      </c>
      <c r="Q298" s="28"/>
      <c r="R298" s="35"/>
      <c r="S298" s="32"/>
      <c r="T298" s="28"/>
      <c r="U298" s="35"/>
      <c r="V298" s="32"/>
      <c r="W298" s="28"/>
      <c r="X298" s="35"/>
      <c r="Y298" s="32"/>
      <c r="Z298" s="28"/>
      <c r="AA298" s="36"/>
    </row>
    <row r="299" spans="1:27" ht="13">
      <c r="A299" s="35" t="s">
        <v>603</v>
      </c>
      <c r="B299" s="28"/>
      <c r="C299" s="29">
        <v>120</v>
      </c>
      <c r="D299" s="30">
        <f t="shared" si="1"/>
        <v>-200</v>
      </c>
      <c r="E299" s="41"/>
      <c r="F299" s="32"/>
      <c r="G299" s="28"/>
      <c r="H299" s="32" t="s">
        <v>410</v>
      </c>
      <c r="I299" s="33" t="s">
        <v>411</v>
      </c>
      <c r="J299" s="32"/>
      <c r="K299" s="28">
        <f>IFERROR(VLOOKUP(L299,Ingredients!A:B,2,FALSE),"")</f>
        <v>250</v>
      </c>
      <c r="L299" s="34" t="s">
        <v>431</v>
      </c>
      <c r="M299" s="32" t="s">
        <v>89</v>
      </c>
      <c r="N299" s="28">
        <f>IFERROR(VLOOKUP(O299,Ingredients!$A:$B,2,FALSE),"")</f>
        <v>70</v>
      </c>
      <c r="O299" s="34" t="s">
        <v>604</v>
      </c>
      <c r="P299" s="32" t="s">
        <v>87</v>
      </c>
      <c r="Q299" s="28"/>
      <c r="R299" s="35"/>
      <c r="S299" s="32"/>
      <c r="T299" s="28"/>
      <c r="U299" s="35"/>
      <c r="V299" s="32"/>
      <c r="W299" s="28"/>
      <c r="X299" s="35"/>
      <c r="Y299" s="32"/>
      <c r="Z299" s="28"/>
      <c r="AA299" s="36"/>
    </row>
    <row r="300" spans="1:27" ht="13">
      <c r="A300" t="s">
        <v>605</v>
      </c>
      <c r="B300" s="28"/>
      <c r="C300" s="29">
        <v>190</v>
      </c>
      <c r="D300" s="30">
        <f t="shared" si="1"/>
        <v>-50</v>
      </c>
      <c r="F300" s="32"/>
      <c r="G300" s="28"/>
      <c r="H300" s="32" t="s">
        <v>410</v>
      </c>
      <c r="I300" s="33" t="s">
        <v>411</v>
      </c>
      <c r="J300" s="32"/>
      <c r="K300" s="28">
        <f>IFERROR(VLOOKUP(L300,Ingredients!A:B,2,FALSE),"")</f>
        <v>120</v>
      </c>
      <c r="L300" s="34" t="s">
        <v>415</v>
      </c>
      <c r="M300" s="32" t="s">
        <v>89</v>
      </c>
      <c r="N300" s="28">
        <f>IFERROR(VLOOKUP(O300,Ingredients!$A:$B,2,FALSE),"")</f>
        <v>120</v>
      </c>
      <c r="O300" s="34" t="s">
        <v>414</v>
      </c>
      <c r="P300" s="32" t="s">
        <v>87</v>
      </c>
      <c r="Q300" s="28"/>
      <c r="R300" s="35"/>
      <c r="S300" s="32"/>
      <c r="T300" s="28"/>
      <c r="U300" s="35"/>
      <c r="V300" s="32"/>
      <c r="W300" s="28"/>
      <c r="X300" s="35"/>
      <c r="Y300" s="32"/>
      <c r="Z300" s="28"/>
      <c r="AA300" s="36"/>
    </row>
    <row r="301" spans="1:27" ht="13">
      <c r="A301" s="35" t="s">
        <v>606</v>
      </c>
      <c r="B301" s="28"/>
      <c r="C301" s="29">
        <v>500</v>
      </c>
      <c r="D301" s="30">
        <f t="shared" si="1"/>
        <v>-10</v>
      </c>
      <c r="E301" s="41"/>
      <c r="F301" s="32"/>
      <c r="G301" s="28"/>
      <c r="H301" s="32" t="s">
        <v>410</v>
      </c>
      <c r="I301" s="33" t="s">
        <v>411</v>
      </c>
      <c r="J301" s="32"/>
      <c r="K301" s="28">
        <f>IFERROR(VLOOKUP(L301,Ingredients!A:B,2,FALSE),"")</f>
        <v>250</v>
      </c>
      <c r="L301" s="34" t="s">
        <v>431</v>
      </c>
      <c r="M301" s="32" t="s">
        <v>89</v>
      </c>
      <c r="N301" s="28">
        <f>IFERROR(VLOOKUP(O301,Ingredients!$A:$B,2,FALSE),"")</f>
        <v>260</v>
      </c>
      <c r="O301" s="34" t="s">
        <v>607</v>
      </c>
      <c r="P301" s="32" t="s">
        <v>87</v>
      </c>
      <c r="Q301" s="28"/>
      <c r="R301" s="35"/>
      <c r="S301" s="32"/>
      <c r="T301" s="28"/>
      <c r="U301" s="35"/>
      <c r="V301" s="32"/>
      <c r="W301" s="28"/>
      <c r="X301" s="35"/>
      <c r="Y301" s="32"/>
      <c r="Z301" s="28"/>
      <c r="AA301" s="36"/>
    </row>
    <row r="302" spans="1:27" ht="13">
      <c r="A302" t="s">
        <v>608</v>
      </c>
      <c r="B302" s="28"/>
      <c r="C302" s="29">
        <v>500</v>
      </c>
      <c r="D302" s="30">
        <f t="shared" si="1"/>
        <v>-500</v>
      </c>
      <c r="F302" s="32"/>
      <c r="G302" s="28"/>
      <c r="H302" s="32" t="s">
        <v>410</v>
      </c>
      <c r="I302" s="33" t="s">
        <v>411</v>
      </c>
      <c r="J302" s="32"/>
      <c r="K302" s="28">
        <f>IFERROR(VLOOKUP(L302,Ingredients!A:B,2,FALSE),"")</f>
        <v>500</v>
      </c>
      <c r="L302" s="34" t="s">
        <v>412</v>
      </c>
      <c r="M302" s="32" t="s">
        <v>89</v>
      </c>
      <c r="N302" s="28">
        <f>IFERROR(VLOOKUP(O302,Ingredients!$A:$B,2,FALSE),"")</f>
        <v>500</v>
      </c>
      <c r="O302" s="34" t="s">
        <v>536</v>
      </c>
      <c r="P302" s="32" t="s">
        <v>87</v>
      </c>
      <c r="Q302" s="28"/>
      <c r="R302" s="35"/>
      <c r="S302" s="32"/>
      <c r="T302" s="28"/>
      <c r="U302" s="35"/>
      <c r="V302" s="32"/>
      <c r="W302" s="28"/>
      <c r="X302" s="35"/>
      <c r="Y302" s="32"/>
      <c r="Z302" s="28"/>
      <c r="AA302" s="36"/>
    </row>
    <row r="303" spans="1:27" ht="13">
      <c r="A303" t="s">
        <v>608</v>
      </c>
      <c r="B303" s="28"/>
      <c r="C303" s="29">
        <v>500</v>
      </c>
      <c r="D303" s="30">
        <f t="shared" si="1"/>
        <v>-120</v>
      </c>
      <c r="F303" s="32"/>
      <c r="G303" s="28"/>
      <c r="H303" s="32" t="s">
        <v>410</v>
      </c>
      <c r="I303" s="33" t="s">
        <v>411</v>
      </c>
      <c r="J303" s="32"/>
      <c r="K303" s="28">
        <f>IFERROR(VLOOKUP(L303,Ingredients!A:B,2,FALSE),"")</f>
        <v>500</v>
      </c>
      <c r="L303" s="34" t="s">
        <v>412</v>
      </c>
      <c r="M303" s="32" t="s">
        <v>89</v>
      </c>
      <c r="N303" s="28">
        <f>IFERROR(VLOOKUP(O303,Ingredients!$A:$B,2,FALSE),"")</f>
        <v>120</v>
      </c>
      <c r="O303" s="34" t="s">
        <v>440</v>
      </c>
      <c r="P303" s="32" t="s">
        <v>87</v>
      </c>
      <c r="Q303" s="28"/>
      <c r="R303" s="35"/>
      <c r="S303" s="32"/>
      <c r="T303" s="28"/>
      <c r="U303" s="35"/>
      <c r="V303" s="32"/>
      <c r="W303" s="28"/>
      <c r="X303" s="35"/>
      <c r="Y303" s="32"/>
      <c r="Z303" s="28"/>
      <c r="AA303" s="36"/>
    </row>
    <row r="304" spans="1:27" ht="13">
      <c r="A304" t="s">
        <v>608</v>
      </c>
      <c r="B304" s="28"/>
      <c r="C304" s="29">
        <v>500</v>
      </c>
      <c r="D304" s="30">
        <f t="shared" si="1"/>
        <v>-120</v>
      </c>
      <c r="F304" s="32"/>
      <c r="G304" s="28"/>
      <c r="H304" s="32" t="s">
        <v>410</v>
      </c>
      <c r="I304" s="33" t="s">
        <v>411</v>
      </c>
      <c r="J304" s="32"/>
      <c r="K304" s="28">
        <f>IFERROR(VLOOKUP(L304,Ingredients!A:B,2,FALSE),"")</f>
        <v>120</v>
      </c>
      <c r="L304" s="34" t="s">
        <v>415</v>
      </c>
      <c r="M304" s="32" t="s">
        <v>89</v>
      </c>
      <c r="N304" s="28">
        <f>IFERROR(VLOOKUP(O304,Ingredients!$A:$B,2,FALSE),"")</f>
        <v>500</v>
      </c>
      <c r="O304" s="34" t="s">
        <v>536</v>
      </c>
      <c r="P304" s="32" t="s">
        <v>87</v>
      </c>
      <c r="Q304" s="28"/>
      <c r="R304" s="35"/>
      <c r="S304" s="32"/>
      <c r="T304" s="28"/>
      <c r="U304" s="35"/>
      <c r="V304" s="32"/>
      <c r="W304" s="28"/>
      <c r="X304" s="35"/>
      <c r="Y304" s="32"/>
      <c r="Z304" s="28"/>
      <c r="AA304" s="36"/>
    </row>
    <row r="305" spans="1:27" ht="13">
      <c r="A305" s="35" t="s">
        <v>609</v>
      </c>
      <c r="B305" s="28"/>
      <c r="C305" s="29">
        <v>190</v>
      </c>
      <c r="D305" s="30">
        <f t="shared" si="1"/>
        <v>-60</v>
      </c>
      <c r="E305" s="41"/>
      <c r="F305" s="32"/>
      <c r="G305" s="28"/>
      <c r="H305" s="32" t="s">
        <v>410</v>
      </c>
      <c r="I305" s="33" t="s">
        <v>411</v>
      </c>
      <c r="J305" s="32"/>
      <c r="K305" s="28">
        <f>IFERROR(VLOOKUP(L305,Ingredients!A:B,2,FALSE),"")</f>
        <v>250</v>
      </c>
      <c r="L305" s="34" t="s">
        <v>477</v>
      </c>
      <c r="M305" s="32" t="s">
        <v>89</v>
      </c>
      <c r="N305" s="28">
        <f>IFERROR(VLOOKUP(O305,Ingredients!$A:$B,2,FALSE),"")</f>
        <v>0</v>
      </c>
      <c r="O305" s="34" t="s">
        <v>610</v>
      </c>
      <c r="P305" s="32" t="s">
        <v>87</v>
      </c>
      <c r="Q305" s="28"/>
      <c r="R305" s="35"/>
      <c r="S305" s="32"/>
      <c r="T305" s="28"/>
      <c r="U305" s="35"/>
      <c r="V305" s="32"/>
      <c r="W305" s="28"/>
      <c r="X305" s="35"/>
      <c r="Y305" s="32"/>
      <c r="Z305" s="28"/>
      <c r="AA305" s="36"/>
    </row>
    <row r="306" spans="1:27" ht="13">
      <c r="A306" s="35" t="s">
        <v>611</v>
      </c>
      <c r="B306" s="28"/>
      <c r="C306" s="29">
        <v>500</v>
      </c>
      <c r="D306" s="30">
        <f t="shared" si="1"/>
        <v>-10</v>
      </c>
      <c r="E306" s="41"/>
      <c r="F306" s="32"/>
      <c r="G306" s="28"/>
      <c r="H306" s="32" t="s">
        <v>410</v>
      </c>
      <c r="I306" s="33" t="s">
        <v>411</v>
      </c>
      <c r="J306" s="32"/>
      <c r="K306" s="28">
        <f>IFERROR(VLOOKUP(L306,Ingredients!A:B,2,FALSE),"")</f>
        <v>250</v>
      </c>
      <c r="L306" s="34" t="s">
        <v>423</v>
      </c>
      <c r="M306" s="32" t="s">
        <v>89</v>
      </c>
      <c r="N306" s="28">
        <f>IFERROR(VLOOKUP(O306,Ingredients!$A:$B,2,FALSE),"")</f>
        <v>260</v>
      </c>
      <c r="O306" s="34" t="s">
        <v>612</v>
      </c>
      <c r="P306" s="32" t="s">
        <v>87</v>
      </c>
      <c r="Q306" s="28"/>
      <c r="R306" s="35"/>
      <c r="S306" s="32"/>
      <c r="T306" s="28"/>
      <c r="U306" s="35"/>
      <c r="V306" s="32"/>
      <c r="W306" s="28"/>
      <c r="X306" s="35"/>
      <c r="Y306" s="32"/>
      <c r="Z306" s="28"/>
      <c r="AA306" s="36"/>
    </row>
    <row r="307" spans="1:27" ht="13">
      <c r="A307" s="35" t="s">
        <v>613</v>
      </c>
      <c r="B307" s="28"/>
      <c r="C307" s="29">
        <v>3000</v>
      </c>
      <c r="D307" s="30">
        <f t="shared" si="1"/>
        <v>2600</v>
      </c>
      <c r="E307" s="41"/>
      <c r="F307" s="32"/>
      <c r="G307" s="28"/>
      <c r="H307" s="32" t="s">
        <v>410</v>
      </c>
      <c r="I307" s="33" t="s">
        <v>411</v>
      </c>
      <c r="J307" s="32"/>
      <c r="K307" s="28">
        <f>IFERROR(VLOOKUP(L307,Ingredients!A:B,2,FALSE),"")</f>
        <v>400</v>
      </c>
      <c r="L307" s="34" t="s">
        <v>417</v>
      </c>
      <c r="M307" s="32" t="s">
        <v>89</v>
      </c>
      <c r="N307" s="28">
        <f>IFERROR(VLOOKUP(O307,Ingredients!$A:$B,2,FALSE),"")</f>
        <v>0</v>
      </c>
      <c r="O307" s="34" t="s">
        <v>614</v>
      </c>
      <c r="P307" s="32" t="s">
        <v>87</v>
      </c>
      <c r="Q307" s="28"/>
      <c r="R307" s="35"/>
      <c r="S307" s="32"/>
      <c r="T307" s="28"/>
      <c r="U307" s="35"/>
      <c r="V307" s="32"/>
      <c r="W307" s="28"/>
      <c r="X307" s="35"/>
      <c r="Y307" s="32"/>
      <c r="Z307" s="28"/>
      <c r="AA307" s="36"/>
    </row>
    <row r="308" spans="1:27" ht="13">
      <c r="A308" s="35" t="s">
        <v>615</v>
      </c>
      <c r="B308" s="28"/>
      <c r="C308" s="29">
        <v>120</v>
      </c>
      <c r="D308" s="30">
        <f t="shared" si="1"/>
        <v>-170</v>
      </c>
      <c r="E308" s="41"/>
      <c r="F308" s="32"/>
      <c r="G308" s="28"/>
      <c r="H308" s="32" t="s">
        <v>410</v>
      </c>
      <c r="I308" s="33" t="s">
        <v>411</v>
      </c>
      <c r="J308" s="32"/>
      <c r="K308" s="28">
        <f>IFERROR(VLOOKUP(L308,Ingredients!A:B,2,FALSE),"")</f>
        <v>250</v>
      </c>
      <c r="L308" s="34" t="s">
        <v>426</v>
      </c>
      <c r="M308" s="32" t="s">
        <v>89</v>
      </c>
      <c r="N308" s="28">
        <f>IFERROR(VLOOKUP(O308,Ingredients!$A:$B,2,FALSE),"")</f>
        <v>40</v>
      </c>
      <c r="O308" s="34" t="s">
        <v>616</v>
      </c>
      <c r="P308" s="32" t="s">
        <v>87</v>
      </c>
      <c r="Q308" s="28"/>
      <c r="R308" s="35"/>
      <c r="S308" s="32"/>
      <c r="T308" s="28"/>
      <c r="U308" s="35"/>
      <c r="V308" s="32"/>
      <c r="W308" s="28"/>
      <c r="X308" s="35"/>
      <c r="Y308" s="32"/>
      <c r="Z308" s="28"/>
      <c r="AA308" s="36"/>
    </row>
    <row r="309" spans="1:27" ht="13">
      <c r="A309" s="35" t="s">
        <v>617</v>
      </c>
      <c r="B309" s="28"/>
      <c r="C309" s="29">
        <v>190</v>
      </c>
      <c r="D309" s="30">
        <f t="shared" si="1"/>
        <v>-60</v>
      </c>
      <c r="E309" s="41"/>
      <c r="F309" s="32"/>
      <c r="G309" s="28"/>
      <c r="H309" s="32" t="s">
        <v>410</v>
      </c>
      <c r="I309" s="33" t="s">
        <v>411</v>
      </c>
      <c r="J309" s="32"/>
      <c r="K309" s="28">
        <f>IFERROR(VLOOKUP(L309,Ingredients!A:B,2,FALSE),"")</f>
        <v>250</v>
      </c>
      <c r="L309" s="34" t="s">
        <v>434</v>
      </c>
      <c r="M309" s="32" t="s">
        <v>89</v>
      </c>
      <c r="N309" s="28">
        <f>IFERROR(VLOOKUP(O309,Ingredients!$A:$B,2,FALSE),"")</f>
        <v>0</v>
      </c>
      <c r="O309" s="34" t="s">
        <v>618</v>
      </c>
      <c r="P309" s="32" t="s">
        <v>87</v>
      </c>
      <c r="Q309" s="28"/>
      <c r="R309" s="35"/>
      <c r="S309" s="32"/>
      <c r="T309" s="28"/>
      <c r="U309" s="35"/>
      <c r="V309" s="32"/>
      <c r="W309" s="28"/>
      <c r="X309" s="35"/>
      <c r="Y309" s="32"/>
      <c r="Z309" s="28"/>
      <c r="AA309" s="36"/>
    </row>
    <row r="310" spans="1:27" ht="13">
      <c r="A310" s="42" t="s">
        <v>617</v>
      </c>
      <c r="B310" s="28"/>
      <c r="C310" s="29">
        <v>190</v>
      </c>
      <c r="D310" s="30">
        <f t="shared" si="1"/>
        <v>-50</v>
      </c>
      <c r="F310" s="32"/>
      <c r="G310" s="28"/>
      <c r="H310" s="32" t="s">
        <v>410</v>
      </c>
      <c r="I310" s="33" t="s">
        <v>411</v>
      </c>
      <c r="J310" s="32"/>
      <c r="K310" s="28">
        <f>IFERROR(VLOOKUP(L310,Ingredients!A:B,2,FALSE),"")</f>
        <v>120</v>
      </c>
      <c r="L310" s="34" t="s">
        <v>443</v>
      </c>
      <c r="M310" s="32" t="s">
        <v>89</v>
      </c>
      <c r="N310" s="28">
        <f>IFERROR(VLOOKUP(O310,Ingredients!$A:$B,2,FALSE),"")</f>
        <v>120</v>
      </c>
      <c r="O310" s="34" t="s">
        <v>454</v>
      </c>
      <c r="P310" s="32" t="s">
        <v>87</v>
      </c>
      <c r="Q310" s="28"/>
      <c r="R310" s="35"/>
      <c r="S310" s="32"/>
      <c r="T310" s="28"/>
      <c r="U310" s="35"/>
      <c r="V310" s="32"/>
      <c r="W310" s="28"/>
      <c r="X310" s="35"/>
      <c r="Y310" s="32"/>
      <c r="Z310" s="28"/>
      <c r="AA310" s="36"/>
    </row>
    <row r="311" spans="1:27" ht="13">
      <c r="A311" s="35" t="s">
        <v>619</v>
      </c>
      <c r="B311" s="28"/>
      <c r="C311" s="29">
        <v>120</v>
      </c>
      <c r="D311" s="30">
        <f t="shared" si="1"/>
        <v>-190</v>
      </c>
      <c r="E311" s="41"/>
      <c r="F311" s="32"/>
      <c r="G311" s="28"/>
      <c r="H311" s="32" t="s">
        <v>410</v>
      </c>
      <c r="I311" s="33" t="s">
        <v>411</v>
      </c>
      <c r="J311" s="32"/>
      <c r="K311" s="28">
        <f>IFERROR(VLOOKUP(L311,Ingredients!A:B,2,FALSE),"")</f>
        <v>250</v>
      </c>
      <c r="L311" s="34" t="s">
        <v>434</v>
      </c>
      <c r="M311" s="32" t="s">
        <v>89</v>
      </c>
      <c r="N311" s="28">
        <f>IFERROR(VLOOKUP(O311,Ingredients!$A:$B,2,FALSE),"")</f>
        <v>60</v>
      </c>
      <c r="O311" s="34" t="s">
        <v>620</v>
      </c>
      <c r="P311" s="32" t="s">
        <v>87</v>
      </c>
      <c r="Q311" s="28"/>
      <c r="R311" s="35"/>
      <c r="S311" s="32"/>
      <c r="T311" s="28"/>
      <c r="U311" s="35"/>
      <c r="V311" s="32"/>
      <c r="W311" s="28"/>
      <c r="X311" s="35"/>
      <c r="Y311" s="32"/>
      <c r="Z311" s="28"/>
      <c r="AA311" s="36"/>
    </row>
    <row r="312" spans="1:27" ht="13">
      <c r="A312" s="27" t="s">
        <v>621</v>
      </c>
      <c r="B312" s="28"/>
      <c r="C312" s="29">
        <v>500</v>
      </c>
      <c r="D312" s="30">
        <f t="shared" si="1"/>
        <v>-10</v>
      </c>
      <c r="E312" s="41"/>
      <c r="F312" s="32"/>
      <c r="G312" s="28"/>
      <c r="H312" s="32" t="s">
        <v>410</v>
      </c>
      <c r="I312" s="33" t="s">
        <v>411</v>
      </c>
      <c r="J312" s="32"/>
      <c r="K312" s="28">
        <f>IFERROR(VLOOKUP(L312,Ingredients!A:B,2,FALSE),"")</f>
        <v>250</v>
      </c>
      <c r="L312" s="34" t="s">
        <v>434</v>
      </c>
      <c r="M312" s="32" t="s">
        <v>89</v>
      </c>
      <c r="N312" s="28">
        <f>IFERROR(VLOOKUP(O312,Ingredients!$A:$B,2,FALSE),"")</f>
        <v>260</v>
      </c>
      <c r="O312" s="34" t="s">
        <v>622</v>
      </c>
      <c r="P312" s="32" t="s">
        <v>87</v>
      </c>
      <c r="Q312" s="28"/>
      <c r="R312" s="35"/>
      <c r="S312" s="32"/>
      <c r="T312" s="28"/>
      <c r="U312" s="35"/>
      <c r="V312" s="32"/>
      <c r="W312" s="28"/>
      <c r="X312" s="35"/>
      <c r="Y312" s="32"/>
      <c r="Z312" s="28"/>
      <c r="AA312" s="36"/>
    </row>
    <row r="313" spans="1:27" ht="13">
      <c r="A313" s="35" t="s">
        <v>623</v>
      </c>
      <c r="B313" s="28"/>
      <c r="C313" s="29">
        <v>250</v>
      </c>
      <c r="D313" s="30">
        <f t="shared" si="1"/>
        <v>-100</v>
      </c>
      <c r="E313" s="41"/>
      <c r="F313" s="32"/>
      <c r="G313" s="28"/>
      <c r="H313" s="32" t="s">
        <v>410</v>
      </c>
      <c r="I313" s="33" t="s">
        <v>411</v>
      </c>
      <c r="J313" s="32"/>
      <c r="K313" s="28">
        <f>IFERROR(VLOOKUP(L313,Ingredients!A:B,2,FALSE),"")</f>
        <v>250</v>
      </c>
      <c r="L313" s="34" t="s">
        <v>477</v>
      </c>
      <c r="M313" s="32" t="s">
        <v>89</v>
      </c>
      <c r="N313" s="28">
        <f>IFERROR(VLOOKUP(O313,Ingredients!$A:$B,2,FALSE),"")</f>
        <v>100</v>
      </c>
      <c r="O313" s="34" t="s">
        <v>624</v>
      </c>
      <c r="P313" s="32" t="s">
        <v>87</v>
      </c>
      <c r="Q313" s="28"/>
      <c r="R313" s="35"/>
      <c r="S313" s="32"/>
      <c r="T313" s="28"/>
      <c r="U313" s="35"/>
      <c r="V313" s="32"/>
      <c r="W313" s="28"/>
      <c r="X313" s="35"/>
      <c r="Y313" s="32"/>
      <c r="Z313" s="28"/>
      <c r="AA313" s="36"/>
    </row>
    <row r="314" spans="1:27" ht="13">
      <c r="A314" s="35" t="s">
        <v>625</v>
      </c>
      <c r="B314" s="28"/>
      <c r="C314" s="29">
        <v>500</v>
      </c>
      <c r="D314" s="30">
        <f t="shared" si="1"/>
        <v>-10</v>
      </c>
      <c r="E314" s="41"/>
      <c r="F314" s="32"/>
      <c r="G314" s="28"/>
      <c r="H314" s="32" t="s">
        <v>410</v>
      </c>
      <c r="I314" s="33" t="s">
        <v>411</v>
      </c>
      <c r="J314" s="32"/>
      <c r="K314" s="28">
        <f>IFERROR(VLOOKUP(L314,Ingredients!A:B,2,FALSE),"")</f>
        <v>250</v>
      </c>
      <c r="L314" s="34" t="s">
        <v>431</v>
      </c>
      <c r="M314" s="32" t="s">
        <v>89</v>
      </c>
      <c r="N314" s="28">
        <f>IFERROR(VLOOKUP(O314,Ingredients!$A:$B,2,FALSE),"")</f>
        <v>260</v>
      </c>
      <c r="O314" s="34" t="s">
        <v>626</v>
      </c>
      <c r="P314" s="32" t="s">
        <v>87</v>
      </c>
      <c r="Q314" s="28"/>
      <c r="R314" s="35"/>
      <c r="S314" s="32"/>
      <c r="T314" s="28"/>
      <c r="U314" s="35"/>
      <c r="V314" s="32"/>
      <c r="W314" s="28"/>
      <c r="X314" s="35"/>
      <c r="Y314" s="32"/>
      <c r="Z314" s="28"/>
      <c r="AA314" s="36"/>
    </row>
    <row r="315" spans="1:27" ht="13">
      <c r="A315" s="35" t="s">
        <v>627</v>
      </c>
      <c r="B315" s="28"/>
      <c r="C315" s="29">
        <v>120</v>
      </c>
      <c r="D315" s="30">
        <f t="shared" si="1"/>
        <v>-180</v>
      </c>
      <c r="E315" s="41"/>
      <c r="F315" s="32"/>
      <c r="G315" s="28"/>
      <c r="H315" s="32" t="s">
        <v>410</v>
      </c>
      <c r="I315" s="33" t="s">
        <v>411</v>
      </c>
      <c r="J315" s="32"/>
      <c r="K315" s="28">
        <f>IFERROR(VLOOKUP(L315,Ingredients!A:B,2,FALSE),"")</f>
        <v>250</v>
      </c>
      <c r="L315" s="34" t="s">
        <v>426</v>
      </c>
      <c r="M315" s="32" t="s">
        <v>89</v>
      </c>
      <c r="N315" s="28">
        <f>IFERROR(VLOOKUP(O315,Ingredients!$A:$B,2,FALSE),"")</f>
        <v>50</v>
      </c>
      <c r="O315" s="34" t="s">
        <v>628</v>
      </c>
      <c r="P315" s="32" t="s">
        <v>87</v>
      </c>
      <c r="Q315" s="28"/>
      <c r="R315" s="35"/>
      <c r="S315" s="32"/>
      <c r="T315" s="28"/>
      <c r="U315" s="35"/>
      <c r="V315" s="32"/>
      <c r="W315" s="28"/>
      <c r="X315" s="35"/>
      <c r="Y315" s="32"/>
      <c r="Z315" s="28"/>
      <c r="AA315" s="36"/>
    </row>
    <row r="316" spans="1:27" ht="13">
      <c r="A316" t="s">
        <v>629</v>
      </c>
      <c r="B316" s="28"/>
      <c r="C316" s="29">
        <v>190</v>
      </c>
      <c r="D316" s="30">
        <f t="shared" si="1"/>
        <v>-50</v>
      </c>
      <c r="F316" s="32"/>
      <c r="G316" s="28"/>
      <c r="H316" s="32" t="s">
        <v>410</v>
      </c>
      <c r="I316" s="33" t="s">
        <v>411</v>
      </c>
      <c r="J316" s="32"/>
      <c r="K316" s="28">
        <f>IFERROR(VLOOKUP(L316,Ingredients!A:B,2,FALSE),"")</f>
        <v>120</v>
      </c>
      <c r="L316" s="34" t="s">
        <v>439</v>
      </c>
      <c r="M316" s="32" t="s">
        <v>89</v>
      </c>
      <c r="N316" s="28">
        <f>IFERROR(VLOOKUP(O316,Ingredients!$A:$B,2,FALSE),"")</f>
        <v>120</v>
      </c>
      <c r="O316" s="34" t="s">
        <v>447</v>
      </c>
      <c r="P316" s="32" t="s">
        <v>87</v>
      </c>
      <c r="Q316" s="28"/>
      <c r="R316" s="35"/>
      <c r="S316" s="32"/>
      <c r="T316" s="28"/>
      <c r="U316" s="35"/>
      <c r="V316" s="32"/>
      <c r="W316" s="28"/>
      <c r="X316" s="35"/>
      <c r="Y316" s="32"/>
      <c r="Z316" s="28"/>
      <c r="AA316" s="36"/>
    </row>
    <row r="317" spans="1:27" ht="13">
      <c r="A317" s="35" t="s">
        <v>630</v>
      </c>
      <c r="B317" s="28"/>
      <c r="C317" s="29">
        <v>120</v>
      </c>
      <c r="D317" s="30">
        <f t="shared" si="1"/>
        <v>-200</v>
      </c>
      <c r="E317" s="41"/>
      <c r="F317" s="32"/>
      <c r="G317" s="28"/>
      <c r="H317" s="32" t="s">
        <v>410</v>
      </c>
      <c r="I317" s="33" t="s">
        <v>411</v>
      </c>
      <c r="J317" s="32"/>
      <c r="K317" s="28">
        <f>IFERROR(VLOOKUP(L317,Ingredients!A:B,2,FALSE),"")</f>
        <v>250</v>
      </c>
      <c r="L317" s="34" t="s">
        <v>437</v>
      </c>
      <c r="M317" s="32" t="s">
        <v>89</v>
      </c>
      <c r="N317" s="28">
        <f>IFERROR(VLOOKUP(O317,Ingredients!$A:$B,2,FALSE),"")</f>
        <v>70</v>
      </c>
      <c r="O317" s="34" t="s">
        <v>631</v>
      </c>
      <c r="P317" s="32" t="s">
        <v>87</v>
      </c>
      <c r="Q317" s="28"/>
      <c r="R317" s="35"/>
      <c r="S317" s="32"/>
      <c r="T317" s="28"/>
      <c r="U317" s="35"/>
      <c r="V317" s="32"/>
      <c r="W317" s="28"/>
      <c r="X317" s="35"/>
      <c r="Y317" s="32"/>
      <c r="Z317" s="28"/>
      <c r="AA317" s="36"/>
    </row>
    <row r="318" spans="1:27" ht="13">
      <c r="A318" s="35" t="s">
        <v>632</v>
      </c>
      <c r="B318" s="28"/>
      <c r="C318" s="29">
        <v>190</v>
      </c>
      <c r="D318" s="30">
        <f t="shared" si="1"/>
        <v>-160</v>
      </c>
      <c r="E318" s="41"/>
      <c r="F318" s="32"/>
      <c r="G318" s="28"/>
      <c r="H318" s="32" t="s">
        <v>410</v>
      </c>
      <c r="I318" s="33" t="s">
        <v>411</v>
      </c>
      <c r="J318" s="32"/>
      <c r="K318" s="28">
        <f>IFERROR(VLOOKUP(L318,Ingredients!A:B,2,FALSE),"")</f>
        <v>250</v>
      </c>
      <c r="L318" s="34" t="s">
        <v>434</v>
      </c>
      <c r="M318" s="32" t="s">
        <v>89</v>
      </c>
      <c r="N318" s="28">
        <f>IFERROR(VLOOKUP(O318,Ingredients!$A:$B,2,FALSE),"")</f>
        <v>100</v>
      </c>
      <c r="O318" s="34" t="s">
        <v>633</v>
      </c>
      <c r="P318" s="32" t="s">
        <v>87</v>
      </c>
      <c r="Q318" s="28"/>
      <c r="R318" s="35"/>
      <c r="S318" s="32"/>
      <c r="T318" s="28"/>
      <c r="U318" s="35"/>
      <c r="V318" s="32"/>
      <c r="W318" s="28"/>
      <c r="X318" s="35"/>
      <c r="Y318" s="32"/>
      <c r="Z318" s="28"/>
      <c r="AA318" s="36"/>
    </row>
    <row r="319" spans="1:27" ht="13">
      <c r="A319" s="35" t="s">
        <v>634</v>
      </c>
      <c r="B319" s="28"/>
      <c r="C319" s="29">
        <v>500</v>
      </c>
      <c r="D319" s="30">
        <f t="shared" si="1"/>
        <v>250</v>
      </c>
      <c r="E319" s="41"/>
      <c r="F319" s="32"/>
      <c r="G319" s="28"/>
      <c r="H319" s="32" t="s">
        <v>410</v>
      </c>
      <c r="I319" s="33" t="s">
        <v>411</v>
      </c>
      <c r="J319" s="32"/>
      <c r="K319" s="28">
        <f>IFERROR(VLOOKUP(L319,Ingredients!A:B,2,FALSE),"")</f>
        <v>250</v>
      </c>
      <c r="L319" s="34" t="s">
        <v>477</v>
      </c>
      <c r="M319" s="32" t="s">
        <v>89</v>
      </c>
      <c r="N319" s="28">
        <f>IFERROR(VLOOKUP(O319,Ingredients!$A:$B,2,FALSE),"")</f>
        <v>0</v>
      </c>
      <c r="O319" s="34" t="s">
        <v>635</v>
      </c>
      <c r="P319" s="32" t="s">
        <v>87</v>
      </c>
      <c r="Q319" s="28"/>
      <c r="R319" s="35"/>
      <c r="S319" s="32"/>
      <c r="T319" s="28"/>
      <c r="U319" s="35"/>
      <c r="V319" s="32"/>
      <c r="W319" s="28"/>
      <c r="X319" s="35"/>
      <c r="Y319" s="32"/>
      <c r="Z319" s="28"/>
      <c r="AA319" s="36"/>
    </row>
    <row r="320" spans="1:27" ht="13">
      <c r="A320" s="35" t="s">
        <v>636</v>
      </c>
      <c r="B320" s="28"/>
      <c r="C320" s="29">
        <v>120</v>
      </c>
      <c r="D320" s="30">
        <f t="shared" si="1"/>
        <v>-190</v>
      </c>
      <c r="E320" s="41"/>
      <c r="F320" s="32"/>
      <c r="G320" s="28"/>
      <c r="H320" s="32" t="s">
        <v>410</v>
      </c>
      <c r="I320" s="33" t="s">
        <v>411</v>
      </c>
      <c r="J320" s="32"/>
      <c r="K320" s="28">
        <f>IFERROR(VLOOKUP(L320,Ingredients!A:B,2,FALSE),"")</f>
        <v>250</v>
      </c>
      <c r="L320" s="34" t="s">
        <v>423</v>
      </c>
      <c r="M320" s="32" t="s">
        <v>89</v>
      </c>
      <c r="N320" s="28">
        <f>IFERROR(VLOOKUP(O320,Ingredients!$A:$B,2,FALSE),"")</f>
        <v>60</v>
      </c>
      <c r="O320" s="34" t="s">
        <v>637</v>
      </c>
      <c r="P320" s="32" t="s">
        <v>87</v>
      </c>
      <c r="Q320" s="28"/>
      <c r="R320" s="35"/>
      <c r="S320" s="32"/>
      <c r="T320" s="28"/>
      <c r="U320" s="35"/>
      <c r="V320" s="32"/>
      <c r="W320" s="28"/>
      <c r="X320" s="35"/>
      <c r="Y320" s="32"/>
      <c r="Z320" s="28"/>
      <c r="AA320" s="36"/>
    </row>
    <row r="321" spans="1:27" ht="13">
      <c r="A321" s="35" t="s">
        <v>638</v>
      </c>
      <c r="B321" s="28"/>
      <c r="C321" s="29">
        <v>1400</v>
      </c>
      <c r="D321" s="30">
        <f t="shared" si="1"/>
        <v>650</v>
      </c>
      <c r="E321" s="41"/>
      <c r="F321" s="32"/>
      <c r="G321" s="28"/>
      <c r="H321" s="32" t="s">
        <v>410</v>
      </c>
      <c r="I321" s="33" t="s">
        <v>411</v>
      </c>
      <c r="J321" s="32"/>
      <c r="K321" s="28">
        <f>IFERROR(VLOOKUP(L321,Ingredients!A:B,2,FALSE),"")</f>
        <v>400</v>
      </c>
      <c r="L321" s="34" t="s">
        <v>550</v>
      </c>
      <c r="M321" s="32" t="s">
        <v>89</v>
      </c>
      <c r="N321" s="28">
        <f>IFERROR(VLOOKUP(O321,Ingredients!$A:$B,2,FALSE),"")</f>
        <v>350</v>
      </c>
      <c r="O321" s="34" t="s">
        <v>639</v>
      </c>
      <c r="P321" s="32" t="s">
        <v>87</v>
      </c>
      <c r="Q321" s="28"/>
      <c r="R321" s="35"/>
      <c r="S321" s="32"/>
      <c r="T321" s="28"/>
      <c r="U321" s="35"/>
      <c r="V321" s="32"/>
      <c r="W321" s="28"/>
      <c r="X321" s="35"/>
      <c r="Y321" s="32"/>
      <c r="Z321" s="28"/>
      <c r="AA321" s="36"/>
    </row>
    <row r="322" spans="1:27" ht="13">
      <c r="A322" s="35" t="s">
        <v>640</v>
      </c>
      <c r="B322" s="28"/>
      <c r="C322" s="29">
        <v>1400</v>
      </c>
      <c r="D322" s="30">
        <f t="shared" si="1"/>
        <v>1000</v>
      </c>
      <c r="E322" s="41"/>
      <c r="F322" s="32"/>
      <c r="G322" s="28"/>
      <c r="H322" s="32" t="s">
        <v>410</v>
      </c>
      <c r="I322" s="33" t="s">
        <v>411</v>
      </c>
      <c r="J322" s="32"/>
      <c r="K322" s="28">
        <f>IFERROR(VLOOKUP(L322,Ingredients!A:B,2,FALSE),"")</f>
        <v>400</v>
      </c>
      <c r="L322" s="34" t="s">
        <v>417</v>
      </c>
      <c r="M322" s="32" t="s">
        <v>89</v>
      </c>
      <c r="N322" s="28">
        <f>IFERROR(VLOOKUP(O322,Ingredients!$A:$B,2,FALSE),"")</f>
        <v>0</v>
      </c>
      <c r="O322" s="34" t="s">
        <v>641</v>
      </c>
      <c r="P322" s="32" t="s">
        <v>87</v>
      </c>
      <c r="Q322" s="28"/>
      <c r="R322" s="35"/>
      <c r="S322" s="32"/>
      <c r="T322" s="28"/>
      <c r="U322" s="35"/>
      <c r="V322" s="32"/>
      <c r="W322" s="28"/>
      <c r="X322" s="35"/>
      <c r="Y322" s="32"/>
      <c r="Z322" s="28"/>
      <c r="AA322" s="36"/>
    </row>
    <row r="323" spans="1:27" ht="13">
      <c r="A323" s="35" t="s">
        <v>642</v>
      </c>
      <c r="B323" s="28"/>
      <c r="C323" s="29">
        <v>800</v>
      </c>
      <c r="D323" s="30">
        <f t="shared" si="1"/>
        <v>450</v>
      </c>
      <c r="E323" s="41"/>
      <c r="F323" s="32"/>
      <c r="G323" s="28"/>
      <c r="H323" s="32" t="s">
        <v>410</v>
      </c>
      <c r="I323" s="33" t="s">
        <v>411</v>
      </c>
      <c r="J323" s="32"/>
      <c r="K323" s="28">
        <f>IFERROR(VLOOKUP(L323,Ingredients!A:B,2,FALSE),"")</f>
        <v>250</v>
      </c>
      <c r="L323" s="34" t="s">
        <v>462</v>
      </c>
      <c r="M323" s="32" t="s">
        <v>89</v>
      </c>
      <c r="N323" s="28">
        <f>IFERROR(VLOOKUP(O323,Ingredients!$A:$B,2,FALSE),"")</f>
        <v>100</v>
      </c>
      <c r="O323" s="34" t="s">
        <v>643</v>
      </c>
      <c r="P323" s="32" t="s">
        <v>87</v>
      </c>
      <c r="Q323" s="28"/>
      <c r="R323" s="35"/>
      <c r="S323" s="32"/>
      <c r="T323" s="28"/>
      <c r="U323" s="35"/>
      <c r="V323" s="32"/>
      <c r="W323" s="28"/>
      <c r="X323" s="35"/>
      <c r="Y323" s="32"/>
      <c r="Z323" s="28"/>
      <c r="AA323" s="36"/>
    </row>
    <row r="324" spans="1:27" ht="13">
      <c r="A324" s="27" t="s">
        <v>644</v>
      </c>
      <c r="B324" s="28"/>
      <c r="C324" s="29">
        <v>190</v>
      </c>
      <c r="D324" s="30">
        <f t="shared" si="1"/>
        <v>-50</v>
      </c>
      <c r="E324" s="41"/>
      <c r="F324" s="32"/>
      <c r="G324" s="28"/>
      <c r="H324" s="32" t="s">
        <v>410</v>
      </c>
      <c r="I324" s="33" t="s">
        <v>411</v>
      </c>
      <c r="J324" s="32"/>
      <c r="K324" s="28">
        <f>IFERROR(VLOOKUP(L324,Ingredients!A:B,2,FALSE),"")</f>
        <v>120</v>
      </c>
      <c r="L324" s="34" t="s">
        <v>448</v>
      </c>
      <c r="M324" s="32" t="s">
        <v>89</v>
      </c>
      <c r="N324" s="28">
        <f>IFERROR(VLOOKUP(O324,Ingredients!$A:$B,2,FALSE),"")</f>
        <v>120</v>
      </c>
      <c r="O324" s="34" t="s">
        <v>447</v>
      </c>
      <c r="P324" s="32" t="s">
        <v>87</v>
      </c>
      <c r="Q324" s="28"/>
      <c r="R324" s="35"/>
      <c r="S324" s="32"/>
      <c r="T324" s="28"/>
      <c r="U324" s="35"/>
      <c r="V324" s="32"/>
      <c r="W324" s="28"/>
      <c r="X324" s="35"/>
      <c r="Y324" s="32"/>
      <c r="Z324" s="28"/>
      <c r="AA324" s="36"/>
    </row>
    <row r="325" spans="1:27" ht="13">
      <c r="A325" s="35" t="s">
        <v>645</v>
      </c>
      <c r="B325" s="28"/>
      <c r="C325" s="29">
        <v>190</v>
      </c>
      <c r="D325" s="30">
        <f t="shared" si="1"/>
        <v>-160</v>
      </c>
      <c r="E325" s="41"/>
      <c r="F325" s="32"/>
      <c r="G325" s="28"/>
      <c r="H325" s="32" t="s">
        <v>410</v>
      </c>
      <c r="I325" s="33" t="s">
        <v>411</v>
      </c>
      <c r="J325" s="32"/>
      <c r="K325" s="28">
        <f>IFERROR(VLOOKUP(L325,Ingredients!A:B,2,FALSE),"")</f>
        <v>250</v>
      </c>
      <c r="L325" s="34" t="s">
        <v>426</v>
      </c>
      <c r="M325" s="32" t="s">
        <v>89</v>
      </c>
      <c r="N325" s="28">
        <f>IFERROR(VLOOKUP(O325,Ingredients!$A:$B,2,FALSE),"")</f>
        <v>100</v>
      </c>
      <c r="O325" s="34" t="s">
        <v>646</v>
      </c>
      <c r="P325" s="32" t="s">
        <v>87</v>
      </c>
      <c r="Q325" s="28"/>
      <c r="R325" s="35"/>
      <c r="S325" s="32"/>
      <c r="T325" s="28"/>
      <c r="U325" s="35"/>
      <c r="V325" s="32"/>
      <c r="W325" s="28"/>
      <c r="X325" s="35"/>
      <c r="Y325" s="32"/>
      <c r="Z325" s="28"/>
      <c r="AA325" s="36"/>
    </row>
    <row r="326" spans="1:27" ht="13">
      <c r="A326" s="35" t="s">
        <v>647</v>
      </c>
      <c r="B326" s="28"/>
      <c r="C326" s="29">
        <v>500</v>
      </c>
      <c r="D326" s="30">
        <f t="shared" si="1"/>
        <v>-10</v>
      </c>
      <c r="E326" s="41"/>
      <c r="F326" s="32"/>
      <c r="G326" s="28"/>
      <c r="H326" s="32" t="s">
        <v>410</v>
      </c>
      <c r="I326" s="33" t="s">
        <v>411</v>
      </c>
      <c r="J326" s="32"/>
      <c r="K326" s="28">
        <f>IFERROR(VLOOKUP(L326,Ingredients!A:B,2,FALSE),"")</f>
        <v>250</v>
      </c>
      <c r="L326" s="34" t="s">
        <v>477</v>
      </c>
      <c r="M326" s="32" t="s">
        <v>89</v>
      </c>
      <c r="N326" s="28">
        <f>IFERROR(VLOOKUP(O326,Ingredients!$A:$B,2,FALSE),"")</f>
        <v>260</v>
      </c>
      <c r="O326" s="34" t="s">
        <v>648</v>
      </c>
      <c r="P326" s="32" t="s">
        <v>87</v>
      </c>
      <c r="Q326" s="28"/>
      <c r="R326" s="35"/>
      <c r="S326" s="32"/>
      <c r="T326" s="28"/>
      <c r="U326" s="35"/>
      <c r="V326" s="32"/>
      <c r="W326" s="28"/>
      <c r="X326" s="35"/>
      <c r="Y326" s="32"/>
      <c r="Z326" s="28"/>
      <c r="AA326" s="36"/>
    </row>
    <row r="327" spans="1:27" ht="13">
      <c r="A327" t="s">
        <v>649</v>
      </c>
      <c r="B327" s="28"/>
      <c r="C327" s="29">
        <v>190</v>
      </c>
      <c r="D327" s="30">
        <f t="shared" si="1"/>
        <v>-50</v>
      </c>
      <c r="F327" s="32"/>
      <c r="G327" s="28"/>
      <c r="H327" s="32" t="s">
        <v>410</v>
      </c>
      <c r="I327" s="33" t="s">
        <v>411</v>
      </c>
      <c r="J327" s="32"/>
      <c r="K327" s="28">
        <f>IFERROR(VLOOKUP(L327,Ingredients!A:B,2,FALSE),"")</f>
        <v>120</v>
      </c>
      <c r="L327" s="34" t="s">
        <v>439</v>
      </c>
      <c r="M327" s="32" t="s">
        <v>89</v>
      </c>
      <c r="N327" s="28">
        <f>IFERROR(VLOOKUP(O327,Ingredients!$A:$B,2,FALSE),"")</f>
        <v>120</v>
      </c>
      <c r="O327" s="34" t="s">
        <v>460</v>
      </c>
      <c r="P327" s="32" t="s">
        <v>87</v>
      </c>
      <c r="Q327" s="28"/>
      <c r="R327" s="35"/>
      <c r="S327" s="32"/>
      <c r="T327" s="28"/>
      <c r="U327" s="35"/>
      <c r="V327" s="32"/>
      <c r="W327" s="28"/>
      <c r="X327" s="35"/>
      <c r="Y327" s="32"/>
      <c r="Z327" s="28"/>
      <c r="AA327" s="36"/>
    </row>
    <row r="328" spans="1:27" ht="13">
      <c r="A328" s="35" t="s">
        <v>650</v>
      </c>
      <c r="B328" s="28"/>
      <c r="C328" s="29">
        <v>500</v>
      </c>
      <c r="D328" s="30">
        <f t="shared" si="1"/>
        <v>-10</v>
      </c>
      <c r="E328" s="41"/>
      <c r="F328" s="32"/>
      <c r="G328" s="28"/>
      <c r="H328" s="32" t="s">
        <v>410</v>
      </c>
      <c r="I328" s="33" t="s">
        <v>411</v>
      </c>
      <c r="J328" s="32"/>
      <c r="K328" s="28">
        <f>IFERROR(VLOOKUP(L328,Ingredients!A:B,2,FALSE),"")</f>
        <v>250</v>
      </c>
      <c r="L328" s="34" t="s">
        <v>462</v>
      </c>
      <c r="M328" s="32" t="s">
        <v>89</v>
      </c>
      <c r="N328" s="28">
        <f>IFERROR(VLOOKUP(O328,Ingredients!$A:$B,2,FALSE),"")</f>
        <v>260</v>
      </c>
      <c r="O328" s="34" t="s">
        <v>651</v>
      </c>
      <c r="P328" s="32" t="s">
        <v>87</v>
      </c>
      <c r="Q328" s="28"/>
      <c r="R328" s="35"/>
      <c r="S328" s="32"/>
      <c r="T328" s="28"/>
      <c r="U328" s="35"/>
      <c r="V328" s="32"/>
      <c r="W328" s="28"/>
      <c r="X328" s="35"/>
      <c r="Y328" s="32"/>
      <c r="Z328" s="28"/>
      <c r="AA328" s="36"/>
    </row>
    <row r="329" spans="1:27" ht="13">
      <c r="A329" s="35" t="s">
        <v>652</v>
      </c>
      <c r="B329" s="28"/>
      <c r="C329" s="29">
        <v>190</v>
      </c>
      <c r="D329" s="30">
        <f t="shared" si="1"/>
        <v>-60</v>
      </c>
      <c r="E329" s="41"/>
      <c r="F329" s="32"/>
      <c r="G329" s="28"/>
      <c r="H329" s="32" t="s">
        <v>410</v>
      </c>
      <c r="I329" s="33" t="s">
        <v>411</v>
      </c>
      <c r="J329" s="32"/>
      <c r="K329" s="28">
        <f>IFERROR(VLOOKUP(L329,Ingredients!A:B,2,FALSE),"")</f>
        <v>250</v>
      </c>
      <c r="L329" s="34" t="s">
        <v>437</v>
      </c>
      <c r="M329" s="32" t="s">
        <v>89</v>
      </c>
      <c r="N329" s="28">
        <f>IFERROR(VLOOKUP(O329,Ingredients!$A:$B,2,FALSE),"")</f>
        <v>0</v>
      </c>
      <c r="O329" s="34" t="s">
        <v>653</v>
      </c>
      <c r="P329" s="32" t="s">
        <v>87</v>
      </c>
      <c r="Q329" s="28"/>
      <c r="R329" s="35"/>
      <c r="S329" s="32"/>
      <c r="T329" s="28"/>
      <c r="U329" s="35"/>
      <c r="V329" s="32"/>
      <c r="W329" s="28"/>
      <c r="X329" s="35"/>
      <c r="Y329" s="32"/>
      <c r="Z329" s="28"/>
      <c r="AA329" s="36"/>
    </row>
    <row r="330" spans="1:27" ht="13">
      <c r="A330" s="35" t="s">
        <v>654</v>
      </c>
      <c r="B330" s="28"/>
      <c r="C330" s="29">
        <v>250</v>
      </c>
      <c r="D330" s="30">
        <f t="shared" si="1"/>
        <v>-120</v>
      </c>
      <c r="E330" s="41"/>
      <c r="F330" s="32"/>
      <c r="G330" s="28"/>
      <c r="H330" s="32" t="s">
        <v>410</v>
      </c>
      <c r="I330" s="33" t="s">
        <v>411</v>
      </c>
      <c r="J330" s="32"/>
      <c r="K330" s="28">
        <f>IFERROR(VLOOKUP(L330,Ingredients!A:B,2,FALSE),"")</f>
        <v>250</v>
      </c>
      <c r="L330" s="34" t="s">
        <v>462</v>
      </c>
      <c r="M330" s="32" t="s">
        <v>89</v>
      </c>
      <c r="N330" s="28">
        <f>IFERROR(VLOOKUP(O330,Ingredients!$A:$B,2,FALSE),"")</f>
        <v>120</v>
      </c>
      <c r="O330" s="34" t="s">
        <v>655</v>
      </c>
      <c r="P330" s="32" t="s">
        <v>87</v>
      </c>
      <c r="Q330" s="28"/>
      <c r="R330" s="35"/>
      <c r="S330" s="32"/>
      <c r="T330" s="28"/>
      <c r="U330" s="35"/>
      <c r="V330" s="32"/>
      <c r="W330" s="28"/>
      <c r="X330" s="35"/>
      <c r="Y330" s="32"/>
      <c r="Z330" s="28"/>
      <c r="AA330" s="36"/>
    </row>
    <row r="331" spans="1:27" ht="13">
      <c r="A331" s="35" t="s">
        <v>656</v>
      </c>
      <c r="B331" s="28"/>
      <c r="C331" s="29">
        <v>750</v>
      </c>
      <c r="D331" s="30">
        <f t="shared" si="1"/>
        <v>0</v>
      </c>
      <c r="E331" s="41"/>
      <c r="F331" s="32"/>
      <c r="G331" s="28"/>
      <c r="H331" s="32" t="s">
        <v>410</v>
      </c>
      <c r="I331" s="33" t="s">
        <v>411</v>
      </c>
      <c r="J331" s="32"/>
      <c r="K331" s="28">
        <f>IFERROR(VLOOKUP(L331,Ingredients!A:B,2,FALSE),"")</f>
        <v>400</v>
      </c>
      <c r="L331" s="34" t="s">
        <v>495</v>
      </c>
      <c r="M331" s="32" t="s">
        <v>89</v>
      </c>
      <c r="N331" s="28">
        <f>IFERROR(VLOOKUP(O331,Ingredients!$A:$B,2,FALSE),"")</f>
        <v>350</v>
      </c>
      <c r="O331" s="34" t="s">
        <v>657</v>
      </c>
      <c r="P331" s="32" t="s">
        <v>87</v>
      </c>
      <c r="Q331" s="28"/>
      <c r="R331" s="35"/>
      <c r="S331" s="32"/>
      <c r="T331" s="28"/>
      <c r="U331" s="35"/>
      <c r="V331" s="32"/>
      <c r="W331" s="28"/>
      <c r="X331" s="35"/>
      <c r="Y331" s="32"/>
      <c r="Z331" s="28"/>
      <c r="AA331" s="36"/>
    </row>
    <row r="332" spans="1:27" ht="13">
      <c r="A332" s="35" t="s">
        <v>658</v>
      </c>
      <c r="B332" s="28"/>
      <c r="C332" s="29">
        <v>800</v>
      </c>
      <c r="D332" s="30">
        <f t="shared" si="1"/>
        <v>550</v>
      </c>
      <c r="E332" s="41"/>
      <c r="F332" s="32"/>
      <c r="G332" s="28"/>
      <c r="H332" s="32" t="s">
        <v>410</v>
      </c>
      <c r="I332" s="33" t="s">
        <v>411</v>
      </c>
      <c r="J332" s="32"/>
      <c r="K332" s="28">
        <f>IFERROR(VLOOKUP(L332,Ingredients!A:B,2,FALSE),"")</f>
        <v>250</v>
      </c>
      <c r="L332" s="34" t="s">
        <v>437</v>
      </c>
      <c r="M332" s="32" t="s">
        <v>89</v>
      </c>
      <c r="N332" s="28">
        <f>IFERROR(VLOOKUP(O332,Ingredients!$A:$B,2,FALSE),"")</f>
        <v>0</v>
      </c>
      <c r="O332" s="34" t="s">
        <v>659</v>
      </c>
      <c r="P332" s="32" t="s">
        <v>87</v>
      </c>
      <c r="Q332" s="28"/>
      <c r="R332" s="35"/>
      <c r="S332" s="32"/>
      <c r="T332" s="28"/>
      <c r="U332" s="35"/>
      <c r="V332" s="32"/>
      <c r="W332" s="28"/>
      <c r="X332" s="35"/>
      <c r="Y332" s="32"/>
      <c r="Z332" s="28"/>
      <c r="AA332" s="36"/>
    </row>
    <row r="333" spans="1:27" ht="13">
      <c r="A333" s="35" t="s">
        <v>660</v>
      </c>
      <c r="B333" s="28"/>
      <c r="C333" s="29">
        <v>500</v>
      </c>
      <c r="D333" s="30">
        <f t="shared" si="1"/>
        <v>-10</v>
      </c>
      <c r="E333" s="41"/>
      <c r="F333" s="32"/>
      <c r="G333" s="28"/>
      <c r="H333" s="32" t="s">
        <v>410</v>
      </c>
      <c r="I333" s="33" t="s">
        <v>411</v>
      </c>
      <c r="J333" s="32"/>
      <c r="K333" s="28">
        <f>IFERROR(VLOOKUP(L333,Ingredients!A:B,2,FALSE),"")</f>
        <v>250</v>
      </c>
      <c r="L333" s="34" t="s">
        <v>462</v>
      </c>
      <c r="M333" s="32" t="s">
        <v>89</v>
      </c>
      <c r="N333" s="28">
        <f>IFERROR(VLOOKUP(O333,Ingredients!$A:$B,2,FALSE),"")</f>
        <v>260</v>
      </c>
      <c r="O333" s="34" t="s">
        <v>661</v>
      </c>
      <c r="P333" s="32" t="s">
        <v>87</v>
      </c>
      <c r="Q333" s="28"/>
      <c r="R333" s="35"/>
      <c r="S333" s="32"/>
      <c r="T333" s="28"/>
      <c r="U333" s="35"/>
      <c r="V333" s="32"/>
      <c r="W333" s="28"/>
      <c r="X333" s="35"/>
      <c r="Y333" s="32"/>
      <c r="Z333" s="28"/>
      <c r="AA333" s="36"/>
    </row>
    <row r="334" spans="1:27" ht="13">
      <c r="A334" s="27" t="s">
        <v>662</v>
      </c>
      <c r="B334" s="28"/>
      <c r="C334" s="29">
        <v>190</v>
      </c>
      <c r="D334" s="30">
        <f t="shared" si="1"/>
        <v>-60</v>
      </c>
      <c r="E334" s="41"/>
      <c r="F334" s="32"/>
      <c r="G334" s="28"/>
      <c r="H334" s="32" t="s">
        <v>410</v>
      </c>
      <c r="I334" s="33" t="s">
        <v>411</v>
      </c>
      <c r="J334" s="32"/>
      <c r="K334" s="28">
        <f>IFERROR(VLOOKUP(L334,Ingredients!A:B,2,FALSE),"")</f>
        <v>250</v>
      </c>
      <c r="L334" s="34" t="s">
        <v>477</v>
      </c>
      <c r="M334" s="32" t="s">
        <v>89</v>
      </c>
      <c r="N334" s="28">
        <f>IFERROR(VLOOKUP(O334,Ingredients!$A:$B,2,FALSE),"")</f>
        <v>0</v>
      </c>
      <c r="O334" s="34" t="s">
        <v>663</v>
      </c>
      <c r="P334" s="32" t="s">
        <v>87</v>
      </c>
      <c r="Q334" s="28"/>
      <c r="R334" s="35"/>
      <c r="S334" s="32"/>
      <c r="T334" s="28"/>
      <c r="U334" s="35"/>
      <c r="V334" s="32"/>
      <c r="W334" s="28"/>
      <c r="X334" s="35"/>
      <c r="Y334" s="32"/>
      <c r="Z334" s="28"/>
      <c r="AA334" s="36"/>
    </row>
    <row r="335" spans="1:27" ht="13">
      <c r="A335" s="35" t="s">
        <v>664</v>
      </c>
      <c r="B335" s="28"/>
      <c r="C335" s="29">
        <v>1400</v>
      </c>
      <c r="D335" s="30">
        <f t="shared" si="1"/>
        <v>650</v>
      </c>
      <c r="E335" s="41"/>
      <c r="F335" s="32"/>
      <c r="G335" s="28"/>
      <c r="H335" s="32" t="s">
        <v>410</v>
      </c>
      <c r="I335" s="33" t="s">
        <v>411</v>
      </c>
      <c r="J335" s="32"/>
      <c r="K335" s="28">
        <f>IFERROR(VLOOKUP(L335,Ingredients!A:B,2,FALSE),"")</f>
        <v>400</v>
      </c>
      <c r="L335" s="34" t="s">
        <v>450</v>
      </c>
      <c r="M335" s="32" t="s">
        <v>89</v>
      </c>
      <c r="N335" s="28">
        <f>IFERROR(VLOOKUP(O335,Ingredients!$A:$B,2,FALSE),"")</f>
        <v>350</v>
      </c>
      <c r="O335" s="34" t="s">
        <v>665</v>
      </c>
      <c r="P335" s="32" t="s">
        <v>87</v>
      </c>
      <c r="Q335" s="28"/>
      <c r="R335" s="35"/>
      <c r="S335" s="32"/>
      <c r="T335" s="28"/>
      <c r="U335" s="35"/>
      <c r="V335" s="32"/>
      <c r="W335" s="28"/>
      <c r="X335" s="35"/>
      <c r="Y335" s="32"/>
      <c r="Z335" s="28"/>
      <c r="AA335" s="36"/>
    </row>
    <row r="336" spans="1:27" ht="13">
      <c r="A336" s="35" t="s">
        <v>666</v>
      </c>
      <c r="B336" s="28"/>
      <c r="C336" s="29">
        <v>190</v>
      </c>
      <c r="D336" s="30">
        <f t="shared" si="1"/>
        <v>-160</v>
      </c>
      <c r="E336" s="41"/>
      <c r="F336" s="32"/>
      <c r="G336" s="28"/>
      <c r="H336" s="32" t="s">
        <v>410</v>
      </c>
      <c r="I336" s="33" t="s">
        <v>411</v>
      </c>
      <c r="J336" s="32"/>
      <c r="K336" s="28">
        <f>IFERROR(VLOOKUP(L336,Ingredients!A:B,2,FALSE),"")</f>
        <v>250</v>
      </c>
      <c r="L336" s="34" t="s">
        <v>437</v>
      </c>
      <c r="M336" s="32" t="s">
        <v>89</v>
      </c>
      <c r="N336" s="28">
        <f>IFERROR(VLOOKUP(O336,Ingredients!$A:$B,2,FALSE),"")</f>
        <v>100</v>
      </c>
      <c r="O336" s="34" t="s">
        <v>667</v>
      </c>
      <c r="P336" s="32" t="s">
        <v>87</v>
      </c>
      <c r="Q336" s="28"/>
      <c r="R336" s="35"/>
      <c r="S336" s="32"/>
      <c r="T336" s="28"/>
      <c r="U336" s="35"/>
      <c r="V336" s="32"/>
      <c r="W336" s="28"/>
      <c r="X336" s="35"/>
      <c r="Y336" s="32"/>
      <c r="Z336" s="28"/>
      <c r="AA336" s="36"/>
    </row>
    <row r="337" spans="1:27" ht="13">
      <c r="A337" s="35" t="s">
        <v>668</v>
      </c>
      <c r="B337" s="28"/>
      <c r="C337" s="29">
        <v>250</v>
      </c>
      <c r="D337" s="30">
        <f t="shared" si="1"/>
        <v>-100</v>
      </c>
      <c r="E337" s="41"/>
      <c r="F337" s="32"/>
      <c r="G337" s="28"/>
      <c r="H337" s="32" t="s">
        <v>410</v>
      </c>
      <c r="I337" s="33" t="s">
        <v>411</v>
      </c>
      <c r="J337" s="32"/>
      <c r="K337" s="28">
        <f>IFERROR(VLOOKUP(L337,Ingredients!A:B,2,FALSE),"")</f>
        <v>250</v>
      </c>
      <c r="L337" s="34" t="s">
        <v>423</v>
      </c>
      <c r="M337" s="32" t="s">
        <v>89</v>
      </c>
      <c r="N337" s="28">
        <f>IFERROR(VLOOKUP(O337,Ingredients!$A:$B,2,FALSE),"")</f>
        <v>100</v>
      </c>
      <c r="O337" s="34" t="s">
        <v>669</v>
      </c>
      <c r="P337" s="32" t="s">
        <v>87</v>
      </c>
      <c r="Q337" s="28"/>
      <c r="R337" s="35"/>
      <c r="S337" s="32"/>
      <c r="T337" s="28"/>
      <c r="U337" s="35"/>
      <c r="V337" s="32"/>
      <c r="W337" s="28"/>
      <c r="X337" s="35"/>
      <c r="Y337" s="32"/>
      <c r="Z337" s="28"/>
      <c r="AA337" s="36"/>
    </row>
    <row r="338" spans="1:27" ht="13">
      <c r="A338" s="35" t="s">
        <v>670</v>
      </c>
      <c r="B338" s="28"/>
      <c r="C338" s="29">
        <v>120</v>
      </c>
      <c r="D338" s="30">
        <f t="shared" si="1"/>
        <v>-200</v>
      </c>
      <c r="E338" s="41"/>
      <c r="F338" s="32"/>
      <c r="G338" s="28"/>
      <c r="H338" s="32" t="s">
        <v>410</v>
      </c>
      <c r="I338" s="33" t="s">
        <v>411</v>
      </c>
      <c r="J338" s="32"/>
      <c r="K338" s="28">
        <f>IFERROR(VLOOKUP(L338,Ingredients!A:B,2,FALSE),"")</f>
        <v>250</v>
      </c>
      <c r="L338" s="34" t="s">
        <v>462</v>
      </c>
      <c r="M338" s="32" t="s">
        <v>89</v>
      </c>
      <c r="N338" s="28">
        <f>IFERROR(VLOOKUP(O338,Ingredients!$A:$B,2,FALSE),"")</f>
        <v>70</v>
      </c>
      <c r="O338" s="34" t="s">
        <v>671</v>
      </c>
      <c r="P338" s="32" t="s">
        <v>87</v>
      </c>
      <c r="Q338" s="28"/>
      <c r="R338" s="35"/>
      <c r="S338" s="32"/>
      <c r="T338" s="28"/>
      <c r="U338" s="35"/>
      <c r="V338" s="32"/>
      <c r="W338" s="28"/>
      <c r="X338" s="35"/>
      <c r="Y338" s="32"/>
      <c r="Z338" s="28"/>
      <c r="AA338" s="36"/>
    </row>
    <row r="339" spans="1:27" ht="13">
      <c r="A339" t="s">
        <v>672</v>
      </c>
      <c r="B339" s="28"/>
      <c r="C339" s="29">
        <v>190</v>
      </c>
      <c r="D339" s="30">
        <f t="shared" si="1"/>
        <v>-50</v>
      </c>
      <c r="F339" s="32"/>
      <c r="G339" s="28"/>
      <c r="H339" s="32" t="s">
        <v>410</v>
      </c>
      <c r="I339" s="33" t="s">
        <v>411</v>
      </c>
      <c r="J339" s="32"/>
      <c r="K339" s="28">
        <f>IFERROR(VLOOKUP(L339,Ingredients!A:B,2,FALSE),"")</f>
        <v>120</v>
      </c>
      <c r="L339" s="34" t="s">
        <v>415</v>
      </c>
      <c r="M339" s="32" t="s">
        <v>89</v>
      </c>
      <c r="N339" s="28">
        <f>IFERROR(VLOOKUP(O339,Ingredients!$A:$B,2,FALSE),"")</f>
        <v>120</v>
      </c>
      <c r="O339" s="34" t="s">
        <v>486</v>
      </c>
      <c r="P339" s="32" t="s">
        <v>87</v>
      </c>
      <c r="Q339" s="28"/>
      <c r="R339" s="35"/>
      <c r="S339" s="32"/>
      <c r="T339" s="28"/>
      <c r="U339" s="35"/>
      <c r="V339" s="32"/>
      <c r="W339" s="28"/>
      <c r="X339" s="35"/>
      <c r="Y339" s="32"/>
      <c r="Z339" s="28"/>
      <c r="AA339" s="36"/>
    </row>
    <row r="340" spans="1:27" ht="13">
      <c r="A340" s="27" t="s">
        <v>673</v>
      </c>
      <c r="B340" s="28"/>
      <c r="C340" s="29">
        <v>3000</v>
      </c>
      <c r="D340" s="30">
        <f t="shared" si="1"/>
        <v>2600</v>
      </c>
      <c r="E340" s="41"/>
      <c r="F340" s="32"/>
      <c r="G340" s="28"/>
      <c r="H340" s="32" t="s">
        <v>410</v>
      </c>
      <c r="I340" s="33" t="s">
        <v>411</v>
      </c>
      <c r="J340" s="32"/>
      <c r="K340" s="28">
        <f>IFERROR(VLOOKUP(L340,Ingredients!A:B,2,FALSE),"")</f>
        <v>400</v>
      </c>
      <c r="L340" s="34" t="s">
        <v>450</v>
      </c>
      <c r="M340" s="32" t="s">
        <v>89</v>
      </c>
      <c r="N340" s="28">
        <f>IFERROR(VLOOKUP(O340,Ingredients!$A:$B,2,FALSE),"")</f>
        <v>0</v>
      </c>
      <c r="O340" s="34" t="s">
        <v>674</v>
      </c>
      <c r="P340" s="32" t="s">
        <v>87</v>
      </c>
      <c r="Q340" s="28"/>
      <c r="R340" s="35"/>
      <c r="S340" s="32"/>
      <c r="T340" s="28"/>
      <c r="U340" s="35"/>
      <c r="V340" s="32"/>
      <c r="W340" s="28"/>
      <c r="X340" s="35"/>
      <c r="Y340" s="32"/>
      <c r="Z340" s="28"/>
      <c r="AA340" s="36"/>
    </row>
    <row r="341" spans="1:27" ht="13">
      <c r="A341" s="35" t="s">
        <v>675</v>
      </c>
      <c r="B341" s="28"/>
      <c r="C341" s="29">
        <v>1400</v>
      </c>
      <c r="D341" s="30">
        <f t="shared" si="1"/>
        <v>740</v>
      </c>
      <c r="E341" s="41"/>
      <c r="F341" s="32"/>
      <c r="G341" s="28"/>
      <c r="H341" s="32" t="s">
        <v>410</v>
      </c>
      <c r="I341" s="33" t="s">
        <v>411</v>
      </c>
      <c r="J341" s="32"/>
      <c r="K341" s="28">
        <f>IFERROR(VLOOKUP(L341,Ingredients!A:B,2,FALSE),"")</f>
        <v>400</v>
      </c>
      <c r="L341" s="34" t="s">
        <v>450</v>
      </c>
      <c r="M341" s="32" t="s">
        <v>89</v>
      </c>
      <c r="N341" s="28">
        <f>IFERROR(VLOOKUP(O341,Ingredients!$A:$B,2,FALSE),"")</f>
        <v>260</v>
      </c>
      <c r="O341" s="34" t="s">
        <v>676</v>
      </c>
      <c r="P341" s="32" t="s">
        <v>87</v>
      </c>
      <c r="Q341" s="28"/>
      <c r="R341" s="35"/>
      <c r="S341" s="32"/>
      <c r="T341" s="28"/>
      <c r="U341" s="35"/>
      <c r="V341" s="32"/>
      <c r="W341" s="28"/>
      <c r="X341" s="35"/>
      <c r="Y341" s="32"/>
      <c r="Z341" s="28"/>
      <c r="AA341" s="36"/>
    </row>
    <row r="342" spans="1:27" ht="13">
      <c r="A342" s="35" t="s">
        <v>677</v>
      </c>
      <c r="B342" s="28"/>
      <c r="C342" s="29">
        <v>3000</v>
      </c>
      <c r="D342" s="30">
        <f t="shared" si="1"/>
        <v>2600</v>
      </c>
      <c r="E342" s="41"/>
      <c r="F342" s="32"/>
      <c r="G342" s="28"/>
      <c r="H342" s="32" t="s">
        <v>410</v>
      </c>
      <c r="I342" s="33" t="s">
        <v>411</v>
      </c>
      <c r="J342" s="32"/>
      <c r="K342" s="28">
        <f>IFERROR(VLOOKUP(L342,Ingredients!A:B,2,FALSE),"")</f>
        <v>400</v>
      </c>
      <c r="L342" s="34" t="s">
        <v>550</v>
      </c>
      <c r="M342" s="32" t="s">
        <v>89</v>
      </c>
      <c r="N342" s="28">
        <f>IFERROR(VLOOKUP(O342,Ingredients!$A:$B,2,FALSE),"")</f>
        <v>0</v>
      </c>
      <c r="O342" s="34" t="s">
        <v>678</v>
      </c>
      <c r="P342" s="32" t="s">
        <v>87</v>
      </c>
      <c r="Q342" s="28"/>
      <c r="R342" s="35"/>
      <c r="S342" s="32"/>
      <c r="T342" s="28"/>
      <c r="U342" s="35"/>
      <c r="V342" s="32"/>
      <c r="W342" s="28"/>
      <c r="X342" s="35"/>
      <c r="Y342" s="32"/>
      <c r="Z342" s="28"/>
      <c r="AA342" s="36"/>
    </row>
    <row r="343" spans="1:27" ht="13">
      <c r="A343" s="42" t="s">
        <v>679</v>
      </c>
      <c r="B343" s="28"/>
      <c r="C343" s="29">
        <v>190</v>
      </c>
      <c r="D343" s="30">
        <f t="shared" si="1"/>
        <v>-50</v>
      </c>
      <c r="F343" s="32"/>
      <c r="G343" s="28"/>
      <c r="H343" s="32" t="s">
        <v>410</v>
      </c>
      <c r="I343" s="33" t="s">
        <v>411</v>
      </c>
      <c r="J343" s="32"/>
      <c r="K343" s="28">
        <f>IFERROR(VLOOKUP(L343,Ingredients!A:B,2,FALSE),"")</f>
        <v>120</v>
      </c>
      <c r="L343" s="34" t="s">
        <v>415</v>
      </c>
      <c r="M343" s="32" t="s">
        <v>89</v>
      </c>
      <c r="N343" s="28">
        <f>IFERROR(VLOOKUP(O343,Ingredients!$A:$B,2,FALSE),"")</f>
        <v>120</v>
      </c>
      <c r="O343" s="34" t="s">
        <v>440</v>
      </c>
      <c r="P343" s="32" t="s">
        <v>87</v>
      </c>
      <c r="Q343" s="28"/>
      <c r="R343" s="35"/>
      <c r="S343" s="32"/>
      <c r="T343" s="28"/>
      <c r="U343" s="35"/>
      <c r="V343" s="32"/>
      <c r="W343" s="28"/>
      <c r="X343" s="35"/>
      <c r="Y343" s="32"/>
      <c r="Z343" s="28"/>
      <c r="AA343" s="36"/>
    </row>
    <row r="344" spans="1:27" ht="13">
      <c r="A344" s="27" t="s">
        <v>680</v>
      </c>
      <c r="B344" s="28"/>
      <c r="C344" s="29">
        <v>190</v>
      </c>
      <c r="D344" s="30">
        <f t="shared" si="1"/>
        <v>-810</v>
      </c>
      <c r="E344" s="41"/>
      <c r="F344" s="32"/>
      <c r="G344" s="28"/>
      <c r="H344" s="32" t="s">
        <v>410</v>
      </c>
      <c r="I344" s="33" t="s">
        <v>411</v>
      </c>
      <c r="J344" s="32"/>
      <c r="K344" s="28">
        <f>IFERROR(VLOOKUP(L344,Ingredients!A:B,2,FALSE),"")</f>
        <v>500</v>
      </c>
      <c r="L344" s="34" t="s">
        <v>445</v>
      </c>
      <c r="M344" s="32" t="s">
        <v>89</v>
      </c>
      <c r="N344" s="28">
        <f>IFERROR(VLOOKUP(O344,Ingredients!$A:$B,2,FALSE),"")</f>
        <v>500</v>
      </c>
      <c r="O344" s="34" t="s">
        <v>499</v>
      </c>
      <c r="P344" s="32" t="s">
        <v>87</v>
      </c>
      <c r="Q344" s="28"/>
      <c r="R344" s="35"/>
      <c r="S344" s="32"/>
      <c r="T344" s="28"/>
      <c r="U344" s="35"/>
      <c r="V344" s="32"/>
      <c r="W344" s="28"/>
      <c r="X344" s="35"/>
      <c r="Y344" s="32"/>
      <c r="Z344" s="28"/>
      <c r="AA344" s="36"/>
    </row>
    <row r="345" spans="1:27" ht="13">
      <c r="A345" s="27" t="s">
        <v>680</v>
      </c>
      <c r="B345" s="28"/>
      <c r="C345" s="29">
        <v>190</v>
      </c>
      <c r="D345" s="30">
        <f t="shared" si="1"/>
        <v>-560</v>
      </c>
      <c r="E345" s="41"/>
      <c r="F345" s="32"/>
      <c r="G345" s="28"/>
      <c r="H345" s="32" t="s">
        <v>410</v>
      </c>
      <c r="I345" s="33" t="s">
        <v>411</v>
      </c>
      <c r="J345" s="32"/>
      <c r="K345" s="28">
        <f>IFERROR(VLOOKUP(L345,Ingredients!A:B,2,FALSE),"")</f>
        <v>250</v>
      </c>
      <c r="L345" s="34" t="s">
        <v>423</v>
      </c>
      <c r="M345" s="32" t="s">
        <v>89</v>
      </c>
      <c r="N345" s="28">
        <f>IFERROR(VLOOKUP(O345,Ingredients!$A:$B,2,FALSE),"")</f>
        <v>500</v>
      </c>
      <c r="O345" s="34" t="s">
        <v>499</v>
      </c>
      <c r="P345" s="32" t="s">
        <v>87</v>
      </c>
      <c r="Q345" s="28"/>
      <c r="R345" s="35"/>
      <c r="S345" s="32"/>
      <c r="T345" s="28"/>
      <c r="U345" s="35"/>
      <c r="V345" s="32"/>
      <c r="W345" s="28"/>
      <c r="X345" s="35"/>
      <c r="Y345" s="32"/>
      <c r="Z345" s="28"/>
      <c r="AA345" s="36"/>
    </row>
    <row r="346" spans="1:27" ht="13">
      <c r="A346" s="27" t="s">
        <v>680</v>
      </c>
      <c r="B346" s="28"/>
      <c r="C346" s="29">
        <v>190</v>
      </c>
      <c r="D346" s="30">
        <f t="shared" si="1"/>
        <v>-430</v>
      </c>
      <c r="E346" s="41"/>
      <c r="F346" s="32"/>
      <c r="G346" s="28"/>
      <c r="H346" s="32" t="s">
        <v>410</v>
      </c>
      <c r="I346" s="33" t="s">
        <v>411</v>
      </c>
      <c r="J346" s="32"/>
      <c r="K346" s="28">
        <f>IFERROR(VLOOKUP(L346,Ingredients!A:B,2,FALSE),"")</f>
        <v>500</v>
      </c>
      <c r="L346" s="34" t="s">
        <v>445</v>
      </c>
      <c r="M346" s="32" t="s">
        <v>89</v>
      </c>
      <c r="N346" s="28">
        <f>IFERROR(VLOOKUP(O346,Ingredients!$A:$B,2,FALSE),"")</f>
        <v>120</v>
      </c>
      <c r="O346" s="34" t="s">
        <v>486</v>
      </c>
      <c r="P346" s="32" t="s">
        <v>87</v>
      </c>
      <c r="Q346" s="28"/>
      <c r="R346" s="35"/>
      <c r="S346" s="32"/>
      <c r="T346" s="28"/>
      <c r="U346" s="35"/>
      <c r="V346" s="32"/>
      <c r="W346" s="28"/>
      <c r="X346" s="35"/>
      <c r="Y346" s="32"/>
      <c r="Z346" s="28"/>
      <c r="AA346" s="36"/>
    </row>
    <row r="347" spans="1:27" ht="13">
      <c r="A347" s="27" t="s">
        <v>681</v>
      </c>
      <c r="B347" s="28"/>
      <c r="C347" s="29">
        <v>500</v>
      </c>
      <c r="D347" s="30">
        <f t="shared" si="1"/>
        <v>-500</v>
      </c>
      <c r="E347" s="41"/>
      <c r="F347" s="32"/>
      <c r="G347" s="28"/>
      <c r="H347" s="32" t="s">
        <v>410</v>
      </c>
      <c r="I347" s="33" t="s">
        <v>411</v>
      </c>
      <c r="J347" s="32"/>
      <c r="K347" s="28">
        <f>IFERROR(VLOOKUP(L347,Ingredients!A:B,2,FALSE),"")</f>
        <v>500</v>
      </c>
      <c r="L347" s="34" t="s">
        <v>445</v>
      </c>
      <c r="M347" s="32" t="s">
        <v>89</v>
      </c>
      <c r="N347" s="28">
        <f>IFERROR(VLOOKUP(O347,Ingredients!$A:$B,2,FALSE),"")</f>
        <v>500</v>
      </c>
      <c r="O347" s="34" t="s">
        <v>453</v>
      </c>
      <c r="P347" s="32" t="s">
        <v>87</v>
      </c>
      <c r="Q347" s="28"/>
      <c r="R347" s="35"/>
      <c r="S347" s="32"/>
      <c r="T347" s="28"/>
      <c r="U347" s="35"/>
      <c r="V347" s="32"/>
      <c r="W347" s="28"/>
      <c r="X347" s="35"/>
      <c r="Y347" s="32"/>
      <c r="Z347" s="28"/>
      <c r="AA347" s="36"/>
    </row>
    <row r="348" spans="1:27" ht="13">
      <c r="A348" s="27" t="s">
        <v>681</v>
      </c>
      <c r="B348" s="28"/>
      <c r="C348" s="29">
        <v>500</v>
      </c>
      <c r="D348" s="30">
        <f t="shared" si="1"/>
        <v>-120</v>
      </c>
      <c r="E348" s="41"/>
      <c r="F348" s="32"/>
      <c r="G348" s="28"/>
      <c r="H348" s="32" t="s">
        <v>410</v>
      </c>
      <c r="I348" s="33" t="s">
        <v>411</v>
      </c>
      <c r="J348" s="32"/>
      <c r="K348" s="28">
        <f>IFERROR(VLOOKUP(L348,Ingredients!A:B,2,FALSE),"")</f>
        <v>500</v>
      </c>
      <c r="L348" s="34" t="s">
        <v>445</v>
      </c>
      <c r="M348" s="32" t="s">
        <v>89</v>
      </c>
      <c r="N348" s="28">
        <f>IFERROR(VLOOKUP(O348,Ingredients!$A:$B,2,FALSE),"")</f>
        <v>120</v>
      </c>
      <c r="O348" s="34" t="s">
        <v>454</v>
      </c>
      <c r="P348" s="32" t="s">
        <v>87</v>
      </c>
      <c r="Q348" s="28"/>
      <c r="R348" s="35"/>
      <c r="S348" s="32"/>
      <c r="T348" s="28"/>
      <c r="U348" s="35"/>
      <c r="V348" s="32"/>
      <c r="W348" s="28"/>
      <c r="X348" s="35"/>
      <c r="Y348" s="32"/>
      <c r="Z348" s="28"/>
      <c r="AA348" s="36"/>
    </row>
    <row r="349" spans="1:27" ht="13">
      <c r="A349" s="27" t="s">
        <v>681</v>
      </c>
      <c r="B349" s="28"/>
      <c r="C349" s="29">
        <v>500</v>
      </c>
      <c r="D349" s="30">
        <f t="shared" si="1"/>
        <v>-120</v>
      </c>
      <c r="E349" s="41"/>
      <c r="F349" s="32"/>
      <c r="G349" s="28"/>
      <c r="H349" s="32" t="s">
        <v>410</v>
      </c>
      <c r="I349" s="33" t="s">
        <v>411</v>
      </c>
      <c r="J349" s="32"/>
      <c r="K349" s="28">
        <f>IFERROR(VLOOKUP(L349,Ingredients!A:B,2,FALSE),"")</f>
        <v>120</v>
      </c>
      <c r="L349" s="34" t="s">
        <v>448</v>
      </c>
      <c r="M349" s="32" t="s">
        <v>89</v>
      </c>
      <c r="N349" s="28">
        <f>IFERROR(VLOOKUP(O349,Ingredients!$A:$B,2,FALSE),"")</f>
        <v>500</v>
      </c>
      <c r="O349" s="34" t="s">
        <v>453</v>
      </c>
      <c r="P349" s="32" t="s">
        <v>87</v>
      </c>
      <c r="Q349" s="28"/>
      <c r="R349" s="35"/>
      <c r="S349" s="32"/>
      <c r="T349" s="28"/>
      <c r="U349" s="35"/>
      <c r="V349" s="32"/>
      <c r="W349" s="28"/>
      <c r="X349" s="35"/>
      <c r="Y349" s="32"/>
      <c r="Z349" s="28"/>
      <c r="AA349" s="36"/>
    </row>
    <row r="350" spans="1:27" ht="14">
      <c r="A350" s="37" t="s">
        <v>682</v>
      </c>
      <c r="B350" s="28"/>
      <c r="C350" s="29">
        <v>190</v>
      </c>
      <c r="D350" s="30">
        <f t="shared" si="1"/>
        <v>-50</v>
      </c>
      <c r="F350" s="32"/>
      <c r="G350" s="28"/>
      <c r="H350" s="32" t="s">
        <v>410</v>
      </c>
      <c r="I350" s="33" t="s">
        <v>411</v>
      </c>
      <c r="J350" s="32"/>
      <c r="K350" s="28">
        <f>IFERROR(VLOOKUP(L350,Ingredients!A:B,2,FALSE),"")</f>
        <v>120</v>
      </c>
      <c r="L350" s="34" t="s">
        <v>448</v>
      </c>
      <c r="M350" s="32" t="s">
        <v>89</v>
      </c>
      <c r="N350" s="28">
        <f>IFERROR(VLOOKUP(O350,Ingredients!$A:$B,2,FALSE),"")</f>
        <v>120</v>
      </c>
      <c r="O350" s="34" t="s">
        <v>454</v>
      </c>
      <c r="P350" s="32" t="s">
        <v>87</v>
      </c>
      <c r="Q350" s="28"/>
      <c r="R350" s="35"/>
      <c r="S350" s="32"/>
      <c r="T350" s="28"/>
      <c r="U350" s="35"/>
      <c r="V350" s="32"/>
      <c r="W350" s="28"/>
      <c r="X350" s="35"/>
      <c r="Y350" s="32"/>
      <c r="Z350" s="28"/>
      <c r="AA350" s="36"/>
    </row>
    <row r="351" spans="1:27" ht="13">
      <c r="A351" t="s">
        <v>683</v>
      </c>
      <c r="B351" s="28"/>
      <c r="C351" s="29">
        <v>500</v>
      </c>
      <c r="D351" s="30">
        <f t="shared" si="1"/>
        <v>-500</v>
      </c>
      <c r="F351" s="32"/>
      <c r="G351" s="28"/>
      <c r="H351" s="32" t="s">
        <v>410</v>
      </c>
      <c r="I351" s="33" t="s">
        <v>411</v>
      </c>
      <c r="J351" s="32"/>
      <c r="K351" s="28">
        <f>IFERROR(VLOOKUP(L351,Ingredients!A:B,2,FALSE),"")</f>
        <v>500</v>
      </c>
      <c r="L351" s="34" t="s">
        <v>442</v>
      </c>
      <c r="M351" s="32" t="s">
        <v>89</v>
      </c>
      <c r="N351" s="28">
        <f>IFERROR(VLOOKUP(O351,Ingredients!$A:$B,2,FALSE),"")</f>
        <v>500</v>
      </c>
      <c r="O351" s="34" t="s">
        <v>446</v>
      </c>
      <c r="P351" s="32" t="s">
        <v>87</v>
      </c>
      <c r="Q351" s="28"/>
      <c r="R351" s="35"/>
      <c r="S351" s="32"/>
      <c r="T351" s="28"/>
      <c r="U351" s="35"/>
      <c r="V351" s="32"/>
      <c r="W351" s="28"/>
      <c r="X351" s="35"/>
      <c r="Y351" s="32"/>
      <c r="Z351" s="28"/>
      <c r="AA351" s="36"/>
    </row>
    <row r="352" spans="1:27" ht="13">
      <c r="A352" t="s">
        <v>683</v>
      </c>
      <c r="B352" s="28"/>
      <c r="C352" s="29">
        <v>500</v>
      </c>
      <c r="D352" s="30">
        <f t="shared" si="1"/>
        <v>-120</v>
      </c>
      <c r="F352" s="32"/>
      <c r="G352" s="28"/>
      <c r="H352" s="32" t="s">
        <v>410</v>
      </c>
      <c r="I352" s="33" t="s">
        <v>411</v>
      </c>
      <c r="J352" s="32"/>
      <c r="K352" s="28">
        <f>IFERROR(VLOOKUP(L352,Ingredients!A:B,2,FALSE),"")</f>
        <v>500</v>
      </c>
      <c r="L352" s="34" t="s">
        <v>442</v>
      </c>
      <c r="M352" s="32" t="s">
        <v>89</v>
      </c>
      <c r="N352" s="28">
        <f>IFERROR(VLOOKUP(O352,Ingredients!$A:$B,2,FALSE),"")</f>
        <v>120</v>
      </c>
      <c r="O352" s="34" t="s">
        <v>447</v>
      </c>
      <c r="P352" s="32" t="s">
        <v>87</v>
      </c>
      <c r="Q352" s="28"/>
      <c r="R352" s="35"/>
      <c r="S352" s="32"/>
      <c r="T352" s="28"/>
      <c r="U352" s="35"/>
      <c r="V352" s="32"/>
      <c r="W352" s="28"/>
      <c r="X352" s="35"/>
      <c r="Y352" s="32"/>
      <c r="Z352" s="28"/>
      <c r="AA352" s="36"/>
    </row>
    <row r="353" spans="1:27" ht="13">
      <c r="A353" t="s">
        <v>683</v>
      </c>
      <c r="B353" s="28"/>
      <c r="C353" s="29">
        <v>500</v>
      </c>
      <c r="D353" s="30">
        <f t="shared" si="1"/>
        <v>-120</v>
      </c>
      <c r="F353" s="32"/>
      <c r="G353" s="28"/>
      <c r="H353" s="32" t="s">
        <v>410</v>
      </c>
      <c r="I353" s="33" t="s">
        <v>411</v>
      </c>
      <c r="J353" s="32"/>
      <c r="K353" s="28">
        <f>IFERROR(VLOOKUP(L353,Ingredients!A:B,2,FALSE),"")</f>
        <v>120</v>
      </c>
      <c r="L353" s="34" t="s">
        <v>443</v>
      </c>
      <c r="M353" s="32" t="s">
        <v>89</v>
      </c>
      <c r="N353" s="28">
        <f>IFERROR(VLOOKUP(O353,Ingredients!$A:$B,2,FALSE),"")</f>
        <v>500</v>
      </c>
      <c r="O353" s="34" t="s">
        <v>446</v>
      </c>
      <c r="P353" s="32" t="s">
        <v>87</v>
      </c>
      <c r="Q353" s="28"/>
      <c r="R353" s="35"/>
      <c r="S353" s="32"/>
      <c r="T353" s="28"/>
      <c r="U353" s="35"/>
      <c r="V353" s="32"/>
      <c r="W353" s="28"/>
      <c r="X353" s="35"/>
      <c r="Y353" s="32"/>
      <c r="Z353" s="28"/>
      <c r="AA353" s="36"/>
    </row>
    <row r="354" spans="1:27" ht="13">
      <c r="A354" t="s">
        <v>684</v>
      </c>
      <c r="B354" s="28"/>
      <c r="C354" s="29">
        <v>190</v>
      </c>
      <c r="D354" s="30">
        <f t="shared" si="1"/>
        <v>-50</v>
      </c>
      <c r="F354" s="32"/>
      <c r="G354" s="28"/>
      <c r="H354" s="32" t="s">
        <v>410</v>
      </c>
      <c r="I354" s="33" t="s">
        <v>411</v>
      </c>
      <c r="J354" s="32"/>
      <c r="K354" s="28">
        <f>IFERROR(VLOOKUP(L354,Ingredients!A:B,2,FALSE),"")</f>
        <v>120</v>
      </c>
      <c r="L354" s="34" t="s">
        <v>443</v>
      </c>
      <c r="M354" s="32" t="s">
        <v>89</v>
      </c>
      <c r="N354" s="28">
        <f>IFERROR(VLOOKUP(O354,Ingredients!$A:$B,2,FALSE),"")</f>
        <v>120</v>
      </c>
      <c r="O354" s="34" t="s">
        <v>447</v>
      </c>
      <c r="P354" s="32" t="s">
        <v>87</v>
      </c>
      <c r="Q354" s="28"/>
      <c r="R354" s="35"/>
      <c r="S354" s="32"/>
      <c r="T354" s="28"/>
      <c r="U354" s="35"/>
      <c r="V354" s="32"/>
      <c r="W354" s="28"/>
      <c r="X354" s="35"/>
      <c r="Y354" s="32"/>
      <c r="Z354" s="28"/>
      <c r="AA354" s="36"/>
    </row>
    <row r="355" spans="1:27" ht="13">
      <c r="A355" t="s">
        <v>685</v>
      </c>
      <c r="B355" s="28"/>
      <c r="C355" s="29">
        <v>190</v>
      </c>
      <c r="D355" s="30">
        <f t="shared" si="1"/>
        <v>-50</v>
      </c>
      <c r="F355" s="32"/>
      <c r="G355" s="28"/>
      <c r="H355" s="32" t="s">
        <v>410</v>
      </c>
      <c r="I355" s="33" t="s">
        <v>411</v>
      </c>
      <c r="J355" s="32"/>
      <c r="K355" s="28">
        <f>IFERROR(VLOOKUP(L355,Ingredients!A:B,2,FALSE),"")</f>
        <v>120</v>
      </c>
      <c r="L355" s="34" t="s">
        <v>448</v>
      </c>
      <c r="M355" s="32" t="s">
        <v>89</v>
      </c>
      <c r="N355" s="28">
        <f>IFERROR(VLOOKUP(O355,Ingredients!$A:$B,2,FALSE),"")</f>
        <v>120</v>
      </c>
      <c r="O355" s="34" t="s">
        <v>440</v>
      </c>
      <c r="P355" s="32" t="s">
        <v>87</v>
      </c>
      <c r="Q355" s="28"/>
      <c r="R355" s="35"/>
      <c r="S355" s="32"/>
      <c r="T355" s="28"/>
      <c r="U355" s="35"/>
      <c r="V355" s="32"/>
      <c r="W355" s="28"/>
      <c r="X355" s="35"/>
      <c r="Y355" s="32"/>
      <c r="Z355" s="28"/>
      <c r="AA355" s="36"/>
    </row>
    <row r="356" spans="1:27" ht="13">
      <c r="A356" t="s">
        <v>686</v>
      </c>
      <c r="B356" s="28"/>
      <c r="C356" s="29">
        <v>190</v>
      </c>
      <c r="D356" s="30">
        <f t="shared" si="1"/>
        <v>-50</v>
      </c>
      <c r="F356" s="32"/>
      <c r="G356" s="28"/>
      <c r="H356" s="32" t="s">
        <v>410</v>
      </c>
      <c r="I356" s="33" t="s">
        <v>411</v>
      </c>
      <c r="J356" s="32"/>
      <c r="K356" s="28">
        <f>IFERROR(VLOOKUP(L356,Ingredients!A:B,2,FALSE),"")</f>
        <v>120</v>
      </c>
      <c r="L356" s="34" t="s">
        <v>415</v>
      </c>
      <c r="M356" s="32" t="s">
        <v>89</v>
      </c>
      <c r="N356" s="28">
        <f>IFERROR(VLOOKUP(O356,Ingredients!$A:$B,2,FALSE),"")</f>
        <v>120</v>
      </c>
      <c r="O356" s="34" t="s">
        <v>447</v>
      </c>
      <c r="P356" s="32" t="s">
        <v>87</v>
      </c>
      <c r="Q356" s="28"/>
      <c r="R356" s="35"/>
      <c r="S356" s="32"/>
      <c r="T356" s="28"/>
      <c r="U356" s="35"/>
      <c r="V356" s="32"/>
      <c r="W356" s="28"/>
      <c r="X356" s="35"/>
      <c r="Y356" s="32"/>
      <c r="Z356" s="28"/>
      <c r="AA356" s="36"/>
    </row>
    <row r="357" spans="1:27" ht="13">
      <c r="A357" t="s">
        <v>687</v>
      </c>
      <c r="B357" s="28"/>
      <c r="C357" s="29">
        <v>500</v>
      </c>
      <c r="D357" s="30">
        <f t="shared" si="1"/>
        <v>-500</v>
      </c>
      <c r="F357" s="32"/>
      <c r="G357" s="28"/>
      <c r="H357" s="32" t="s">
        <v>410</v>
      </c>
      <c r="I357" s="33" t="s">
        <v>411</v>
      </c>
      <c r="J357" s="32"/>
      <c r="K357" s="28">
        <f>IFERROR(VLOOKUP(L357,Ingredients!A:B,2,FALSE),"")</f>
        <v>500</v>
      </c>
      <c r="L357" s="34" t="s">
        <v>412</v>
      </c>
      <c r="M357" s="32" t="s">
        <v>89</v>
      </c>
      <c r="N357" s="28">
        <f>IFERROR(VLOOKUP(O357,Ingredients!$A:$B,2,FALSE),"")</f>
        <v>500</v>
      </c>
      <c r="O357" s="34" t="s">
        <v>446</v>
      </c>
      <c r="P357" s="32" t="s">
        <v>87</v>
      </c>
      <c r="Q357" s="28"/>
      <c r="R357" s="35"/>
      <c r="S357" s="32"/>
      <c r="T357" s="28"/>
      <c r="U357" s="35"/>
      <c r="V357" s="32"/>
      <c r="W357" s="28"/>
      <c r="X357" s="35"/>
      <c r="Y357" s="32"/>
      <c r="Z357" s="28"/>
      <c r="AA357" s="36"/>
    </row>
    <row r="358" spans="1:27" ht="13">
      <c r="A358" t="s">
        <v>687</v>
      </c>
      <c r="B358" s="28"/>
      <c r="C358" s="29">
        <v>500</v>
      </c>
      <c r="D358" s="30">
        <f t="shared" si="1"/>
        <v>-120</v>
      </c>
      <c r="F358" s="32"/>
      <c r="G358" s="28"/>
      <c r="H358" s="32" t="s">
        <v>410</v>
      </c>
      <c r="I358" s="33" t="s">
        <v>411</v>
      </c>
      <c r="J358" s="32"/>
      <c r="K358" s="28">
        <f>IFERROR(VLOOKUP(L358,Ingredients!A:B,2,FALSE),"")</f>
        <v>500</v>
      </c>
      <c r="L358" s="34" t="s">
        <v>412</v>
      </c>
      <c r="M358" s="32" t="s">
        <v>89</v>
      </c>
      <c r="N358" s="28">
        <f>IFERROR(VLOOKUP(O358,Ingredients!$A:$B,2,FALSE),"")</f>
        <v>120</v>
      </c>
      <c r="O358" s="34" t="s">
        <v>447</v>
      </c>
      <c r="P358" s="32" t="s">
        <v>87</v>
      </c>
      <c r="Q358" s="28"/>
      <c r="R358" s="35"/>
      <c r="S358" s="32"/>
      <c r="T358" s="28"/>
      <c r="U358" s="35"/>
      <c r="V358" s="32"/>
      <c r="W358" s="28"/>
      <c r="X358" s="35"/>
      <c r="Y358" s="32"/>
      <c r="Z358" s="28"/>
      <c r="AA358" s="36"/>
    </row>
    <row r="359" spans="1:27" ht="13">
      <c r="A359" t="s">
        <v>687</v>
      </c>
      <c r="B359" s="28"/>
      <c r="C359" s="29">
        <v>500</v>
      </c>
      <c r="D359" s="30">
        <f t="shared" si="1"/>
        <v>-120</v>
      </c>
      <c r="F359" s="32"/>
      <c r="G359" s="28"/>
      <c r="H359" s="32" t="s">
        <v>410</v>
      </c>
      <c r="I359" s="33" t="s">
        <v>411</v>
      </c>
      <c r="J359" s="32"/>
      <c r="K359" s="28">
        <f>IFERROR(VLOOKUP(L359,Ingredients!A:B,2,FALSE),"")</f>
        <v>120</v>
      </c>
      <c r="L359" s="34" t="s">
        <v>415</v>
      </c>
      <c r="M359" s="32" t="s">
        <v>89</v>
      </c>
      <c r="N359" s="28">
        <f>IFERROR(VLOOKUP(O359,Ingredients!$A:$B,2,FALSE),"")</f>
        <v>500</v>
      </c>
      <c r="O359" s="34" t="s">
        <v>446</v>
      </c>
      <c r="P359" s="32" t="s">
        <v>87</v>
      </c>
      <c r="Q359" s="28"/>
      <c r="R359" s="35"/>
      <c r="S359" s="32"/>
      <c r="T359" s="28"/>
      <c r="U359" s="35"/>
      <c r="V359" s="32"/>
      <c r="W359" s="28"/>
      <c r="X359" s="35"/>
      <c r="Y359" s="32"/>
      <c r="Z359" s="28"/>
      <c r="AA359" s="36"/>
    </row>
    <row r="360" spans="1:27" ht="13">
      <c r="A360" s="35" t="s">
        <v>688</v>
      </c>
      <c r="B360" s="28"/>
      <c r="C360" s="29">
        <v>1400</v>
      </c>
      <c r="D360" s="30">
        <f t="shared" si="1"/>
        <v>1000</v>
      </c>
      <c r="E360" s="41"/>
      <c r="F360" s="32"/>
      <c r="G360" s="28"/>
      <c r="H360" s="32" t="s">
        <v>410</v>
      </c>
      <c r="I360" s="33" t="s">
        <v>411</v>
      </c>
      <c r="J360" s="32"/>
      <c r="K360" s="28">
        <f>IFERROR(VLOOKUP(L360,Ingredients!A:B,2,FALSE),"")</f>
        <v>400</v>
      </c>
      <c r="L360" s="34" t="s">
        <v>465</v>
      </c>
      <c r="M360" s="32" t="s">
        <v>89</v>
      </c>
      <c r="N360" s="28">
        <f>IFERROR(VLOOKUP(O360,Ingredients!$A:$B,2,FALSE),"")</f>
        <v>0</v>
      </c>
      <c r="O360" s="34" t="s">
        <v>689</v>
      </c>
      <c r="P360" s="32" t="s">
        <v>87</v>
      </c>
      <c r="Q360" s="28"/>
      <c r="R360" s="35"/>
      <c r="S360" s="32"/>
      <c r="T360" s="28"/>
      <c r="U360" s="35"/>
      <c r="V360" s="32"/>
      <c r="W360" s="28"/>
      <c r="X360" s="35"/>
      <c r="Y360" s="32"/>
      <c r="Z360" s="28"/>
      <c r="AA360" s="36"/>
    </row>
    <row r="361" spans="1:27" ht="13">
      <c r="A361" t="s">
        <v>690</v>
      </c>
      <c r="B361" s="28"/>
      <c r="C361" s="29">
        <v>190</v>
      </c>
      <c r="D361" s="30">
        <f t="shared" si="1"/>
        <v>-50</v>
      </c>
      <c r="F361" s="32"/>
      <c r="G361" s="28"/>
      <c r="H361" s="32" t="s">
        <v>410</v>
      </c>
      <c r="I361" s="33" t="s">
        <v>411</v>
      </c>
      <c r="J361" s="32"/>
      <c r="K361" s="28">
        <f>IFERROR(VLOOKUP(L361,Ingredients!A:B,2,FALSE),"")</f>
        <v>120</v>
      </c>
      <c r="L361" s="34" t="s">
        <v>443</v>
      </c>
      <c r="M361" s="32" t="s">
        <v>89</v>
      </c>
      <c r="N361" s="28">
        <f>IFERROR(VLOOKUP(O361,Ingredients!$A:$B,2,FALSE),"")</f>
        <v>120</v>
      </c>
      <c r="O361" s="34" t="s">
        <v>414</v>
      </c>
      <c r="P361" s="32" t="s">
        <v>87</v>
      </c>
      <c r="Q361" s="28"/>
      <c r="R361" s="35"/>
      <c r="S361" s="32"/>
      <c r="T361" s="28"/>
      <c r="U361" s="35"/>
      <c r="V361" s="32"/>
      <c r="W361" s="28"/>
      <c r="X361" s="35"/>
      <c r="Y361" s="32"/>
      <c r="Z361" s="28"/>
      <c r="AA361" s="36"/>
    </row>
    <row r="362" spans="1:27" ht="13">
      <c r="A362" t="s">
        <v>691</v>
      </c>
      <c r="B362" s="28"/>
      <c r="C362" s="29">
        <v>190</v>
      </c>
      <c r="D362" s="30">
        <f t="shared" si="1"/>
        <v>-50</v>
      </c>
      <c r="F362" s="32"/>
      <c r="G362" s="28"/>
      <c r="H362" s="32" t="s">
        <v>410</v>
      </c>
      <c r="I362" s="33" t="s">
        <v>411</v>
      </c>
      <c r="J362" s="32"/>
      <c r="K362" s="28">
        <f>IFERROR(VLOOKUP(L362,Ingredients!A:B,2,FALSE),"")</f>
        <v>120</v>
      </c>
      <c r="L362" s="34" t="s">
        <v>448</v>
      </c>
      <c r="M362" s="32" t="s">
        <v>89</v>
      </c>
      <c r="N362" s="28">
        <f>IFERROR(VLOOKUP(O362,Ingredients!$A:$B,2,FALSE),"")</f>
        <v>120</v>
      </c>
      <c r="O362" s="34" t="s">
        <v>486</v>
      </c>
      <c r="P362" s="32" t="s">
        <v>87</v>
      </c>
      <c r="Q362" s="28"/>
      <c r="R362" s="35"/>
      <c r="S362" s="32"/>
      <c r="T362" s="28"/>
      <c r="U362" s="35"/>
      <c r="V362" s="32"/>
      <c r="W362" s="28"/>
      <c r="X362" s="35"/>
      <c r="Y362" s="32"/>
      <c r="Z362" s="28"/>
      <c r="AA362" s="36"/>
    </row>
    <row r="363" spans="1:27" ht="13">
      <c r="A363" s="35" t="s">
        <v>692</v>
      </c>
      <c r="B363" s="28"/>
      <c r="C363" s="29">
        <v>190</v>
      </c>
      <c r="D363" s="30">
        <f t="shared" si="1"/>
        <v>-160</v>
      </c>
      <c r="E363" s="37"/>
      <c r="F363" s="32"/>
      <c r="G363" s="28"/>
      <c r="H363" s="32" t="s">
        <v>410</v>
      </c>
      <c r="I363" s="33" t="s">
        <v>411</v>
      </c>
      <c r="J363" s="32"/>
      <c r="K363" s="28">
        <f>IFERROR(VLOOKUP(L363,Ingredients!A:B,2,FALSE),"")</f>
        <v>250</v>
      </c>
      <c r="L363" s="34" t="s">
        <v>426</v>
      </c>
      <c r="M363" s="32" t="s">
        <v>89</v>
      </c>
      <c r="N363" s="28">
        <f>IFERROR(VLOOKUP(O363,Ingredients!$A:$B,2,FALSE),"")</f>
        <v>100</v>
      </c>
      <c r="O363" s="34" t="s">
        <v>693</v>
      </c>
      <c r="P363" s="32" t="s">
        <v>87</v>
      </c>
      <c r="Q363" s="28"/>
      <c r="R363" s="35"/>
      <c r="S363" s="32"/>
      <c r="T363" s="28"/>
      <c r="U363" s="35"/>
      <c r="V363" s="32"/>
      <c r="W363" s="28"/>
      <c r="X363" s="35"/>
      <c r="Y363" s="32"/>
      <c r="Z363" s="28"/>
      <c r="AA363" s="36"/>
    </row>
    <row r="364" spans="1:27" ht="13">
      <c r="A364" s="35" t="s">
        <v>694</v>
      </c>
      <c r="B364" s="28"/>
      <c r="C364" s="29">
        <v>190</v>
      </c>
      <c r="D364" s="30">
        <f t="shared" si="1"/>
        <v>-60</v>
      </c>
      <c r="E364" s="41"/>
      <c r="F364" s="32"/>
      <c r="G364" s="28"/>
      <c r="H364" s="32" t="s">
        <v>410</v>
      </c>
      <c r="I364" s="33" t="s">
        <v>411</v>
      </c>
      <c r="J364" s="32"/>
      <c r="K364" s="28">
        <f>IFERROR(VLOOKUP(L364,Ingredients!A:B,2,FALSE),"")</f>
        <v>250</v>
      </c>
      <c r="L364" s="34" t="s">
        <v>431</v>
      </c>
      <c r="M364" s="32" t="s">
        <v>89</v>
      </c>
      <c r="N364" s="28">
        <f>IFERROR(VLOOKUP(O364,Ingredients!$A:$B,2,FALSE),"")</f>
        <v>0</v>
      </c>
      <c r="O364" s="34" t="s">
        <v>695</v>
      </c>
      <c r="P364" s="32" t="s">
        <v>87</v>
      </c>
      <c r="Q364" s="28"/>
      <c r="R364" s="35"/>
      <c r="S364" s="32"/>
      <c r="T364" s="28"/>
      <c r="U364" s="35"/>
      <c r="V364" s="32"/>
      <c r="W364" s="28"/>
      <c r="X364" s="35"/>
      <c r="Y364" s="32"/>
      <c r="Z364" s="28"/>
      <c r="AA364" s="36"/>
    </row>
    <row r="365" spans="1:27" ht="13">
      <c r="A365" s="27" t="s">
        <v>418</v>
      </c>
      <c r="B365" s="28"/>
      <c r="C365" s="29">
        <v>260</v>
      </c>
      <c r="D365" s="30">
        <f t="shared" si="1"/>
        <v>-1905</v>
      </c>
      <c r="E365" s="37"/>
      <c r="F365" s="32"/>
      <c r="G365" s="28"/>
      <c r="H365" s="32" t="s">
        <v>410</v>
      </c>
      <c r="I365" s="33" t="s">
        <v>696</v>
      </c>
      <c r="J365" s="32"/>
      <c r="K365" s="28">
        <f>IFERROR(VLOOKUP(L365,Ingredients!A:B,2,FALSE),"")</f>
        <v>15</v>
      </c>
      <c r="L365" s="38" t="s">
        <v>697</v>
      </c>
      <c r="M365" s="32" t="s">
        <v>89</v>
      </c>
      <c r="N365" s="28">
        <f>IFERROR(VLOOKUP(O365,Ingredients!$A:$B,2,FALSE),"")</f>
        <v>1400</v>
      </c>
      <c r="O365" s="38" t="s">
        <v>91</v>
      </c>
      <c r="P365" s="32" t="s">
        <v>87</v>
      </c>
      <c r="Q365" s="28">
        <f>IFERROR(VLOOKUP(R365,Ingredients!$A:$B,2,FALSE),"")</f>
        <v>750</v>
      </c>
      <c r="R365" s="35" t="s">
        <v>698</v>
      </c>
      <c r="S365" s="32" t="s">
        <v>87</v>
      </c>
      <c r="T365" s="28"/>
      <c r="U365" s="35"/>
      <c r="V365" s="32"/>
      <c r="W365" s="28"/>
      <c r="X365" s="35"/>
      <c r="Y365" s="32"/>
      <c r="Z365" s="28"/>
      <c r="AA365" s="36"/>
    </row>
    <row r="366" spans="1:27" ht="14">
      <c r="A366" s="27" t="s">
        <v>421</v>
      </c>
      <c r="B366" s="28"/>
      <c r="C366" s="28"/>
      <c r="D366" s="30" t="str">
        <f>IF(ISNUMBER(C366),C366-(IF(M366="None",0,K366)+IF(P366="None",0,N366)+IF(S366="None",0,Q366)+IF(V366="None",0,T366)+IF(Y366="None",0,W366)),"")</f>
        <v/>
      </c>
      <c r="E366" s="41"/>
      <c r="F366" s="32"/>
      <c r="G366" s="28"/>
      <c r="H366" s="32" t="s">
        <v>410</v>
      </c>
      <c r="I366" s="33" t="s">
        <v>696</v>
      </c>
      <c r="J366" s="32"/>
      <c r="K366" s="28">
        <f>IFERROR(VLOOKUP(L366,Ingredients!A:B,2,FALSE),"")</f>
        <v>15</v>
      </c>
      <c r="L366" s="38" t="s">
        <v>697</v>
      </c>
      <c r="M366" s="32" t="s">
        <v>89</v>
      </c>
      <c r="N366" s="28">
        <f>IFERROR(VLOOKUP(O366,Ingredients!$A:$B,2,FALSE),"")</f>
        <v>1400</v>
      </c>
      <c r="O366" s="38" t="s">
        <v>91</v>
      </c>
      <c r="P366" s="32" t="s">
        <v>87</v>
      </c>
      <c r="Q366" s="28" t="str">
        <f>IFERROR(VLOOKUP(R366,Ingredients!$A:$B,2,FALSE),"")</f>
        <v/>
      </c>
      <c r="R366" s="27" t="s">
        <v>699</v>
      </c>
      <c r="S366" s="32" t="s">
        <v>87</v>
      </c>
      <c r="T366" s="28"/>
      <c r="U366" s="35"/>
      <c r="V366" s="32"/>
      <c r="W366" s="28"/>
      <c r="X366" s="35"/>
      <c r="Y366" s="32"/>
      <c r="Z366" s="28"/>
      <c r="AA366" s="36"/>
    </row>
    <row r="367" spans="1:27" ht="13">
      <c r="A367" s="27" t="s">
        <v>424</v>
      </c>
      <c r="B367" s="28"/>
      <c r="C367" s="29">
        <v>0</v>
      </c>
      <c r="D367" s="30">
        <f t="shared" ref="D367:D395" si="2">IF(ISNUMBER(C367),C367-K367-N367-Q367-T367-W367,"")</f>
        <v>-121</v>
      </c>
      <c r="E367" s="37"/>
      <c r="F367" s="32"/>
      <c r="G367" s="28"/>
      <c r="H367" s="32" t="s">
        <v>410</v>
      </c>
      <c r="I367" s="33" t="s">
        <v>696</v>
      </c>
      <c r="J367" s="32"/>
      <c r="K367" s="28">
        <f>IFERROR(VLOOKUP(L367,Ingredients!A:B,2,FALSE),"")</f>
        <v>15</v>
      </c>
      <c r="L367" s="38" t="s">
        <v>697</v>
      </c>
      <c r="M367" s="32" t="s">
        <v>89</v>
      </c>
      <c r="N367" s="28">
        <f>IFERROR(VLOOKUP(O367,Ingredients!$A:$B,2,FALSE),"")</f>
        <v>105</v>
      </c>
      <c r="O367" s="34" t="s">
        <v>700</v>
      </c>
      <c r="P367" s="32" t="s">
        <v>87</v>
      </c>
      <c r="Q367" s="28">
        <f>IFERROR(VLOOKUP(R367,Ingredients!$A:$B,2,FALSE),"")</f>
        <v>1</v>
      </c>
      <c r="R367" s="35" t="s">
        <v>408</v>
      </c>
      <c r="S367" s="32" t="s">
        <v>87</v>
      </c>
      <c r="T367" s="28"/>
      <c r="U367" s="35"/>
      <c r="V367" s="32"/>
      <c r="W367" s="28"/>
      <c r="X367" s="35"/>
      <c r="Y367" s="32"/>
      <c r="Z367" s="28"/>
      <c r="AA367" s="36"/>
    </row>
    <row r="368" spans="1:27" ht="13">
      <c r="A368" s="27" t="s">
        <v>429</v>
      </c>
      <c r="B368" s="28"/>
      <c r="C368" s="29">
        <v>60</v>
      </c>
      <c r="D368" s="30">
        <f t="shared" si="2"/>
        <v>-75</v>
      </c>
      <c r="E368" s="37"/>
      <c r="F368" s="32"/>
      <c r="G368" s="28"/>
      <c r="H368" s="32" t="s">
        <v>410</v>
      </c>
      <c r="I368" s="33" t="s">
        <v>696</v>
      </c>
      <c r="J368" s="32"/>
      <c r="K368" s="28">
        <f>IFERROR(VLOOKUP(L368,Ingredients!A:B,2,FALSE),"")</f>
        <v>15</v>
      </c>
      <c r="L368" s="38" t="s">
        <v>697</v>
      </c>
      <c r="M368" s="32" t="s">
        <v>89</v>
      </c>
      <c r="N368" s="28">
        <f>IFERROR(VLOOKUP(O368,Ingredients!$A:$B,2,FALSE),"")</f>
        <v>30</v>
      </c>
      <c r="O368" s="34" t="s">
        <v>158</v>
      </c>
      <c r="P368" s="32" t="s">
        <v>87</v>
      </c>
      <c r="Q368" s="28">
        <f>IFERROR(VLOOKUP(R368,Ingredients!$A:$B,2,FALSE),"")</f>
        <v>90</v>
      </c>
      <c r="R368" s="35" t="s">
        <v>701</v>
      </c>
      <c r="S368" s="32" t="s">
        <v>87</v>
      </c>
      <c r="T368" s="28"/>
      <c r="U368" s="35"/>
      <c r="V368" s="32"/>
      <c r="W368" s="28"/>
      <c r="X368" s="35"/>
      <c r="Y368" s="32"/>
      <c r="Z368" s="28"/>
      <c r="AA368" s="36"/>
    </row>
    <row r="369" spans="1:27" ht="13">
      <c r="A369" s="27" t="s">
        <v>432</v>
      </c>
      <c r="B369" s="28"/>
      <c r="C369" s="29">
        <v>260</v>
      </c>
      <c r="D369" s="30">
        <f t="shared" si="2"/>
        <v>-1245</v>
      </c>
      <c r="E369" s="37"/>
      <c r="F369" s="32"/>
      <c r="G369" s="28"/>
      <c r="H369" s="32" t="s">
        <v>410</v>
      </c>
      <c r="I369" s="33" t="s">
        <v>696</v>
      </c>
      <c r="J369" s="32"/>
      <c r="K369" s="28">
        <f>IFERROR(VLOOKUP(L369,Ingredients!A:B,2,FALSE),"")</f>
        <v>15</v>
      </c>
      <c r="L369" s="38" t="s">
        <v>697</v>
      </c>
      <c r="M369" s="32" t="s">
        <v>89</v>
      </c>
      <c r="N369" s="28">
        <f>IFERROR(VLOOKUP(O369,Ingredients!$A:$B,2,FALSE),"")</f>
        <v>1400</v>
      </c>
      <c r="O369" s="38" t="s">
        <v>91</v>
      </c>
      <c r="P369" s="32" t="s">
        <v>87</v>
      </c>
      <c r="Q369" s="28">
        <f>IFERROR(VLOOKUP(R369,Ingredients!$A:$B,2,FALSE),"")</f>
        <v>90</v>
      </c>
      <c r="R369" s="35" t="s">
        <v>702</v>
      </c>
      <c r="S369" s="32" t="s">
        <v>87</v>
      </c>
      <c r="T369" s="28"/>
      <c r="U369" s="35"/>
      <c r="V369" s="32"/>
      <c r="W369" s="28"/>
      <c r="X369" s="35"/>
      <c r="Y369" s="32"/>
      <c r="Z369" s="28"/>
      <c r="AA369" s="36"/>
    </row>
    <row r="370" spans="1:27" ht="13">
      <c r="A370" s="27" t="s">
        <v>435</v>
      </c>
      <c r="B370" s="28"/>
      <c r="C370" s="29">
        <v>260</v>
      </c>
      <c r="D370" s="30">
        <f t="shared" si="2"/>
        <v>-1265</v>
      </c>
      <c r="E370" s="41"/>
      <c r="F370" s="32"/>
      <c r="G370" s="28"/>
      <c r="H370" s="32" t="s">
        <v>410</v>
      </c>
      <c r="I370" s="33" t="s">
        <v>696</v>
      </c>
      <c r="J370" s="32"/>
      <c r="K370" s="28">
        <f>IFERROR(VLOOKUP(L370,Ingredients!A:B,2,FALSE),"")</f>
        <v>15</v>
      </c>
      <c r="L370" s="38" t="s">
        <v>697</v>
      </c>
      <c r="M370" s="32" t="s">
        <v>89</v>
      </c>
      <c r="N370" s="28">
        <f>IFERROR(VLOOKUP(O370,Ingredients!$A:$B,2,FALSE),"")</f>
        <v>1400</v>
      </c>
      <c r="O370" s="38" t="s">
        <v>91</v>
      </c>
      <c r="P370" s="32" t="s">
        <v>87</v>
      </c>
      <c r="Q370" s="28">
        <f>IFERROR(VLOOKUP(R370,Ingredients!$A:$B,2,FALSE),"")</f>
        <v>110</v>
      </c>
      <c r="R370" s="35" t="s">
        <v>703</v>
      </c>
      <c r="S370" s="32" t="s">
        <v>87</v>
      </c>
      <c r="T370" s="28"/>
      <c r="U370" s="35"/>
      <c r="V370" s="32"/>
      <c r="W370" s="28"/>
      <c r="X370" s="35"/>
      <c r="Y370" s="32"/>
      <c r="Z370" s="28"/>
      <c r="AA370" s="36"/>
    </row>
    <row r="371" spans="1:27" ht="13">
      <c r="A371" s="27" t="s">
        <v>451</v>
      </c>
      <c r="B371" s="28"/>
      <c r="C371" s="29">
        <v>60</v>
      </c>
      <c r="D371" s="30" t="e">
        <f t="shared" si="2"/>
        <v>#VALUE!</v>
      </c>
      <c r="E371" s="41"/>
      <c r="F371" s="32"/>
      <c r="G371" s="28"/>
      <c r="H371" s="32" t="s">
        <v>410</v>
      </c>
      <c r="I371" s="33" t="s">
        <v>696</v>
      </c>
      <c r="J371" s="32"/>
      <c r="K371" s="28">
        <f>IFERROR(VLOOKUP(L371,Ingredients!A:B,2,FALSE),"")</f>
        <v>15</v>
      </c>
      <c r="L371" s="38" t="s">
        <v>697</v>
      </c>
      <c r="M371" s="32" t="s">
        <v>89</v>
      </c>
      <c r="N371" s="28">
        <f>IFERROR(VLOOKUP(O371,Ingredients!$A:$B,2,FALSE),"")</f>
        <v>30</v>
      </c>
      <c r="O371" s="34" t="s">
        <v>173</v>
      </c>
      <c r="P371" s="32" t="s">
        <v>87</v>
      </c>
      <c r="Q371" s="28" t="str">
        <f>IFERROR(VLOOKUP(R371,Ingredients!$A:$B,2,FALSE),"")</f>
        <v/>
      </c>
      <c r="R371" s="27" t="s">
        <v>704</v>
      </c>
      <c r="S371" s="32" t="s">
        <v>87</v>
      </c>
      <c r="T371" s="28"/>
      <c r="U371" s="35"/>
      <c r="V371" s="32"/>
      <c r="W371" s="28"/>
      <c r="X371" s="35"/>
      <c r="Y371" s="32"/>
      <c r="Z371" s="28"/>
      <c r="AA371" s="36"/>
    </row>
    <row r="372" spans="1:27" ht="13">
      <c r="A372" s="27" t="s">
        <v>456</v>
      </c>
      <c r="B372" s="28"/>
      <c r="C372" s="29">
        <v>60</v>
      </c>
      <c r="D372" s="30">
        <f t="shared" si="2"/>
        <v>-15</v>
      </c>
      <c r="E372" s="41"/>
      <c r="F372" s="32"/>
      <c r="G372" s="28"/>
      <c r="H372" s="32" t="s">
        <v>410</v>
      </c>
      <c r="I372" s="33" t="s">
        <v>696</v>
      </c>
      <c r="J372" s="32"/>
      <c r="K372" s="28">
        <f>IFERROR(VLOOKUP(L372,Ingredients!A:B,2,FALSE),"")</f>
        <v>15</v>
      </c>
      <c r="L372" s="38" t="s">
        <v>697</v>
      </c>
      <c r="M372" s="32" t="s">
        <v>89</v>
      </c>
      <c r="N372" s="28">
        <f>IFERROR(VLOOKUP(O372,Ingredients!$A:$B,2,FALSE),"")</f>
        <v>30</v>
      </c>
      <c r="O372" s="34" t="s">
        <v>705</v>
      </c>
      <c r="P372" s="32" t="s">
        <v>87</v>
      </c>
      <c r="Q372" s="28">
        <f>IFERROR(VLOOKUP(R372,Ingredients!$A:$B,2,FALSE),"")</f>
        <v>30</v>
      </c>
      <c r="R372" s="35" t="s">
        <v>706</v>
      </c>
      <c r="S372" s="32" t="s">
        <v>87</v>
      </c>
      <c r="T372" s="28"/>
      <c r="U372" s="35"/>
      <c r="V372" s="32"/>
      <c r="W372" s="28"/>
      <c r="X372" s="35"/>
      <c r="Y372" s="32"/>
      <c r="Z372" s="28"/>
      <c r="AA372" s="36"/>
    </row>
    <row r="373" spans="1:27" ht="13">
      <c r="A373" s="27" t="s">
        <v>458</v>
      </c>
      <c r="B373" s="28"/>
      <c r="C373" s="29">
        <v>260</v>
      </c>
      <c r="D373" s="30">
        <f t="shared" si="2"/>
        <v>139</v>
      </c>
      <c r="E373" s="41"/>
      <c r="F373" s="32"/>
      <c r="G373" s="28"/>
      <c r="H373" s="32" t="s">
        <v>410</v>
      </c>
      <c r="I373" s="33" t="s">
        <v>696</v>
      </c>
      <c r="J373" s="32"/>
      <c r="K373" s="28">
        <f>IFERROR(VLOOKUP(L373,Ingredients!A:B,2,FALSE),"")</f>
        <v>15</v>
      </c>
      <c r="L373" s="38" t="s">
        <v>697</v>
      </c>
      <c r="M373" s="32" t="s">
        <v>89</v>
      </c>
      <c r="N373" s="28">
        <f>IFERROR(VLOOKUP(O373,Ingredients!$A:$B,2,FALSE),"")</f>
        <v>105</v>
      </c>
      <c r="O373" s="34" t="s">
        <v>707</v>
      </c>
      <c r="P373" s="32" t="s">
        <v>87</v>
      </c>
      <c r="Q373" s="28">
        <f>IFERROR(VLOOKUP(R373,Ingredients!$A:$B,2,FALSE),"")</f>
        <v>1</v>
      </c>
      <c r="R373" s="35" t="s">
        <v>708</v>
      </c>
      <c r="S373" s="32" t="s">
        <v>87</v>
      </c>
      <c r="T373" s="28"/>
      <c r="U373" s="35"/>
      <c r="V373" s="32"/>
      <c r="W373" s="28"/>
      <c r="X373" s="35"/>
      <c r="Y373" s="32"/>
      <c r="Z373" s="28"/>
      <c r="AA373" s="36"/>
    </row>
    <row r="374" spans="1:27" ht="13">
      <c r="A374" s="27" t="s">
        <v>463</v>
      </c>
      <c r="B374" s="28"/>
      <c r="C374" s="29">
        <v>70</v>
      </c>
      <c r="D374" s="30">
        <f t="shared" si="2"/>
        <v>-75</v>
      </c>
      <c r="E374" s="41"/>
      <c r="F374" s="32"/>
      <c r="G374" s="28"/>
      <c r="H374" s="32" t="s">
        <v>410</v>
      </c>
      <c r="I374" s="33" t="s">
        <v>696</v>
      </c>
      <c r="J374" s="32"/>
      <c r="K374" s="28">
        <f>IFERROR(VLOOKUP(L374,Ingredients!A:B,2,FALSE),"")</f>
        <v>15</v>
      </c>
      <c r="L374" s="38" t="s">
        <v>697</v>
      </c>
      <c r="M374" s="32" t="s">
        <v>89</v>
      </c>
      <c r="N374" s="28">
        <f>IFERROR(VLOOKUP(O374,Ingredients!$A:$B,2,FALSE),"")</f>
        <v>30</v>
      </c>
      <c r="O374" s="34" t="s">
        <v>709</v>
      </c>
      <c r="P374" s="32" t="s">
        <v>87</v>
      </c>
      <c r="Q374" s="28">
        <f>IFERROR(VLOOKUP(R374,Ingredients!$A:$B,2,FALSE),"")</f>
        <v>100</v>
      </c>
      <c r="R374" s="35" t="s">
        <v>195</v>
      </c>
      <c r="S374" s="32" t="s">
        <v>87</v>
      </c>
      <c r="T374" s="28"/>
      <c r="U374" s="35"/>
      <c r="V374" s="32"/>
      <c r="W374" s="28"/>
      <c r="X374" s="35"/>
      <c r="Y374" s="32"/>
      <c r="Z374" s="28"/>
      <c r="AA374" s="36"/>
    </row>
    <row r="375" spans="1:27" ht="13">
      <c r="A375" s="27" t="s">
        <v>463</v>
      </c>
      <c r="B375" s="28"/>
      <c r="C375" s="29">
        <v>70</v>
      </c>
      <c r="D375" s="30">
        <f t="shared" si="2"/>
        <v>-45</v>
      </c>
      <c r="E375" s="41"/>
      <c r="F375" s="32"/>
      <c r="G375" s="28"/>
      <c r="H375" s="32" t="s">
        <v>410</v>
      </c>
      <c r="I375" s="33" t="s">
        <v>696</v>
      </c>
      <c r="J375" s="32"/>
      <c r="K375" s="28">
        <f>IFERROR(VLOOKUP(L375,Ingredients!A:B,2,FALSE),"")</f>
        <v>15</v>
      </c>
      <c r="L375" s="38" t="s">
        <v>697</v>
      </c>
      <c r="M375" s="32" t="s">
        <v>89</v>
      </c>
      <c r="N375" s="28">
        <f>IFERROR(VLOOKUP(O375,Ingredients!$A:$B,2,FALSE),"")</f>
        <v>30</v>
      </c>
      <c r="O375" s="34" t="s">
        <v>709</v>
      </c>
      <c r="P375" s="32" t="s">
        <v>87</v>
      </c>
      <c r="Q375" s="28">
        <f>IFERROR(VLOOKUP(R375,Ingredients!$A:$B,2,FALSE),"")</f>
        <v>70</v>
      </c>
      <c r="R375" s="35" t="s">
        <v>196</v>
      </c>
      <c r="S375" s="32" t="s">
        <v>87</v>
      </c>
      <c r="T375" s="28"/>
      <c r="U375" s="35"/>
      <c r="V375" s="32"/>
      <c r="W375" s="28"/>
      <c r="X375" s="35"/>
      <c r="Y375" s="32"/>
      <c r="Z375" s="28"/>
      <c r="AA375" s="36"/>
    </row>
    <row r="376" spans="1:27" ht="13">
      <c r="A376" s="27" t="s">
        <v>468</v>
      </c>
      <c r="B376" s="40"/>
      <c r="C376" s="29">
        <v>260</v>
      </c>
      <c r="D376" s="30">
        <f t="shared" si="2"/>
        <v>-1156</v>
      </c>
      <c r="E376" s="41"/>
      <c r="F376" s="32"/>
      <c r="G376" s="28"/>
      <c r="H376" s="32" t="s">
        <v>410</v>
      </c>
      <c r="I376" s="33" t="s">
        <v>696</v>
      </c>
      <c r="J376" s="32"/>
      <c r="K376" s="28">
        <f>IFERROR(VLOOKUP(L376,Ingredients!A:B,2,FALSE),"")</f>
        <v>15</v>
      </c>
      <c r="L376" s="38" t="s">
        <v>697</v>
      </c>
      <c r="M376" s="32" t="s">
        <v>89</v>
      </c>
      <c r="N376" s="28">
        <f>IFERROR(VLOOKUP(O376,Ingredients!$A:$B,2,FALSE),"")</f>
        <v>1400</v>
      </c>
      <c r="O376" s="38" t="s">
        <v>91</v>
      </c>
      <c r="P376" s="32" t="s">
        <v>87</v>
      </c>
      <c r="Q376" s="28">
        <f>IFERROR(VLOOKUP(R376,Ingredients!$A:$B,2,FALSE),"")</f>
        <v>1</v>
      </c>
      <c r="R376" s="35" t="s">
        <v>710</v>
      </c>
      <c r="S376" s="32" t="s">
        <v>87</v>
      </c>
      <c r="T376" s="28"/>
      <c r="U376" s="35"/>
      <c r="V376" s="32"/>
      <c r="W376" s="28"/>
      <c r="X376" s="35"/>
      <c r="Y376" s="32"/>
      <c r="Z376" s="28"/>
      <c r="AA376" s="36"/>
    </row>
    <row r="377" spans="1:27" ht="13">
      <c r="A377" s="27" t="s">
        <v>468</v>
      </c>
      <c r="B377" s="40"/>
      <c r="C377" s="29">
        <v>260</v>
      </c>
      <c r="D377" s="30">
        <f t="shared" si="2"/>
        <v>-1159</v>
      </c>
      <c r="E377" s="41"/>
      <c r="F377" s="32"/>
      <c r="G377" s="28"/>
      <c r="H377" s="32" t="s">
        <v>410</v>
      </c>
      <c r="I377" s="33" t="s">
        <v>696</v>
      </c>
      <c r="J377" s="32"/>
      <c r="K377" s="28">
        <f>IFERROR(VLOOKUP(L377,Ingredients!A:B,2,FALSE),"")</f>
        <v>15</v>
      </c>
      <c r="L377" s="38" t="s">
        <v>697</v>
      </c>
      <c r="M377" s="32" t="s">
        <v>89</v>
      </c>
      <c r="N377" s="28">
        <f>IFERROR(VLOOKUP(O377,Ingredients!$A:$B,2,FALSE),"")</f>
        <v>1400</v>
      </c>
      <c r="O377" s="38" t="s">
        <v>91</v>
      </c>
      <c r="P377" s="32" t="s">
        <v>87</v>
      </c>
      <c r="Q377" s="28">
        <f>IFERROR(VLOOKUP(R377,Ingredients!$A:$B,2,FALSE),"")</f>
        <v>4</v>
      </c>
      <c r="R377" s="35" t="s">
        <v>711</v>
      </c>
      <c r="S377" s="32" t="s">
        <v>87</v>
      </c>
      <c r="T377" s="28"/>
      <c r="U377" s="35"/>
      <c r="V377" s="32"/>
      <c r="W377" s="28"/>
      <c r="X377" s="35"/>
      <c r="Y377" s="32"/>
      <c r="Z377" s="28"/>
      <c r="AA377" s="36"/>
    </row>
    <row r="378" spans="1:27" ht="13">
      <c r="A378" s="27" t="s">
        <v>470</v>
      </c>
      <c r="B378" s="28"/>
      <c r="C378" s="29">
        <v>100</v>
      </c>
      <c r="D378" s="30">
        <f t="shared" si="2"/>
        <v>-5</v>
      </c>
      <c r="E378" s="41"/>
      <c r="F378" s="32"/>
      <c r="G378" s="28"/>
      <c r="H378" s="32" t="s">
        <v>410</v>
      </c>
      <c r="I378" s="33" t="s">
        <v>696</v>
      </c>
      <c r="J378" s="32"/>
      <c r="K378" s="28">
        <f>IFERROR(VLOOKUP(L378,Ingredients!A:B,2,FALSE),"")</f>
        <v>15</v>
      </c>
      <c r="L378" s="38" t="s">
        <v>697</v>
      </c>
      <c r="M378" s="32" t="s">
        <v>89</v>
      </c>
      <c r="N378" s="28">
        <f>IFERROR(VLOOKUP(O378,Ingredients!$A:$B,2,FALSE),"")</f>
        <v>30</v>
      </c>
      <c r="O378" s="34" t="s">
        <v>709</v>
      </c>
      <c r="P378" s="32" t="s">
        <v>87</v>
      </c>
      <c r="Q378" s="28">
        <f>IFERROR(VLOOKUP(R378,Ingredients!$A:$B,2,FALSE),"")</f>
        <v>60</v>
      </c>
      <c r="R378" s="27" t="s">
        <v>712</v>
      </c>
      <c r="S378" s="32" t="s">
        <v>87</v>
      </c>
      <c r="T378" s="28"/>
      <c r="U378" s="35"/>
      <c r="V378" s="32"/>
      <c r="W378" s="28"/>
      <c r="X378" s="35"/>
      <c r="Y378" s="32"/>
      <c r="Z378" s="28"/>
      <c r="AA378" s="36"/>
    </row>
    <row r="379" spans="1:27" ht="13">
      <c r="A379" s="27" t="s">
        <v>503</v>
      </c>
      <c r="B379" s="28"/>
      <c r="C379" s="29">
        <v>50</v>
      </c>
      <c r="D379" s="30">
        <f t="shared" si="2"/>
        <v>-297</v>
      </c>
      <c r="E379" s="41"/>
      <c r="F379" s="32"/>
      <c r="G379" s="28"/>
      <c r="H379" s="32" t="s">
        <v>410</v>
      </c>
      <c r="I379" s="33" t="s">
        <v>696</v>
      </c>
      <c r="J379" s="32"/>
      <c r="K379" s="28">
        <f>IFERROR(VLOOKUP(L379,Ingredients!A:B,2,FALSE),"")</f>
        <v>15</v>
      </c>
      <c r="L379" s="38" t="s">
        <v>697</v>
      </c>
      <c r="M379" s="32" t="s">
        <v>89</v>
      </c>
      <c r="N379" s="28">
        <f>IFERROR(VLOOKUP(O379,Ingredients!$A:$B,2,FALSE),"")</f>
        <v>320</v>
      </c>
      <c r="O379" s="34" t="s">
        <v>713</v>
      </c>
      <c r="P379" s="32" t="s">
        <v>87</v>
      </c>
      <c r="Q379" s="28">
        <f>IFERROR(VLOOKUP(R379,Ingredients!$A:$B,2,FALSE),"")</f>
        <v>12</v>
      </c>
      <c r="R379" s="27" t="s">
        <v>145</v>
      </c>
      <c r="S379" s="32" t="s">
        <v>129</v>
      </c>
      <c r="T379" s="28"/>
      <c r="U379" s="35"/>
      <c r="V379" s="32"/>
      <c r="W379" s="28"/>
      <c r="X379" s="35"/>
      <c r="Y379" s="32"/>
      <c r="Z379" s="28"/>
      <c r="AA379" s="36"/>
    </row>
    <row r="380" spans="1:27" ht="13">
      <c r="A380" s="27" t="s">
        <v>472</v>
      </c>
      <c r="B380" s="28"/>
      <c r="C380" s="29">
        <v>70</v>
      </c>
      <c r="D380" s="30">
        <f t="shared" si="2"/>
        <v>-10</v>
      </c>
      <c r="E380" s="41"/>
      <c r="F380" s="32"/>
      <c r="G380" s="28"/>
      <c r="H380" s="32" t="s">
        <v>410</v>
      </c>
      <c r="I380" s="33" t="s">
        <v>696</v>
      </c>
      <c r="J380" s="32"/>
      <c r="K380" s="28">
        <f>IFERROR(VLOOKUP(L380,Ingredients!A:B,2,FALSE),"")</f>
        <v>15</v>
      </c>
      <c r="L380" s="38" t="s">
        <v>697</v>
      </c>
      <c r="M380" s="32" t="s">
        <v>89</v>
      </c>
      <c r="N380" s="28">
        <f>IFERROR(VLOOKUP(O380,Ingredients!$A:$B,2,FALSE),"")</f>
        <v>30</v>
      </c>
      <c r="O380" s="34" t="s">
        <v>709</v>
      </c>
      <c r="P380" s="32" t="s">
        <v>87</v>
      </c>
      <c r="Q380" s="28">
        <f>IFERROR(VLOOKUP(R380,Ingredients!$A:$B,2,FALSE),"")</f>
        <v>35</v>
      </c>
      <c r="R380" s="27" t="s">
        <v>714</v>
      </c>
      <c r="S380" s="32" t="s">
        <v>87</v>
      </c>
      <c r="T380" s="28"/>
      <c r="U380" s="35"/>
      <c r="V380" s="32"/>
      <c r="W380" s="28"/>
      <c r="X380" s="35"/>
      <c r="Y380" s="32"/>
      <c r="Z380" s="28"/>
      <c r="AA380" s="36"/>
    </row>
    <row r="381" spans="1:27" ht="13">
      <c r="A381" s="27" t="s">
        <v>472</v>
      </c>
      <c r="B381" s="28"/>
      <c r="C381" s="29">
        <v>70</v>
      </c>
      <c r="D381" s="30">
        <f t="shared" si="2"/>
        <v>-5</v>
      </c>
      <c r="E381" s="41"/>
      <c r="F381" s="32"/>
      <c r="G381" s="28"/>
      <c r="H381" s="32" t="s">
        <v>410</v>
      </c>
      <c r="I381" s="33" t="s">
        <v>696</v>
      </c>
      <c r="J381" s="32"/>
      <c r="K381" s="28">
        <f>IFERROR(VLOOKUP(L381,Ingredients!A:B,2,FALSE),"")</f>
        <v>15</v>
      </c>
      <c r="L381" s="38" t="s">
        <v>697</v>
      </c>
      <c r="M381" s="32" t="s">
        <v>89</v>
      </c>
      <c r="N381" s="28">
        <f>IFERROR(VLOOKUP(O381,Ingredients!$A:$B,2,FALSE),"")</f>
        <v>30</v>
      </c>
      <c r="O381" s="34" t="s">
        <v>709</v>
      </c>
      <c r="P381" s="32" t="s">
        <v>87</v>
      </c>
      <c r="Q381" s="28">
        <f>IFERROR(VLOOKUP(R381,Ingredients!$A:$B,2,FALSE),"")</f>
        <v>30</v>
      </c>
      <c r="R381" s="27" t="s">
        <v>715</v>
      </c>
      <c r="S381" s="32" t="s">
        <v>87</v>
      </c>
      <c r="T381" s="28"/>
      <c r="U381" s="35"/>
      <c r="V381" s="32"/>
      <c r="W381" s="28"/>
      <c r="X381" s="35"/>
      <c r="Y381" s="32"/>
      <c r="Z381" s="28"/>
      <c r="AA381" s="36"/>
    </row>
    <row r="382" spans="1:27" ht="13">
      <c r="A382" s="27" t="s">
        <v>475</v>
      </c>
      <c r="B382" s="28"/>
      <c r="C382" s="29">
        <v>350</v>
      </c>
      <c r="D382" s="30">
        <f t="shared" si="2"/>
        <v>-1215</v>
      </c>
      <c r="E382" s="41"/>
      <c r="F382" s="32"/>
      <c r="G382" s="28"/>
      <c r="H382" s="32" t="s">
        <v>410</v>
      </c>
      <c r="I382" s="33" t="s">
        <v>696</v>
      </c>
      <c r="J382" s="32"/>
      <c r="K382" s="28">
        <f>IFERROR(VLOOKUP(L382,Ingredients!A:B,2,FALSE),"")</f>
        <v>15</v>
      </c>
      <c r="L382" s="38" t="s">
        <v>697</v>
      </c>
      <c r="M382" s="32" t="s">
        <v>89</v>
      </c>
      <c r="N382" s="28">
        <f>IFERROR(VLOOKUP(O382,Ingredients!$A:$B,2,FALSE),"")</f>
        <v>1400</v>
      </c>
      <c r="O382" s="38" t="s">
        <v>91</v>
      </c>
      <c r="P382" s="32" t="s">
        <v>87</v>
      </c>
      <c r="Q382" s="28">
        <f>IFERROR(VLOOKUP(R382,Ingredients!$A:$B,2,FALSE),"")</f>
        <v>150</v>
      </c>
      <c r="R382" s="35" t="s">
        <v>716</v>
      </c>
      <c r="S382" s="32" t="s">
        <v>87</v>
      </c>
      <c r="T382" s="28"/>
      <c r="U382" s="35"/>
      <c r="V382" s="32"/>
      <c r="W382" s="28"/>
      <c r="X382" s="35"/>
      <c r="Y382" s="32"/>
      <c r="Z382" s="28"/>
      <c r="AA382" s="36"/>
    </row>
    <row r="383" spans="1:27" ht="13">
      <c r="A383" s="27" t="s">
        <v>480</v>
      </c>
      <c r="B383" s="28"/>
      <c r="C383" s="29">
        <v>60</v>
      </c>
      <c r="D383" s="30">
        <f t="shared" si="2"/>
        <v>14</v>
      </c>
      <c r="E383" s="41"/>
      <c r="F383" s="32"/>
      <c r="G383" s="28"/>
      <c r="H383" s="32" t="s">
        <v>410</v>
      </c>
      <c r="I383" s="33" t="s">
        <v>696</v>
      </c>
      <c r="J383" s="32"/>
      <c r="K383" s="28">
        <f>IFERROR(VLOOKUP(L383,Ingredients!A:B,2,FALSE),"")</f>
        <v>15</v>
      </c>
      <c r="L383" s="38" t="s">
        <v>697</v>
      </c>
      <c r="M383" s="32" t="s">
        <v>89</v>
      </c>
      <c r="N383" s="28">
        <f>IFERROR(VLOOKUP(O383,Ingredients!$A:$B,2,FALSE),"")</f>
        <v>30</v>
      </c>
      <c r="O383" s="34" t="s">
        <v>165</v>
      </c>
      <c r="P383" s="32" t="s">
        <v>87</v>
      </c>
      <c r="Q383" s="28">
        <f>IFERROR(VLOOKUP(R383,Ingredients!$A:$B,2,FALSE),"")</f>
        <v>1</v>
      </c>
      <c r="R383" s="35" t="s">
        <v>350</v>
      </c>
      <c r="S383" s="32" t="s">
        <v>87</v>
      </c>
      <c r="T383" s="28"/>
      <c r="U383" s="35"/>
      <c r="V383" s="32"/>
      <c r="W383" s="28"/>
      <c r="X383" s="35"/>
      <c r="Y383" s="32"/>
      <c r="Z383" s="28"/>
      <c r="AA383" s="36"/>
    </row>
    <row r="384" spans="1:27" ht="13">
      <c r="A384" s="27" t="s">
        <v>717</v>
      </c>
      <c r="B384" s="28"/>
      <c r="C384" s="29">
        <v>400</v>
      </c>
      <c r="D384" s="30">
        <f t="shared" si="2"/>
        <v>279</v>
      </c>
      <c r="E384" s="41"/>
      <c r="F384" s="32"/>
      <c r="G384" s="28"/>
      <c r="H384" s="32" t="s">
        <v>410</v>
      </c>
      <c r="I384" s="33" t="s">
        <v>696</v>
      </c>
      <c r="J384" s="32"/>
      <c r="K384" s="28">
        <f>IFERROR(VLOOKUP(L384,Ingredients!A:B,2,FALSE),"")</f>
        <v>15</v>
      </c>
      <c r="L384" s="38" t="s">
        <v>697</v>
      </c>
      <c r="M384" s="32" t="s">
        <v>89</v>
      </c>
      <c r="N384" s="28">
        <f>IFERROR(VLOOKUP(O384,Ingredients!$A:$B,2,FALSE),"")</f>
        <v>105</v>
      </c>
      <c r="O384" s="34" t="s">
        <v>718</v>
      </c>
      <c r="P384" s="32" t="s">
        <v>87</v>
      </c>
      <c r="Q384" s="28">
        <f>IFERROR(VLOOKUP(R384,Ingredients!$A:$B,2,FALSE),"")</f>
        <v>1</v>
      </c>
      <c r="R384" s="27" t="s">
        <v>340</v>
      </c>
      <c r="S384" s="32" t="s">
        <v>87</v>
      </c>
      <c r="T384" s="28"/>
      <c r="U384" s="35"/>
      <c r="V384" s="32"/>
      <c r="W384" s="28"/>
      <c r="X384" s="35"/>
      <c r="Y384" s="32"/>
      <c r="Z384" s="28"/>
      <c r="AA384" s="36"/>
    </row>
    <row r="385" spans="1:27" ht="13">
      <c r="A385" s="27" t="s">
        <v>493</v>
      </c>
      <c r="B385" s="28"/>
      <c r="C385" s="29">
        <v>60</v>
      </c>
      <c r="D385" s="30">
        <f t="shared" si="2"/>
        <v>-75</v>
      </c>
      <c r="E385" s="41"/>
      <c r="F385" s="32"/>
      <c r="G385" s="28"/>
      <c r="H385" s="32" t="s">
        <v>410</v>
      </c>
      <c r="I385" s="33" t="s">
        <v>696</v>
      </c>
      <c r="J385" s="32"/>
      <c r="K385" s="28">
        <f>IFERROR(VLOOKUP(L385,Ingredients!A:B,2,FALSE),"")</f>
        <v>15</v>
      </c>
      <c r="L385" s="38" t="s">
        <v>697</v>
      </c>
      <c r="M385" s="32" t="s">
        <v>89</v>
      </c>
      <c r="N385" s="28">
        <f>IFERROR(VLOOKUP(O385,Ingredients!$A:$B,2,FALSE),"")</f>
        <v>30</v>
      </c>
      <c r="O385" s="34" t="s">
        <v>705</v>
      </c>
      <c r="P385" s="32" t="s">
        <v>87</v>
      </c>
      <c r="Q385" s="28">
        <f>IFERROR(VLOOKUP(R385,Ingredients!$A:$B,2,FALSE),"")</f>
        <v>90</v>
      </c>
      <c r="R385" s="35" t="s">
        <v>719</v>
      </c>
      <c r="S385" s="32" t="s">
        <v>87</v>
      </c>
      <c r="T385" s="28"/>
      <c r="U385" s="35"/>
      <c r="V385" s="32"/>
      <c r="W385" s="28"/>
      <c r="X385" s="35"/>
      <c r="Y385" s="32"/>
      <c r="Z385" s="28"/>
      <c r="AA385" s="36"/>
    </row>
    <row r="386" spans="1:27" ht="13">
      <c r="A386" s="27" t="s">
        <v>496</v>
      </c>
      <c r="B386" s="28"/>
      <c r="C386" s="29">
        <v>350</v>
      </c>
      <c r="D386" s="30">
        <f t="shared" si="2"/>
        <v>3</v>
      </c>
      <c r="E386" s="41"/>
      <c r="F386" s="32"/>
      <c r="G386" s="28"/>
      <c r="H386" s="32" t="s">
        <v>410</v>
      </c>
      <c r="I386" s="33" t="s">
        <v>696</v>
      </c>
      <c r="J386" s="32"/>
      <c r="K386" s="28">
        <f>IFERROR(VLOOKUP(L386,Ingredients!A:B,2,FALSE),"")</f>
        <v>15</v>
      </c>
      <c r="L386" s="38" t="s">
        <v>697</v>
      </c>
      <c r="M386" s="32" t="s">
        <v>89</v>
      </c>
      <c r="N386" s="28">
        <f>IFERROR(VLOOKUP(O386,Ingredients!$A:$B,2,FALSE),"")</f>
        <v>320</v>
      </c>
      <c r="O386" s="34" t="s">
        <v>720</v>
      </c>
      <c r="P386" s="32" t="s">
        <v>87</v>
      </c>
      <c r="Q386" s="28">
        <f>IFERROR(VLOOKUP(R386,Ingredients!$A:$B,2,FALSE),"")</f>
        <v>12</v>
      </c>
      <c r="R386" s="27" t="s">
        <v>721</v>
      </c>
      <c r="S386" s="32" t="s">
        <v>87</v>
      </c>
      <c r="T386" s="28"/>
      <c r="U386" s="35"/>
      <c r="V386" s="32"/>
      <c r="W386" s="28"/>
      <c r="X386" s="35"/>
      <c r="Y386" s="32"/>
      <c r="Z386" s="28"/>
      <c r="AA386" s="36"/>
    </row>
    <row r="387" spans="1:27" ht="13">
      <c r="A387" s="27" t="s">
        <v>501</v>
      </c>
      <c r="B387" s="28"/>
      <c r="C387" s="29">
        <v>70</v>
      </c>
      <c r="D387" s="30">
        <f t="shared" si="2"/>
        <v>24</v>
      </c>
      <c r="E387" s="41"/>
      <c r="F387" s="32"/>
      <c r="G387" s="28"/>
      <c r="H387" s="32" t="s">
        <v>410</v>
      </c>
      <c r="I387" s="33" t="s">
        <v>696</v>
      </c>
      <c r="J387" s="32"/>
      <c r="K387" s="28">
        <f>IFERROR(VLOOKUP(L387,Ingredients!A:B,2,FALSE),"")</f>
        <v>15</v>
      </c>
      <c r="L387" s="38" t="s">
        <v>697</v>
      </c>
      <c r="M387" s="32" t="s">
        <v>89</v>
      </c>
      <c r="N387" s="28">
        <f>IFERROR(VLOOKUP(O387,Ingredients!$A:$B,2,FALSE),"")</f>
        <v>30</v>
      </c>
      <c r="O387" s="34" t="s">
        <v>405</v>
      </c>
      <c r="P387" s="32" t="s">
        <v>87</v>
      </c>
      <c r="Q387" s="28">
        <f>IFERROR(VLOOKUP(R387,Ingredients!$A:$B,2,FALSE),"")</f>
        <v>1</v>
      </c>
      <c r="R387" s="35" t="s">
        <v>722</v>
      </c>
      <c r="S387" s="32" t="s">
        <v>87</v>
      </c>
      <c r="T387" s="28"/>
      <c r="U387" s="35"/>
      <c r="V387" s="32"/>
      <c r="W387" s="28"/>
      <c r="X387" s="35"/>
      <c r="Y387" s="32"/>
      <c r="Z387" s="28"/>
      <c r="AA387" s="36"/>
    </row>
    <row r="388" spans="1:27" ht="13">
      <c r="A388" s="27" t="s">
        <v>508</v>
      </c>
      <c r="B388" s="28"/>
      <c r="C388" s="29">
        <v>260</v>
      </c>
      <c r="D388" s="30">
        <f t="shared" si="2"/>
        <v>139</v>
      </c>
      <c r="E388" s="41"/>
      <c r="F388" s="32"/>
      <c r="G388" s="28"/>
      <c r="H388" s="32" t="s">
        <v>410</v>
      </c>
      <c r="I388" s="33" t="s">
        <v>696</v>
      </c>
      <c r="J388" s="32"/>
      <c r="K388" s="28">
        <f>IFERROR(VLOOKUP(L388,Ingredients!A:B,2,FALSE),"")</f>
        <v>15</v>
      </c>
      <c r="L388" s="38" t="s">
        <v>697</v>
      </c>
      <c r="M388" s="32" t="s">
        <v>89</v>
      </c>
      <c r="N388" s="28">
        <f>IFERROR(VLOOKUP(O388,Ingredients!$A:$B,2,FALSE),"")</f>
        <v>105</v>
      </c>
      <c r="O388" s="34" t="s">
        <v>723</v>
      </c>
      <c r="P388" s="32" t="s">
        <v>87</v>
      </c>
      <c r="Q388" s="28">
        <f>IFERROR(VLOOKUP(R388,Ingredients!$A:$B,2,FALSE),"")</f>
        <v>1</v>
      </c>
      <c r="R388" s="27" t="s">
        <v>724</v>
      </c>
      <c r="S388" s="32" t="s">
        <v>87</v>
      </c>
      <c r="T388" s="28"/>
      <c r="U388" s="35"/>
      <c r="V388" s="32"/>
      <c r="W388" s="28"/>
      <c r="X388" s="35"/>
      <c r="Y388" s="32"/>
      <c r="Z388" s="28"/>
      <c r="AA388" s="36"/>
    </row>
    <row r="389" spans="1:27" ht="13">
      <c r="A389" s="27" t="s">
        <v>510</v>
      </c>
      <c r="B389" s="28"/>
      <c r="C389" s="29">
        <v>70</v>
      </c>
      <c r="D389" s="30">
        <f t="shared" si="2"/>
        <v>-10</v>
      </c>
      <c r="E389" s="41"/>
      <c r="F389" s="32"/>
      <c r="G389" s="28"/>
      <c r="H389" s="32" t="s">
        <v>410</v>
      </c>
      <c r="I389" s="33" t="s">
        <v>696</v>
      </c>
      <c r="J389" s="32"/>
      <c r="K389" s="28">
        <f>IFERROR(VLOOKUP(L389,Ingredients!A:B,2,FALSE),"")</f>
        <v>15</v>
      </c>
      <c r="L389" s="38" t="s">
        <v>697</v>
      </c>
      <c r="M389" s="32" t="s">
        <v>89</v>
      </c>
      <c r="N389" s="28">
        <f>IFERROR(VLOOKUP(O389,Ingredients!$A:$B,2,FALSE),"")</f>
        <v>30</v>
      </c>
      <c r="O389" s="34" t="s">
        <v>173</v>
      </c>
      <c r="P389" s="32" t="s">
        <v>87</v>
      </c>
      <c r="Q389" s="28">
        <f>IFERROR(VLOOKUP(R389,Ingredients!$A:$B,2,FALSE),"")</f>
        <v>35</v>
      </c>
      <c r="R389" s="35" t="s">
        <v>725</v>
      </c>
      <c r="S389" s="32" t="s">
        <v>87</v>
      </c>
      <c r="T389" s="28"/>
      <c r="U389" s="35"/>
      <c r="V389" s="32"/>
      <c r="W389" s="28"/>
      <c r="X389" s="35"/>
      <c r="Y389" s="32"/>
      <c r="Z389" s="28"/>
      <c r="AA389" s="36"/>
    </row>
    <row r="390" spans="1:27" ht="13">
      <c r="A390" s="27" t="s">
        <v>513</v>
      </c>
      <c r="B390" s="28"/>
      <c r="C390" s="29">
        <v>60</v>
      </c>
      <c r="D390" s="30">
        <f t="shared" si="2"/>
        <v>-105</v>
      </c>
      <c r="E390" s="41"/>
      <c r="F390" s="32"/>
      <c r="G390" s="28"/>
      <c r="H390" s="32" t="s">
        <v>410</v>
      </c>
      <c r="I390" s="33" t="s">
        <v>696</v>
      </c>
      <c r="J390" s="32"/>
      <c r="K390" s="28">
        <f>IFERROR(VLOOKUP(L390,Ingredients!A:B,2,FALSE),"")</f>
        <v>15</v>
      </c>
      <c r="L390" s="38" t="s">
        <v>697</v>
      </c>
      <c r="M390" s="32" t="s">
        <v>89</v>
      </c>
      <c r="N390" s="28">
        <f>IFERROR(VLOOKUP(O390,Ingredients!$A:$B,2,FALSE),"")</f>
        <v>30</v>
      </c>
      <c r="O390" s="34" t="s">
        <v>405</v>
      </c>
      <c r="P390" s="32" t="s">
        <v>87</v>
      </c>
      <c r="Q390" s="28">
        <f>IFERROR(VLOOKUP(R390,Ingredients!$A:$B,2,FALSE),"")</f>
        <v>120</v>
      </c>
      <c r="R390" s="35" t="s">
        <v>726</v>
      </c>
      <c r="S390" s="32" t="s">
        <v>87</v>
      </c>
      <c r="T390" s="28"/>
      <c r="U390" s="35"/>
      <c r="V390" s="32"/>
      <c r="W390" s="28"/>
      <c r="X390" s="35"/>
      <c r="Y390" s="32"/>
      <c r="Z390" s="28"/>
      <c r="AA390" s="36"/>
    </row>
    <row r="391" spans="1:27" ht="13">
      <c r="A391" s="27" t="s">
        <v>513</v>
      </c>
      <c r="B391" s="28"/>
      <c r="C391" s="29">
        <v>60</v>
      </c>
      <c r="D391" s="30">
        <f t="shared" si="2"/>
        <v>3</v>
      </c>
      <c r="E391" s="41"/>
      <c r="F391" s="32"/>
      <c r="G391" s="28"/>
      <c r="H391" s="32" t="s">
        <v>410</v>
      </c>
      <c r="I391" s="33" t="s">
        <v>696</v>
      </c>
      <c r="J391" s="32"/>
      <c r="K391" s="28">
        <f>IFERROR(VLOOKUP(L391,Ingredients!A:B,2,FALSE),"")</f>
        <v>15</v>
      </c>
      <c r="L391" s="38" t="s">
        <v>697</v>
      </c>
      <c r="M391" s="32" t="s">
        <v>89</v>
      </c>
      <c r="N391" s="28">
        <f>IFERROR(VLOOKUP(O391,Ingredients!$A:$B,2,FALSE),"")</f>
        <v>30</v>
      </c>
      <c r="O391" s="34" t="s">
        <v>405</v>
      </c>
      <c r="P391" s="32" t="s">
        <v>87</v>
      </c>
      <c r="Q391" s="28">
        <f>IFERROR(VLOOKUP(R391,Ingredients!$A:$B,2,FALSE),"")</f>
        <v>12</v>
      </c>
      <c r="R391" s="35" t="s">
        <v>727</v>
      </c>
      <c r="S391" s="32" t="s">
        <v>87</v>
      </c>
      <c r="T391" s="28"/>
      <c r="U391" s="35"/>
      <c r="V391" s="32"/>
      <c r="W391" s="28"/>
      <c r="X391" s="35"/>
      <c r="Y391" s="32"/>
      <c r="Z391" s="28"/>
      <c r="AA391" s="36"/>
    </row>
    <row r="392" spans="1:27" ht="13">
      <c r="A392" s="27" t="s">
        <v>516</v>
      </c>
      <c r="B392" s="28"/>
      <c r="C392" s="29">
        <v>350</v>
      </c>
      <c r="D392" s="30">
        <f t="shared" si="2"/>
        <v>-1265</v>
      </c>
      <c r="E392" s="41"/>
      <c r="F392" s="32"/>
      <c r="G392" s="28"/>
      <c r="H392" s="32" t="s">
        <v>410</v>
      </c>
      <c r="I392" s="33" t="s">
        <v>696</v>
      </c>
      <c r="J392" s="32"/>
      <c r="K392" s="28">
        <f>IFERROR(VLOOKUP(L392,Ingredients!A:B,2,FALSE),"")</f>
        <v>15</v>
      </c>
      <c r="L392" s="38" t="s">
        <v>697</v>
      </c>
      <c r="M392" s="32" t="s">
        <v>89</v>
      </c>
      <c r="N392" s="28">
        <f>IFERROR(VLOOKUP(O392,Ingredients!$A:$B,2,FALSE),"")</f>
        <v>1400</v>
      </c>
      <c r="O392" s="38" t="s">
        <v>91</v>
      </c>
      <c r="P392" s="32" t="s">
        <v>87</v>
      </c>
      <c r="Q392" s="28">
        <f>IFERROR(VLOOKUP(R392,Ingredients!$A:$B,2,FALSE),"")</f>
        <v>200</v>
      </c>
      <c r="R392" s="35" t="s">
        <v>728</v>
      </c>
      <c r="S392" s="32" t="s">
        <v>87</v>
      </c>
      <c r="T392" s="28"/>
      <c r="U392" s="35"/>
      <c r="V392" s="32"/>
      <c r="W392" s="28"/>
      <c r="X392" s="35"/>
      <c r="Y392" s="32"/>
      <c r="Z392" s="28"/>
      <c r="AA392" s="36"/>
    </row>
    <row r="393" spans="1:27" ht="13">
      <c r="A393" s="27" t="s">
        <v>518</v>
      </c>
      <c r="B393" s="28"/>
      <c r="C393" s="29">
        <v>350</v>
      </c>
      <c r="D393" s="30">
        <f t="shared" si="2"/>
        <v>-5</v>
      </c>
      <c r="E393" s="41"/>
      <c r="F393" s="32"/>
      <c r="G393" s="28"/>
      <c r="H393" s="32" t="s">
        <v>410</v>
      </c>
      <c r="I393" s="33" t="s">
        <v>696</v>
      </c>
      <c r="J393" s="32"/>
      <c r="K393" s="28">
        <f>IFERROR(VLOOKUP(L393,Ingredients!A:B,2,FALSE),"")</f>
        <v>15</v>
      </c>
      <c r="L393" s="38" t="s">
        <v>697</v>
      </c>
      <c r="M393" s="32" t="s">
        <v>89</v>
      </c>
      <c r="N393" s="28">
        <f>IFERROR(VLOOKUP(O393,Ingredients!$A:$B,2,FALSE),"")</f>
        <v>320</v>
      </c>
      <c r="O393" s="34" t="s">
        <v>729</v>
      </c>
      <c r="P393" s="32" t="s">
        <v>87</v>
      </c>
      <c r="Q393" s="28">
        <f>IFERROR(VLOOKUP(R393,Ingredients!$A:$B,2,FALSE),"")</f>
        <v>20</v>
      </c>
      <c r="R393" s="27" t="s">
        <v>730</v>
      </c>
      <c r="S393" s="32" t="s">
        <v>87</v>
      </c>
      <c r="T393" s="28"/>
      <c r="U393" s="35"/>
      <c r="V393" s="32"/>
      <c r="W393" s="28"/>
      <c r="X393" s="35"/>
      <c r="Y393" s="32"/>
      <c r="Z393" s="28"/>
      <c r="AA393" s="36"/>
    </row>
    <row r="394" spans="1:27" ht="13">
      <c r="A394" s="27" t="s">
        <v>520</v>
      </c>
      <c r="B394" s="28"/>
      <c r="C394" s="29">
        <v>260</v>
      </c>
      <c r="D394" s="30">
        <f t="shared" si="2"/>
        <v>-1167</v>
      </c>
      <c r="E394" s="41"/>
      <c r="F394" s="32"/>
      <c r="G394" s="28"/>
      <c r="H394" s="32" t="s">
        <v>410</v>
      </c>
      <c r="I394" s="33" t="s">
        <v>696</v>
      </c>
      <c r="J394" s="32"/>
      <c r="K394" s="28">
        <f>IFERROR(VLOOKUP(L394,Ingredients!A:B,2,FALSE),"")</f>
        <v>15</v>
      </c>
      <c r="L394" s="38" t="s">
        <v>697</v>
      </c>
      <c r="M394" s="32" t="s">
        <v>89</v>
      </c>
      <c r="N394" s="28">
        <f>IFERROR(VLOOKUP(O394,Ingredients!$A:$B,2,FALSE),"")</f>
        <v>1400</v>
      </c>
      <c r="O394" s="38" t="s">
        <v>91</v>
      </c>
      <c r="P394" s="32" t="s">
        <v>87</v>
      </c>
      <c r="Q394" s="28">
        <f>IFERROR(VLOOKUP(R394,Ingredients!$A:$B,2,FALSE),"")</f>
        <v>12</v>
      </c>
      <c r="R394" s="35" t="s">
        <v>731</v>
      </c>
      <c r="S394" s="32" t="s">
        <v>87</v>
      </c>
      <c r="T394" s="28"/>
      <c r="U394" s="35"/>
      <c r="V394" s="32"/>
      <c r="W394" s="28"/>
      <c r="X394" s="35"/>
      <c r="Y394" s="32"/>
      <c r="Z394" s="28"/>
      <c r="AA394" s="36"/>
    </row>
    <row r="395" spans="1:27" ht="13">
      <c r="A395" s="27" t="s">
        <v>525</v>
      </c>
      <c r="B395" s="28"/>
      <c r="C395" s="29">
        <v>60</v>
      </c>
      <c r="D395" s="30">
        <f t="shared" si="2"/>
        <v>14</v>
      </c>
      <c r="E395" s="41"/>
      <c r="F395" s="32"/>
      <c r="G395" s="28"/>
      <c r="H395" s="32" t="s">
        <v>410</v>
      </c>
      <c r="I395" s="33" t="s">
        <v>696</v>
      </c>
      <c r="J395" s="32"/>
      <c r="K395" s="28">
        <f>IFERROR(VLOOKUP(L395,Ingredients!A:B,2,FALSE),"")</f>
        <v>15</v>
      </c>
      <c r="L395" s="38" t="s">
        <v>697</v>
      </c>
      <c r="M395" s="32" t="s">
        <v>89</v>
      </c>
      <c r="N395" s="28">
        <f>IFERROR(VLOOKUP(O395,Ingredients!$A:$B,2,FALSE),"")</f>
        <v>30</v>
      </c>
      <c r="O395" s="34" t="s">
        <v>173</v>
      </c>
      <c r="P395" s="32" t="s">
        <v>87</v>
      </c>
      <c r="Q395" s="28">
        <f>IFERROR(VLOOKUP(R395,Ingredients!$A:$B,2,FALSE),"")</f>
        <v>1</v>
      </c>
      <c r="R395" s="35" t="s">
        <v>732</v>
      </c>
      <c r="S395" s="32" t="s">
        <v>87</v>
      </c>
      <c r="T395" s="28"/>
      <c r="U395" s="35"/>
      <c r="V395" s="32"/>
      <c r="W395" s="28"/>
      <c r="X395" s="35"/>
      <c r="Y395" s="32"/>
      <c r="Z395" s="28"/>
      <c r="AA395" s="36"/>
    </row>
    <row r="396" spans="1:27" ht="13">
      <c r="A396" s="27" t="s">
        <v>528</v>
      </c>
      <c r="B396" s="28"/>
      <c r="C396" s="29">
        <v>260</v>
      </c>
      <c r="D396" s="30">
        <f>IF(ISNUMBER(C396),C396-(IF(M396="None",0,K396)+IF(P396="None",0,N396)+IF(S396="None",0,Q396)+IF(V396="None",0,T396)+IF(Y396="None",0,W396)),"")</f>
        <v>90</v>
      </c>
      <c r="E396" s="41"/>
      <c r="F396" s="32"/>
      <c r="G396" s="28"/>
      <c r="H396" s="32" t="s">
        <v>410</v>
      </c>
      <c r="I396" s="33" t="s">
        <v>696</v>
      </c>
      <c r="J396" s="32"/>
      <c r="K396" s="28">
        <f>IFERROR(VLOOKUP(L396,Ingredients!A:B,2,FALSE),"")</f>
        <v>15</v>
      </c>
      <c r="L396" s="38" t="s">
        <v>697</v>
      </c>
      <c r="M396" s="32" t="s">
        <v>89</v>
      </c>
      <c r="N396" s="28">
        <f>IFERROR(VLOOKUP(O396,Ingredients!$A:$B,2,FALSE),"")</f>
        <v>105</v>
      </c>
      <c r="O396" s="34" t="s">
        <v>733</v>
      </c>
      <c r="P396" s="32" t="s">
        <v>87</v>
      </c>
      <c r="Q396" s="28">
        <f>IFERROR(VLOOKUP(R396,Ingredients!$A:$B,2,FALSE),"")</f>
        <v>50</v>
      </c>
      <c r="R396" s="27" t="s">
        <v>734</v>
      </c>
      <c r="S396" s="32" t="s">
        <v>87</v>
      </c>
      <c r="T396" s="28"/>
      <c r="U396" s="35"/>
      <c r="V396" s="32"/>
      <c r="W396" s="28"/>
      <c r="X396" s="35"/>
      <c r="Y396" s="32"/>
      <c r="Z396" s="28"/>
      <c r="AA396" s="36"/>
    </row>
    <row r="397" spans="1:27" ht="13">
      <c r="A397" s="27" t="s">
        <v>530</v>
      </c>
      <c r="B397" s="28"/>
      <c r="C397" s="29">
        <v>100</v>
      </c>
      <c r="D397" s="30">
        <f t="shared" ref="D397:D424" si="3">IF(ISNUMBER(C397),C397-K397-N397-Q397-T397-W397,"")</f>
        <v>-50</v>
      </c>
      <c r="E397" s="41"/>
      <c r="F397" s="32"/>
      <c r="G397" s="28"/>
      <c r="H397" s="32" t="s">
        <v>410</v>
      </c>
      <c r="I397" s="33" t="s">
        <v>696</v>
      </c>
      <c r="J397" s="32"/>
      <c r="K397" s="28">
        <f>IFERROR(VLOOKUP(L397,Ingredients!A:B,2,FALSE),"")</f>
        <v>15</v>
      </c>
      <c r="L397" s="38" t="s">
        <v>697</v>
      </c>
      <c r="M397" s="32" t="s">
        <v>89</v>
      </c>
      <c r="N397" s="28">
        <f>IFERROR(VLOOKUP(O397,Ingredients!$A:$B,2,FALSE),"")</f>
        <v>30</v>
      </c>
      <c r="O397" s="34" t="s">
        <v>154</v>
      </c>
      <c r="P397" s="32" t="s">
        <v>87</v>
      </c>
      <c r="Q397" s="28">
        <f>IFERROR(VLOOKUP(R397,Ingredients!$A:$B,2,FALSE),"")</f>
        <v>105</v>
      </c>
      <c r="R397" s="35" t="s">
        <v>735</v>
      </c>
      <c r="S397" s="32" t="s">
        <v>87</v>
      </c>
      <c r="T397" s="28"/>
      <c r="U397" s="35"/>
      <c r="V397" s="32"/>
      <c r="W397" s="28"/>
      <c r="X397" s="35"/>
      <c r="Y397" s="32"/>
      <c r="Z397" s="28"/>
      <c r="AA397" s="36"/>
    </row>
    <row r="398" spans="1:27" ht="13">
      <c r="A398" s="27" t="s">
        <v>532</v>
      </c>
      <c r="B398" s="28"/>
      <c r="C398" s="29">
        <v>350</v>
      </c>
      <c r="D398" s="30">
        <f t="shared" si="3"/>
        <v>-55</v>
      </c>
      <c r="E398" s="41"/>
      <c r="F398" s="32"/>
      <c r="G398" s="28"/>
      <c r="H398" s="32" t="s">
        <v>410</v>
      </c>
      <c r="I398" s="33" t="s">
        <v>696</v>
      </c>
      <c r="J398" s="32"/>
      <c r="K398" s="28">
        <f>IFERROR(VLOOKUP(L398,Ingredients!A:B,2,FALSE),"")</f>
        <v>15</v>
      </c>
      <c r="L398" s="38" t="s">
        <v>697</v>
      </c>
      <c r="M398" s="32" t="s">
        <v>89</v>
      </c>
      <c r="N398" s="28">
        <f>IFERROR(VLOOKUP(O398,Ingredients!$A:$B,2,FALSE),"")</f>
        <v>320</v>
      </c>
      <c r="O398" s="34" t="s">
        <v>736</v>
      </c>
      <c r="P398" s="32" t="s">
        <v>87</v>
      </c>
      <c r="Q398" s="28">
        <f>IFERROR(VLOOKUP(R398,Ingredients!$A:$B,2,FALSE),"")</f>
        <v>70</v>
      </c>
      <c r="R398" s="35" t="s">
        <v>737</v>
      </c>
      <c r="S398" s="32" t="s">
        <v>87</v>
      </c>
      <c r="T398" s="28"/>
      <c r="U398" s="35"/>
      <c r="V398" s="32"/>
      <c r="W398" s="28"/>
      <c r="X398" s="35"/>
      <c r="Y398" s="32"/>
      <c r="Z398" s="28"/>
      <c r="AA398" s="36"/>
    </row>
    <row r="399" spans="1:27" ht="13">
      <c r="A399" s="27" t="s">
        <v>534</v>
      </c>
      <c r="B399" s="28"/>
      <c r="C399" s="29">
        <v>350</v>
      </c>
      <c r="D399" s="30">
        <f t="shared" si="3"/>
        <v>14</v>
      </c>
      <c r="E399" s="41"/>
      <c r="F399" s="32"/>
      <c r="G399" s="28"/>
      <c r="H399" s="32" t="s">
        <v>410</v>
      </c>
      <c r="I399" s="33" t="s">
        <v>696</v>
      </c>
      <c r="J399" s="32"/>
      <c r="K399" s="28">
        <f>IFERROR(VLOOKUP(L399,Ingredients!A:B,2,FALSE),"")</f>
        <v>15</v>
      </c>
      <c r="L399" s="38" t="s">
        <v>697</v>
      </c>
      <c r="M399" s="32" t="s">
        <v>89</v>
      </c>
      <c r="N399" s="28">
        <f>IFERROR(VLOOKUP(O399,Ingredients!$A:$B,2,FALSE),"")</f>
        <v>320</v>
      </c>
      <c r="O399" s="34" t="s">
        <v>736</v>
      </c>
      <c r="P399" s="32" t="s">
        <v>87</v>
      </c>
      <c r="Q399" s="28">
        <f>IFERROR(VLOOKUP(R399,Ingredients!$A:$B,2,FALSE),"")</f>
        <v>1</v>
      </c>
      <c r="R399" s="35" t="s">
        <v>738</v>
      </c>
      <c r="S399" s="32" t="s">
        <v>87</v>
      </c>
      <c r="T399" s="28"/>
      <c r="U399" s="35"/>
      <c r="V399" s="32"/>
      <c r="W399" s="28"/>
      <c r="X399" s="35"/>
      <c r="Y399" s="32"/>
      <c r="Z399" s="28"/>
      <c r="AA399" s="36"/>
    </row>
    <row r="400" spans="1:27" ht="13">
      <c r="A400" s="27" t="s">
        <v>538</v>
      </c>
      <c r="B400" s="28"/>
      <c r="C400" s="29">
        <v>260</v>
      </c>
      <c r="D400" s="30">
        <f t="shared" si="3"/>
        <v>40</v>
      </c>
      <c r="E400" s="41"/>
      <c r="F400" s="32"/>
      <c r="G400" s="28"/>
      <c r="H400" s="32" t="s">
        <v>410</v>
      </c>
      <c r="I400" s="33" t="s">
        <v>696</v>
      </c>
      <c r="J400" s="32"/>
      <c r="K400" s="28">
        <f>IFERROR(VLOOKUP(L400,Ingredients!A:B,2,FALSE),"")</f>
        <v>15</v>
      </c>
      <c r="L400" s="38" t="s">
        <v>697</v>
      </c>
      <c r="M400" s="32" t="s">
        <v>89</v>
      </c>
      <c r="N400" s="28">
        <f>IFERROR(VLOOKUP(O400,Ingredients!$A:$B,2,FALSE),"")</f>
        <v>105</v>
      </c>
      <c r="O400" s="34" t="s">
        <v>733</v>
      </c>
      <c r="P400" s="32" t="s">
        <v>87</v>
      </c>
      <c r="Q400" s="28">
        <f>IFERROR(VLOOKUP(R400,Ingredients!$A:$B,2,FALSE),"")</f>
        <v>100</v>
      </c>
      <c r="R400" s="35" t="s">
        <v>195</v>
      </c>
      <c r="S400" s="32" t="s">
        <v>87</v>
      </c>
      <c r="T400" s="28"/>
      <c r="U400" s="35"/>
      <c r="V400" s="32"/>
      <c r="W400" s="28"/>
      <c r="X400" s="35"/>
      <c r="Y400" s="32"/>
      <c r="Z400" s="28"/>
      <c r="AA400" s="36"/>
    </row>
    <row r="401" spans="1:27" ht="13">
      <c r="A401" s="27" t="s">
        <v>544</v>
      </c>
      <c r="B401" s="28"/>
      <c r="C401" s="29">
        <v>50</v>
      </c>
      <c r="D401" s="30">
        <f t="shared" si="3"/>
        <v>-7</v>
      </c>
      <c r="E401" s="41"/>
      <c r="F401" s="32"/>
      <c r="G401" s="28"/>
      <c r="H401" s="32" t="s">
        <v>410</v>
      </c>
      <c r="I401" s="33" t="s">
        <v>696</v>
      </c>
      <c r="J401" s="32"/>
      <c r="K401" s="28">
        <f>IFERROR(VLOOKUP(L401,Ingredients!A:B,2,FALSE),"")</f>
        <v>15</v>
      </c>
      <c r="L401" s="38" t="s">
        <v>697</v>
      </c>
      <c r="M401" s="32" t="s">
        <v>89</v>
      </c>
      <c r="N401" s="28">
        <f>IFERROR(VLOOKUP(O401,Ingredients!$A:$B,2,FALSE),"")</f>
        <v>30</v>
      </c>
      <c r="O401" s="34" t="s">
        <v>165</v>
      </c>
      <c r="P401" s="32" t="s">
        <v>87</v>
      </c>
      <c r="Q401" s="28">
        <f>IFERROR(VLOOKUP(R401,Ingredients!$A:$B,2,FALSE),"")</f>
        <v>12</v>
      </c>
      <c r="R401" s="35" t="s">
        <v>739</v>
      </c>
      <c r="S401" s="32" t="s">
        <v>87</v>
      </c>
      <c r="T401" s="28"/>
      <c r="U401" s="35"/>
      <c r="V401" s="32"/>
      <c r="W401" s="28"/>
      <c r="X401" s="35"/>
      <c r="Y401" s="32"/>
      <c r="Z401" s="28"/>
      <c r="AA401" s="36"/>
    </row>
    <row r="402" spans="1:27" ht="13">
      <c r="A402" s="27" t="s">
        <v>546</v>
      </c>
      <c r="B402" s="28"/>
      <c r="C402" s="29">
        <v>70</v>
      </c>
      <c r="D402" s="30">
        <f t="shared" si="3"/>
        <v>24</v>
      </c>
      <c r="E402" s="41"/>
      <c r="F402" s="32"/>
      <c r="G402" s="28"/>
      <c r="H402" s="32" t="s">
        <v>410</v>
      </c>
      <c r="I402" s="33" t="s">
        <v>696</v>
      </c>
      <c r="J402" s="32"/>
      <c r="K402" s="28">
        <f>IFERROR(VLOOKUP(L402,Ingredients!A:B,2,FALSE),"")</f>
        <v>15</v>
      </c>
      <c r="L402" s="38" t="s">
        <v>697</v>
      </c>
      <c r="M402" s="32" t="s">
        <v>89</v>
      </c>
      <c r="N402" s="28">
        <f>IFERROR(VLOOKUP(O402,Ingredients!$A:$B,2,FALSE),"")</f>
        <v>30</v>
      </c>
      <c r="O402" s="34" t="s">
        <v>165</v>
      </c>
      <c r="P402" s="32" t="s">
        <v>87</v>
      </c>
      <c r="Q402" s="28">
        <f>IFERROR(VLOOKUP(R402,Ingredients!$A:$B,2,FALSE),"")</f>
        <v>1</v>
      </c>
      <c r="R402" s="27" t="s">
        <v>194</v>
      </c>
      <c r="S402" s="32" t="s">
        <v>87</v>
      </c>
      <c r="T402" s="28"/>
      <c r="U402" s="35"/>
      <c r="V402" s="32"/>
      <c r="W402" s="28"/>
      <c r="X402" s="35"/>
      <c r="Y402" s="32"/>
      <c r="Z402" s="28"/>
      <c r="AA402" s="36"/>
    </row>
    <row r="403" spans="1:27" ht="13">
      <c r="A403" s="27" t="s">
        <v>551</v>
      </c>
      <c r="B403" s="28"/>
      <c r="C403" s="29">
        <v>260</v>
      </c>
      <c r="D403" s="30">
        <f t="shared" si="3"/>
        <v>-1156</v>
      </c>
      <c r="E403" s="41"/>
      <c r="F403" s="32"/>
      <c r="G403" s="28"/>
      <c r="H403" s="32" t="s">
        <v>410</v>
      </c>
      <c r="I403" s="33" t="s">
        <v>696</v>
      </c>
      <c r="J403" s="32"/>
      <c r="K403" s="28">
        <f>IFERROR(VLOOKUP(L403,Ingredients!A:B,2,FALSE),"")</f>
        <v>15</v>
      </c>
      <c r="L403" s="38" t="s">
        <v>697</v>
      </c>
      <c r="M403" s="32" t="s">
        <v>89</v>
      </c>
      <c r="N403" s="28">
        <f>IFERROR(VLOOKUP(O403,Ingredients!$A:$B,2,FALSE),"")</f>
        <v>1400</v>
      </c>
      <c r="O403" s="38" t="s">
        <v>91</v>
      </c>
      <c r="P403" s="32" t="s">
        <v>87</v>
      </c>
      <c r="Q403" s="28">
        <f>IFERROR(VLOOKUP(R403,Ingredients!$A:$B,2,FALSE),"")</f>
        <v>1</v>
      </c>
      <c r="R403" s="27" t="s">
        <v>740</v>
      </c>
      <c r="S403" s="32" t="s">
        <v>87</v>
      </c>
      <c r="T403" s="28"/>
      <c r="U403" s="35"/>
      <c r="V403" s="32"/>
      <c r="W403" s="28"/>
      <c r="X403" s="35"/>
      <c r="Y403" s="32"/>
      <c r="Z403" s="28"/>
      <c r="AA403" s="36"/>
    </row>
    <row r="404" spans="1:27" ht="13">
      <c r="A404" s="27" t="s">
        <v>551</v>
      </c>
      <c r="B404" s="28"/>
      <c r="C404" s="29">
        <v>260</v>
      </c>
      <c r="D404" s="30">
        <f t="shared" si="3"/>
        <v>139</v>
      </c>
      <c r="E404" s="41"/>
      <c r="F404" s="32"/>
      <c r="G404" s="28"/>
      <c r="H404" s="32" t="s">
        <v>410</v>
      </c>
      <c r="I404" s="33" t="s">
        <v>696</v>
      </c>
      <c r="J404" s="32"/>
      <c r="K404" s="28">
        <f>IFERROR(VLOOKUP(L404,Ingredients!A:B,2,FALSE),"")</f>
        <v>15</v>
      </c>
      <c r="L404" s="38" t="s">
        <v>697</v>
      </c>
      <c r="M404" s="32" t="s">
        <v>89</v>
      </c>
      <c r="N404" s="28">
        <f>IFERROR(VLOOKUP(O404,Ingredients!$A:$B,2,FALSE),"")</f>
        <v>105</v>
      </c>
      <c r="O404" s="34" t="s">
        <v>707</v>
      </c>
      <c r="P404" s="32" t="s">
        <v>87</v>
      </c>
      <c r="Q404" s="28">
        <f>IFERROR(VLOOKUP(R404,Ingredients!$A:$B,2,FALSE),"")</f>
        <v>1</v>
      </c>
      <c r="R404" s="27" t="s">
        <v>740</v>
      </c>
      <c r="S404" s="32" t="s">
        <v>87</v>
      </c>
      <c r="T404" s="28"/>
      <c r="U404" s="35"/>
      <c r="V404" s="32"/>
      <c r="W404" s="28"/>
      <c r="X404" s="35"/>
      <c r="Y404" s="32"/>
      <c r="Z404" s="28"/>
      <c r="AA404" s="36"/>
    </row>
    <row r="405" spans="1:27" ht="13">
      <c r="A405" s="27" t="s">
        <v>553</v>
      </c>
      <c r="B405" s="28"/>
      <c r="C405" s="29">
        <v>260</v>
      </c>
      <c r="D405" s="30">
        <f t="shared" si="3"/>
        <v>113</v>
      </c>
      <c r="E405" s="41"/>
      <c r="F405" s="32"/>
      <c r="G405" s="28"/>
      <c r="H405" s="32" t="s">
        <v>410</v>
      </c>
      <c r="I405" s="33" t="s">
        <v>696</v>
      </c>
      <c r="J405" s="32"/>
      <c r="K405" s="28">
        <f>IFERROR(VLOOKUP(L405,Ingredients!A:B,2,FALSE),"")</f>
        <v>15</v>
      </c>
      <c r="L405" s="38" t="s">
        <v>697</v>
      </c>
      <c r="M405" s="32" t="s">
        <v>89</v>
      </c>
      <c r="N405" s="28">
        <f>IFERROR(VLOOKUP(O405,Ingredients!$A:$B,2,FALSE),"")</f>
        <v>105</v>
      </c>
      <c r="O405" s="34" t="s">
        <v>741</v>
      </c>
      <c r="P405" s="32" t="s">
        <v>87</v>
      </c>
      <c r="Q405" s="28">
        <f>IFERROR(VLOOKUP(R405,Ingredients!$A:$B,2,FALSE),"")</f>
        <v>27</v>
      </c>
      <c r="R405" s="27" t="s">
        <v>742</v>
      </c>
      <c r="S405" s="32" t="s">
        <v>87</v>
      </c>
      <c r="T405" s="28"/>
      <c r="U405" s="35"/>
      <c r="V405" s="32"/>
      <c r="W405" s="28"/>
      <c r="X405" s="35"/>
      <c r="Y405" s="32"/>
      <c r="Z405" s="28"/>
      <c r="AA405" s="36"/>
    </row>
    <row r="406" spans="1:27" ht="13">
      <c r="A406" s="27" t="s">
        <v>555</v>
      </c>
      <c r="B406" s="28"/>
      <c r="C406" s="29">
        <v>50</v>
      </c>
      <c r="D406" s="30">
        <f t="shared" si="3"/>
        <v>-65</v>
      </c>
      <c r="E406" s="41"/>
      <c r="F406" s="32"/>
      <c r="G406" s="28"/>
      <c r="H406" s="32" t="s">
        <v>410</v>
      </c>
      <c r="I406" s="33" t="s">
        <v>696</v>
      </c>
      <c r="J406" s="32"/>
      <c r="K406" s="28">
        <f>IFERROR(VLOOKUP(L406,Ingredients!A:B,2,FALSE),"")</f>
        <v>15</v>
      </c>
      <c r="L406" s="38" t="s">
        <v>697</v>
      </c>
      <c r="M406" s="32" t="s">
        <v>89</v>
      </c>
      <c r="N406" s="28">
        <f>IFERROR(VLOOKUP(O406,Ingredients!$A:$B,2,FALSE),"")</f>
        <v>30</v>
      </c>
      <c r="O406" s="34" t="s">
        <v>154</v>
      </c>
      <c r="P406" s="32" t="s">
        <v>87</v>
      </c>
      <c r="Q406" s="28">
        <f>IFERROR(VLOOKUP(R406,Ingredients!$A:$B,2,FALSE),"")</f>
        <v>70</v>
      </c>
      <c r="R406" s="35" t="s">
        <v>196</v>
      </c>
      <c r="S406" s="32" t="s">
        <v>87</v>
      </c>
      <c r="T406" s="28"/>
      <c r="U406" s="35"/>
      <c r="V406" s="32"/>
      <c r="W406" s="28"/>
      <c r="X406" s="35"/>
      <c r="Y406" s="32"/>
      <c r="Z406" s="28"/>
      <c r="AA406" s="36"/>
    </row>
    <row r="407" spans="1:27" ht="13">
      <c r="A407" s="27" t="s">
        <v>555</v>
      </c>
      <c r="B407" s="28"/>
      <c r="C407" s="29">
        <v>50</v>
      </c>
      <c r="D407" s="30">
        <f t="shared" si="3"/>
        <v>-35</v>
      </c>
      <c r="E407" s="41"/>
      <c r="F407" s="32"/>
      <c r="G407" s="28"/>
      <c r="H407" s="32" t="s">
        <v>410</v>
      </c>
      <c r="I407" s="33" t="s">
        <v>696</v>
      </c>
      <c r="J407" s="32"/>
      <c r="K407" s="28">
        <f>IFERROR(VLOOKUP(L407,Ingredients!A:B,2,FALSE),"")</f>
        <v>15</v>
      </c>
      <c r="L407" s="38" t="s">
        <v>697</v>
      </c>
      <c r="M407" s="32" t="s">
        <v>89</v>
      </c>
      <c r="N407" s="28">
        <f>IFERROR(VLOOKUP(O407,Ingredients!$A:$B,2,FALSE),"")</f>
        <v>30</v>
      </c>
      <c r="O407" s="34" t="s">
        <v>154</v>
      </c>
      <c r="P407" s="32" t="s">
        <v>87</v>
      </c>
      <c r="Q407" s="28">
        <f>IFERROR(VLOOKUP(R407,Ingredients!$A:$B,2,FALSE),"")</f>
        <v>40</v>
      </c>
      <c r="R407" s="35" t="s">
        <v>743</v>
      </c>
      <c r="S407" s="32" t="s">
        <v>87</v>
      </c>
      <c r="T407" s="28"/>
      <c r="U407" s="35"/>
      <c r="V407" s="32"/>
      <c r="W407" s="28"/>
      <c r="X407" s="35"/>
      <c r="Y407" s="32"/>
      <c r="Z407" s="28"/>
      <c r="AA407" s="36"/>
    </row>
    <row r="408" spans="1:27" ht="13">
      <c r="A408" s="27" t="s">
        <v>557</v>
      </c>
      <c r="B408" s="28"/>
      <c r="C408" s="29">
        <v>260</v>
      </c>
      <c r="D408" s="30">
        <f t="shared" si="3"/>
        <v>40</v>
      </c>
      <c r="E408" s="41"/>
      <c r="F408" s="32"/>
      <c r="G408" s="28"/>
      <c r="H408" s="32" t="s">
        <v>410</v>
      </c>
      <c r="I408" s="33" t="s">
        <v>696</v>
      </c>
      <c r="J408" s="32"/>
      <c r="K408" s="28">
        <f>IFERROR(VLOOKUP(L408,Ingredients!A:B,2,FALSE),"")</f>
        <v>15</v>
      </c>
      <c r="L408" s="38" t="s">
        <v>697</v>
      </c>
      <c r="M408" s="32" t="s">
        <v>89</v>
      </c>
      <c r="N408" s="28">
        <f>IFERROR(VLOOKUP(O408,Ingredients!$A:$B,2,FALSE),"")</f>
        <v>105</v>
      </c>
      <c r="O408" s="34" t="s">
        <v>741</v>
      </c>
      <c r="P408" s="32" t="s">
        <v>87</v>
      </c>
      <c r="Q408" s="28">
        <f>IFERROR(VLOOKUP(R408,Ingredients!$A:$B,2,FALSE),"")</f>
        <v>100</v>
      </c>
      <c r="R408" s="35" t="s">
        <v>386</v>
      </c>
      <c r="S408" s="32" t="s">
        <v>87</v>
      </c>
      <c r="T408" s="28"/>
      <c r="U408" s="35"/>
      <c r="V408" s="32"/>
      <c r="W408" s="28"/>
      <c r="X408" s="35"/>
      <c r="Y408" s="32"/>
      <c r="Z408" s="28"/>
      <c r="AA408" s="36"/>
    </row>
    <row r="409" spans="1:27" ht="13">
      <c r="A409" s="27" t="s">
        <v>560</v>
      </c>
      <c r="B409" s="28"/>
      <c r="C409" s="29">
        <v>60</v>
      </c>
      <c r="D409" s="30" t="e">
        <f t="shared" si="3"/>
        <v>#VALUE!</v>
      </c>
      <c r="E409" s="41"/>
      <c r="F409" s="32"/>
      <c r="G409" s="28"/>
      <c r="H409" s="32" t="s">
        <v>410</v>
      </c>
      <c r="I409" s="33" t="s">
        <v>696</v>
      </c>
      <c r="J409" s="32"/>
      <c r="K409" s="28">
        <f>IFERROR(VLOOKUP(L409,Ingredients!A:B,2,FALSE),"")</f>
        <v>15</v>
      </c>
      <c r="L409" s="38" t="s">
        <v>697</v>
      </c>
      <c r="M409" s="32" t="s">
        <v>89</v>
      </c>
      <c r="N409" s="28">
        <f>IFERROR(VLOOKUP(O409,Ingredients!$A:$B,2,FALSE),"")</f>
        <v>30</v>
      </c>
      <c r="O409" s="34" t="s">
        <v>709</v>
      </c>
      <c r="P409" s="32" t="s">
        <v>87</v>
      </c>
      <c r="Q409" s="28" t="str">
        <f>IFERROR(VLOOKUP(R409,Ingredients!$A:$B,2,FALSE),"")</f>
        <v/>
      </c>
      <c r="R409" s="35" t="s">
        <v>744</v>
      </c>
      <c r="S409" s="32" t="s">
        <v>87</v>
      </c>
      <c r="T409" s="28"/>
      <c r="U409" s="35"/>
      <c r="V409" s="32"/>
      <c r="W409" s="28"/>
      <c r="X409" s="35"/>
      <c r="Y409" s="32"/>
      <c r="Z409" s="28"/>
      <c r="AA409" s="36"/>
    </row>
    <row r="410" spans="1:27" ht="13">
      <c r="A410" s="27" t="s">
        <v>567</v>
      </c>
      <c r="B410" s="28"/>
      <c r="C410" s="29">
        <v>60</v>
      </c>
      <c r="D410" s="30">
        <f t="shared" si="3"/>
        <v>-35</v>
      </c>
      <c r="E410" s="41"/>
      <c r="F410" s="32"/>
      <c r="G410" s="28"/>
      <c r="H410" s="32" t="s">
        <v>410</v>
      </c>
      <c r="I410" s="33" t="s">
        <v>696</v>
      </c>
      <c r="J410" s="32"/>
      <c r="K410" s="28">
        <f>IFERROR(VLOOKUP(L410,Ingredients!A:B,2,FALSE),"")</f>
        <v>15</v>
      </c>
      <c r="L410" s="38" t="s">
        <v>697</v>
      </c>
      <c r="M410" s="32" t="s">
        <v>89</v>
      </c>
      <c r="N410" s="28">
        <f>IFERROR(VLOOKUP(O410,Ingredients!$A:$B,2,FALSE),"")</f>
        <v>30</v>
      </c>
      <c r="O410" s="34" t="s">
        <v>154</v>
      </c>
      <c r="P410" s="32" t="s">
        <v>87</v>
      </c>
      <c r="Q410" s="28">
        <f>IFERROR(VLOOKUP(R410,Ingredients!$A:$B,2,FALSE),"")</f>
        <v>50</v>
      </c>
      <c r="R410" s="35" t="s">
        <v>745</v>
      </c>
      <c r="S410" s="32" t="s">
        <v>87</v>
      </c>
      <c r="T410" s="28"/>
      <c r="U410" s="35"/>
      <c r="V410" s="32"/>
      <c r="W410" s="28"/>
      <c r="X410" s="35"/>
      <c r="Y410" s="32"/>
      <c r="Z410" s="28"/>
      <c r="AA410" s="36"/>
    </row>
    <row r="411" spans="1:27" ht="13">
      <c r="A411" s="27" t="s">
        <v>569</v>
      </c>
      <c r="B411" s="28"/>
      <c r="C411" s="29">
        <v>100</v>
      </c>
      <c r="D411" s="30">
        <f t="shared" si="3"/>
        <v>54</v>
      </c>
      <c r="E411" s="41"/>
      <c r="F411" s="32"/>
      <c r="G411" s="28"/>
      <c r="H411" s="32" t="s">
        <v>410</v>
      </c>
      <c r="I411" s="33" t="s">
        <v>696</v>
      </c>
      <c r="J411" s="32"/>
      <c r="K411" s="28">
        <f>IFERROR(VLOOKUP(L411,Ingredients!A:B,2,FALSE),"")</f>
        <v>15</v>
      </c>
      <c r="L411" s="38" t="s">
        <v>697</v>
      </c>
      <c r="M411" s="32" t="s">
        <v>89</v>
      </c>
      <c r="N411" s="28">
        <f>IFERROR(VLOOKUP(O411,Ingredients!$A:$B,2,FALSE),"")</f>
        <v>30</v>
      </c>
      <c r="O411" s="34" t="s">
        <v>165</v>
      </c>
      <c r="P411" s="32" t="s">
        <v>87</v>
      </c>
      <c r="Q411" s="28">
        <f>IFERROR(VLOOKUP(R411,Ingredients!$A:$B,2,FALSE),"")</f>
        <v>1</v>
      </c>
      <c r="R411" s="35" t="s">
        <v>193</v>
      </c>
      <c r="S411" s="32" t="s">
        <v>87</v>
      </c>
      <c r="T411" s="28"/>
      <c r="U411" s="35"/>
      <c r="V411" s="32"/>
      <c r="W411" s="28"/>
      <c r="X411" s="35"/>
      <c r="Y411" s="32"/>
      <c r="Z411" s="28"/>
      <c r="AA411" s="36"/>
    </row>
    <row r="412" spans="1:27" ht="13">
      <c r="A412" s="27" t="s">
        <v>571</v>
      </c>
      <c r="B412" s="28"/>
      <c r="C412" s="29">
        <v>100</v>
      </c>
      <c r="D412" s="30">
        <f t="shared" si="3"/>
        <v>54</v>
      </c>
      <c r="E412" s="41"/>
      <c r="F412" s="32"/>
      <c r="G412" s="28"/>
      <c r="H412" s="32" t="s">
        <v>410</v>
      </c>
      <c r="I412" s="33" t="s">
        <v>696</v>
      </c>
      <c r="J412" s="32"/>
      <c r="K412" s="28">
        <f>IFERROR(VLOOKUP(L412,Ingredients!A:B,2,FALSE),"")</f>
        <v>15</v>
      </c>
      <c r="L412" s="38" t="s">
        <v>697</v>
      </c>
      <c r="M412" s="32" t="s">
        <v>89</v>
      </c>
      <c r="N412" s="28">
        <f>IFERROR(VLOOKUP(O412,Ingredients!$A:$B,2,FALSE),"")</f>
        <v>30</v>
      </c>
      <c r="O412" s="34" t="s">
        <v>705</v>
      </c>
      <c r="P412" s="32" t="s">
        <v>87</v>
      </c>
      <c r="Q412" s="28">
        <f>IFERROR(VLOOKUP(R412,Ingredients!$A:$B,2,FALSE),"")</f>
        <v>1</v>
      </c>
      <c r="R412" s="35" t="s">
        <v>350</v>
      </c>
      <c r="S412" s="32" t="s">
        <v>87</v>
      </c>
      <c r="T412" s="28"/>
      <c r="U412" s="35"/>
      <c r="V412" s="32"/>
      <c r="W412" s="28"/>
      <c r="X412" s="35"/>
      <c r="Y412" s="32"/>
      <c r="Z412" s="28"/>
      <c r="AA412" s="36"/>
    </row>
    <row r="413" spans="1:27" ht="13">
      <c r="A413" s="27" t="s">
        <v>574</v>
      </c>
      <c r="B413" s="28"/>
      <c r="C413" s="29">
        <v>260</v>
      </c>
      <c r="D413" s="30">
        <f t="shared" si="3"/>
        <v>139</v>
      </c>
      <c r="E413" s="41"/>
      <c r="F413" s="32"/>
      <c r="G413" s="28"/>
      <c r="H413" s="32" t="s">
        <v>410</v>
      </c>
      <c r="I413" s="33" t="s">
        <v>696</v>
      </c>
      <c r="J413" s="32"/>
      <c r="K413" s="28">
        <f>IFERROR(VLOOKUP(L413,Ingredients!A:B,2,FALSE),"")</f>
        <v>15</v>
      </c>
      <c r="L413" s="38" t="s">
        <v>697</v>
      </c>
      <c r="M413" s="32" t="s">
        <v>89</v>
      </c>
      <c r="N413" s="28">
        <f>IFERROR(VLOOKUP(O413,Ingredients!$A:$B,2,FALSE),"")</f>
        <v>105</v>
      </c>
      <c r="O413" s="34" t="s">
        <v>733</v>
      </c>
      <c r="P413" s="32" t="s">
        <v>87</v>
      </c>
      <c r="Q413" s="28">
        <f>IFERROR(VLOOKUP(R413,Ingredients!$A:$B,2,FALSE),"")</f>
        <v>1</v>
      </c>
      <c r="R413" s="35" t="s">
        <v>211</v>
      </c>
      <c r="S413" s="32" t="s">
        <v>87</v>
      </c>
      <c r="T413" s="28"/>
      <c r="U413" s="35"/>
      <c r="V413" s="32"/>
      <c r="W413" s="28"/>
      <c r="X413" s="35"/>
      <c r="Y413" s="32"/>
      <c r="Z413" s="28"/>
      <c r="AA413" s="36"/>
    </row>
    <row r="414" spans="1:27" ht="13">
      <c r="A414" s="27" t="s">
        <v>576</v>
      </c>
      <c r="B414" s="28"/>
      <c r="C414" s="29">
        <v>260</v>
      </c>
      <c r="D414" s="30">
        <f t="shared" si="3"/>
        <v>137</v>
      </c>
      <c r="E414" s="41"/>
      <c r="F414" s="32"/>
      <c r="G414" s="28"/>
      <c r="H414" s="32" t="s">
        <v>410</v>
      </c>
      <c r="I414" s="33" t="s">
        <v>696</v>
      </c>
      <c r="J414" s="32"/>
      <c r="K414" s="28">
        <f>IFERROR(VLOOKUP(L414,Ingredients!A:B,2,FALSE),"")</f>
        <v>15</v>
      </c>
      <c r="L414" s="38" t="s">
        <v>697</v>
      </c>
      <c r="M414" s="32" t="s">
        <v>89</v>
      </c>
      <c r="N414" s="28">
        <f>IFERROR(VLOOKUP(O414,Ingredients!$A:$B,2,FALSE),"")</f>
        <v>105</v>
      </c>
      <c r="O414" s="34" t="s">
        <v>707</v>
      </c>
      <c r="P414" s="32" t="s">
        <v>87</v>
      </c>
      <c r="Q414" s="28">
        <f>IFERROR(VLOOKUP(R414,Ingredients!$A:$B,2,FALSE),"")</f>
        <v>3</v>
      </c>
      <c r="R414" s="35" t="s">
        <v>746</v>
      </c>
      <c r="S414" s="32" t="s">
        <v>87</v>
      </c>
      <c r="T414" s="28"/>
      <c r="U414" s="35"/>
      <c r="V414" s="32"/>
      <c r="W414" s="28"/>
      <c r="X414" s="35"/>
      <c r="Y414" s="32"/>
      <c r="Z414" s="28"/>
      <c r="AA414" s="36"/>
    </row>
    <row r="415" spans="1:27" ht="13">
      <c r="A415" s="27" t="s">
        <v>576</v>
      </c>
      <c r="B415" s="28"/>
      <c r="C415" s="29">
        <v>260</v>
      </c>
      <c r="D415" s="30">
        <f t="shared" si="3"/>
        <v>139</v>
      </c>
      <c r="E415" s="41"/>
      <c r="F415" s="32"/>
      <c r="G415" s="28"/>
      <c r="H415" s="32" t="s">
        <v>410</v>
      </c>
      <c r="I415" s="33" t="s">
        <v>696</v>
      </c>
      <c r="J415" s="32"/>
      <c r="K415" s="28">
        <f>IFERROR(VLOOKUP(L415,Ingredients!A:B,2,FALSE),"")</f>
        <v>15</v>
      </c>
      <c r="L415" s="38" t="s">
        <v>697</v>
      </c>
      <c r="M415" s="32" t="s">
        <v>89</v>
      </c>
      <c r="N415" s="28">
        <f>IFERROR(VLOOKUP(O415,Ingredients!$A:$B,2,FALSE),"")</f>
        <v>105</v>
      </c>
      <c r="O415" s="34" t="s">
        <v>707</v>
      </c>
      <c r="P415" s="32" t="s">
        <v>87</v>
      </c>
      <c r="Q415" s="28">
        <f>IFERROR(VLOOKUP(R415,Ingredients!$A:$B,2,FALSE),"")</f>
        <v>1</v>
      </c>
      <c r="R415" s="35" t="s">
        <v>747</v>
      </c>
      <c r="S415" s="32" t="s">
        <v>87</v>
      </c>
      <c r="T415" s="28"/>
      <c r="U415" s="35"/>
      <c r="V415" s="32"/>
      <c r="W415" s="28"/>
      <c r="X415" s="35"/>
      <c r="Y415" s="32"/>
      <c r="Z415" s="28"/>
      <c r="AA415" s="36"/>
    </row>
    <row r="416" spans="1:27" ht="13">
      <c r="A416" s="27" t="s">
        <v>578</v>
      </c>
      <c r="B416" s="28"/>
      <c r="C416" s="29">
        <v>350</v>
      </c>
      <c r="D416" s="30">
        <f t="shared" si="3"/>
        <v>-15</v>
      </c>
      <c r="E416" s="41"/>
      <c r="F416" s="32"/>
      <c r="G416" s="28"/>
      <c r="H416" s="32" t="s">
        <v>410</v>
      </c>
      <c r="I416" s="33" t="s">
        <v>696</v>
      </c>
      <c r="J416" s="32"/>
      <c r="K416" s="28">
        <f>IFERROR(VLOOKUP(L416,Ingredients!A:B,2,FALSE),"")</f>
        <v>15</v>
      </c>
      <c r="L416" s="38" t="s">
        <v>697</v>
      </c>
      <c r="M416" s="32" t="s">
        <v>89</v>
      </c>
      <c r="N416" s="28">
        <f>IFERROR(VLOOKUP(O416,Ingredients!$A:$B,2,FALSE),"")</f>
        <v>320</v>
      </c>
      <c r="O416" s="34" t="s">
        <v>748</v>
      </c>
      <c r="P416" s="32" t="s">
        <v>87</v>
      </c>
      <c r="Q416" s="28">
        <f>IFERROR(VLOOKUP(R416,Ingredients!$A:$B,2,FALSE),"")</f>
        <v>30</v>
      </c>
      <c r="R416" s="35" t="s">
        <v>749</v>
      </c>
      <c r="S416" s="32" t="s">
        <v>87</v>
      </c>
      <c r="T416" s="28"/>
      <c r="U416" s="35"/>
      <c r="V416" s="32"/>
      <c r="W416" s="28"/>
      <c r="X416" s="35"/>
      <c r="Y416" s="32"/>
      <c r="Z416" s="28"/>
      <c r="AA416" s="36"/>
    </row>
    <row r="417" spans="1:27" ht="13">
      <c r="A417" s="27" t="s">
        <v>590</v>
      </c>
      <c r="B417" s="28"/>
      <c r="C417" s="29">
        <v>100</v>
      </c>
      <c r="D417" s="30">
        <f t="shared" si="3"/>
        <v>-545</v>
      </c>
      <c r="E417" s="41"/>
      <c r="F417" s="32"/>
      <c r="G417" s="28"/>
      <c r="H417" s="32" t="s">
        <v>410</v>
      </c>
      <c r="I417" s="33" t="s">
        <v>696</v>
      </c>
      <c r="J417" s="32"/>
      <c r="K417" s="28">
        <f>IFERROR(VLOOKUP(L417,Ingredients!A:B,2,FALSE),"")</f>
        <v>15</v>
      </c>
      <c r="L417" s="38" t="s">
        <v>697</v>
      </c>
      <c r="M417" s="32" t="s">
        <v>89</v>
      </c>
      <c r="N417" s="28">
        <f>IFERROR(VLOOKUP(O417,Ingredients!$A:$B,2,FALSE),"")</f>
        <v>30</v>
      </c>
      <c r="O417" s="34" t="s">
        <v>165</v>
      </c>
      <c r="P417" s="32" t="s">
        <v>87</v>
      </c>
      <c r="Q417" s="28">
        <f>IFERROR(VLOOKUP(R417,Ingredients!$A:$B,2,FALSE),"")</f>
        <v>600</v>
      </c>
      <c r="R417" s="27" t="s">
        <v>750</v>
      </c>
      <c r="S417" s="32" t="s">
        <v>87</v>
      </c>
      <c r="T417" s="28"/>
      <c r="U417" s="35"/>
      <c r="V417" s="32"/>
      <c r="W417" s="28"/>
      <c r="X417" s="35"/>
      <c r="Y417" s="32"/>
      <c r="Z417" s="28"/>
      <c r="AA417" s="36"/>
    </row>
    <row r="418" spans="1:27" ht="13">
      <c r="A418" s="27" t="s">
        <v>590</v>
      </c>
      <c r="B418" s="28"/>
      <c r="C418" s="29">
        <v>100</v>
      </c>
      <c r="D418" s="30">
        <f t="shared" si="3"/>
        <v>-145</v>
      </c>
      <c r="E418" s="41"/>
      <c r="F418" s="32"/>
      <c r="G418" s="28"/>
      <c r="H418" s="32" t="s">
        <v>410</v>
      </c>
      <c r="I418" s="33" t="s">
        <v>696</v>
      </c>
      <c r="J418" s="32"/>
      <c r="K418" s="28">
        <f>IFERROR(VLOOKUP(L418,Ingredients!A:B,2,FALSE),"")</f>
        <v>15</v>
      </c>
      <c r="L418" s="38" t="s">
        <v>697</v>
      </c>
      <c r="M418" s="32" t="s">
        <v>89</v>
      </c>
      <c r="N418" s="28">
        <f>IFERROR(VLOOKUP(O418,Ingredients!$A:$B,2,FALSE),"")</f>
        <v>30</v>
      </c>
      <c r="O418" s="34" t="s">
        <v>165</v>
      </c>
      <c r="P418" s="32" t="s">
        <v>87</v>
      </c>
      <c r="Q418" s="28">
        <f>IFERROR(VLOOKUP(R418,Ingredients!$A:$B,2,FALSE),"")</f>
        <v>200</v>
      </c>
      <c r="R418" s="35" t="s">
        <v>751</v>
      </c>
      <c r="S418" s="32" t="s">
        <v>87</v>
      </c>
      <c r="T418" s="28"/>
      <c r="U418" s="35"/>
      <c r="V418" s="32"/>
      <c r="W418" s="28"/>
      <c r="X418" s="35"/>
      <c r="Y418" s="32"/>
      <c r="Z418" s="28"/>
      <c r="AA418" s="36"/>
    </row>
    <row r="419" spans="1:27" ht="13">
      <c r="A419" s="27" t="s">
        <v>597</v>
      </c>
      <c r="B419" s="28"/>
      <c r="C419" s="29">
        <v>260</v>
      </c>
      <c r="D419" s="30">
        <f t="shared" si="3"/>
        <v>-80</v>
      </c>
      <c r="E419" s="41"/>
      <c r="F419" s="32"/>
      <c r="G419" s="28"/>
      <c r="H419" s="32" t="s">
        <v>410</v>
      </c>
      <c r="I419" s="33" t="s">
        <v>696</v>
      </c>
      <c r="J419" s="32"/>
      <c r="K419" s="28">
        <f>IFERROR(VLOOKUP(L419,Ingredients!A:B,2,FALSE),"")</f>
        <v>15</v>
      </c>
      <c r="L419" s="38" t="s">
        <v>697</v>
      </c>
      <c r="M419" s="32" t="s">
        <v>89</v>
      </c>
      <c r="N419" s="28">
        <f>IFERROR(VLOOKUP(O419,Ingredients!$A:$B,2,FALSE),"")</f>
        <v>105</v>
      </c>
      <c r="O419" s="34" t="s">
        <v>700</v>
      </c>
      <c r="P419" s="32" t="s">
        <v>87</v>
      </c>
      <c r="Q419" s="28">
        <f>IFERROR(VLOOKUP(R419,Ingredients!$A:$B,2,FALSE),"")</f>
        <v>220</v>
      </c>
      <c r="R419" s="35" t="s">
        <v>752</v>
      </c>
      <c r="S419" s="32" t="s">
        <v>87</v>
      </c>
      <c r="T419" s="28"/>
      <c r="U419" s="35"/>
      <c r="V419" s="32"/>
      <c r="W419" s="28"/>
      <c r="X419" s="35"/>
      <c r="Y419" s="32"/>
      <c r="Z419" s="28"/>
      <c r="AA419" s="36"/>
    </row>
    <row r="420" spans="1:27" ht="13">
      <c r="A420" s="27" t="s">
        <v>600</v>
      </c>
      <c r="B420" s="28"/>
      <c r="C420" s="29">
        <v>60</v>
      </c>
      <c r="D420" s="30">
        <f t="shared" si="3"/>
        <v>8</v>
      </c>
      <c r="E420" s="41"/>
      <c r="F420" s="32"/>
      <c r="G420" s="28"/>
      <c r="H420" s="32" t="s">
        <v>410</v>
      </c>
      <c r="I420" s="33" t="s">
        <v>696</v>
      </c>
      <c r="J420" s="32"/>
      <c r="K420" s="28">
        <f>IFERROR(VLOOKUP(L420,Ingredients!A:B,2,FALSE),"")</f>
        <v>15</v>
      </c>
      <c r="L420" s="38" t="s">
        <v>697</v>
      </c>
      <c r="M420" s="32" t="s">
        <v>89</v>
      </c>
      <c r="N420" s="28">
        <f>IFERROR(VLOOKUP(O420,Ingredients!$A:$B,2,FALSE),"")</f>
        <v>30</v>
      </c>
      <c r="O420" s="34" t="s">
        <v>154</v>
      </c>
      <c r="P420" s="32" t="s">
        <v>87</v>
      </c>
      <c r="Q420" s="28">
        <f>IFERROR(VLOOKUP(R420,Ingredients!$A:$B,2,FALSE),"")</f>
        <v>7</v>
      </c>
      <c r="R420" s="27" t="s">
        <v>753</v>
      </c>
      <c r="S420" s="32" t="s">
        <v>87</v>
      </c>
      <c r="T420" s="28"/>
      <c r="U420" s="35"/>
      <c r="V420" s="32"/>
      <c r="W420" s="28"/>
      <c r="X420" s="35"/>
      <c r="Y420" s="32"/>
      <c r="Z420" s="28"/>
      <c r="AA420" s="36"/>
    </row>
    <row r="421" spans="1:27" ht="13">
      <c r="A421" s="27" t="s">
        <v>602</v>
      </c>
      <c r="B421" s="28"/>
      <c r="C421" s="29">
        <v>260</v>
      </c>
      <c r="D421" s="30">
        <f t="shared" si="3"/>
        <v>-1173</v>
      </c>
      <c r="E421" s="41"/>
      <c r="F421" s="32"/>
      <c r="G421" s="28"/>
      <c r="H421" s="32" t="s">
        <v>410</v>
      </c>
      <c r="I421" s="33" t="s">
        <v>696</v>
      </c>
      <c r="J421" s="32"/>
      <c r="K421" s="28">
        <f>IFERROR(VLOOKUP(L421,Ingredients!A:B,2,FALSE),"")</f>
        <v>15</v>
      </c>
      <c r="L421" s="38" t="s">
        <v>697</v>
      </c>
      <c r="M421" s="32" t="s">
        <v>89</v>
      </c>
      <c r="N421" s="28">
        <f>IFERROR(VLOOKUP(O421,Ingredients!$A:$B,2,FALSE),"")</f>
        <v>1400</v>
      </c>
      <c r="O421" s="38" t="s">
        <v>91</v>
      </c>
      <c r="P421" s="32" t="s">
        <v>87</v>
      </c>
      <c r="Q421" s="28">
        <f>IFERROR(VLOOKUP(R421,Ingredients!$A:$B,2,FALSE),"")</f>
        <v>18</v>
      </c>
      <c r="R421" s="35" t="s">
        <v>258</v>
      </c>
      <c r="S421" s="32" t="s">
        <v>87</v>
      </c>
      <c r="T421" s="28"/>
      <c r="U421" s="35"/>
      <c r="V421" s="32"/>
      <c r="W421" s="28"/>
      <c r="X421" s="35"/>
      <c r="Y421" s="32"/>
      <c r="Z421" s="28"/>
      <c r="AA421" s="36"/>
    </row>
    <row r="422" spans="1:27" ht="13">
      <c r="A422" s="27" t="s">
        <v>604</v>
      </c>
      <c r="B422" s="28"/>
      <c r="C422" s="29">
        <v>70</v>
      </c>
      <c r="D422" s="30">
        <f t="shared" si="3"/>
        <v>5</v>
      </c>
      <c r="E422" s="41"/>
      <c r="F422" s="32"/>
      <c r="G422" s="28"/>
      <c r="H422" s="32" t="s">
        <v>410</v>
      </c>
      <c r="I422" s="33" t="s">
        <v>696</v>
      </c>
      <c r="J422" s="32"/>
      <c r="K422" s="28">
        <f>IFERROR(VLOOKUP(L422,Ingredients!A:B,2,FALSE),"")</f>
        <v>15</v>
      </c>
      <c r="L422" s="38" t="s">
        <v>697</v>
      </c>
      <c r="M422" s="32" t="s">
        <v>89</v>
      </c>
      <c r="N422" s="28">
        <f>IFERROR(VLOOKUP(O422,Ingredients!$A:$B,2,FALSE),"")</f>
        <v>30</v>
      </c>
      <c r="O422" s="34" t="s">
        <v>165</v>
      </c>
      <c r="P422" s="32" t="s">
        <v>87</v>
      </c>
      <c r="Q422" s="28">
        <f>IFERROR(VLOOKUP(R422,Ingredients!$A:$B,2,FALSE),"")</f>
        <v>20</v>
      </c>
      <c r="R422" s="35" t="s">
        <v>754</v>
      </c>
      <c r="S422" s="32" t="s">
        <v>87</v>
      </c>
      <c r="T422" s="28"/>
      <c r="U422" s="35"/>
      <c r="V422" s="32"/>
      <c r="W422" s="28"/>
      <c r="X422" s="35"/>
      <c r="Y422" s="32"/>
      <c r="Z422" s="28"/>
      <c r="AA422" s="36"/>
    </row>
    <row r="423" spans="1:27" ht="13">
      <c r="A423" s="27" t="s">
        <v>607</v>
      </c>
      <c r="B423" s="28"/>
      <c r="C423" s="29">
        <v>260</v>
      </c>
      <c r="D423" s="30">
        <f t="shared" si="3"/>
        <v>135</v>
      </c>
      <c r="E423" s="41"/>
      <c r="F423" s="32"/>
      <c r="G423" s="28"/>
      <c r="H423" s="32" t="s">
        <v>410</v>
      </c>
      <c r="I423" s="33" t="s">
        <v>696</v>
      </c>
      <c r="J423" s="32"/>
      <c r="K423" s="28">
        <f>IFERROR(VLOOKUP(L423,Ingredients!A:B,2,FALSE),"")</f>
        <v>15</v>
      </c>
      <c r="L423" s="38" t="s">
        <v>697</v>
      </c>
      <c r="M423" s="32" t="s">
        <v>89</v>
      </c>
      <c r="N423" s="28">
        <f>IFERROR(VLOOKUP(O423,Ingredients!$A:$B,2,FALSE),"")</f>
        <v>105</v>
      </c>
      <c r="O423" s="34" t="s">
        <v>723</v>
      </c>
      <c r="P423" s="32" t="s">
        <v>87</v>
      </c>
      <c r="Q423" s="28">
        <f>IFERROR(VLOOKUP(R423,Ingredients!$A:$B,2,FALSE),"")</f>
        <v>5</v>
      </c>
      <c r="R423" s="35" t="s">
        <v>755</v>
      </c>
      <c r="S423" s="32" t="s">
        <v>87</v>
      </c>
      <c r="T423" s="28"/>
      <c r="U423" s="35"/>
      <c r="V423" s="32"/>
      <c r="W423" s="28"/>
      <c r="X423" s="35"/>
      <c r="Y423" s="32"/>
      <c r="Z423" s="28"/>
      <c r="AA423" s="36"/>
    </row>
    <row r="424" spans="1:27" ht="13">
      <c r="A424" s="27" t="s">
        <v>612</v>
      </c>
      <c r="B424" s="28"/>
      <c r="C424" s="29">
        <v>260</v>
      </c>
      <c r="D424" s="30">
        <f t="shared" si="3"/>
        <v>139</v>
      </c>
      <c r="E424" s="41"/>
      <c r="F424" s="32"/>
      <c r="G424" s="28"/>
      <c r="H424" s="32" t="s">
        <v>410</v>
      </c>
      <c r="I424" s="33" t="s">
        <v>696</v>
      </c>
      <c r="J424" s="32"/>
      <c r="K424" s="28">
        <f>IFERROR(VLOOKUP(L424,Ingredients!A:B,2,FALSE),"")</f>
        <v>15</v>
      </c>
      <c r="L424" s="38" t="s">
        <v>697</v>
      </c>
      <c r="M424" s="32" t="s">
        <v>89</v>
      </c>
      <c r="N424" s="28">
        <f>IFERROR(VLOOKUP(O424,Ingredients!$A:$B,2,FALSE),"")</f>
        <v>105</v>
      </c>
      <c r="O424" s="34" t="s">
        <v>700</v>
      </c>
      <c r="P424" s="32" t="s">
        <v>87</v>
      </c>
      <c r="Q424" s="28">
        <f>IFERROR(VLOOKUP(R424,Ingredients!$A:$B,2,FALSE),"")</f>
        <v>1</v>
      </c>
      <c r="R424" s="35" t="s">
        <v>756</v>
      </c>
      <c r="S424" s="32" t="s">
        <v>87</v>
      </c>
      <c r="T424" s="28"/>
      <c r="U424" s="35"/>
      <c r="V424" s="32"/>
      <c r="W424" s="28"/>
      <c r="X424" s="35"/>
      <c r="Y424" s="32"/>
      <c r="Z424" s="28"/>
      <c r="AA424" s="36"/>
    </row>
    <row r="425" spans="1:27" ht="14">
      <c r="A425" s="27" t="s">
        <v>614</v>
      </c>
      <c r="B425" s="28"/>
      <c r="C425" s="28"/>
      <c r="D425" s="30" t="str">
        <f>IF(ISNUMBER(C425),C425-(IF(M425="None",0,K425)+IF(P425="None",0,N425)+IF(S425="None",0,Q425)+IF(V425="None",0,T425)+IF(Y425="None",0,W425)),"")</f>
        <v/>
      </c>
      <c r="E425" s="41"/>
      <c r="F425" s="32"/>
      <c r="G425" s="28"/>
      <c r="H425" s="32" t="s">
        <v>410</v>
      </c>
      <c r="I425" s="33" t="s">
        <v>696</v>
      </c>
      <c r="J425" s="32"/>
      <c r="K425" s="28">
        <f>IFERROR(VLOOKUP(L425,Ingredients!A:B,2,FALSE),"")</f>
        <v>15</v>
      </c>
      <c r="L425" s="38" t="s">
        <v>697</v>
      </c>
      <c r="M425" s="32" t="s">
        <v>89</v>
      </c>
      <c r="N425" s="28">
        <f>IFERROR(VLOOKUP(O425,Ingredients!$A:$B,2,FALSE),"")</f>
        <v>1400</v>
      </c>
      <c r="O425" s="38" t="s">
        <v>91</v>
      </c>
      <c r="P425" s="32" t="s">
        <v>87</v>
      </c>
      <c r="Q425" s="28" t="str">
        <f>IFERROR(VLOOKUP(R425,Ingredients!$A:$B,2,FALSE),"")</f>
        <v/>
      </c>
      <c r="R425" s="27" t="s">
        <v>757</v>
      </c>
      <c r="S425" s="32" t="s">
        <v>87</v>
      </c>
      <c r="T425" s="28"/>
      <c r="U425" s="35"/>
      <c r="V425" s="32"/>
      <c r="W425" s="28"/>
      <c r="X425" s="35"/>
      <c r="Y425" s="32"/>
      <c r="Z425" s="28"/>
      <c r="AA425" s="36"/>
    </row>
    <row r="426" spans="1:27" ht="13">
      <c r="A426" s="27" t="s">
        <v>616</v>
      </c>
      <c r="B426" s="28"/>
      <c r="C426" s="29">
        <v>40</v>
      </c>
      <c r="D426" s="30">
        <f t="shared" ref="D426:D435" si="4">IF(ISNUMBER(C426),C426-K426-N426-Q426-T426-W426,"")</f>
        <v>-6</v>
      </c>
      <c r="E426" s="41"/>
      <c r="F426" s="32"/>
      <c r="G426" s="28"/>
      <c r="H426" s="32" t="s">
        <v>410</v>
      </c>
      <c r="I426" s="33" t="s">
        <v>696</v>
      </c>
      <c r="J426" s="32"/>
      <c r="K426" s="28">
        <f>IFERROR(VLOOKUP(L426,Ingredients!A:B,2,FALSE),"")</f>
        <v>15</v>
      </c>
      <c r="L426" s="38" t="s">
        <v>697</v>
      </c>
      <c r="M426" s="32" t="s">
        <v>89</v>
      </c>
      <c r="N426" s="28">
        <f>IFERROR(VLOOKUP(O426,Ingredients!$A:$B,2,FALSE),"")</f>
        <v>30</v>
      </c>
      <c r="O426" s="34" t="s">
        <v>158</v>
      </c>
      <c r="P426" s="32" t="s">
        <v>87</v>
      </c>
      <c r="Q426" s="28">
        <f>IFERROR(VLOOKUP(R426,Ingredients!$A:$B,2,FALSE),"")</f>
        <v>1</v>
      </c>
      <c r="R426" s="27" t="s">
        <v>758</v>
      </c>
      <c r="S426" s="32" t="s">
        <v>87</v>
      </c>
      <c r="T426" s="28"/>
      <c r="U426" s="35"/>
      <c r="V426" s="32"/>
      <c r="W426" s="28"/>
      <c r="X426" s="35"/>
      <c r="Y426" s="32"/>
      <c r="Z426" s="28"/>
      <c r="AA426" s="36"/>
    </row>
    <row r="427" spans="1:27" ht="13">
      <c r="A427" s="27" t="s">
        <v>620</v>
      </c>
      <c r="B427" s="28"/>
      <c r="C427" s="29">
        <v>60</v>
      </c>
      <c r="D427" s="30" t="e">
        <f t="shared" si="4"/>
        <v>#VALUE!</v>
      </c>
      <c r="E427" s="41"/>
      <c r="F427" s="32"/>
      <c r="G427" s="28"/>
      <c r="H427" s="32" t="s">
        <v>410</v>
      </c>
      <c r="I427" s="33" t="s">
        <v>696</v>
      </c>
      <c r="J427" s="32"/>
      <c r="K427" s="28">
        <f>IFERROR(VLOOKUP(L427,Ingredients!A:B,2,FALSE),"")</f>
        <v>15</v>
      </c>
      <c r="L427" s="38" t="s">
        <v>697</v>
      </c>
      <c r="M427" s="32" t="s">
        <v>89</v>
      </c>
      <c r="N427" s="28">
        <f>IFERROR(VLOOKUP(O427,Ingredients!$A:$B,2,FALSE),"")</f>
        <v>30</v>
      </c>
      <c r="O427" s="34" t="s">
        <v>705</v>
      </c>
      <c r="P427" s="32" t="s">
        <v>87</v>
      </c>
      <c r="Q427" s="28" t="str">
        <f>IFERROR(VLOOKUP(R427,Ingredients!$A:$B,2,FALSE),"")</f>
        <v/>
      </c>
      <c r="R427" s="27" t="s">
        <v>759</v>
      </c>
      <c r="S427" s="32" t="s">
        <v>87</v>
      </c>
      <c r="T427" s="28"/>
      <c r="U427" s="35"/>
      <c r="V427" s="32"/>
      <c r="W427" s="28"/>
      <c r="X427" s="35"/>
      <c r="Y427" s="32"/>
      <c r="Z427" s="28"/>
      <c r="AA427" s="36"/>
    </row>
    <row r="428" spans="1:27" ht="13">
      <c r="A428" s="27" t="s">
        <v>622</v>
      </c>
      <c r="B428" s="28"/>
      <c r="C428" s="29">
        <v>260</v>
      </c>
      <c r="D428" s="30">
        <f t="shared" si="4"/>
        <v>60</v>
      </c>
      <c r="E428" s="41"/>
      <c r="F428" s="32"/>
      <c r="G428" s="28"/>
      <c r="H428" s="32" t="s">
        <v>410</v>
      </c>
      <c r="I428" s="33" t="s">
        <v>696</v>
      </c>
      <c r="J428" s="32"/>
      <c r="K428" s="28">
        <f>IFERROR(VLOOKUP(L428,Ingredients!A:B,2,FALSE),"")</f>
        <v>15</v>
      </c>
      <c r="L428" s="38" t="s">
        <v>697</v>
      </c>
      <c r="M428" s="32" t="s">
        <v>89</v>
      </c>
      <c r="N428" s="28">
        <f>IFERROR(VLOOKUP(O428,Ingredients!$A:$B,2,FALSE),"")</f>
        <v>105</v>
      </c>
      <c r="O428" s="34" t="s">
        <v>707</v>
      </c>
      <c r="P428" s="32" t="s">
        <v>87</v>
      </c>
      <c r="Q428" s="28">
        <f>IFERROR(VLOOKUP(R428,Ingredients!$A:$B,2,FALSE),"")</f>
        <v>80</v>
      </c>
      <c r="R428" s="27" t="s">
        <v>760</v>
      </c>
      <c r="S428" s="32" t="s">
        <v>87</v>
      </c>
      <c r="T428" s="28"/>
      <c r="U428" s="35"/>
      <c r="V428" s="32"/>
      <c r="W428" s="28"/>
      <c r="X428" s="35"/>
      <c r="Y428" s="32"/>
      <c r="Z428" s="28"/>
      <c r="AA428" s="36"/>
    </row>
    <row r="429" spans="1:27" ht="13">
      <c r="A429" s="27" t="s">
        <v>624</v>
      </c>
      <c r="B429" s="28"/>
      <c r="C429" s="29">
        <v>100</v>
      </c>
      <c r="D429" s="30">
        <f t="shared" si="4"/>
        <v>51</v>
      </c>
      <c r="E429" s="41"/>
      <c r="F429" s="32"/>
      <c r="G429" s="28"/>
      <c r="H429" s="32" t="s">
        <v>410</v>
      </c>
      <c r="I429" s="33" t="s">
        <v>696</v>
      </c>
      <c r="J429" s="32"/>
      <c r="K429" s="28">
        <f>IFERROR(VLOOKUP(L429,Ingredients!A:B,2,FALSE),"")</f>
        <v>15</v>
      </c>
      <c r="L429" s="38" t="s">
        <v>697</v>
      </c>
      <c r="M429" s="32" t="s">
        <v>89</v>
      </c>
      <c r="N429" s="28">
        <f>IFERROR(VLOOKUP(O429,Ingredients!$A:$B,2,FALSE),"")</f>
        <v>30</v>
      </c>
      <c r="O429" s="34" t="s">
        <v>405</v>
      </c>
      <c r="P429" s="32" t="s">
        <v>87</v>
      </c>
      <c r="Q429" s="28">
        <f>IFERROR(VLOOKUP(R429,Ingredients!$A:$B,2,FALSE),"")</f>
        <v>4</v>
      </c>
      <c r="R429" s="35" t="s">
        <v>761</v>
      </c>
      <c r="S429" s="32" t="s">
        <v>87</v>
      </c>
      <c r="T429" s="28"/>
      <c r="U429" s="35"/>
      <c r="V429" s="32"/>
      <c r="W429" s="28"/>
      <c r="X429" s="35"/>
      <c r="Y429" s="32"/>
      <c r="Z429" s="28"/>
      <c r="AA429" s="36"/>
    </row>
    <row r="430" spans="1:27" ht="13">
      <c r="A430" s="27" t="s">
        <v>626</v>
      </c>
      <c r="B430" s="28"/>
      <c r="C430" s="29">
        <v>260</v>
      </c>
      <c r="D430" s="30">
        <f t="shared" si="4"/>
        <v>20</v>
      </c>
      <c r="E430" s="41"/>
      <c r="F430" s="32"/>
      <c r="G430" s="28"/>
      <c r="H430" s="32" t="s">
        <v>410</v>
      </c>
      <c r="I430" s="33" t="s">
        <v>696</v>
      </c>
      <c r="J430" s="32"/>
      <c r="K430" s="28">
        <f>IFERROR(VLOOKUP(L430,Ingredients!A:B,2,FALSE),"")</f>
        <v>15</v>
      </c>
      <c r="L430" s="38" t="s">
        <v>697</v>
      </c>
      <c r="M430" s="32" t="s">
        <v>89</v>
      </c>
      <c r="N430" s="28">
        <f>IFERROR(VLOOKUP(O430,Ingredients!$A:$B,2,FALSE),"")</f>
        <v>105</v>
      </c>
      <c r="O430" s="34" t="s">
        <v>723</v>
      </c>
      <c r="P430" s="32" t="s">
        <v>87</v>
      </c>
      <c r="Q430" s="28">
        <f>IFERROR(VLOOKUP(R430,Ingredients!$A:$B,2,FALSE),"")</f>
        <v>120</v>
      </c>
      <c r="R430" s="35" t="s">
        <v>762</v>
      </c>
      <c r="S430" s="32" t="s">
        <v>87</v>
      </c>
      <c r="T430" s="28"/>
      <c r="U430" s="35"/>
      <c r="V430" s="32"/>
      <c r="W430" s="28"/>
      <c r="X430" s="35"/>
      <c r="Y430" s="32"/>
      <c r="Z430" s="28"/>
      <c r="AA430" s="36"/>
    </row>
    <row r="431" spans="1:27" ht="13">
      <c r="A431" s="27" t="s">
        <v>628</v>
      </c>
      <c r="B431" s="28"/>
      <c r="C431" s="29">
        <v>50</v>
      </c>
      <c r="D431" s="30">
        <f t="shared" si="4"/>
        <v>-25</v>
      </c>
      <c r="E431" s="41"/>
      <c r="F431" s="32"/>
      <c r="G431" s="28"/>
      <c r="H431" s="32" t="s">
        <v>410</v>
      </c>
      <c r="I431" s="33" t="s">
        <v>696</v>
      </c>
      <c r="J431" s="32"/>
      <c r="K431" s="28">
        <f>IFERROR(VLOOKUP(L431,Ingredients!A:B,2,FALSE),"")</f>
        <v>15</v>
      </c>
      <c r="L431" s="38" t="s">
        <v>697</v>
      </c>
      <c r="M431" s="32" t="s">
        <v>89</v>
      </c>
      <c r="N431" s="28">
        <f>IFERROR(VLOOKUP(O431,Ingredients!$A:$B,2,FALSE),"")</f>
        <v>30</v>
      </c>
      <c r="O431" s="34" t="s">
        <v>158</v>
      </c>
      <c r="P431" s="32" t="s">
        <v>87</v>
      </c>
      <c r="Q431" s="28">
        <f>IFERROR(VLOOKUP(R431,Ingredients!$A:$B,2,FALSE),"")</f>
        <v>30</v>
      </c>
      <c r="R431" s="35" t="s">
        <v>706</v>
      </c>
      <c r="S431" s="32" t="s">
        <v>87</v>
      </c>
      <c r="T431" s="28"/>
      <c r="U431" s="35"/>
      <c r="V431" s="32"/>
      <c r="W431" s="28"/>
      <c r="X431" s="35"/>
      <c r="Y431" s="32"/>
      <c r="Z431" s="28"/>
      <c r="AA431" s="36"/>
    </row>
    <row r="432" spans="1:27" ht="13">
      <c r="A432" s="35" t="s">
        <v>763</v>
      </c>
      <c r="B432" s="28"/>
      <c r="C432" s="29">
        <v>120</v>
      </c>
      <c r="D432" s="30">
        <f t="shared" si="4"/>
        <v>45</v>
      </c>
      <c r="E432" s="41"/>
      <c r="F432" s="32"/>
      <c r="G432" s="28"/>
      <c r="H432" s="32" t="s">
        <v>410</v>
      </c>
      <c r="I432" s="33" t="s">
        <v>696</v>
      </c>
      <c r="J432" s="32"/>
      <c r="K432" s="28">
        <f>IFERROR(VLOOKUP(L432,Ingredients!A:B,2,FALSE),"")</f>
        <v>15</v>
      </c>
      <c r="L432" s="38" t="s">
        <v>697</v>
      </c>
      <c r="M432" s="32" t="s">
        <v>89</v>
      </c>
      <c r="N432" s="28">
        <f>IFERROR(VLOOKUP(O432,Ingredients!$A:$B,2,FALSE),"")</f>
        <v>30</v>
      </c>
      <c r="O432" s="34" t="s">
        <v>158</v>
      </c>
      <c r="P432" s="32" t="s">
        <v>87</v>
      </c>
      <c r="Q432" s="28">
        <f>IFERROR(VLOOKUP(R432,Ingredients!$A:$B,2,FALSE),"")</f>
        <v>30</v>
      </c>
      <c r="R432" s="27" t="s">
        <v>709</v>
      </c>
      <c r="S432" s="32" t="s">
        <v>87</v>
      </c>
      <c r="T432" s="28"/>
      <c r="U432" s="35"/>
      <c r="V432" s="32"/>
      <c r="W432" s="28"/>
      <c r="X432" s="35"/>
      <c r="Y432" s="32"/>
      <c r="Z432" s="28"/>
      <c r="AA432" s="36"/>
    </row>
    <row r="433" spans="1:27" ht="13">
      <c r="A433" s="27" t="s">
        <v>631</v>
      </c>
      <c r="B433" s="28"/>
      <c r="C433" s="29">
        <v>70</v>
      </c>
      <c r="D433" s="30">
        <f t="shared" si="4"/>
        <v>-10</v>
      </c>
      <c r="E433" s="41"/>
      <c r="F433" s="32"/>
      <c r="G433" s="28"/>
      <c r="H433" s="32" t="s">
        <v>410</v>
      </c>
      <c r="I433" s="33" t="s">
        <v>696</v>
      </c>
      <c r="J433" s="32"/>
      <c r="K433" s="28">
        <f>IFERROR(VLOOKUP(L433,Ingredients!A:B,2,FALSE),"")</f>
        <v>15</v>
      </c>
      <c r="L433" s="38" t="s">
        <v>697</v>
      </c>
      <c r="M433" s="32" t="s">
        <v>89</v>
      </c>
      <c r="N433" s="28">
        <f>IFERROR(VLOOKUP(O433,Ingredients!$A:$B,2,FALSE),"")</f>
        <v>30</v>
      </c>
      <c r="O433" s="34" t="s">
        <v>154</v>
      </c>
      <c r="P433" s="32" t="s">
        <v>87</v>
      </c>
      <c r="Q433" s="28">
        <f>IFERROR(VLOOKUP(R433,Ingredients!$A:$B,2,FALSE),"")</f>
        <v>35</v>
      </c>
      <c r="R433" s="35" t="s">
        <v>197</v>
      </c>
      <c r="S433" s="32" t="s">
        <v>87</v>
      </c>
      <c r="T433" s="28"/>
      <c r="U433" s="35"/>
      <c r="V433" s="32"/>
      <c r="W433" s="28"/>
      <c r="X433" s="35"/>
      <c r="Y433" s="32"/>
      <c r="Z433" s="28"/>
      <c r="AA433" s="36"/>
    </row>
    <row r="434" spans="1:27" ht="13">
      <c r="A434" s="27" t="s">
        <v>633</v>
      </c>
      <c r="B434" s="28"/>
      <c r="C434" s="29">
        <v>100</v>
      </c>
      <c r="D434" s="30">
        <f t="shared" si="4"/>
        <v>-5</v>
      </c>
      <c r="E434" s="41"/>
      <c r="F434" s="32"/>
      <c r="G434" s="28"/>
      <c r="H434" s="32" t="s">
        <v>410</v>
      </c>
      <c r="I434" s="33" t="s">
        <v>696</v>
      </c>
      <c r="J434" s="32"/>
      <c r="K434" s="28">
        <f>IFERROR(VLOOKUP(L434,Ingredients!A:B,2,FALSE),"")</f>
        <v>15</v>
      </c>
      <c r="L434" s="38" t="s">
        <v>697</v>
      </c>
      <c r="M434" s="32" t="s">
        <v>89</v>
      </c>
      <c r="N434" s="28">
        <f>IFERROR(VLOOKUP(O434,Ingredients!$A:$B,2,FALSE),"")</f>
        <v>30</v>
      </c>
      <c r="O434" s="34" t="s">
        <v>705</v>
      </c>
      <c r="P434" s="32" t="s">
        <v>87</v>
      </c>
      <c r="Q434" s="28">
        <f>IFERROR(VLOOKUP(R434,Ingredients!$A:$B,2,FALSE),"")</f>
        <v>60</v>
      </c>
      <c r="R434" s="27" t="s">
        <v>764</v>
      </c>
      <c r="S434" s="32" t="s">
        <v>87</v>
      </c>
      <c r="T434" s="28"/>
      <c r="U434" s="35"/>
      <c r="V434" s="32"/>
      <c r="W434" s="28"/>
      <c r="X434" s="35"/>
      <c r="Y434" s="32"/>
      <c r="Z434" s="28"/>
      <c r="AA434" s="36"/>
    </row>
    <row r="435" spans="1:27" ht="13">
      <c r="A435" s="27" t="s">
        <v>637</v>
      </c>
      <c r="B435" s="28"/>
      <c r="C435" s="29">
        <v>60</v>
      </c>
      <c r="D435" s="30">
        <f t="shared" si="4"/>
        <v>14</v>
      </c>
      <c r="E435" s="41"/>
      <c r="F435" s="32"/>
      <c r="G435" s="28"/>
      <c r="H435" s="32" t="s">
        <v>410</v>
      </c>
      <c r="I435" s="33" t="s">
        <v>696</v>
      </c>
      <c r="J435" s="32"/>
      <c r="K435" s="28">
        <f>IFERROR(VLOOKUP(L435,Ingredients!A:B,2,FALSE),"")</f>
        <v>15</v>
      </c>
      <c r="L435" s="38" t="s">
        <v>697</v>
      </c>
      <c r="M435" s="32" t="s">
        <v>89</v>
      </c>
      <c r="N435" s="28">
        <f>IFERROR(VLOOKUP(O435,Ingredients!$A:$B,2,FALSE),"")</f>
        <v>30</v>
      </c>
      <c r="O435" s="34" t="s">
        <v>173</v>
      </c>
      <c r="P435" s="32" t="s">
        <v>87</v>
      </c>
      <c r="Q435" s="28">
        <f>IFERROR(VLOOKUP(R435,Ingredients!$A:$B,2,FALSE),"")</f>
        <v>1</v>
      </c>
      <c r="R435" s="35" t="s">
        <v>323</v>
      </c>
      <c r="S435" s="32" t="s">
        <v>87</v>
      </c>
      <c r="T435" s="28"/>
      <c r="U435" s="35"/>
      <c r="V435" s="32"/>
      <c r="W435" s="28"/>
      <c r="X435" s="35"/>
      <c r="Y435" s="32"/>
      <c r="Z435" s="28"/>
      <c r="AA435" s="36"/>
    </row>
    <row r="436" spans="1:27" ht="13">
      <c r="A436" s="27" t="s">
        <v>639</v>
      </c>
      <c r="B436" s="28"/>
      <c r="C436" s="29">
        <v>350</v>
      </c>
      <c r="D436" s="30">
        <f>IF(ISNUMBER(C436),C436-(IF(M436="None",0,K436)+IF(P436="None",0,N436)+IF(S436="None",0,Q436)+IF(V436="None",0,T436)+IF(Y436="None",0,W436)),"")</f>
        <v>-75</v>
      </c>
      <c r="E436" s="41"/>
      <c r="F436" s="32"/>
      <c r="G436" s="28"/>
      <c r="H436" s="32" t="s">
        <v>410</v>
      </c>
      <c r="I436" s="33" t="s">
        <v>696</v>
      </c>
      <c r="J436" s="32"/>
      <c r="K436" s="28">
        <f>IFERROR(VLOOKUP(L436,Ingredients!A:B,2,FALSE),"")</f>
        <v>15</v>
      </c>
      <c r="L436" s="38" t="s">
        <v>697</v>
      </c>
      <c r="M436" s="32" t="s">
        <v>89</v>
      </c>
      <c r="N436" s="28">
        <f>IFERROR(VLOOKUP(O436,Ingredients!$A:$B,2,FALSE),"")</f>
        <v>320</v>
      </c>
      <c r="O436" s="34" t="s">
        <v>765</v>
      </c>
      <c r="P436" s="32" t="s">
        <v>87</v>
      </c>
      <c r="Q436" s="28">
        <f>IFERROR(VLOOKUP(R436,Ingredients!$A:$B,2,FALSE),"")</f>
        <v>90</v>
      </c>
      <c r="R436" s="27" t="s">
        <v>766</v>
      </c>
      <c r="S436" s="32" t="s">
        <v>87</v>
      </c>
      <c r="T436" s="28"/>
      <c r="U436" s="35"/>
      <c r="V436" s="32"/>
      <c r="W436" s="28"/>
      <c r="X436" s="35"/>
      <c r="Y436" s="32"/>
      <c r="Z436" s="28"/>
      <c r="AA436" s="36"/>
    </row>
    <row r="437" spans="1:27" ht="13">
      <c r="A437" s="27" t="s">
        <v>643</v>
      </c>
      <c r="B437" s="28"/>
      <c r="C437" s="29">
        <v>100</v>
      </c>
      <c r="D437" s="30">
        <f t="shared" ref="D437:D468" si="5">IF(ISNUMBER(C437),C437-K437-N437-Q437-T437-W437,"")</f>
        <v>-1360</v>
      </c>
      <c r="E437" s="41"/>
      <c r="F437" s="32"/>
      <c r="G437" s="28"/>
      <c r="H437" s="32" t="s">
        <v>410</v>
      </c>
      <c r="I437" s="33" t="s">
        <v>696</v>
      </c>
      <c r="J437" s="32"/>
      <c r="K437" s="28">
        <f>IFERROR(VLOOKUP(L437,Ingredients!A:B,2,FALSE),"")</f>
        <v>15</v>
      </c>
      <c r="L437" s="38" t="s">
        <v>697</v>
      </c>
      <c r="M437" s="32" t="s">
        <v>89</v>
      </c>
      <c r="N437" s="28">
        <f>IFERROR(VLOOKUP(O437,Ingredients!$A:$B,2,FALSE),"")</f>
        <v>1400</v>
      </c>
      <c r="O437" s="38" t="s">
        <v>91</v>
      </c>
      <c r="P437" s="32" t="s">
        <v>87</v>
      </c>
      <c r="Q437" s="28">
        <f>IFERROR(VLOOKUP(R437,Ingredients!$A:$B,2,FALSE),"")</f>
        <v>45</v>
      </c>
      <c r="R437" s="35" t="s">
        <v>767</v>
      </c>
      <c r="S437" s="32" t="s">
        <v>87</v>
      </c>
      <c r="T437" s="28"/>
      <c r="U437" s="35"/>
      <c r="V437" s="32"/>
      <c r="W437" s="28"/>
      <c r="X437" s="35"/>
      <c r="Y437" s="32"/>
      <c r="Z437" s="28"/>
      <c r="AA437" s="36"/>
    </row>
    <row r="438" spans="1:27" ht="13">
      <c r="A438" s="27" t="s">
        <v>646</v>
      </c>
      <c r="B438" s="28"/>
      <c r="C438" s="29">
        <v>100</v>
      </c>
      <c r="D438" s="30">
        <f t="shared" si="5"/>
        <v>47</v>
      </c>
      <c r="E438" s="41"/>
      <c r="F438" s="32"/>
      <c r="G438" s="28"/>
      <c r="H438" s="32" t="s">
        <v>410</v>
      </c>
      <c r="I438" s="33" t="s">
        <v>696</v>
      </c>
      <c r="J438" s="32"/>
      <c r="K438" s="28">
        <f>IFERROR(VLOOKUP(L438,Ingredients!A:B,2,FALSE),"")</f>
        <v>15</v>
      </c>
      <c r="L438" s="38" t="s">
        <v>697</v>
      </c>
      <c r="M438" s="32" t="s">
        <v>89</v>
      </c>
      <c r="N438" s="28">
        <f>IFERROR(VLOOKUP(O438,Ingredients!$A:$B,2,FALSE),"")</f>
        <v>30</v>
      </c>
      <c r="O438" s="34" t="s">
        <v>158</v>
      </c>
      <c r="P438" s="32" t="s">
        <v>87</v>
      </c>
      <c r="Q438" s="28">
        <f>IFERROR(VLOOKUP(R438,Ingredients!$A:$B,2,FALSE),"")</f>
        <v>8</v>
      </c>
      <c r="R438" s="27" t="s">
        <v>768</v>
      </c>
      <c r="S438" s="32" t="s">
        <v>87</v>
      </c>
      <c r="T438" s="28"/>
      <c r="U438" s="35"/>
      <c r="V438" s="32"/>
      <c r="W438" s="28"/>
      <c r="X438" s="35"/>
      <c r="Y438" s="32"/>
      <c r="Z438" s="28"/>
      <c r="AA438" s="36"/>
    </row>
    <row r="439" spans="1:27" ht="13">
      <c r="A439" s="27" t="s">
        <v>648</v>
      </c>
      <c r="B439" s="28"/>
      <c r="C439" s="29">
        <v>260</v>
      </c>
      <c r="D439" s="30">
        <f t="shared" si="5"/>
        <v>137</v>
      </c>
      <c r="E439" s="41"/>
      <c r="F439" s="32"/>
      <c r="G439" s="28"/>
      <c r="H439" s="32" t="s">
        <v>410</v>
      </c>
      <c r="I439" s="33" t="s">
        <v>696</v>
      </c>
      <c r="J439" s="32"/>
      <c r="K439" s="28">
        <f>IFERROR(VLOOKUP(L439,Ingredients!A:B,2,FALSE),"")</f>
        <v>15</v>
      </c>
      <c r="L439" s="38" t="s">
        <v>697</v>
      </c>
      <c r="M439" s="32" t="s">
        <v>89</v>
      </c>
      <c r="N439" s="28">
        <f>IFERROR(VLOOKUP(O439,Ingredients!$A:$B,2,FALSE),"")</f>
        <v>105</v>
      </c>
      <c r="O439" s="34" t="s">
        <v>718</v>
      </c>
      <c r="P439" s="32" t="s">
        <v>87</v>
      </c>
      <c r="Q439" s="28">
        <f>IFERROR(VLOOKUP(R439,Ingredients!$A:$B,2,FALSE),"")</f>
        <v>3</v>
      </c>
      <c r="R439" s="35" t="s">
        <v>308</v>
      </c>
      <c r="S439" s="32" t="s">
        <v>87</v>
      </c>
      <c r="T439" s="28"/>
      <c r="U439" s="35"/>
      <c r="V439" s="32"/>
      <c r="W439" s="28"/>
      <c r="X439" s="35"/>
      <c r="Y439" s="32"/>
      <c r="Z439" s="28"/>
      <c r="AA439" s="36"/>
    </row>
    <row r="440" spans="1:27" ht="13">
      <c r="A440" s="27" t="s">
        <v>651</v>
      </c>
      <c r="B440" s="28"/>
      <c r="C440" s="29">
        <v>260</v>
      </c>
      <c r="D440" s="30">
        <f t="shared" si="5"/>
        <v>60</v>
      </c>
      <c r="E440" s="41"/>
      <c r="F440" s="32"/>
      <c r="G440" s="28"/>
      <c r="H440" s="32" t="s">
        <v>410</v>
      </c>
      <c r="I440" s="33" t="s">
        <v>696</v>
      </c>
      <c r="J440" s="32"/>
      <c r="K440" s="28">
        <f>IFERROR(VLOOKUP(L440,Ingredients!A:B,2,FALSE),"")</f>
        <v>15</v>
      </c>
      <c r="L440" s="38" t="s">
        <v>697</v>
      </c>
      <c r="M440" s="32" t="s">
        <v>89</v>
      </c>
      <c r="N440" s="28">
        <f>IFERROR(VLOOKUP(O440,Ingredients!$A:$B,2,FALSE),"")</f>
        <v>105</v>
      </c>
      <c r="O440" s="34" t="s">
        <v>769</v>
      </c>
      <c r="P440" s="32" t="s">
        <v>87</v>
      </c>
      <c r="Q440" s="28">
        <f>IFERROR(VLOOKUP(R440,Ingredients!$A:$B,2,FALSE),"")</f>
        <v>80</v>
      </c>
      <c r="R440" s="27" t="s">
        <v>770</v>
      </c>
      <c r="S440" s="32" t="s">
        <v>87</v>
      </c>
      <c r="T440" s="28"/>
      <c r="U440" s="35"/>
      <c r="V440" s="32"/>
      <c r="W440" s="28"/>
      <c r="X440" s="35"/>
      <c r="Y440" s="32"/>
      <c r="Z440" s="28"/>
      <c r="AA440" s="36"/>
    </row>
    <row r="441" spans="1:27" ht="13">
      <c r="A441" s="27" t="s">
        <v>655</v>
      </c>
      <c r="B441" s="28"/>
      <c r="C441" s="29">
        <v>120</v>
      </c>
      <c r="D441" s="30">
        <f t="shared" si="5"/>
        <v>10</v>
      </c>
      <c r="E441" s="41"/>
      <c r="F441" s="32"/>
      <c r="G441" s="28"/>
      <c r="H441" s="32" t="s">
        <v>410</v>
      </c>
      <c r="I441" s="33" t="s">
        <v>696</v>
      </c>
      <c r="J441" s="32"/>
      <c r="K441" s="28">
        <f>IFERROR(VLOOKUP(L441,Ingredients!A:B,2,FALSE),"")</f>
        <v>15</v>
      </c>
      <c r="L441" s="38" t="s">
        <v>697</v>
      </c>
      <c r="M441" s="32" t="s">
        <v>89</v>
      </c>
      <c r="N441" s="28">
        <f>IFERROR(VLOOKUP(O441,Ingredients!$A:$B,2,FALSE),"")</f>
        <v>30</v>
      </c>
      <c r="O441" s="34" t="s">
        <v>709</v>
      </c>
      <c r="P441" s="32" t="s">
        <v>87</v>
      </c>
      <c r="Q441" s="28">
        <f>IFERROR(VLOOKUP(R441,Ingredients!$A:$B,2,FALSE),"")</f>
        <v>65</v>
      </c>
      <c r="R441" s="35" t="s">
        <v>771</v>
      </c>
      <c r="S441" s="32" t="s">
        <v>87</v>
      </c>
      <c r="T441" s="28"/>
      <c r="U441" s="35"/>
      <c r="V441" s="32"/>
      <c r="W441" s="28"/>
      <c r="X441" s="35"/>
      <c r="Y441" s="32"/>
      <c r="Z441" s="28"/>
      <c r="AA441" s="36"/>
    </row>
    <row r="442" spans="1:27" ht="13">
      <c r="A442" s="27" t="s">
        <v>657</v>
      </c>
      <c r="B442" s="28"/>
      <c r="C442" s="29">
        <v>350</v>
      </c>
      <c r="D442" s="30">
        <f t="shared" si="5"/>
        <v>-1092</v>
      </c>
      <c r="E442" s="41"/>
      <c r="F442" s="32"/>
      <c r="G442" s="28"/>
      <c r="H442" s="32" t="s">
        <v>410</v>
      </c>
      <c r="I442" s="33" t="s">
        <v>696</v>
      </c>
      <c r="J442" s="32"/>
      <c r="K442" s="28">
        <f>IFERROR(VLOOKUP(L442,Ingredients!A:B,2,FALSE),"")</f>
        <v>15</v>
      </c>
      <c r="L442" s="38" t="s">
        <v>697</v>
      </c>
      <c r="M442" s="32" t="s">
        <v>89</v>
      </c>
      <c r="N442" s="28">
        <f>IFERROR(VLOOKUP(O442,Ingredients!$A:$B,2,FALSE),"")</f>
        <v>1400</v>
      </c>
      <c r="O442" s="38" t="s">
        <v>91</v>
      </c>
      <c r="P442" s="32" t="s">
        <v>87</v>
      </c>
      <c r="Q442" s="28">
        <f>IFERROR(VLOOKUP(R442,Ingredients!$A:$B,2,FALSE),"")</f>
        <v>27</v>
      </c>
      <c r="R442" s="27" t="s">
        <v>742</v>
      </c>
      <c r="S442" s="32" t="s">
        <v>87</v>
      </c>
      <c r="T442" s="28"/>
      <c r="U442" s="35"/>
      <c r="V442" s="32"/>
      <c r="W442" s="28"/>
      <c r="X442" s="35"/>
      <c r="Y442" s="32"/>
      <c r="Z442" s="28"/>
      <c r="AA442" s="36"/>
    </row>
    <row r="443" spans="1:27" ht="13">
      <c r="A443" s="27" t="s">
        <v>661</v>
      </c>
      <c r="B443" s="28"/>
      <c r="C443" s="29">
        <v>260</v>
      </c>
      <c r="D443" s="30" t="e">
        <f t="shared" si="5"/>
        <v>#VALUE!</v>
      </c>
      <c r="E443" s="41"/>
      <c r="F443" s="32"/>
      <c r="G443" s="28"/>
      <c r="H443" s="32" t="s">
        <v>410</v>
      </c>
      <c r="I443" s="33" t="s">
        <v>696</v>
      </c>
      <c r="J443" s="32"/>
      <c r="K443" s="28">
        <f>IFERROR(VLOOKUP(L443,Ingredients!A:B,2,FALSE),"")</f>
        <v>15</v>
      </c>
      <c r="L443" s="38" t="s">
        <v>697</v>
      </c>
      <c r="M443" s="32" t="s">
        <v>89</v>
      </c>
      <c r="N443" s="28">
        <f>IFERROR(VLOOKUP(O443,Ingredients!$A:$B,2,FALSE),"")</f>
        <v>105</v>
      </c>
      <c r="O443" s="34" t="s">
        <v>769</v>
      </c>
      <c r="P443" s="32" t="s">
        <v>87</v>
      </c>
      <c r="Q443" s="28" t="str">
        <f>IFERROR(VLOOKUP(R443,Ingredients!$A:$B,2,FALSE),"")</f>
        <v/>
      </c>
      <c r="R443" s="35" t="s">
        <v>177</v>
      </c>
      <c r="S443" s="32" t="s">
        <v>129</v>
      </c>
      <c r="T443" s="28"/>
      <c r="U443" s="35"/>
      <c r="V443" s="32"/>
      <c r="W443" s="28"/>
      <c r="X443" s="35"/>
      <c r="Y443" s="32"/>
      <c r="Z443" s="28"/>
      <c r="AA443" s="36"/>
    </row>
    <row r="444" spans="1:27" ht="13">
      <c r="A444" s="27" t="s">
        <v>665</v>
      </c>
      <c r="B444" s="28"/>
      <c r="C444" s="29">
        <v>350</v>
      </c>
      <c r="D444" s="30">
        <f t="shared" si="5"/>
        <v>-75</v>
      </c>
      <c r="E444" s="41"/>
      <c r="F444" s="32"/>
      <c r="G444" s="28"/>
      <c r="H444" s="32" t="s">
        <v>410</v>
      </c>
      <c r="I444" s="33" t="s">
        <v>696</v>
      </c>
      <c r="J444" s="32"/>
      <c r="K444" s="28">
        <f>IFERROR(VLOOKUP(L444,Ingredients!A:B,2,FALSE),"")</f>
        <v>15</v>
      </c>
      <c r="L444" s="38" t="s">
        <v>697</v>
      </c>
      <c r="M444" s="32" t="s">
        <v>89</v>
      </c>
      <c r="N444" s="28">
        <f>IFERROR(VLOOKUP(O444,Ingredients!$A:$B,2,FALSE),"")</f>
        <v>320</v>
      </c>
      <c r="O444" s="34" t="s">
        <v>772</v>
      </c>
      <c r="P444" s="32" t="s">
        <v>87</v>
      </c>
      <c r="Q444" s="28">
        <f>IFERROR(VLOOKUP(R444,Ingredients!$A:$B,2,FALSE),"")</f>
        <v>90</v>
      </c>
      <c r="R444" s="35" t="s">
        <v>401</v>
      </c>
      <c r="S444" s="32" t="s">
        <v>87</v>
      </c>
      <c r="T444" s="28"/>
      <c r="U444" s="35"/>
      <c r="V444" s="32"/>
      <c r="W444" s="28"/>
      <c r="X444" s="35"/>
      <c r="Y444" s="32"/>
      <c r="Z444" s="28"/>
      <c r="AA444" s="36"/>
    </row>
    <row r="445" spans="1:27" ht="13">
      <c r="A445" s="27" t="s">
        <v>667</v>
      </c>
      <c r="B445" s="28"/>
      <c r="C445" s="29">
        <v>100</v>
      </c>
      <c r="D445" s="30">
        <f t="shared" si="5"/>
        <v>-200</v>
      </c>
      <c r="E445" s="41"/>
      <c r="F445" s="32"/>
      <c r="G445" s="28"/>
      <c r="H445" s="32" t="s">
        <v>410</v>
      </c>
      <c r="I445" s="33" t="s">
        <v>696</v>
      </c>
      <c r="J445" s="32"/>
      <c r="K445" s="28">
        <f>IFERROR(VLOOKUP(L445,Ingredients!A:B,2,FALSE),"")</f>
        <v>15</v>
      </c>
      <c r="L445" s="38" t="s">
        <v>697</v>
      </c>
      <c r="M445" s="32" t="s">
        <v>89</v>
      </c>
      <c r="N445" s="28">
        <f>IFERROR(VLOOKUP(O445,Ingredients!$A:$B,2,FALSE),"")</f>
        <v>105</v>
      </c>
      <c r="O445" s="34" t="s">
        <v>733</v>
      </c>
      <c r="P445" s="32" t="s">
        <v>87</v>
      </c>
      <c r="Q445" s="28">
        <f>IFERROR(VLOOKUP(R445,Ingredients!$A:$B,2,FALSE),"")</f>
        <v>180</v>
      </c>
      <c r="R445" s="27" t="s">
        <v>773</v>
      </c>
      <c r="S445" s="32" t="s">
        <v>87</v>
      </c>
      <c r="T445" s="28"/>
      <c r="U445" s="35"/>
      <c r="V445" s="32"/>
      <c r="W445" s="28"/>
      <c r="X445" s="35"/>
      <c r="Y445" s="32"/>
      <c r="Z445" s="28"/>
      <c r="AA445" s="36"/>
    </row>
    <row r="446" spans="1:27" ht="13">
      <c r="A446" s="27" t="s">
        <v>669</v>
      </c>
      <c r="B446" s="28"/>
      <c r="C446" s="29">
        <v>100</v>
      </c>
      <c r="D446" s="30">
        <f t="shared" si="5"/>
        <v>54</v>
      </c>
      <c r="E446" s="41"/>
      <c r="F446" s="32"/>
      <c r="G446" s="28"/>
      <c r="H446" s="32" t="s">
        <v>410</v>
      </c>
      <c r="I446" s="33" t="s">
        <v>696</v>
      </c>
      <c r="J446" s="32"/>
      <c r="K446" s="28">
        <f>IFERROR(VLOOKUP(L446,Ingredients!A:B,2,FALSE),"")</f>
        <v>15</v>
      </c>
      <c r="L446" s="38" t="s">
        <v>697</v>
      </c>
      <c r="M446" s="32" t="s">
        <v>89</v>
      </c>
      <c r="N446" s="28">
        <f>IFERROR(VLOOKUP(O446,Ingredients!$A:$B,2,FALSE),"")</f>
        <v>30</v>
      </c>
      <c r="O446" s="34" t="s">
        <v>173</v>
      </c>
      <c r="P446" s="32" t="s">
        <v>87</v>
      </c>
      <c r="Q446" s="28">
        <f>IFERROR(VLOOKUP(R446,Ingredients!$A:$B,2,FALSE),"")</f>
        <v>1</v>
      </c>
      <c r="R446" s="35" t="s">
        <v>774</v>
      </c>
      <c r="S446" s="32" t="s">
        <v>87</v>
      </c>
      <c r="T446" s="28"/>
      <c r="U446" s="35"/>
      <c r="V446" s="32"/>
      <c r="W446" s="28"/>
      <c r="X446" s="35"/>
      <c r="Y446" s="32"/>
      <c r="Z446" s="28"/>
      <c r="AA446" s="36"/>
    </row>
    <row r="447" spans="1:27" ht="13">
      <c r="A447" s="27" t="s">
        <v>671</v>
      </c>
      <c r="B447" s="28"/>
      <c r="C447" s="29">
        <v>70</v>
      </c>
      <c r="D447" s="30">
        <f t="shared" si="5"/>
        <v>5</v>
      </c>
      <c r="E447" s="41"/>
      <c r="F447" s="32"/>
      <c r="G447" s="28"/>
      <c r="H447" s="32" t="s">
        <v>410</v>
      </c>
      <c r="I447" s="33" t="s">
        <v>696</v>
      </c>
      <c r="J447" s="32"/>
      <c r="K447" s="28">
        <f>IFERROR(VLOOKUP(L447,Ingredients!A:B,2,FALSE),"")</f>
        <v>15</v>
      </c>
      <c r="L447" s="38" t="s">
        <v>697</v>
      </c>
      <c r="M447" s="32" t="s">
        <v>89</v>
      </c>
      <c r="N447" s="28">
        <f>IFERROR(VLOOKUP(O447,Ingredients!$A:$B,2,FALSE),"")</f>
        <v>30</v>
      </c>
      <c r="O447" s="34" t="s">
        <v>709</v>
      </c>
      <c r="P447" s="32" t="s">
        <v>87</v>
      </c>
      <c r="Q447" s="28">
        <f>IFERROR(VLOOKUP(R447,Ingredients!$A:$B,2,FALSE),"")</f>
        <v>20</v>
      </c>
      <c r="R447" s="27" t="s">
        <v>775</v>
      </c>
      <c r="S447" s="32" t="s">
        <v>87</v>
      </c>
      <c r="T447" s="28"/>
      <c r="U447" s="35"/>
      <c r="V447" s="32"/>
      <c r="W447" s="28"/>
      <c r="X447" s="35"/>
      <c r="Y447" s="32"/>
      <c r="Z447" s="28"/>
      <c r="AA447" s="36"/>
    </row>
    <row r="448" spans="1:27" ht="13">
      <c r="A448" s="27" t="s">
        <v>676</v>
      </c>
      <c r="B448" s="28"/>
      <c r="C448" s="29">
        <v>260</v>
      </c>
      <c r="D448" s="30">
        <f t="shared" si="5"/>
        <v>-175</v>
      </c>
      <c r="E448" s="41"/>
      <c r="F448" s="32"/>
      <c r="G448" s="28"/>
      <c r="H448" s="32" t="s">
        <v>410</v>
      </c>
      <c r="I448" s="33" t="s">
        <v>696</v>
      </c>
      <c r="J448" s="32"/>
      <c r="K448" s="28">
        <f>IFERROR(VLOOKUP(L448,Ingredients!A:B,2,FALSE),"")</f>
        <v>15</v>
      </c>
      <c r="L448" s="38" t="s">
        <v>697</v>
      </c>
      <c r="M448" s="32" t="s">
        <v>89</v>
      </c>
      <c r="N448" s="28">
        <f>IFERROR(VLOOKUP(O448,Ingredients!$A:$B,2,FALSE),"")</f>
        <v>320</v>
      </c>
      <c r="O448" s="34" t="s">
        <v>772</v>
      </c>
      <c r="P448" s="32" t="s">
        <v>87</v>
      </c>
      <c r="Q448" s="28">
        <f>IFERROR(VLOOKUP(R448,Ingredients!$A:$B,2,FALSE),"")</f>
        <v>100</v>
      </c>
      <c r="R448" s="27" t="s">
        <v>776</v>
      </c>
      <c r="S448" s="32" t="s">
        <v>87</v>
      </c>
      <c r="T448" s="28"/>
      <c r="U448" s="35"/>
      <c r="V448" s="32"/>
      <c r="W448" s="28"/>
      <c r="X448" s="35"/>
      <c r="Y448" s="32"/>
      <c r="Z448" s="28"/>
      <c r="AA448" s="36"/>
    </row>
    <row r="449" spans="1:27" ht="13">
      <c r="A449" s="27" t="s">
        <v>676</v>
      </c>
      <c r="B449" s="28"/>
      <c r="C449" s="29">
        <v>260</v>
      </c>
      <c r="D449" s="30">
        <f t="shared" si="5"/>
        <v>139</v>
      </c>
      <c r="E449" s="41"/>
      <c r="F449" s="32"/>
      <c r="G449" s="28"/>
      <c r="H449" s="32" t="s">
        <v>410</v>
      </c>
      <c r="I449" s="33" t="s">
        <v>696</v>
      </c>
      <c r="J449" s="32"/>
      <c r="K449" s="28">
        <f>IFERROR(VLOOKUP(L449,Ingredients!A:B,2,FALSE),"")</f>
        <v>15</v>
      </c>
      <c r="L449" s="38" t="s">
        <v>697</v>
      </c>
      <c r="M449" s="32" t="s">
        <v>89</v>
      </c>
      <c r="N449" s="28">
        <f>IFERROR(VLOOKUP(O449,Ingredients!$A:$B,2,FALSE),"")</f>
        <v>105</v>
      </c>
      <c r="O449" s="34" t="s">
        <v>700</v>
      </c>
      <c r="P449" s="32" t="s">
        <v>87</v>
      </c>
      <c r="Q449" s="28">
        <f>IFERROR(VLOOKUP(R449,Ingredients!$A:$B,2,FALSE),"")</f>
        <v>1</v>
      </c>
      <c r="R449" s="35" t="s">
        <v>777</v>
      </c>
      <c r="S449" s="32" t="s">
        <v>87</v>
      </c>
      <c r="T449" s="28"/>
      <c r="U449" s="35"/>
      <c r="V449" s="32"/>
      <c r="W449" s="28"/>
      <c r="X449" s="35"/>
      <c r="Y449" s="32"/>
      <c r="Z449" s="28"/>
      <c r="AA449" s="36"/>
    </row>
    <row r="450" spans="1:27" ht="13">
      <c r="A450" s="27" t="s">
        <v>693</v>
      </c>
      <c r="B450" s="28"/>
      <c r="C450" s="29">
        <v>100</v>
      </c>
      <c r="D450" s="30">
        <f t="shared" si="5"/>
        <v>46</v>
      </c>
      <c r="E450" s="41"/>
      <c r="F450" s="32"/>
      <c r="G450" s="28"/>
      <c r="H450" s="32" t="s">
        <v>410</v>
      </c>
      <c r="I450" s="33" t="s">
        <v>696</v>
      </c>
      <c r="J450" s="32"/>
      <c r="K450" s="28">
        <f>IFERROR(VLOOKUP(L450,Ingredients!A:B,2,FALSE),"")</f>
        <v>15</v>
      </c>
      <c r="L450" s="38" t="s">
        <v>697</v>
      </c>
      <c r="M450" s="32" t="s">
        <v>89</v>
      </c>
      <c r="N450" s="28">
        <f>IFERROR(VLOOKUP(O450,Ingredients!$A:$B,2,FALSE),"")</f>
        <v>30</v>
      </c>
      <c r="O450" s="34" t="s">
        <v>158</v>
      </c>
      <c r="P450" s="32" t="s">
        <v>87</v>
      </c>
      <c r="Q450" s="28">
        <f>IFERROR(VLOOKUP(R450,Ingredients!$A:$B,2,FALSE),"")</f>
        <v>9</v>
      </c>
      <c r="R450" s="27" t="s">
        <v>778</v>
      </c>
      <c r="S450" s="32" t="s">
        <v>87</v>
      </c>
      <c r="T450" s="28"/>
      <c r="U450" s="35"/>
      <c r="V450" s="32"/>
      <c r="W450" s="28"/>
      <c r="X450" s="35"/>
      <c r="Y450" s="32"/>
      <c r="Z450" s="28"/>
      <c r="AA450" s="36"/>
    </row>
    <row r="451" spans="1:27" ht="14">
      <c r="A451" s="27" t="s">
        <v>779</v>
      </c>
      <c r="B451" s="28"/>
      <c r="C451" s="29">
        <v>20</v>
      </c>
      <c r="D451" s="30">
        <f t="shared" si="5"/>
        <v>13</v>
      </c>
      <c r="E451" s="37" t="s">
        <v>780</v>
      </c>
      <c r="F451" s="32"/>
      <c r="G451" s="28"/>
      <c r="H451" s="32" t="s">
        <v>781</v>
      </c>
      <c r="I451" s="33" t="s">
        <v>780</v>
      </c>
      <c r="J451" s="32"/>
      <c r="K451" s="28">
        <f>IFERROR(VLOOKUP(L451,Ingredients!A:B,2,FALSE),"")</f>
        <v>6</v>
      </c>
      <c r="L451" s="38" t="s">
        <v>100</v>
      </c>
      <c r="M451" s="32" t="s">
        <v>89</v>
      </c>
      <c r="N451" s="28">
        <f>IFERROR(VLOOKUP(O451,Ingredients!$A:$B,2,FALSE),"")</f>
        <v>1</v>
      </c>
      <c r="O451" s="38" t="s">
        <v>408</v>
      </c>
      <c r="P451" s="32" t="s">
        <v>87</v>
      </c>
      <c r="Q451" s="28"/>
      <c r="R451" s="35"/>
      <c r="S451" s="32"/>
      <c r="T451" s="28"/>
      <c r="U451" s="35"/>
      <c r="V451" s="32"/>
      <c r="W451" s="28"/>
      <c r="X451" s="35"/>
      <c r="Y451" s="32"/>
      <c r="Z451" s="28"/>
      <c r="AA451" s="36"/>
    </row>
    <row r="452" spans="1:27" ht="28">
      <c r="A452" s="27" t="s">
        <v>782</v>
      </c>
      <c r="B452" s="28"/>
      <c r="C452" s="29">
        <v>0</v>
      </c>
      <c r="D452" s="30">
        <f t="shared" si="5"/>
        <v>-120</v>
      </c>
      <c r="E452" s="37" t="s">
        <v>783</v>
      </c>
      <c r="F452" s="32"/>
      <c r="G452" s="28"/>
      <c r="H452" s="33" t="s">
        <v>781</v>
      </c>
      <c r="I452" s="33" t="s">
        <v>784</v>
      </c>
      <c r="J452" s="32"/>
      <c r="K452" s="28">
        <f>IFERROR(VLOOKUP(L452,Ingredients!A:B,2,FALSE),"")</f>
        <v>120</v>
      </c>
      <c r="L452" s="38" t="s">
        <v>763</v>
      </c>
      <c r="M452" s="32" t="s">
        <v>87</v>
      </c>
      <c r="N452" s="28">
        <f>IFERROR(VLOOKUP(O452,Ingredients!$A:$B,2,FALSE),"")</f>
        <v>0</v>
      </c>
      <c r="O452" s="34" t="s">
        <v>785</v>
      </c>
      <c r="P452" s="32" t="s">
        <v>89</v>
      </c>
      <c r="Q452" s="28"/>
      <c r="R452" s="35"/>
      <c r="S452" s="32"/>
      <c r="T452" s="28"/>
      <c r="U452" s="35"/>
      <c r="V452" s="32"/>
      <c r="W452" s="28"/>
      <c r="X452" s="35"/>
      <c r="Y452" s="32"/>
      <c r="Z452" s="28"/>
      <c r="AA452" s="36"/>
    </row>
    <row r="453" spans="1:27" ht="14">
      <c r="A453" s="35" t="s">
        <v>140</v>
      </c>
      <c r="B453" s="28"/>
      <c r="C453" s="29">
        <v>1</v>
      </c>
      <c r="D453" s="30">
        <f t="shared" si="5"/>
        <v>0</v>
      </c>
      <c r="E453" s="37" t="s">
        <v>126</v>
      </c>
      <c r="F453" s="43" t="s">
        <v>134</v>
      </c>
      <c r="G453" s="28">
        <v>4</v>
      </c>
      <c r="H453" s="32" t="s">
        <v>781</v>
      </c>
      <c r="I453" s="33" t="s">
        <v>127</v>
      </c>
      <c r="J453" s="32"/>
      <c r="K453" s="28">
        <f>IFERROR(VLOOKUP(L453,Ingredients!A:B,2,FALSE),"")</f>
        <v>1</v>
      </c>
      <c r="L453" s="38" t="s">
        <v>191</v>
      </c>
      <c r="M453" s="32" t="s">
        <v>89</v>
      </c>
      <c r="N453" s="28"/>
      <c r="O453" s="38" t="s">
        <v>786</v>
      </c>
      <c r="P453" s="32" t="s">
        <v>129</v>
      </c>
      <c r="Q453" s="28"/>
      <c r="R453" s="35"/>
      <c r="S453" s="32"/>
      <c r="T453" s="28"/>
      <c r="U453" s="35"/>
      <c r="V453" s="32"/>
      <c r="W453" s="28"/>
      <c r="X453" s="35"/>
      <c r="Y453" s="32"/>
      <c r="Z453" s="28"/>
      <c r="AA453" s="36"/>
    </row>
    <row r="454" spans="1:27" ht="14">
      <c r="A454" s="35" t="s">
        <v>366</v>
      </c>
      <c r="B454" s="28"/>
      <c r="C454" s="29">
        <v>0</v>
      </c>
      <c r="D454" s="30">
        <f t="shared" si="5"/>
        <v>-1</v>
      </c>
      <c r="E454" s="37" t="s">
        <v>126</v>
      </c>
      <c r="F454" s="32"/>
      <c r="G454" s="28"/>
      <c r="H454" s="32" t="s">
        <v>781</v>
      </c>
      <c r="I454" s="33" t="s">
        <v>127</v>
      </c>
      <c r="J454" s="32"/>
      <c r="K454" s="28"/>
      <c r="L454" s="38" t="s">
        <v>322</v>
      </c>
      <c r="M454" s="32" t="s">
        <v>129</v>
      </c>
      <c r="N454" s="28">
        <f>IFERROR(VLOOKUP(O454,Ingredients!$A:$B,2,FALSE),"")</f>
        <v>1</v>
      </c>
      <c r="O454" s="38" t="s">
        <v>247</v>
      </c>
      <c r="P454" s="32" t="s">
        <v>89</v>
      </c>
      <c r="Q454" s="28"/>
      <c r="R454" s="35"/>
      <c r="S454" s="32"/>
      <c r="T454" s="28"/>
      <c r="U454" s="35"/>
      <c r="V454" s="32"/>
      <c r="W454" s="28"/>
      <c r="X454" s="35"/>
      <c r="Y454" s="32"/>
      <c r="Z454" s="28"/>
      <c r="AA454" s="36"/>
    </row>
    <row r="455" spans="1:27" ht="14">
      <c r="A455" s="35" t="s">
        <v>787</v>
      </c>
      <c r="B455" s="28"/>
      <c r="C455" s="29">
        <v>0</v>
      </c>
      <c r="D455" s="30">
        <f t="shared" si="5"/>
        <v>-1</v>
      </c>
      <c r="E455" s="37" t="s">
        <v>126</v>
      </c>
      <c r="F455" s="32"/>
      <c r="G455" s="28"/>
      <c r="H455" s="32" t="s">
        <v>781</v>
      </c>
      <c r="I455" s="33" t="s">
        <v>127</v>
      </c>
      <c r="J455" s="32"/>
      <c r="K455" s="28">
        <f>IFERROR(VLOOKUP(L455,Ingredients!A:B,2,FALSE),"")</f>
        <v>1</v>
      </c>
      <c r="L455" s="34" t="s">
        <v>329</v>
      </c>
      <c r="M455" s="32" t="s">
        <v>89</v>
      </c>
      <c r="N455" s="28"/>
      <c r="O455" s="34" t="s">
        <v>189</v>
      </c>
      <c r="P455" s="32" t="s">
        <v>129</v>
      </c>
      <c r="Q455" s="28"/>
      <c r="R455" s="35"/>
      <c r="S455" s="32"/>
      <c r="T455" s="28"/>
      <c r="U455" s="35"/>
      <c r="V455" s="32"/>
      <c r="W455" s="28"/>
      <c r="X455" s="35"/>
      <c r="Y455" s="32"/>
      <c r="Z455" s="28"/>
      <c r="AA455" s="36"/>
    </row>
    <row r="456" spans="1:27" ht="14">
      <c r="A456" s="35" t="s">
        <v>97</v>
      </c>
      <c r="B456" s="28"/>
      <c r="C456" s="29">
        <v>4</v>
      </c>
      <c r="D456" s="30">
        <f t="shared" si="5"/>
        <v>3</v>
      </c>
      <c r="E456" s="37" t="s">
        <v>126</v>
      </c>
      <c r="F456" s="32"/>
      <c r="G456" s="28"/>
      <c r="H456" s="32" t="s">
        <v>781</v>
      </c>
      <c r="I456" s="33" t="s">
        <v>127</v>
      </c>
      <c r="J456" s="32"/>
      <c r="K456" s="28">
        <f>IFERROR(VLOOKUP(L456,Ingredients!A:B,2,FALSE),"")</f>
        <v>1</v>
      </c>
      <c r="L456" s="38" t="s">
        <v>788</v>
      </c>
      <c r="M456" s="32" t="s">
        <v>89</v>
      </c>
      <c r="N456" s="28"/>
      <c r="O456" s="38" t="s">
        <v>128</v>
      </c>
      <c r="P456" s="32" t="s">
        <v>129</v>
      </c>
      <c r="Q456" s="28"/>
      <c r="R456" s="35"/>
      <c r="S456" s="32"/>
      <c r="T456" s="28"/>
      <c r="U456" s="35"/>
      <c r="V456" s="32"/>
      <c r="W456" s="28"/>
      <c r="X456" s="35"/>
      <c r="Y456" s="32"/>
      <c r="Z456" s="28"/>
      <c r="AA456" s="36"/>
    </row>
    <row r="457" spans="1:27" ht="14">
      <c r="A457" s="35" t="s">
        <v>774</v>
      </c>
      <c r="B457" s="28"/>
      <c r="C457" s="29">
        <v>1</v>
      </c>
      <c r="D457" s="30">
        <f t="shared" si="5"/>
        <v>0</v>
      </c>
      <c r="E457" s="37" t="s">
        <v>126</v>
      </c>
      <c r="F457" s="32"/>
      <c r="G457" s="28"/>
      <c r="H457" s="32" t="s">
        <v>781</v>
      </c>
      <c r="I457" s="33" t="s">
        <v>127</v>
      </c>
      <c r="J457" s="32"/>
      <c r="K457" s="28">
        <f>IFERROR(VLOOKUP(L457,Ingredients!A:B,2,FALSE),"")</f>
        <v>1</v>
      </c>
      <c r="L457" s="38" t="s">
        <v>789</v>
      </c>
      <c r="M457" s="32" t="s">
        <v>89</v>
      </c>
      <c r="N457" s="28"/>
      <c r="O457" s="38" t="s">
        <v>128</v>
      </c>
      <c r="P457" s="32" t="s">
        <v>129</v>
      </c>
      <c r="Q457" s="28"/>
      <c r="R457" s="35"/>
      <c r="S457" s="32"/>
      <c r="T457" s="28"/>
      <c r="U457" s="35"/>
      <c r="V457" s="32"/>
      <c r="W457" s="28"/>
      <c r="X457" s="35"/>
      <c r="Y457" s="32"/>
      <c r="Z457" s="28"/>
      <c r="AA457" s="36"/>
    </row>
    <row r="458" spans="1:27" ht="13">
      <c r="A458" s="35" t="s">
        <v>790</v>
      </c>
      <c r="B458" s="28"/>
      <c r="C458" s="29">
        <v>0</v>
      </c>
      <c r="D458" s="30">
        <f t="shared" si="5"/>
        <v>-1</v>
      </c>
      <c r="E458" s="14" t="s">
        <v>126</v>
      </c>
      <c r="F458" s="43" t="s">
        <v>134</v>
      </c>
      <c r="G458" s="28">
        <v>2</v>
      </c>
      <c r="H458" s="32" t="s">
        <v>781</v>
      </c>
      <c r="I458" s="33" t="s">
        <v>127</v>
      </c>
      <c r="J458" s="32"/>
      <c r="K458" s="28">
        <f>IFERROR(VLOOKUP(L458,Ingredients!A:B,2,FALSE),"")</f>
        <v>1</v>
      </c>
      <c r="L458" s="38" t="s">
        <v>791</v>
      </c>
      <c r="M458" s="32" t="s">
        <v>89</v>
      </c>
      <c r="N458" s="28"/>
      <c r="O458" s="38" t="s">
        <v>128</v>
      </c>
      <c r="P458" s="32" t="s">
        <v>129</v>
      </c>
      <c r="Q458" s="28"/>
      <c r="R458" s="35"/>
      <c r="S458" s="32"/>
      <c r="T458" s="28"/>
      <c r="U458" s="35"/>
      <c r="V458" s="32"/>
      <c r="W458" s="28"/>
      <c r="X458" s="35"/>
      <c r="Y458" s="32"/>
      <c r="Z458" s="28"/>
      <c r="AA458" s="36"/>
    </row>
    <row r="459" spans="1:27" ht="14">
      <c r="A459" s="35" t="s">
        <v>790</v>
      </c>
      <c r="B459" s="28"/>
      <c r="C459" s="29">
        <v>0</v>
      </c>
      <c r="D459" s="30">
        <f t="shared" si="5"/>
        <v>-1</v>
      </c>
      <c r="E459" s="37" t="s">
        <v>126</v>
      </c>
      <c r="F459" s="43" t="s">
        <v>134</v>
      </c>
      <c r="G459" s="28">
        <v>2</v>
      </c>
      <c r="H459" s="32" t="s">
        <v>781</v>
      </c>
      <c r="I459" s="33" t="s">
        <v>127</v>
      </c>
      <c r="J459" s="32"/>
      <c r="K459" s="28">
        <f>IFERROR(VLOOKUP(L459,Ingredients!A:B,2,FALSE),"")</f>
        <v>1</v>
      </c>
      <c r="L459" s="38" t="s">
        <v>791</v>
      </c>
      <c r="M459" s="32" t="s">
        <v>89</v>
      </c>
      <c r="N459" s="28"/>
      <c r="O459" s="38" t="s">
        <v>786</v>
      </c>
      <c r="P459" s="32" t="s">
        <v>129</v>
      </c>
      <c r="Q459" s="28"/>
      <c r="R459" s="35"/>
      <c r="S459" s="32"/>
      <c r="T459" s="28"/>
      <c r="U459" s="35"/>
      <c r="V459" s="32"/>
      <c r="W459" s="28"/>
      <c r="X459" s="35"/>
      <c r="Y459" s="32"/>
      <c r="Z459" s="28"/>
      <c r="AA459" s="36"/>
    </row>
    <row r="460" spans="1:27" ht="14">
      <c r="A460" s="35" t="s">
        <v>96</v>
      </c>
      <c r="B460" s="28"/>
      <c r="C460" s="29">
        <v>2</v>
      </c>
      <c r="D460" s="30">
        <f t="shared" si="5"/>
        <v>0</v>
      </c>
      <c r="E460" s="37" t="s">
        <v>126</v>
      </c>
      <c r="F460" s="32"/>
      <c r="G460" s="28"/>
      <c r="H460" s="33" t="s">
        <v>781</v>
      </c>
      <c r="I460" s="33" t="s">
        <v>127</v>
      </c>
      <c r="J460" s="32"/>
      <c r="K460" s="28">
        <f>IFERROR(VLOOKUP(L460,Ingredients!A:B,2,FALSE),"")</f>
        <v>1</v>
      </c>
      <c r="L460" s="38" t="s">
        <v>738</v>
      </c>
      <c r="M460" s="32" t="s">
        <v>87</v>
      </c>
      <c r="N460" s="28">
        <f>IFERROR(VLOOKUP(O460,Ingredients!$A:$B,2,FALSE),"")</f>
        <v>1</v>
      </c>
      <c r="O460" s="38" t="s">
        <v>792</v>
      </c>
      <c r="P460" s="32" t="s">
        <v>89</v>
      </c>
      <c r="Q460" s="28"/>
      <c r="R460" s="35"/>
      <c r="S460" s="32"/>
      <c r="T460" s="28"/>
      <c r="U460" s="35"/>
      <c r="V460" s="32"/>
      <c r="W460" s="28"/>
      <c r="X460" s="35"/>
      <c r="Y460" s="32"/>
      <c r="Z460" s="28"/>
      <c r="AA460" s="36"/>
    </row>
    <row r="461" spans="1:27" ht="14">
      <c r="A461" s="27" t="s">
        <v>793</v>
      </c>
      <c r="B461" s="28"/>
      <c r="C461" s="29">
        <v>0</v>
      </c>
      <c r="D461" s="30">
        <f t="shared" si="5"/>
        <v>-1</v>
      </c>
      <c r="E461" s="37" t="s">
        <v>126</v>
      </c>
      <c r="F461" s="32"/>
      <c r="G461" s="28"/>
      <c r="H461" s="33" t="s">
        <v>781</v>
      </c>
      <c r="I461" s="33" t="s">
        <v>127</v>
      </c>
      <c r="J461" s="32"/>
      <c r="K461" s="28"/>
      <c r="L461" s="34" t="s">
        <v>794</v>
      </c>
      <c r="M461" s="32" t="s">
        <v>129</v>
      </c>
      <c r="N461" s="28">
        <f>IFERROR(VLOOKUP(O461,Ingredients!$A:$B,2,FALSE),"")</f>
        <v>1</v>
      </c>
      <c r="O461" s="38" t="s">
        <v>795</v>
      </c>
      <c r="P461" s="32" t="s">
        <v>89</v>
      </c>
      <c r="Q461" s="28"/>
      <c r="R461" s="35"/>
      <c r="S461" s="32"/>
      <c r="T461" s="28"/>
      <c r="U461" s="35"/>
      <c r="V461" s="32"/>
      <c r="W461" s="28"/>
      <c r="X461" s="35"/>
      <c r="Y461" s="32"/>
      <c r="Z461" s="28"/>
      <c r="AA461" s="36"/>
    </row>
    <row r="462" spans="1:27" ht="14">
      <c r="A462" s="35" t="s">
        <v>408</v>
      </c>
      <c r="B462" s="28"/>
      <c r="C462" s="29">
        <v>1</v>
      </c>
      <c r="D462" s="30">
        <f t="shared" si="5"/>
        <v>-7</v>
      </c>
      <c r="E462" s="37" t="s">
        <v>126</v>
      </c>
      <c r="F462" s="32"/>
      <c r="G462" s="28"/>
      <c r="H462" s="32" t="s">
        <v>781</v>
      </c>
      <c r="I462" s="33" t="s">
        <v>127</v>
      </c>
      <c r="J462" s="32"/>
      <c r="K462" s="28">
        <f>IFERROR(VLOOKUP(L462,Ingredients!A:B,2,FALSE),"")</f>
        <v>4</v>
      </c>
      <c r="L462" s="38" t="s">
        <v>711</v>
      </c>
      <c r="M462" s="32" t="s">
        <v>87</v>
      </c>
      <c r="N462" s="28">
        <f>IFERROR(VLOOKUP(O462,Ingredients!$A:$B,2,FALSE),"")</f>
        <v>4</v>
      </c>
      <c r="O462" s="38" t="s">
        <v>711</v>
      </c>
      <c r="P462" s="32" t="s">
        <v>89</v>
      </c>
      <c r="Q462" s="28"/>
      <c r="R462" s="35"/>
      <c r="S462" s="32"/>
      <c r="T462" s="28"/>
      <c r="U462" s="35"/>
      <c r="V462" s="32"/>
      <c r="W462" s="28"/>
      <c r="X462" s="35"/>
      <c r="Y462" s="32"/>
      <c r="Z462" s="28"/>
      <c r="AA462" s="36"/>
    </row>
    <row r="463" spans="1:27" ht="14">
      <c r="A463" s="35" t="s">
        <v>697</v>
      </c>
      <c r="B463" s="28"/>
      <c r="C463" s="29">
        <v>15</v>
      </c>
      <c r="D463" s="30">
        <f t="shared" si="5"/>
        <v>15</v>
      </c>
      <c r="E463" s="37" t="s">
        <v>126</v>
      </c>
      <c r="F463" s="32"/>
      <c r="G463" s="28"/>
      <c r="H463" s="32" t="s">
        <v>781</v>
      </c>
      <c r="I463" s="33" t="s">
        <v>127</v>
      </c>
      <c r="J463" s="32" t="s">
        <v>276</v>
      </c>
      <c r="K463" s="28">
        <f>IFERROR(VLOOKUP(L463,Ingredients!A:B,2,FALSE),"")</f>
        <v>0</v>
      </c>
      <c r="L463" s="38" t="s">
        <v>796</v>
      </c>
      <c r="M463" s="32" t="s">
        <v>89</v>
      </c>
      <c r="N463" s="28"/>
      <c r="O463" s="38"/>
      <c r="P463" s="32"/>
      <c r="Q463" s="28"/>
      <c r="R463" s="35"/>
      <c r="S463" s="32"/>
      <c r="T463" s="28"/>
      <c r="U463" s="35"/>
      <c r="V463" s="32"/>
      <c r="W463" s="28"/>
      <c r="X463" s="35"/>
      <c r="Y463" s="32"/>
      <c r="Z463" s="28"/>
      <c r="AA463" s="36"/>
    </row>
    <row r="464" spans="1:27" ht="14">
      <c r="A464" s="35" t="s">
        <v>191</v>
      </c>
      <c r="B464" s="28"/>
      <c r="C464" s="29">
        <v>0</v>
      </c>
      <c r="D464" s="30">
        <f t="shared" si="5"/>
        <v>-1</v>
      </c>
      <c r="E464" s="37" t="s">
        <v>126</v>
      </c>
      <c r="F464" s="43" t="s">
        <v>134</v>
      </c>
      <c r="G464" s="28">
        <v>2</v>
      </c>
      <c r="H464" s="32" t="s">
        <v>781</v>
      </c>
      <c r="I464" s="33" t="s">
        <v>127</v>
      </c>
      <c r="J464" s="32"/>
      <c r="K464" s="28">
        <f>IFERROR(VLOOKUP(L464,Ingredients!A:B,2,FALSE),"")</f>
        <v>1</v>
      </c>
      <c r="L464" s="38" t="s">
        <v>790</v>
      </c>
      <c r="M464" s="32" t="s">
        <v>89</v>
      </c>
      <c r="N464" s="28"/>
      <c r="O464" s="38" t="s">
        <v>786</v>
      </c>
      <c r="P464" s="32" t="s">
        <v>129</v>
      </c>
      <c r="Q464" s="28"/>
      <c r="R464" s="35"/>
      <c r="S464" s="32"/>
      <c r="T464" s="28"/>
      <c r="U464" s="35"/>
      <c r="V464" s="32"/>
      <c r="W464" s="28"/>
      <c r="X464" s="35"/>
      <c r="Y464" s="32"/>
      <c r="Z464" s="28"/>
      <c r="AA464" s="36"/>
    </row>
    <row r="465" spans="1:27" ht="14">
      <c r="A465" s="35" t="s">
        <v>191</v>
      </c>
      <c r="B465" s="28">
        <v>2</v>
      </c>
      <c r="C465" s="29">
        <v>0</v>
      </c>
      <c r="D465" s="30">
        <f t="shared" si="5"/>
        <v>-1</v>
      </c>
      <c r="E465" s="37" t="s">
        <v>126</v>
      </c>
      <c r="F465" s="32" t="s">
        <v>134</v>
      </c>
      <c r="G465" s="28"/>
      <c r="H465" s="33" t="s">
        <v>781</v>
      </c>
      <c r="I465" s="33" t="s">
        <v>127</v>
      </c>
      <c r="J465" s="32"/>
      <c r="K465" s="28"/>
      <c r="L465" s="38" t="s">
        <v>128</v>
      </c>
      <c r="M465" s="32" t="s">
        <v>129</v>
      </c>
      <c r="N465" s="28">
        <f>IFERROR(VLOOKUP(O465,Ingredients!$A:$B,2,FALSE),"")</f>
        <v>1</v>
      </c>
      <c r="O465" s="38" t="s">
        <v>790</v>
      </c>
      <c r="P465" s="32" t="s">
        <v>89</v>
      </c>
      <c r="Q465" s="28"/>
      <c r="R465" s="35"/>
      <c r="S465" s="32"/>
      <c r="T465" s="28"/>
      <c r="U465" s="35"/>
      <c r="V465" s="32"/>
      <c r="W465" s="28"/>
      <c r="X465" s="35"/>
      <c r="Y465" s="32"/>
      <c r="Z465" s="28"/>
      <c r="AA465" s="36"/>
    </row>
    <row r="466" spans="1:27" ht="14">
      <c r="A466" s="35" t="s">
        <v>792</v>
      </c>
      <c r="B466" s="28"/>
      <c r="C466" s="29">
        <v>1</v>
      </c>
      <c r="D466" s="30">
        <f t="shared" si="5"/>
        <v>-1</v>
      </c>
      <c r="E466" s="37" t="s">
        <v>126</v>
      </c>
      <c r="F466" s="32"/>
      <c r="G466" s="28"/>
      <c r="H466" s="33" t="s">
        <v>781</v>
      </c>
      <c r="I466" s="33" t="s">
        <v>127</v>
      </c>
      <c r="J466" s="32"/>
      <c r="K466" s="28">
        <f>IFERROR(VLOOKUP(L466,Ingredients!A:B,2,FALSE),"")</f>
        <v>1</v>
      </c>
      <c r="L466" s="38" t="s">
        <v>777</v>
      </c>
      <c r="M466" s="32" t="s">
        <v>87</v>
      </c>
      <c r="N466" s="28">
        <f>IFERROR(VLOOKUP(O466,Ingredients!$A:$B,2,FALSE),"")</f>
        <v>1</v>
      </c>
      <c r="O466" s="38" t="s">
        <v>777</v>
      </c>
      <c r="P466" s="32" t="s">
        <v>89</v>
      </c>
      <c r="Q466" s="28"/>
      <c r="R466" s="35"/>
      <c r="S466" s="32"/>
      <c r="T466" s="28"/>
      <c r="U466" s="35"/>
      <c r="V466" s="32"/>
      <c r="W466" s="28"/>
      <c r="X466" s="35"/>
      <c r="Y466" s="32"/>
      <c r="Z466" s="28"/>
      <c r="AA466" s="36"/>
    </row>
    <row r="467" spans="1:27" ht="14">
      <c r="A467" s="35" t="s">
        <v>792</v>
      </c>
      <c r="B467" s="28"/>
      <c r="C467" s="29">
        <v>1</v>
      </c>
      <c r="D467" s="30">
        <f t="shared" si="5"/>
        <v>0</v>
      </c>
      <c r="E467" s="37" t="s">
        <v>126</v>
      </c>
      <c r="F467" s="32"/>
      <c r="G467" s="28"/>
      <c r="H467" s="33" t="s">
        <v>781</v>
      </c>
      <c r="I467" s="33" t="s">
        <v>127</v>
      </c>
      <c r="J467" s="33" t="s">
        <v>797</v>
      </c>
      <c r="K467" s="28">
        <f>IFERROR(VLOOKUP(L467,Ingredients!A:B,2,FALSE),"")</f>
        <v>1</v>
      </c>
      <c r="L467" s="38" t="s">
        <v>777</v>
      </c>
      <c r="M467" s="32" t="s">
        <v>89</v>
      </c>
      <c r="N467" s="28"/>
      <c r="O467" s="38"/>
      <c r="P467" s="32"/>
      <c r="Q467" s="28"/>
      <c r="R467" s="35"/>
      <c r="S467" s="32"/>
      <c r="T467" s="28"/>
      <c r="U467" s="35"/>
      <c r="V467" s="32"/>
      <c r="W467" s="28"/>
      <c r="X467" s="35"/>
      <c r="Y467" s="32"/>
      <c r="Z467" s="28"/>
      <c r="AA467" s="36"/>
    </row>
    <row r="468" spans="1:27" ht="14">
      <c r="A468" s="35" t="s">
        <v>796</v>
      </c>
      <c r="B468" s="28"/>
      <c r="C468" s="29">
        <v>0</v>
      </c>
      <c r="D468" s="30">
        <f t="shared" si="5"/>
        <v>-1</v>
      </c>
      <c r="E468" s="37" t="s">
        <v>126</v>
      </c>
      <c r="F468" s="32"/>
      <c r="G468" s="28"/>
      <c r="H468" s="32" t="s">
        <v>781</v>
      </c>
      <c r="I468" s="33" t="s">
        <v>127</v>
      </c>
      <c r="J468" s="32"/>
      <c r="K468" s="28">
        <f>IFERROR(VLOOKUP(L468,Ingredients!A:B,2,FALSE),"")</f>
        <v>1</v>
      </c>
      <c r="L468" s="38" t="s">
        <v>134</v>
      </c>
      <c r="M468" s="32" t="s">
        <v>89</v>
      </c>
      <c r="N468" s="28"/>
      <c r="O468" s="38" t="s">
        <v>189</v>
      </c>
      <c r="P468" s="32" t="s">
        <v>129</v>
      </c>
      <c r="Q468" s="28"/>
      <c r="R468" s="35"/>
      <c r="S468" s="32"/>
      <c r="T468" s="28"/>
      <c r="U468" s="35"/>
      <c r="V468" s="32"/>
      <c r="W468" s="28"/>
      <c r="X468" s="35"/>
      <c r="Y468" s="32"/>
      <c r="Z468" s="28"/>
      <c r="AA468" s="36"/>
    </row>
    <row r="469" spans="1:27" ht="14">
      <c r="A469" s="35" t="s">
        <v>711</v>
      </c>
      <c r="B469" s="28"/>
      <c r="C469" s="29">
        <v>4</v>
      </c>
      <c r="D469" s="30">
        <f>IF(ISNUMBER(C469),C469-(IF(M469="None",0,K469)+IF(P469="None",0,N469)+IF(S469="None",0,Q469)+IF(V469="None",0,T469)+IF(Y469="None",0,W469)),"")</f>
        <v>2</v>
      </c>
      <c r="E469" s="37" t="s">
        <v>126</v>
      </c>
      <c r="F469" s="32"/>
      <c r="G469" s="28"/>
      <c r="H469" s="32" t="s">
        <v>781</v>
      </c>
      <c r="I469" s="33" t="s">
        <v>127</v>
      </c>
      <c r="J469" s="32"/>
      <c r="K469" s="28">
        <f>IFERROR(VLOOKUP(L469,Ingredients!A:B,2,FALSE),"")</f>
        <v>1</v>
      </c>
      <c r="L469" s="38" t="s">
        <v>710</v>
      </c>
      <c r="M469" s="32" t="s">
        <v>87</v>
      </c>
      <c r="N469" s="28">
        <f>IFERROR(VLOOKUP(O469,Ingredients!$A:$B,2,FALSE),"")</f>
        <v>1</v>
      </c>
      <c r="O469" s="38" t="s">
        <v>710</v>
      </c>
      <c r="P469" s="32" t="s">
        <v>89</v>
      </c>
      <c r="Q469" s="28"/>
      <c r="R469" s="35"/>
      <c r="S469" s="32"/>
      <c r="T469" s="28"/>
      <c r="U469" s="35"/>
      <c r="V469" s="32"/>
      <c r="W469" s="28"/>
      <c r="X469" s="35"/>
      <c r="Y469" s="32"/>
      <c r="Z469" s="28"/>
      <c r="AA469" s="36"/>
    </row>
    <row r="470" spans="1:27" ht="14">
      <c r="A470" s="27" t="s">
        <v>798</v>
      </c>
      <c r="B470" s="28"/>
      <c r="C470" s="29">
        <v>200</v>
      </c>
      <c r="D470" s="30">
        <f t="shared" ref="D470:D577" si="6">IF(ISNUMBER(C470),C470-K470-N470-Q470-T470-W470,"")</f>
        <v>155</v>
      </c>
      <c r="E470" s="31" t="s">
        <v>799</v>
      </c>
      <c r="F470" s="32"/>
      <c r="G470" s="28"/>
      <c r="H470" s="32" t="s">
        <v>781</v>
      </c>
      <c r="I470" s="33" t="s">
        <v>169</v>
      </c>
      <c r="J470" s="32"/>
      <c r="K470" s="28">
        <f>IFERROR(VLOOKUP(L470,Ingredients!A:B,2,FALSE),"")</f>
        <v>25</v>
      </c>
      <c r="L470" s="34" t="s">
        <v>800</v>
      </c>
      <c r="M470" s="32" t="s">
        <v>87</v>
      </c>
      <c r="N470" s="28">
        <f>IFERROR(VLOOKUP(O470,Ingredients!$A:$B,2,FALSE),"")</f>
        <v>20</v>
      </c>
      <c r="O470" s="34" t="s">
        <v>801</v>
      </c>
      <c r="P470" s="32" t="s">
        <v>89</v>
      </c>
      <c r="Q470" s="28"/>
      <c r="R470" s="35"/>
      <c r="S470" s="32"/>
      <c r="T470" s="28"/>
      <c r="U470" s="35"/>
      <c r="V470" s="32"/>
      <c r="W470" s="28"/>
      <c r="X470" s="35"/>
      <c r="Y470" s="32"/>
      <c r="Z470" s="28"/>
      <c r="AA470" s="36"/>
    </row>
    <row r="471" spans="1:27" ht="13">
      <c r="A471" s="27" t="s">
        <v>802</v>
      </c>
      <c r="B471" s="28"/>
      <c r="C471" s="29">
        <v>0</v>
      </c>
      <c r="D471" s="30" t="e">
        <f t="shared" si="6"/>
        <v>#VALUE!</v>
      </c>
      <c r="E471" s="41"/>
      <c r="F471" s="32"/>
      <c r="G471" s="28"/>
      <c r="H471" s="32" t="s">
        <v>781</v>
      </c>
      <c r="I471" s="33" t="s">
        <v>338</v>
      </c>
      <c r="J471" s="32"/>
      <c r="K471" s="28" t="str">
        <f>IFERROR(VLOOKUP(L471,Ingredients!A:B,2,FALSE),"")</f>
        <v/>
      </c>
      <c r="L471" s="34" t="s">
        <v>803</v>
      </c>
      <c r="M471" s="32" t="s">
        <v>87</v>
      </c>
      <c r="N471" s="28"/>
      <c r="O471" s="34" t="s">
        <v>804</v>
      </c>
      <c r="P471" s="32" t="s">
        <v>129</v>
      </c>
      <c r="Q471" s="28"/>
      <c r="R471" s="35"/>
      <c r="S471" s="32"/>
      <c r="T471" s="28"/>
      <c r="U471" s="35"/>
      <c r="V471" s="32"/>
      <c r="W471" s="28"/>
      <c r="X471" s="35"/>
      <c r="Y471" s="32"/>
      <c r="Z471" s="28"/>
      <c r="AA471" s="36"/>
    </row>
    <row r="472" spans="1:27" ht="14">
      <c r="A472" s="27" t="s">
        <v>805</v>
      </c>
      <c r="B472" s="44"/>
      <c r="C472" s="29">
        <v>0</v>
      </c>
      <c r="D472" s="30" t="e">
        <f t="shared" si="6"/>
        <v>#VALUE!</v>
      </c>
      <c r="E472" s="37" t="s">
        <v>806</v>
      </c>
      <c r="F472" s="33" t="s">
        <v>807</v>
      </c>
      <c r="G472" s="28"/>
      <c r="H472" s="32" t="s">
        <v>781</v>
      </c>
      <c r="I472" s="33" t="s">
        <v>338</v>
      </c>
      <c r="J472" s="32"/>
      <c r="K472" s="28" t="str">
        <f>IFERROR(VLOOKUP(L472,Ingredients!A:B,2,FALSE),"")</f>
        <v/>
      </c>
      <c r="L472" s="34" t="s">
        <v>808</v>
      </c>
      <c r="M472" s="32" t="s">
        <v>89</v>
      </c>
      <c r="N472" s="28" t="str">
        <f>IFERROR(VLOOKUP(O472,Ingredients!$A:$B,2,FALSE),"")</f>
        <v/>
      </c>
      <c r="O472" s="34" t="s">
        <v>809</v>
      </c>
      <c r="P472" s="32" t="s">
        <v>89</v>
      </c>
      <c r="Q472" s="28" t="str">
        <f>IFERROR(VLOOKUP(R472,Ingredients!$A:$B,2,FALSE),"")</f>
        <v/>
      </c>
      <c r="R472" s="35" t="s">
        <v>810</v>
      </c>
      <c r="S472" s="32" t="s">
        <v>87</v>
      </c>
      <c r="T472" s="28"/>
      <c r="U472" s="35"/>
      <c r="V472" s="32"/>
      <c r="W472" s="28"/>
      <c r="X472" s="35"/>
      <c r="Y472" s="32"/>
      <c r="Z472" s="28"/>
      <c r="AA472" s="36"/>
    </row>
    <row r="473" spans="1:27" ht="14">
      <c r="A473" s="27" t="s">
        <v>805</v>
      </c>
      <c r="B473" s="44"/>
      <c r="C473" s="29">
        <v>0</v>
      </c>
      <c r="D473" s="30" t="e">
        <f t="shared" si="6"/>
        <v>#VALUE!</v>
      </c>
      <c r="E473" s="37" t="s">
        <v>806</v>
      </c>
      <c r="F473" s="33" t="s">
        <v>807</v>
      </c>
      <c r="G473" s="28"/>
      <c r="H473" s="32" t="s">
        <v>781</v>
      </c>
      <c r="I473" s="33" t="s">
        <v>338</v>
      </c>
      <c r="J473" s="32"/>
      <c r="K473" s="28" t="str">
        <f>IFERROR(VLOOKUP(L473,Ingredients!A:B,2,FALSE),"")</f>
        <v/>
      </c>
      <c r="L473" s="34" t="s">
        <v>808</v>
      </c>
      <c r="M473" s="32" t="s">
        <v>89</v>
      </c>
      <c r="N473" s="28" t="str">
        <f>IFERROR(VLOOKUP(O473,Ingredients!$A:$B,2,FALSE),"")</f>
        <v/>
      </c>
      <c r="O473" s="34" t="s">
        <v>811</v>
      </c>
      <c r="P473" s="32" t="s">
        <v>89</v>
      </c>
      <c r="Q473" s="28"/>
      <c r="R473" s="35"/>
      <c r="S473" s="32"/>
      <c r="T473" s="28"/>
      <c r="U473" s="35"/>
      <c r="V473" s="32"/>
      <c r="W473" s="28"/>
      <c r="X473" s="35"/>
      <c r="Y473" s="32"/>
      <c r="Z473" s="28"/>
      <c r="AA473" s="36"/>
    </row>
    <row r="474" spans="1:27" ht="14">
      <c r="A474" s="27" t="s">
        <v>812</v>
      </c>
      <c r="B474" s="44"/>
      <c r="C474" s="29">
        <v>0</v>
      </c>
      <c r="D474" s="30" t="e">
        <f t="shared" si="6"/>
        <v>#VALUE!</v>
      </c>
      <c r="E474" s="37" t="s">
        <v>806</v>
      </c>
      <c r="F474" s="32"/>
      <c r="G474" s="28"/>
      <c r="H474" s="32" t="s">
        <v>781</v>
      </c>
      <c r="I474" s="33" t="s">
        <v>338</v>
      </c>
      <c r="J474" s="32"/>
      <c r="K474" s="28" t="str">
        <f>IFERROR(VLOOKUP(L474,Ingredients!A:B,2,FALSE),"")</f>
        <v/>
      </c>
      <c r="L474" s="38" t="s">
        <v>810</v>
      </c>
      <c r="M474" s="32" t="s">
        <v>87</v>
      </c>
      <c r="N474" s="28" t="str">
        <f>IFERROR(VLOOKUP(O474,Ingredients!$A:$B,2,FALSE),"")</f>
        <v/>
      </c>
      <c r="O474" s="34" t="s">
        <v>809</v>
      </c>
      <c r="P474" s="32" t="s">
        <v>89</v>
      </c>
      <c r="Q474" s="28"/>
      <c r="R474" s="35"/>
      <c r="S474" s="32"/>
      <c r="T474" s="28"/>
      <c r="U474" s="35"/>
      <c r="V474" s="32"/>
      <c r="W474" s="28"/>
      <c r="X474" s="35"/>
      <c r="Y474" s="32"/>
      <c r="Z474" s="28"/>
      <c r="AA474" s="36"/>
    </row>
    <row r="475" spans="1:27" ht="13">
      <c r="A475" s="27" t="s">
        <v>813</v>
      </c>
      <c r="B475" s="28"/>
      <c r="C475" s="29">
        <v>1</v>
      </c>
      <c r="D475" s="30">
        <f t="shared" si="6"/>
        <v>-1</v>
      </c>
      <c r="E475" s="37"/>
      <c r="F475" s="32"/>
      <c r="G475" s="28"/>
      <c r="H475" s="32" t="s">
        <v>781</v>
      </c>
      <c r="I475" s="33" t="s">
        <v>814</v>
      </c>
      <c r="J475" s="32"/>
      <c r="K475" s="28">
        <f>IFERROR(VLOOKUP(L475,Ingredients!A:B,2,FALSE),"")</f>
        <v>1</v>
      </c>
      <c r="L475" s="38" t="s">
        <v>790</v>
      </c>
      <c r="M475" s="32" t="s">
        <v>87</v>
      </c>
      <c r="N475" s="28">
        <f>IFERROR(VLOOKUP(O475,Ingredients!$A:$B,2,FALSE),"")</f>
        <v>1</v>
      </c>
      <c r="O475" s="38" t="s">
        <v>815</v>
      </c>
      <c r="P475" s="32" t="s">
        <v>89</v>
      </c>
      <c r="Q475" s="28"/>
      <c r="R475" s="35"/>
      <c r="S475" s="32"/>
      <c r="T475" s="28"/>
      <c r="U475" s="35"/>
      <c r="V475" s="32"/>
      <c r="W475" s="28"/>
      <c r="X475" s="35"/>
      <c r="Y475" s="32"/>
      <c r="Z475" s="28"/>
      <c r="AA475" s="36"/>
    </row>
    <row r="476" spans="1:27" ht="14">
      <c r="A476" s="35" t="s">
        <v>816</v>
      </c>
      <c r="B476" s="28"/>
      <c r="C476" s="29">
        <v>14</v>
      </c>
      <c r="D476" s="30">
        <f t="shared" si="6"/>
        <v>12</v>
      </c>
      <c r="E476" s="37" t="s">
        <v>817</v>
      </c>
      <c r="F476" s="32"/>
      <c r="G476" s="28"/>
      <c r="H476" s="32" t="s">
        <v>781</v>
      </c>
      <c r="I476" s="33" t="s">
        <v>814</v>
      </c>
      <c r="J476" s="32"/>
      <c r="K476" s="28">
        <f>IFERROR(VLOOKUP(L476,Ingredients!A:B,2,FALSE),"")</f>
        <v>1</v>
      </c>
      <c r="L476" s="38" t="s">
        <v>738</v>
      </c>
      <c r="M476" s="32" t="s">
        <v>87</v>
      </c>
      <c r="N476" s="28">
        <f>IFERROR(VLOOKUP(O476,Ingredients!$A:$B,2,FALSE),"")</f>
        <v>1</v>
      </c>
      <c r="O476" s="38" t="s">
        <v>738</v>
      </c>
      <c r="P476" s="32" t="s">
        <v>89</v>
      </c>
      <c r="Q476" s="28"/>
      <c r="R476" s="35"/>
      <c r="S476" s="32"/>
      <c r="T476" s="28"/>
      <c r="U476" s="35"/>
      <c r="V476" s="32"/>
      <c r="W476" s="28"/>
      <c r="X476" s="35"/>
      <c r="Y476" s="32"/>
      <c r="Z476" s="28"/>
      <c r="AA476" s="36"/>
    </row>
    <row r="477" spans="1:27" ht="14">
      <c r="A477" s="35" t="s">
        <v>816</v>
      </c>
      <c r="B477" s="28"/>
      <c r="C477" s="29">
        <v>14</v>
      </c>
      <c r="D477" s="30">
        <f t="shared" si="6"/>
        <v>13</v>
      </c>
      <c r="E477" s="37" t="s">
        <v>817</v>
      </c>
      <c r="F477" s="32"/>
      <c r="G477" s="28"/>
      <c r="H477" s="32" t="s">
        <v>781</v>
      </c>
      <c r="I477" s="33" t="s">
        <v>814</v>
      </c>
      <c r="J477" s="32"/>
      <c r="K477" s="28">
        <f>IFERROR(VLOOKUP(L477,Ingredients!A:B,2,FALSE),"")</f>
        <v>1</v>
      </c>
      <c r="L477" s="38" t="s">
        <v>818</v>
      </c>
      <c r="M477" s="32" t="s">
        <v>89</v>
      </c>
      <c r="N477" s="28"/>
      <c r="O477" s="38" t="s">
        <v>819</v>
      </c>
      <c r="P477" s="32" t="s">
        <v>129</v>
      </c>
      <c r="Q477" s="28"/>
      <c r="R477" s="35"/>
      <c r="S477" s="32"/>
      <c r="T477" s="28"/>
      <c r="U477" s="35"/>
      <c r="V477" s="32"/>
      <c r="W477" s="28"/>
      <c r="X477" s="35"/>
      <c r="Y477" s="32"/>
      <c r="Z477" s="28"/>
      <c r="AA477" s="36"/>
    </row>
    <row r="478" spans="1:27" ht="14">
      <c r="A478" s="35" t="s">
        <v>816</v>
      </c>
      <c r="B478" s="28">
        <v>4</v>
      </c>
      <c r="C478" s="29">
        <v>14</v>
      </c>
      <c r="D478" s="30">
        <f t="shared" si="6"/>
        <v>13</v>
      </c>
      <c r="E478" s="37" t="s">
        <v>817</v>
      </c>
      <c r="F478" s="32"/>
      <c r="G478" s="28"/>
      <c r="H478" s="32" t="s">
        <v>781</v>
      </c>
      <c r="I478" s="33" t="s">
        <v>814</v>
      </c>
      <c r="J478" s="32"/>
      <c r="K478" s="28"/>
      <c r="L478" s="38" t="s">
        <v>322</v>
      </c>
      <c r="M478" s="32" t="s">
        <v>129</v>
      </c>
      <c r="N478" s="28">
        <f>IFERROR(VLOOKUP(O478,Ingredients!$A:$B,2,FALSE),"")</f>
        <v>1</v>
      </c>
      <c r="O478" s="38" t="s">
        <v>211</v>
      </c>
      <c r="P478" s="32" t="s">
        <v>89</v>
      </c>
      <c r="Q478" s="28"/>
      <c r="R478" s="35"/>
      <c r="S478" s="32"/>
      <c r="T478" s="28"/>
      <c r="U478" s="35"/>
      <c r="V478" s="32"/>
      <c r="W478" s="28"/>
      <c r="X478" s="35"/>
      <c r="Y478" s="32"/>
      <c r="Z478" s="28"/>
      <c r="AA478" s="36"/>
    </row>
    <row r="479" spans="1:27" ht="14">
      <c r="A479" s="27" t="s">
        <v>820</v>
      </c>
      <c r="B479" s="28"/>
      <c r="C479" s="29">
        <v>40</v>
      </c>
      <c r="D479" s="30">
        <f t="shared" si="6"/>
        <v>8</v>
      </c>
      <c r="E479" s="37" t="s">
        <v>821</v>
      </c>
      <c r="F479" s="32"/>
      <c r="G479" s="28"/>
      <c r="H479" s="33" t="s">
        <v>781</v>
      </c>
      <c r="I479" s="33" t="s">
        <v>814</v>
      </c>
      <c r="J479" s="32"/>
      <c r="K479" s="28">
        <f>IFERROR(VLOOKUP(L479,Ingredients!A:B,2,FALSE),"")</f>
        <v>31</v>
      </c>
      <c r="L479" s="34" t="s">
        <v>822</v>
      </c>
      <c r="M479" s="33"/>
      <c r="N479" s="28">
        <f>IFERROR(VLOOKUP(O479,Ingredients!$A:$B,2,FALSE),"")</f>
        <v>1</v>
      </c>
      <c r="O479" s="34" t="s">
        <v>193</v>
      </c>
      <c r="P479" s="33"/>
      <c r="Q479" s="28"/>
      <c r="R479" s="35"/>
      <c r="S479" s="32"/>
      <c r="T479" s="28"/>
      <c r="U479" s="35"/>
      <c r="V479" s="32"/>
      <c r="W479" s="28"/>
      <c r="X479" s="35"/>
      <c r="Y479" s="32"/>
      <c r="Z479" s="28"/>
      <c r="AA479" s="36"/>
    </row>
    <row r="480" spans="1:27" ht="28">
      <c r="A480" s="35" t="s">
        <v>823</v>
      </c>
      <c r="B480" s="28"/>
      <c r="C480" s="29">
        <v>400</v>
      </c>
      <c r="D480" s="30">
        <f t="shared" si="6"/>
        <v>80</v>
      </c>
      <c r="E480" s="39" t="s">
        <v>824</v>
      </c>
      <c r="F480" s="32"/>
      <c r="G480" s="28"/>
      <c r="H480" s="32" t="s">
        <v>825</v>
      </c>
      <c r="I480" s="33" t="s">
        <v>826</v>
      </c>
      <c r="J480" s="32"/>
      <c r="K480" s="28">
        <f>IFERROR(VLOOKUP(L480,Ingredients!A:B,2,FALSE),"")</f>
        <v>10</v>
      </c>
      <c r="L480" s="38" t="s">
        <v>827</v>
      </c>
      <c r="M480" s="32" t="s">
        <v>89</v>
      </c>
      <c r="N480" s="28">
        <f>IFERROR(VLOOKUP(O480,Ingredients!$A:$B,2,FALSE),"")</f>
        <v>310</v>
      </c>
      <c r="O480" s="38" t="s">
        <v>828</v>
      </c>
      <c r="P480" s="32" t="s">
        <v>87</v>
      </c>
      <c r="Q480" s="28"/>
      <c r="R480" s="35"/>
      <c r="S480" s="32"/>
      <c r="T480" s="28"/>
      <c r="U480" s="35"/>
      <c r="V480" s="32"/>
      <c r="W480" s="28"/>
      <c r="X480" s="35"/>
      <c r="Y480" s="32"/>
      <c r="Z480" s="28"/>
      <c r="AA480" s="36"/>
    </row>
    <row r="481" spans="1:27" ht="14">
      <c r="A481" s="35" t="s">
        <v>829</v>
      </c>
      <c r="B481" s="28"/>
      <c r="C481" s="29">
        <v>30</v>
      </c>
      <c r="D481" s="30">
        <f t="shared" si="6"/>
        <v>-70</v>
      </c>
      <c r="E481" s="37" t="s">
        <v>830</v>
      </c>
      <c r="F481" s="32"/>
      <c r="G481" s="28"/>
      <c r="H481" s="32" t="s">
        <v>825</v>
      </c>
      <c r="I481" s="33" t="s">
        <v>826</v>
      </c>
      <c r="J481" s="32"/>
      <c r="K481" s="28">
        <f>IFERROR(VLOOKUP(L481,Ingredients!A:B,2,FALSE),"")</f>
        <v>10</v>
      </c>
      <c r="L481" s="38" t="s">
        <v>827</v>
      </c>
      <c r="M481" s="32" t="s">
        <v>89</v>
      </c>
      <c r="N481" s="28">
        <f>IFERROR(VLOOKUP(O481,Ingredients!$A:$B,2,FALSE),"")</f>
        <v>90</v>
      </c>
      <c r="O481" s="38" t="s">
        <v>702</v>
      </c>
      <c r="P481" s="32" t="s">
        <v>87</v>
      </c>
      <c r="Q481" s="28"/>
      <c r="R481" s="35"/>
      <c r="S481" s="32"/>
      <c r="T481" s="28"/>
      <c r="U481" s="35"/>
      <c r="V481" s="32"/>
      <c r="W481" s="28"/>
      <c r="X481" s="35"/>
      <c r="Y481" s="32"/>
      <c r="Z481" s="28"/>
      <c r="AA481" s="36"/>
    </row>
    <row r="482" spans="1:27" ht="14">
      <c r="A482" s="35" t="s">
        <v>831</v>
      </c>
      <c r="B482" s="28"/>
      <c r="C482" s="29">
        <v>30</v>
      </c>
      <c r="D482" s="30">
        <f t="shared" si="6"/>
        <v>-70</v>
      </c>
      <c r="E482" s="37" t="s">
        <v>832</v>
      </c>
      <c r="F482" s="32"/>
      <c r="G482" s="28"/>
      <c r="H482" s="32" t="s">
        <v>825</v>
      </c>
      <c r="I482" s="33" t="s">
        <v>826</v>
      </c>
      <c r="J482" s="32"/>
      <c r="K482" s="28">
        <f>IFERROR(VLOOKUP(L482,Ingredients!A:B,2,FALSE),"")</f>
        <v>10</v>
      </c>
      <c r="L482" s="38" t="s">
        <v>827</v>
      </c>
      <c r="M482" s="32" t="s">
        <v>89</v>
      </c>
      <c r="N482" s="28">
        <f>IFERROR(VLOOKUP(O482,Ingredients!$A:$B,2,FALSE),"")</f>
        <v>90</v>
      </c>
      <c r="O482" s="38" t="s">
        <v>833</v>
      </c>
      <c r="P482" s="32" t="s">
        <v>87</v>
      </c>
      <c r="Q482" s="28"/>
      <c r="R482" s="35"/>
      <c r="S482" s="32"/>
      <c r="T482" s="28"/>
      <c r="U482" s="35"/>
      <c r="V482" s="32"/>
      <c r="W482" s="28"/>
      <c r="X482" s="35"/>
      <c r="Y482" s="32"/>
      <c r="Z482" s="28"/>
      <c r="AA482" s="36"/>
    </row>
    <row r="483" spans="1:27" ht="14">
      <c r="A483" s="27" t="s">
        <v>834</v>
      </c>
      <c r="B483" s="28"/>
      <c r="C483" s="29">
        <v>450</v>
      </c>
      <c r="D483" s="30">
        <f t="shared" si="6"/>
        <v>150</v>
      </c>
      <c r="E483" s="37" t="s">
        <v>835</v>
      </c>
      <c r="F483" s="32"/>
      <c r="G483" s="28"/>
      <c r="H483" s="32" t="s">
        <v>825</v>
      </c>
      <c r="I483" s="33" t="s">
        <v>826</v>
      </c>
      <c r="J483" s="32"/>
      <c r="K483" s="28">
        <f>IFERROR(VLOOKUP(L483,Ingredients!A:B,2,FALSE),"")</f>
        <v>150</v>
      </c>
      <c r="L483" s="34" t="s">
        <v>836</v>
      </c>
      <c r="M483" s="32" t="s">
        <v>89</v>
      </c>
      <c r="N483" s="28">
        <f>IFERROR(VLOOKUP(O483,Ingredients!$A:$B,2,FALSE),"")</f>
        <v>150</v>
      </c>
      <c r="O483" s="34" t="s">
        <v>836</v>
      </c>
      <c r="P483" s="32" t="s">
        <v>87</v>
      </c>
      <c r="Q483" s="28"/>
      <c r="R483" s="35"/>
      <c r="S483" s="32"/>
      <c r="T483" s="28"/>
      <c r="U483" s="35"/>
      <c r="V483" s="32"/>
      <c r="W483" s="28"/>
      <c r="X483" s="35"/>
      <c r="Y483" s="32"/>
      <c r="Z483" s="28"/>
      <c r="AA483" s="36"/>
    </row>
    <row r="484" spans="1:27" ht="14">
      <c r="A484" s="27" t="s">
        <v>834</v>
      </c>
      <c r="B484" s="28"/>
      <c r="C484" s="29">
        <v>450</v>
      </c>
      <c r="D484" s="30" t="e">
        <f t="shared" si="6"/>
        <v>#VALUE!</v>
      </c>
      <c r="E484" s="37" t="s">
        <v>835</v>
      </c>
      <c r="F484" s="32"/>
      <c r="G484" s="28"/>
      <c r="H484" s="32" t="s">
        <v>825</v>
      </c>
      <c r="I484" s="33" t="s">
        <v>826</v>
      </c>
      <c r="J484" s="32"/>
      <c r="K484" s="28">
        <f>IFERROR(VLOOKUP(L484,Ingredients!A:B,2,FALSE),"")</f>
        <v>150</v>
      </c>
      <c r="L484" s="34" t="s">
        <v>836</v>
      </c>
      <c r="M484" s="32" t="s">
        <v>89</v>
      </c>
      <c r="N484" s="28" t="str">
        <f>IFERROR(VLOOKUP(O484,Ingredients!$A:$B,2,FALSE),"")</f>
        <v/>
      </c>
      <c r="O484" s="34" t="s">
        <v>837</v>
      </c>
      <c r="P484" s="32" t="s">
        <v>87</v>
      </c>
      <c r="Q484" s="28"/>
      <c r="R484" s="35"/>
      <c r="S484" s="32"/>
      <c r="T484" s="28"/>
      <c r="U484" s="35"/>
      <c r="V484" s="32"/>
      <c r="W484" s="28"/>
      <c r="X484" s="35"/>
      <c r="Y484" s="32"/>
      <c r="Z484" s="28"/>
      <c r="AA484" s="36"/>
    </row>
    <row r="485" spans="1:27" ht="14">
      <c r="A485" s="27" t="s">
        <v>838</v>
      </c>
      <c r="B485" s="28"/>
      <c r="C485" s="29">
        <v>450</v>
      </c>
      <c r="D485" s="30">
        <f t="shared" si="6"/>
        <v>150</v>
      </c>
      <c r="E485" s="37" t="s">
        <v>839</v>
      </c>
      <c r="F485" s="32"/>
      <c r="G485" s="28"/>
      <c r="H485" s="32" t="s">
        <v>825</v>
      </c>
      <c r="I485" s="33" t="s">
        <v>826</v>
      </c>
      <c r="J485" s="32"/>
      <c r="K485" s="28">
        <f>IFERROR(VLOOKUP(L485,Ingredients!A:B,2,FALSE),"")</f>
        <v>150</v>
      </c>
      <c r="L485" s="38" t="s">
        <v>840</v>
      </c>
      <c r="M485" s="32" t="s">
        <v>89</v>
      </c>
      <c r="N485" s="28">
        <f>IFERROR(VLOOKUP(O485,Ingredients!$A:$B,2,FALSE),"")</f>
        <v>150</v>
      </c>
      <c r="O485" s="38" t="s">
        <v>840</v>
      </c>
      <c r="P485" s="32" t="s">
        <v>87</v>
      </c>
      <c r="Q485" s="28"/>
      <c r="R485" s="35"/>
      <c r="S485" s="32"/>
      <c r="T485" s="28"/>
      <c r="U485" s="35"/>
      <c r="V485" s="32"/>
      <c r="W485" s="28"/>
      <c r="X485" s="35"/>
      <c r="Y485" s="32"/>
      <c r="Z485" s="28"/>
      <c r="AA485" s="36"/>
    </row>
    <row r="486" spans="1:27" ht="14">
      <c r="A486" s="27" t="s">
        <v>838</v>
      </c>
      <c r="B486" s="28"/>
      <c r="C486" s="29">
        <v>450</v>
      </c>
      <c r="D486" s="30" t="e">
        <f t="shared" si="6"/>
        <v>#VALUE!</v>
      </c>
      <c r="E486" s="37" t="s">
        <v>839</v>
      </c>
      <c r="F486" s="32"/>
      <c r="G486" s="28"/>
      <c r="H486" s="32" t="s">
        <v>825</v>
      </c>
      <c r="I486" s="33" t="s">
        <v>826</v>
      </c>
      <c r="J486" s="32"/>
      <c r="K486" s="28">
        <f>IFERROR(VLOOKUP(L486,Ingredients!A:B,2,FALSE),"")</f>
        <v>150</v>
      </c>
      <c r="L486" s="38" t="s">
        <v>840</v>
      </c>
      <c r="M486" s="32" t="s">
        <v>89</v>
      </c>
      <c r="N486" s="28" t="str">
        <f>IFERROR(VLOOKUP(O486,Ingredients!$A:$B,2,FALSE),"")</f>
        <v/>
      </c>
      <c r="O486" s="34" t="s">
        <v>837</v>
      </c>
      <c r="P486" s="32" t="s">
        <v>87</v>
      </c>
      <c r="Q486" s="28"/>
      <c r="R486" s="35"/>
      <c r="S486" s="32"/>
      <c r="T486" s="28"/>
      <c r="U486" s="35"/>
      <c r="V486" s="32"/>
      <c r="W486" s="28"/>
      <c r="X486" s="35"/>
      <c r="Y486" s="32"/>
      <c r="Z486" s="28"/>
      <c r="AA486" s="36"/>
    </row>
    <row r="487" spans="1:27" ht="14">
      <c r="A487" s="27" t="s">
        <v>841</v>
      </c>
      <c r="B487" s="28"/>
      <c r="C487" s="29">
        <v>450</v>
      </c>
      <c r="D487" s="30">
        <f t="shared" si="6"/>
        <v>150</v>
      </c>
      <c r="E487" s="37" t="s">
        <v>842</v>
      </c>
      <c r="F487" s="32"/>
      <c r="G487" s="28"/>
      <c r="H487" s="32" t="s">
        <v>825</v>
      </c>
      <c r="I487" s="33" t="s">
        <v>826</v>
      </c>
      <c r="J487" s="32"/>
      <c r="K487" s="28">
        <f>IFERROR(VLOOKUP(L487,Ingredients!A:B,2,FALSE),"")</f>
        <v>150</v>
      </c>
      <c r="L487" s="38" t="s">
        <v>843</v>
      </c>
      <c r="M487" s="32" t="s">
        <v>89</v>
      </c>
      <c r="N487" s="28">
        <f>IFERROR(VLOOKUP(O487,Ingredients!$A:$B,2,FALSE),"")</f>
        <v>150</v>
      </c>
      <c r="O487" s="38" t="s">
        <v>843</v>
      </c>
      <c r="P487" s="32" t="s">
        <v>87</v>
      </c>
      <c r="Q487" s="28"/>
      <c r="R487" s="35"/>
      <c r="S487" s="32"/>
      <c r="T487" s="28"/>
      <c r="U487" s="35"/>
      <c r="V487" s="32"/>
      <c r="W487" s="28"/>
      <c r="X487" s="35"/>
      <c r="Y487" s="32"/>
      <c r="Z487" s="28"/>
      <c r="AA487" s="36"/>
    </row>
    <row r="488" spans="1:27" ht="14">
      <c r="A488" s="27" t="s">
        <v>841</v>
      </c>
      <c r="B488" s="28"/>
      <c r="C488" s="29">
        <v>450</v>
      </c>
      <c r="D488" s="30" t="e">
        <f t="shared" si="6"/>
        <v>#VALUE!</v>
      </c>
      <c r="E488" s="37" t="s">
        <v>842</v>
      </c>
      <c r="F488" s="32"/>
      <c r="G488" s="28"/>
      <c r="H488" s="32" t="s">
        <v>825</v>
      </c>
      <c r="I488" s="33" t="s">
        <v>826</v>
      </c>
      <c r="J488" s="32"/>
      <c r="K488" s="28">
        <f>IFERROR(VLOOKUP(L488,Ingredients!A:B,2,FALSE),"")</f>
        <v>150</v>
      </c>
      <c r="L488" s="38" t="s">
        <v>843</v>
      </c>
      <c r="M488" s="32" t="s">
        <v>89</v>
      </c>
      <c r="N488" s="28" t="str">
        <f>IFERROR(VLOOKUP(O488,Ingredients!$A:$B,2,FALSE),"")</f>
        <v/>
      </c>
      <c r="O488" s="34" t="s">
        <v>837</v>
      </c>
      <c r="P488" s="32" t="s">
        <v>87</v>
      </c>
      <c r="Q488" s="28"/>
      <c r="R488" s="35"/>
      <c r="S488" s="32"/>
      <c r="T488" s="28"/>
      <c r="U488" s="35"/>
      <c r="V488" s="32"/>
      <c r="W488" s="28"/>
      <c r="X488" s="35"/>
      <c r="Y488" s="32"/>
      <c r="Z488" s="28"/>
      <c r="AA488" s="36"/>
    </row>
    <row r="489" spans="1:27" ht="14">
      <c r="A489" s="27" t="s">
        <v>844</v>
      </c>
      <c r="B489" s="28"/>
      <c r="C489" s="29">
        <v>450</v>
      </c>
      <c r="D489" s="30">
        <f t="shared" si="6"/>
        <v>150</v>
      </c>
      <c r="E489" s="37" t="s">
        <v>845</v>
      </c>
      <c r="F489" s="32"/>
      <c r="G489" s="28"/>
      <c r="H489" s="32" t="s">
        <v>825</v>
      </c>
      <c r="I489" s="33" t="s">
        <v>826</v>
      </c>
      <c r="J489" s="32"/>
      <c r="K489" s="28">
        <f>IFERROR(VLOOKUP(L489,Ingredients!A:B,2,FALSE),"")</f>
        <v>150</v>
      </c>
      <c r="L489" s="34" t="s">
        <v>846</v>
      </c>
      <c r="M489" s="32" t="s">
        <v>89</v>
      </c>
      <c r="N489" s="28">
        <f>IFERROR(VLOOKUP(O489,Ingredients!$A:$B,2,FALSE),"")</f>
        <v>150</v>
      </c>
      <c r="O489" s="34" t="s">
        <v>846</v>
      </c>
      <c r="P489" s="32" t="s">
        <v>87</v>
      </c>
      <c r="Q489" s="28"/>
      <c r="R489" s="35"/>
      <c r="S489" s="32"/>
      <c r="T489" s="28"/>
      <c r="U489" s="35"/>
      <c r="V489" s="32"/>
      <c r="W489" s="28"/>
      <c r="X489" s="35"/>
      <c r="Y489" s="32"/>
      <c r="Z489" s="28"/>
      <c r="AA489" s="36"/>
    </row>
    <row r="490" spans="1:27" ht="14">
      <c r="A490" s="27" t="s">
        <v>844</v>
      </c>
      <c r="B490" s="28"/>
      <c r="C490" s="29">
        <v>450</v>
      </c>
      <c r="D490" s="30" t="e">
        <f t="shared" si="6"/>
        <v>#VALUE!</v>
      </c>
      <c r="E490" s="37" t="s">
        <v>845</v>
      </c>
      <c r="F490" s="32"/>
      <c r="G490" s="28"/>
      <c r="H490" s="32" t="s">
        <v>825</v>
      </c>
      <c r="I490" s="33" t="s">
        <v>826</v>
      </c>
      <c r="J490" s="32"/>
      <c r="K490" s="28">
        <f>IFERROR(VLOOKUP(L490,Ingredients!A:B,2,FALSE),"")</f>
        <v>150</v>
      </c>
      <c r="L490" s="34" t="s">
        <v>846</v>
      </c>
      <c r="M490" s="32" t="s">
        <v>89</v>
      </c>
      <c r="N490" s="28" t="str">
        <f>IFERROR(VLOOKUP(O490,Ingredients!$A:$B,2,FALSE),"")</f>
        <v/>
      </c>
      <c r="O490" s="34" t="s">
        <v>837</v>
      </c>
      <c r="P490" s="32" t="s">
        <v>87</v>
      </c>
      <c r="Q490" s="28"/>
      <c r="R490" s="35"/>
      <c r="S490" s="32"/>
      <c r="T490" s="28"/>
      <c r="U490" s="35"/>
      <c r="V490" s="32"/>
      <c r="W490" s="28"/>
      <c r="X490" s="35"/>
      <c r="Y490" s="32"/>
      <c r="Z490" s="28"/>
      <c r="AA490" s="36"/>
    </row>
    <row r="491" spans="1:27" ht="14">
      <c r="A491" s="35" t="s">
        <v>847</v>
      </c>
      <c r="B491" s="28"/>
      <c r="C491" s="29">
        <v>200</v>
      </c>
      <c r="D491" s="30">
        <f t="shared" si="6"/>
        <v>-30</v>
      </c>
      <c r="E491" s="37" t="s">
        <v>848</v>
      </c>
      <c r="F491" s="32"/>
      <c r="G491" s="28"/>
      <c r="H491" s="32" t="s">
        <v>825</v>
      </c>
      <c r="I491" s="33" t="s">
        <v>826</v>
      </c>
      <c r="J491" s="32"/>
      <c r="K491" s="28">
        <f>IFERROR(VLOOKUP(L491,Ingredients!A:B,2,FALSE),"")</f>
        <v>10</v>
      </c>
      <c r="L491" s="38" t="s">
        <v>827</v>
      </c>
      <c r="M491" s="32" t="s">
        <v>89</v>
      </c>
      <c r="N491" s="28">
        <f>IFERROR(VLOOKUP(O491,Ingredients!$A:$B,2,FALSE),"")</f>
        <v>220</v>
      </c>
      <c r="O491" s="38" t="s">
        <v>752</v>
      </c>
      <c r="P491" s="32" t="s">
        <v>87</v>
      </c>
      <c r="Q491" s="28"/>
      <c r="R491" s="35"/>
      <c r="S491" s="32"/>
      <c r="T491" s="28"/>
      <c r="U491" s="35"/>
      <c r="V491" s="32"/>
      <c r="W491" s="28"/>
      <c r="X491" s="35"/>
      <c r="Y491" s="32"/>
      <c r="Z491" s="28"/>
      <c r="AA491" s="36"/>
    </row>
    <row r="492" spans="1:27" ht="14">
      <c r="A492" s="27" t="s">
        <v>836</v>
      </c>
      <c r="B492" s="28"/>
      <c r="C492" s="29">
        <v>150</v>
      </c>
      <c r="D492" s="30">
        <f t="shared" si="6"/>
        <v>55</v>
      </c>
      <c r="E492" s="37" t="s">
        <v>849</v>
      </c>
      <c r="F492" s="32"/>
      <c r="G492" s="28"/>
      <c r="H492" s="32" t="s">
        <v>825</v>
      </c>
      <c r="I492" s="33" t="s">
        <v>826</v>
      </c>
      <c r="J492" s="32"/>
      <c r="K492" s="28">
        <f>IFERROR(VLOOKUP(L492,Ingredients!A:B,2,FALSE),"")</f>
        <v>45</v>
      </c>
      <c r="L492" s="34" t="s">
        <v>850</v>
      </c>
      <c r="M492" s="32" t="s">
        <v>89</v>
      </c>
      <c r="N492" s="28">
        <f>IFERROR(VLOOKUP(O492,Ingredients!$A:$B,2,FALSE),"")</f>
        <v>50</v>
      </c>
      <c r="O492" s="34" t="s">
        <v>851</v>
      </c>
      <c r="P492" s="32" t="s">
        <v>87</v>
      </c>
      <c r="Q492" s="28"/>
      <c r="R492" s="35"/>
      <c r="S492" s="32"/>
      <c r="T492" s="28"/>
      <c r="U492" s="35"/>
      <c r="V492" s="32"/>
      <c r="W492" s="28"/>
      <c r="X492" s="35"/>
      <c r="Y492" s="32"/>
      <c r="Z492" s="28"/>
      <c r="AA492" s="36"/>
    </row>
    <row r="493" spans="1:27" ht="14">
      <c r="A493" s="27" t="s">
        <v>836</v>
      </c>
      <c r="B493" s="28"/>
      <c r="C493" s="29">
        <v>150</v>
      </c>
      <c r="D493" s="30">
        <f t="shared" si="6"/>
        <v>60</v>
      </c>
      <c r="E493" s="37" t="s">
        <v>849</v>
      </c>
      <c r="F493" s="32"/>
      <c r="G493" s="28"/>
      <c r="H493" s="32" t="s">
        <v>825</v>
      </c>
      <c r="I493" s="33" t="s">
        <v>826</v>
      </c>
      <c r="J493" s="32"/>
      <c r="K493" s="28">
        <f>IFERROR(VLOOKUP(L493,Ingredients!A:B,2,FALSE),"")</f>
        <v>45</v>
      </c>
      <c r="L493" s="34" t="s">
        <v>850</v>
      </c>
      <c r="M493" s="32" t="s">
        <v>89</v>
      </c>
      <c r="N493" s="28">
        <f>IFERROR(VLOOKUP(O493,Ingredients!$A:$B,2,FALSE),"")</f>
        <v>45</v>
      </c>
      <c r="O493" s="34" t="s">
        <v>850</v>
      </c>
      <c r="P493" s="32" t="s">
        <v>87</v>
      </c>
      <c r="Q493" s="28"/>
      <c r="R493" s="35"/>
      <c r="S493" s="32"/>
      <c r="T493" s="28"/>
      <c r="U493" s="35"/>
      <c r="V493" s="32"/>
      <c r="W493" s="28"/>
      <c r="X493" s="35"/>
      <c r="Y493" s="32"/>
      <c r="Z493" s="28"/>
      <c r="AA493" s="36"/>
    </row>
    <row r="494" spans="1:27" ht="14">
      <c r="A494" s="35" t="s">
        <v>840</v>
      </c>
      <c r="B494" s="28"/>
      <c r="C494" s="29">
        <v>150</v>
      </c>
      <c r="D494" s="30">
        <f t="shared" si="6"/>
        <v>55</v>
      </c>
      <c r="E494" s="37" t="s">
        <v>852</v>
      </c>
      <c r="F494" s="32"/>
      <c r="G494" s="28"/>
      <c r="H494" s="32" t="s">
        <v>825</v>
      </c>
      <c r="I494" s="33" t="s">
        <v>826</v>
      </c>
      <c r="J494" s="32"/>
      <c r="K494" s="28">
        <f>IFERROR(VLOOKUP(L494,Ingredients!A:B,2,FALSE),"")</f>
        <v>45</v>
      </c>
      <c r="L494" s="38" t="s">
        <v>853</v>
      </c>
      <c r="M494" s="32" t="s">
        <v>89</v>
      </c>
      <c r="N494" s="28">
        <f>IFERROR(VLOOKUP(O494,Ingredients!$A:$B,2,FALSE),"")</f>
        <v>50</v>
      </c>
      <c r="O494" s="34" t="s">
        <v>851</v>
      </c>
      <c r="P494" s="32" t="s">
        <v>87</v>
      </c>
      <c r="Q494" s="28"/>
      <c r="R494" s="35"/>
      <c r="S494" s="32"/>
      <c r="T494" s="28"/>
      <c r="U494" s="35"/>
      <c r="V494" s="32"/>
      <c r="W494" s="28"/>
      <c r="X494" s="35"/>
      <c r="Y494" s="32"/>
      <c r="Z494" s="28"/>
      <c r="AA494" s="36"/>
    </row>
    <row r="495" spans="1:27" ht="14">
      <c r="A495" s="35" t="s">
        <v>840</v>
      </c>
      <c r="B495" s="28"/>
      <c r="C495" s="29">
        <v>150</v>
      </c>
      <c r="D495" s="30">
        <f t="shared" si="6"/>
        <v>60</v>
      </c>
      <c r="E495" s="37" t="s">
        <v>852</v>
      </c>
      <c r="F495" s="32"/>
      <c r="G495" s="28"/>
      <c r="H495" s="32" t="s">
        <v>825</v>
      </c>
      <c r="I495" s="33" t="s">
        <v>826</v>
      </c>
      <c r="J495" s="32"/>
      <c r="K495" s="28">
        <f>IFERROR(VLOOKUP(L495,Ingredients!A:B,2,FALSE),"")</f>
        <v>45</v>
      </c>
      <c r="L495" s="38" t="s">
        <v>853</v>
      </c>
      <c r="M495" s="32" t="s">
        <v>89</v>
      </c>
      <c r="N495" s="28">
        <f>IFERROR(VLOOKUP(O495,Ingredients!$A:$B,2,FALSE),"")</f>
        <v>45</v>
      </c>
      <c r="O495" s="38" t="s">
        <v>853</v>
      </c>
      <c r="P495" s="32" t="s">
        <v>87</v>
      </c>
      <c r="Q495" s="28"/>
      <c r="R495" s="35"/>
      <c r="S495" s="32"/>
      <c r="T495" s="28"/>
      <c r="U495" s="35"/>
      <c r="V495" s="32"/>
      <c r="W495" s="28"/>
      <c r="X495" s="35"/>
      <c r="Y495" s="32"/>
      <c r="Z495" s="28"/>
      <c r="AA495" s="36"/>
    </row>
    <row r="496" spans="1:27" ht="14">
      <c r="A496" s="35" t="s">
        <v>843</v>
      </c>
      <c r="B496" s="28"/>
      <c r="C496" s="29">
        <v>150</v>
      </c>
      <c r="D496" s="30">
        <f t="shared" si="6"/>
        <v>55</v>
      </c>
      <c r="E496" s="37" t="s">
        <v>854</v>
      </c>
      <c r="F496" s="32"/>
      <c r="G496" s="28"/>
      <c r="H496" s="32" t="s">
        <v>825</v>
      </c>
      <c r="I496" s="33" t="s">
        <v>826</v>
      </c>
      <c r="J496" s="32"/>
      <c r="K496" s="28">
        <f>IFERROR(VLOOKUP(L496,Ingredients!A:B,2,FALSE),"")</f>
        <v>45</v>
      </c>
      <c r="L496" s="38" t="s">
        <v>855</v>
      </c>
      <c r="M496" s="32" t="s">
        <v>89</v>
      </c>
      <c r="N496" s="28">
        <f>IFERROR(VLOOKUP(O496,Ingredients!$A:$B,2,FALSE),"")</f>
        <v>50</v>
      </c>
      <c r="O496" s="34" t="s">
        <v>851</v>
      </c>
      <c r="P496" s="32" t="s">
        <v>87</v>
      </c>
      <c r="Q496" s="28"/>
      <c r="R496" s="35"/>
      <c r="S496" s="32"/>
      <c r="T496" s="28"/>
      <c r="U496" s="35"/>
      <c r="V496" s="32"/>
      <c r="W496" s="28"/>
      <c r="X496" s="35"/>
      <c r="Y496" s="32"/>
      <c r="Z496" s="28"/>
      <c r="AA496" s="36"/>
    </row>
    <row r="497" spans="1:27" ht="14">
      <c r="A497" s="35" t="s">
        <v>843</v>
      </c>
      <c r="B497" s="28"/>
      <c r="C497" s="29">
        <v>150</v>
      </c>
      <c r="D497" s="30">
        <f t="shared" si="6"/>
        <v>60</v>
      </c>
      <c r="E497" s="37" t="s">
        <v>854</v>
      </c>
      <c r="F497" s="32"/>
      <c r="G497" s="28"/>
      <c r="H497" s="32" t="s">
        <v>825</v>
      </c>
      <c r="I497" s="33" t="s">
        <v>826</v>
      </c>
      <c r="J497" s="32"/>
      <c r="K497" s="28">
        <f>IFERROR(VLOOKUP(L497,Ingredients!A:B,2,FALSE),"")</f>
        <v>45</v>
      </c>
      <c r="L497" s="38" t="s">
        <v>855</v>
      </c>
      <c r="M497" s="32" t="s">
        <v>89</v>
      </c>
      <c r="N497" s="28">
        <f>IFERROR(VLOOKUP(O497,Ingredients!$A:$B,2,FALSE),"")</f>
        <v>45</v>
      </c>
      <c r="O497" s="38" t="s">
        <v>855</v>
      </c>
      <c r="P497" s="32" t="s">
        <v>87</v>
      </c>
      <c r="Q497" s="28"/>
      <c r="R497" s="35"/>
      <c r="S497" s="32"/>
      <c r="T497" s="28"/>
      <c r="U497" s="35"/>
      <c r="V497" s="32"/>
      <c r="W497" s="28"/>
      <c r="X497" s="35"/>
      <c r="Y497" s="32"/>
      <c r="Z497" s="28"/>
      <c r="AA497" s="36"/>
    </row>
    <row r="498" spans="1:27" ht="14">
      <c r="A498" s="27" t="s">
        <v>856</v>
      </c>
      <c r="B498" s="28"/>
      <c r="C498" s="29">
        <v>95</v>
      </c>
      <c r="D498" s="30">
        <f t="shared" si="6"/>
        <v>-15</v>
      </c>
      <c r="E498" s="37" t="s">
        <v>857</v>
      </c>
      <c r="F498" s="32"/>
      <c r="G498" s="28"/>
      <c r="H498" s="32" t="s">
        <v>825</v>
      </c>
      <c r="I498" s="33" t="s">
        <v>826</v>
      </c>
      <c r="J498" s="32"/>
      <c r="K498" s="28">
        <f>IFERROR(VLOOKUP(L498,Ingredients!A:B,2,FALSE),"")</f>
        <v>55</v>
      </c>
      <c r="L498" s="34" t="s">
        <v>858</v>
      </c>
      <c r="M498" s="32" t="s">
        <v>89</v>
      </c>
      <c r="N498" s="28">
        <f>IFERROR(VLOOKUP(O498,Ingredients!$A:$B,2,FALSE),"")</f>
        <v>55</v>
      </c>
      <c r="O498" s="34" t="s">
        <v>858</v>
      </c>
      <c r="P498" s="32" t="s">
        <v>87</v>
      </c>
      <c r="Q498" s="28"/>
      <c r="R498" s="35"/>
      <c r="S498" s="32"/>
      <c r="T498" s="28"/>
      <c r="U498" s="35"/>
      <c r="V498" s="32"/>
      <c r="W498" s="28"/>
      <c r="X498" s="35"/>
      <c r="Y498" s="32"/>
      <c r="Z498" s="28"/>
      <c r="AA498" s="36"/>
    </row>
    <row r="499" spans="1:27" ht="14">
      <c r="A499" s="27" t="s">
        <v>856</v>
      </c>
      <c r="B499" s="28"/>
      <c r="C499" s="29">
        <v>95</v>
      </c>
      <c r="D499" s="30">
        <f t="shared" si="6"/>
        <v>-10</v>
      </c>
      <c r="E499" s="37" t="s">
        <v>857</v>
      </c>
      <c r="F499" s="32"/>
      <c r="G499" s="28"/>
      <c r="H499" s="32" t="s">
        <v>825</v>
      </c>
      <c r="I499" s="33" t="s">
        <v>826</v>
      </c>
      <c r="J499" s="32"/>
      <c r="K499" s="28">
        <f>IFERROR(VLOOKUP(L499,Ingredients!A:B,2,FALSE),"")</f>
        <v>55</v>
      </c>
      <c r="L499" s="34" t="s">
        <v>858</v>
      </c>
      <c r="M499" s="32" t="s">
        <v>89</v>
      </c>
      <c r="N499" s="28">
        <f>IFERROR(VLOOKUP(O499,Ingredients!$A:$B,2,FALSE),"")</f>
        <v>50</v>
      </c>
      <c r="O499" s="34" t="s">
        <v>851</v>
      </c>
      <c r="P499" s="32" t="s">
        <v>87</v>
      </c>
      <c r="Q499" s="28"/>
      <c r="R499" s="35"/>
      <c r="S499" s="32"/>
      <c r="T499" s="28"/>
      <c r="U499" s="35"/>
      <c r="V499" s="32"/>
      <c r="W499" s="28"/>
      <c r="X499" s="35"/>
      <c r="Y499" s="32"/>
      <c r="Z499" s="28"/>
      <c r="AA499" s="36"/>
    </row>
    <row r="500" spans="1:27" ht="14">
      <c r="A500" s="27" t="s">
        <v>859</v>
      </c>
      <c r="B500" s="28"/>
      <c r="C500" s="29">
        <v>95</v>
      </c>
      <c r="D500" s="30">
        <f t="shared" si="6"/>
        <v>-15</v>
      </c>
      <c r="E500" s="37" t="s">
        <v>860</v>
      </c>
      <c r="F500" s="32"/>
      <c r="G500" s="28"/>
      <c r="H500" s="32" t="s">
        <v>825</v>
      </c>
      <c r="I500" s="33" t="s">
        <v>826</v>
      </c>
      <c r="J500" s="32"/>
      <c r="K500" s="28">
        <f>IFERROR(VLOOKUP(L500,Ingredients!A:B,2,FALSE),"")</f>
        <v>55</v>
      </c>
      <c r="L500" s="34" t="s">
        <v>861</v>
      </c>
      <c r="M500" s="32" t="s">
        <v>89</v>
      </c>
      <c r="N500" s="28">
        <f>IFERROR(VLOOKUP(O500,Ingredients!$A:$B,2,FALSE),"")</f>
        <v>55</v>
      </c>
      <c r="O500" s="34" t="s">
        <v>861</v>
      </c>
      <c r="P500" s="32" t="s">
        <v>87</v>
      </c>
      <c r="Q500" s="28"/>
      <c r="R500" s="35"/>
      <c r="S500" s="32"/>
      <c r="T500" s="28"/>
      <c r="U500" s="35"/>
      <c r="V500" s="32"/>
      <c r="W500" s="28"/>
      <c r="X500" s="35"/>
      <c r="Y500" s="32"/>
      <c r="Z500" s="28"/>
      <c r="AA500" s="36"/>
    </row>
    <row r="501" spans="1:27" ht="14">
      <c r="A501" s="27" t="s">
        <v>859</v>
      </c>
      <c r="B501" s="28"/>
      <c r="C501" s="29">
        <v>95</v>
      </c>
      <c r="D501" s="30">
        <f t="shared" si="6"/>
        <v>-10</v>
      </c>
      <c r="E501" s="37" t="s">
        <v>860</v>
      </c>
      <c r="F501" s="32"/>
      <c r="G501" s="28"/>
      <c r="H501" s="32" t="s">
        <v>825</v>
      </c>
      <c r="I501" s="33" t="s">
        <v>826</v>
      </c>
      <c r="J501" s="32"/>
      <c r="K501" s="28">
        <f>IFERROR(VLOOKUP(L501,Ingredients!A:B,2,FALSE),"")</f>
        <v>55</v>
      </c>
      <c r="L501" s="34" t="s">
        <v>861</v>
      </c>
      <c r="M501" s="32" t="s">
        <v>89</v>
      </c>
      <c r="N501" s="28">
        <f>IFERROR(VLOOKUP(O501,Ingredients!$A:$B,2,FALSE),"")</f>
        <v>50</v>
      </c>
      <c r="O501" s="34" t="s">
        <v>851</v>
      </c>
      <c r="P501" s="32" t="s">
        <v>87</v>
      </c>
      <c r="Q501" s="28"/>
      <c r="R501" s="35"/>
      <c r="S501" s="32"/>
      <c r="T501" s="28"/>
      <c r="U501" s="35"/>
      <c r="V501" s="32"/>
      <c r="W501" s="28"/>
      <c r="X501" s="35"/>
      <c r="Y501" s="32"/>
      <c r="Z501" s="28"/>
      <c r="AA501" s="36"/>
    </row>
    <row r="502" spans="1:27" ht="14">
      <c r="A502" s="27" t="s">
        <v>862</v>
      </c>
      <c r="B502" s="28"/>
      <c r="C502" s="29">
        <v>650</v>
      </c>
      <c r="D502" s="30">
        <f t="shared" si="6"/>
        <v>-100</v>
      </c>
      <c r="E502" s="39" t="s">
        <v>863</v>
      </c>
      <c r="F502" s="32"/>
      <c r="G502" s="28"/>
      <c r="H502" s="32" t="s">
        <v>825</v>
      </c>
      <c r="I502" s="33" t="s">
        <v>826</v>
      </c>
      <c r="J502" s="32"/>
      <c r="K502" s="28">
        <f>IFERROR(VLOOKUP(L502,Ingredients!A:B,2,FALSE),"")</f>
        <v>375</v>
      </c>
      <c r="L502" s="38" t="s">
        <v>864</v>
      </c>
      <c r="M502" s="32" t="s">
        <v>89</v>
      </c>
      <c r="N502" s="28">
        <f>IFERROR(VLOOKUP(O502,Ingredients!$A:$B,2,FALSE),"")</f>
        <v>375</v>
      </c>
      <c r="O502" s="38" t="s">
        <v>864</v>
      </c>
      <c r="P502" s="32" t="s">
        <v>87</v>
      </c>
      <c r="Q502" s="28"/>
      <c r="R502" s="35"/>
      <c r="S502" s="32"/>
      <c r="T502" s="28"/>
      <c r="U502" s="35"/>
      <c r="V502" s="32"/>
      <c r="W502" s="28"/>
      <c r="X502" s="35"/>
      <c r="Y502" s="32"/>
      <c r="Z502" s="28"/>
      <c r="AA502" s="36"/>
    </row>
    <row r="503" spans="1:27" ht="14">
      <c r="A503" s="27" t="s">
        <v>862</v>
      </c>
      <c r="B503" s="28"/>
      <c r="C503" s="29">
        <v>650</v>
      </c>
      <c r="D503" s="30" t="e">
        <f t="shared" si="6"/>
        <v>#VALUE!</v>
      </c>
      <c r="E503" s="39" t="s">
        <v>863</v>
      </c>
      <c r="F503" s="32"/>
      <c r="G503" s="28"/>
      <c r="H503" s="32" t="s">
        <v>825</v>
      </c>
      <c r="I503" s="33" t="s">
        <v>826</v>
      </c>
      <c r="J503" s="32"/>
      <c r="K503" s="28">
        <f>IFERROR(VLOOKUP(L503,Ingredients!A:B,2,FALSE),"")</f>
        <v>375</v>
      </c>
      <c r="L503" s="38" t="s">
        <v>864</v>
      </c>
      <c r="M503" s="32" t="s">
        <v>89</v>
      </c>
      <c r="N503" s="28" t="str">
        <f>IFERROR(VLOOKUP(O503,Ingredients!$A:$B,2,FALSE),"")</f>
        <v/>
      </c>
      <c r="O503" s="34" t="s">
        <v>837</v>
      </c>
      <c r="P503" s="32" t="s">
        <v>87</v>
      </c>
      <c r="Q503" s="28"/>
      <c r="R503" s="35"/>
      <c r="S503" s="32"/>
      <c r="T503" s="28"/>
      <c r="U503" s="35"/>
      <c r="V503" s="32"/>
      <c r="W503" s="28"/>
      <c r="X503" s="35"/>
      <c r="Y503" s="32"/>
      <c r="Z503" s="28"/>
      <c r="AA503" s="36"/>
    </row>
    <row r="504" spans="1:27" ht="14">
      <c r="A504" s="27" t="s">
        <v>846</v>
      </c>
      <c r="B504" s="28"/>
      <c r="C504" s="29">
        <v>150</v>
      </c>
      <c r="D504" s="30">
        <f t="shared" si="6"/>
        <v>55</v>
      </c>
      <c r="E504" s="37" t="s">
        <v>865</v>
      </c>
      <c r="F504" s="32"/>
      <c r="G504" s="28"/>
      <c r="H504" s="32" t="s">
        <v>825</v>
      </c>
      <c r="I504" s="33" t="s">
        <v>826</v>
      </c>
      <c r="J504" s="32"/>
      <c r="K504" s="28">
        <f>IFERROR(VLOOKUP(L504,Ingredients!A:B,2,FALSE),"")</f>
        <v>45</v>
      </c>
      <c r="L504" s="34" t="s">
        <v>866</v>
      </c>
      <c r="M504" s="32" t="s">
        <v>89</v>
      </c>
      <c r="N504" s="28">
        <f>IFERROR(VLOOKUP(O504,Ingredients!$A:$B,2,FALSE),"")</f>
        <v>50</v>
      </c>
      <c r="O504" s="34" t="s">
        <v>851</v>
      </c>
      <c r="P504" s="32" t="s">
        <v>87</v>
      </c>
      <c r="Q504" s="28"/>
      <c r="R504" s="35"/>
      <c r="S504" s="32"/>
      <c r="T504" s="28"/>
      <c r="U504" s="35"/>
      <c r="V504" s="32"/>
      <c r="W504" s="28"/>
      <c r="X504" s="35"/>
      <c r="Y504" s="32"/>
      <c r="Z504" s="28"/>
      <c r="AA504" s="36"/>
    </row>
    <row r="505" spans="1:27" ht="14">
      <c r="A505" s="27" t="s">
        <v>846</v>
      </c>
      <c r="B505" s="28"/>
      <c r="C505" s="29">
        <v>150</v>
      </c>
      <c r="D505" s="30">
        <f t="shared" si="6"/>
        <v>60</v>
      </c>
      <c r="E505" s="37" t="s">
        <v>865</v>
      </c>
      <c r="F505" s="32"/>
      <c r="G505" s="28"/>
      <c r="H505" s="32" t="s">
        <v>825</v>
      </c>
      <c r="I505" s="33" t="s">
        <v>826</v>
      </c>
      <c r="J505" s="32"/>
      <c r="K505" s="28">
        <f>IFERROR(VLOOKUP(L505,Ingredients!A:B,2,FALSE),"")</f>
        <v>45</v>
      </c>
      <c r="L505" s="34" t="s">
        <v>866</v>
      </c>
      <c r="M505" s="32" t="s">
        <v>89</v>
      </c>
      <c r="N505" s="28">
        <f>IFERROR(VLOOKUP(O505,Ingredients!$A:$B,2,FALSE),"")</f>
        <v>45</v>
      </c>
      <c r="O505" s="34" t="s">
        <v>866</v>
      </c>
      <c r="P505" s="32" t="s">
        <v>87</v>
      </c>
      <c r="Q505" s="28"/>
      <c r="R505" s="35"/>
      <c r="S505" s="32"/>
      <c r="T505" s="28"/>
      <c r="U505" s="35"/>
      <c r="V505" s="32"/>
      <c r="W505" s="28"/>
      <c r="X505" s="35"/>
      <c r="Y505" s="32"/>
      <c r="Z505" s="28"/>
      <c r="AA505" s="36"/>
    </row>
    <row r="506" spans="1:27" ht="14">
      <c r="A506" s="27" t="s">
        <v>850</v>
      </c>
      <c r="B506" s="28"/>
      <c r="C506" s="29">
        <v>45</v>
      </c>
      <c r="D506" s="30">
        <f t="shared" si="6"/>
        <v>-35</v>
      </c>
      <c r="E506" s="37" t="s">
        <v>867</v>
      </c>
      <c r="F506" s="32"/>
      <c r="G506" s="28"/>
      <c r="H506" s="32" t="s">
        <v>825</v>
      </c>
      <c r="I506" s="33" t="s">
        <v>826</v>
      </c>
      <c r="J506" s="32"/>
      <c r="K506" s="28">
        <f>IFERROR(VLOOKUP(L506,Ingredients!A:B,2,FALSE),"")</f>
        <v>30</v>
      </c>
      <c r="L506" s="34" t="s">
        <v>402</v>
      </c>
      <c r="M506" s="32" t="s">
        <v>89</v>
      </c>
      <c r="N506" s="28">
        <f>IFERROR(VLOOKUP(O506,Ingredients!$A:$B,2,FALSE),"")</f>
        <v>50</v>
      </c>
      <c r="O506" s="34" t="s">
        <v>851</v>
      </c>
      <c r="P506" s="32" t="s">
        <v>87</v>
      </c>
      <c r="Q506" s="28"/>
      <c r="R506" s="35"/>
      <c r="S506" s="32"/>
      <c r="T506" s="28"/>
      <c r="U506" s="35"/>
      <c r="V506" s="32"/>
      <c r="W506" s="28"/>
      <c r="X506" s="35"/>
      <c r="Y506" s="32"/>
      <c r="Z506" s="28"/>
      <c r="AA506" s="36"/>
    </row>
    <row r="507" spans="1:27" ht="14">
      <c r="A507" s="27" t="s">
        <v>850</v>
      </c>
      <c r="B507" s="28"/>
      <c r="C507" s="29">
        <v>45</v>
      </c>
      <c r="D507" s="30">
        <f t="shared" si="6"/>
        <v>-15</v>
      </c>
      <c r="E507" s="37" t="s">
        <v>867</v>
      </c>
      <c r="F507" s="32"/>
      <c r="G507" s="28"/>
      <c r="H507" s="32" t="s">
        <v>825</v>
      </c>
      <c r="I507" s="33" t="s">
        <v>826</v>
      </c>
      <c r="J507" s="32"/>
      <c r="K507" s="28">
        <f>IFERROR(VLOOKUP(L507,Ingredients!A:B,2,FALSE),"")</f>
        <v>30</v>
      </c>
      <c r="L507" s="34" t="s">
        <v>402</v>
      </c>
      <c r="M507" s="32" t="s">
        <v>89</v>
      </c>
      <c r="N507" s="28">
        <f>IFERROR(VLOOKUP(O507,Ingredients!$A:$B,2,FALSE),"")</f>
        <v>30</v>
      </c>
      <c r="O507" s="34" t="s">
        <v>402</v>
      </c>
      <c r="P507" s="32" t="s">
        <v>87</v>
      </c>
      <c r="Q507" s="28"/>
      <c r="R507" s="35"/>
      <c r="S507" s="32"/>
      <c r="T507" s="28"/>
      <c r="U507" s="35"/>
      <c r="V507" s="32"/>
      <c r="W507" s="28"/>
      <c r="X507" s="35"/>
      <c r="Y507" s="32"/>
      <c r="Z507" s="28"/>
      <c r="AA507" s="36"/>
    </row>
    <row r="508" spans="1:27" ht="14">
      <c r="A508" s="35" t="s">
        <v>853</v>
      </c>
      <c r="B508" s="28"/>
      <c r="C508" s="29">
        <v>45</v>
      </c>
      <c r="D508" s="30">
        <f t="shared" si="6"/>
        <v>-35</v>
      </c>
      <c r="E508" s="37" t="s">
        <v>868</v>
      </c>
      <c r="F508" s="32"/>
      <c r="G508" s="28"/>
      <c r="H508" s="32" t="s">
        <v>825</v>
      </c>
      <c r="I508" s="33" t="s">
        <v>826</v>
      </c>
      <c r="J508" s="32"/>
      <c r="K508" s="28">
        <f>IFERROR(VLOOKUP(L508,Ingredients!A:B,2,FALSE),"")</f>
        <v>30</v>
      </c>
      <c r="L508" s="38" t="s">
        <v>829</v>
      </c>
      <c r="M508" s="32" t="s">
        <v>89</v>
      </c>
      <c r="N508" s="28">
        <f>IFERROR(VLOOKUP(O508,Ingredients!$A:$B,2,FALSE),"")</f>
        <v>50</v>
      </c>
      <c r="O508" s="34" t="s">
        <v>851</v>
      </c>
      <c r="P508" s="32" t="s">
        <v>87</v>
      </c>
      <c r="Q508" s="28"/>
      <c r="R508" s="35"/>
      <c r="S508" s="32"/>
      <c r="T508" s="28"/>
      <c r="U508" s="35"/>
      <c r="V508" s="32"/>
      <c r="W508" s="28"/>
      <c r="X508" s="35"/>
      <c r="Y508" s="32"/>
      <c r="Z508" s="28"/>
      <c r="AA508" s="36"/>
    </row>
    <row r="509" spans="1:27" ht="14">
      <c r="A509" s="35" t="s">
        <v>853</v>
      </c>
      <c r="B509" s="28"/>
      <c r="C509" s="29">
        <v>45</v>
      </c>
      <c r="D509" s="30">
        <f t="shared" si="6"/>
        <v>-15</v>
      </c>
      <c r="E509" s="37" t="s">
        <v>868</v>
      </c>
      <c r="F509" s="32"/>
      <c r="G509" s="28"/>
      <c r="H509" s="32" t="s">
        <v>825</v>
      </c>
      <c r="I509" s="33" t="s">
        <v>826</v>
      </c>
      <c r="J509" s="32"/>
      <c r="K509" s="28">
        <f>IFERROR(VLOOKUP(L509,Ingredients!A:B,2,FALSE),"")</f>
        <v>30</v>
      </c>
      <c r="L509" s="38" t="s">
        <v>829</v>
      </c>
      <c r="M509" s="32" t="s">
        <v>89</v>
      </c>
      <c r="N509" s="28">
        <f>IFERROR(VLOOKUP(O509,Ingredients!$A:$B,2,FALSE),"")</f>
        <v>30</v>
      </c>
      <c r="O509" s="38" t="s">
        <v>829</v>
      </c>
      <c r="P509" s="32" t="s">
        <v>87</v>
      </c>
      <c r="Q509" s="28"/>
      <c r="R509" s="35"/>
      <c r="S509" s="32"/>
      <c r="T509" s="28"/>
      <c r="U509" s="35"/>
      <c r="V509" s="32"/>
      <c r="W509" s="28"/>
      <c r="X509" s="35"/>
      <c r="Y509" s="32"/>
      <c r="Z509" s="28"/>
      <c r="AA509" s="36"/>
    </row>
    <row r="510" spans="1:27" ht="14">
      <c r="A510" s="35" t="s">
        <v>855</v>
      </c>
      <c r="B510" s="28"/>
      <c r="C510" s="29">
        <v>45</v>
      </c>
      <c r="D510" s="30">
        <f t="shared" si="6"/>
        <v>-35</v>
      </c>
      <c r="E510" s="37" t="s">
        <v>869</v>
      </c>
      <c r="F510" s="32"/>
      <c r="G510" s="28"/>
      <c r="H510" s="32" t="s">
        <v>825</v>
      </c>
      <c r="I510" s="33" t="s">
        <v>826</v>
      </c>
      <c r="J510" s="32"/>
      <c r="K510" s="28">
        <f>IFERROR(VLOOKUP(L510,Ingredients!A:B,2,FALSE),"")</f>
        <v>30</v>
      </c>
      <c r="L510" s="38" t="s">
        <v>831</v>
      </c>
      <c r="M510" s="32" t="s">
        <v>89</v>
      </c>
      <c r="N510" s="28">
        <f>IFERROR(VLOOKUP(O510,Ingredients!$A:$B,2,FALSE),"")</f>
        <v>50</v>
      </c>
      <c r="O510" s="34" t="s">
        <v>851</v>
      </c>
      <c r="P510" s="32" t="s">
        <v>87</v>
      </c>
      <c r="Q510" s="28"/>
      <c r="R510" s="35"/>
      <c r="S510" s="32"/>
      <c r="T510" s="28"/>
      <c r="U510" s="35"/>
      <c r="V510" s="32"/>
      <c r="W510" s="28"/>
      <c r="X510" s="35"/>
      <c r="Y510" s="32"/>
      <c r="Z510" s="28"/>
      <c r="AA510" s="36"/>
    </row>
    <row r="511" spans="1:27" ht="14">
      <c r="A511" s="35" t="s">
        <v>855</v>
      </c>
      <c r="B511" s="28"/>
      <c r="C511" s="29">
        <v>45</v>
      </c>
      <c r="D511" s="30">
        <f t="shared" si="6"/>
        <v>-15</v>
      </c>
      <c r="E511" s="37" t="s">
        <v>869</v>
      </c>
      <c r="F511" s="32"/>
      <c r="G511" s="28"/>
      <c r="H511" s="32" t="s">
        <v>825</v>
      </c>
      <c r="I511" s="33" t="s">
        <v>826</v>
      </c>
      <c r="J511" s="32"/>
      <c r="K511" s="28">
        <f>IFERROR(VLOOKUP(L511,Ingredients!A:B,2,FALSE),"")</f>
        <v>30</v>
      </c>
      <c r="L511" s="38" t="s">
        <v>831</v>
      </c>
      <c r="M511" s="32" t="s">
        <v>89</v>
      </c>
      <c r="N511" s="28">
        <f>IFERROR(VLOOKUP(O511,Ingredients!$A:$B,2,FALSE),"")</f>
        <v>30</v>
      </c>
      <c r="O511" s="38" t="s">
        <v>831</v>
      </c>
      <c r="P511" s="32" t="s">
        <v>87</v>
      </c>
      <c r="Q511" s="28"/>
      <c r="R511" s="35"/>
      <c r="S511" s="32"/>
      <c r="T511" s="28"/>
      <c r="U511" s="35"/>
      <c r="V511" s="32"/>
      <c r="W511" s="28"/>
      <c r="X511" s="35"/>
      <c r="Y511" s="32"/>
      <c r="Z511" s="28"/>
      <c r="AA511" s="36"/>
    </row>
    <row r="512" spans="1:27" ht="14">
      <c r="A512" s="27" t="s">
        <v>858</v>
      </c>
      <c r="B512" s="28"/>
      <c r="C512" s="29">
        <v>55</v>
      </c>
      <c r="D512" s="30">
        <f t="shared" si="6"/>
        <v>-10</v>
      </c>
      <c r="E512" s="37" t="s">
        <v>870</v>
      </c>
      <c r="F512" s="32"/>
      <c r="G512" s="28"/>
      <c r="H512" s="32" t="s">
        <v>825</v>
      </c>
      <c r="I512" s="33" t="s">
        <v>826</v>
      </c>
      <c r="J512" s="32"/>
      <c r="K512" s="28">
        <f>IFERROR(VLOOKUP(L512,Ingredients!A:B,2,FALSE),"")</f>
        <v>15</v>
      </c>
      <c r="L512" s="34" t="s">
        <v>871</v>
      </c>
      <c r="M512" s="32" t="s">
        <v>89</v>
      </c>
      <c r="N512" s="28">
        <f>IFERROR(VLOOKUP(O512,Ingredients!$A:$B,2,FALSE),"")</f>
        <v>50</v>
      </c>
      <c r="O512" s="34" t="s">
        <v>851</v>
      </c>
      <c r="P512" s="32" t="s">
        <v>87</v>
      </c>
      <c r="Q512" s="28"/>
      <c r="R512" s="35"/>
      <c r="S512" s="32"/>
      <c r="T512" s="28"/>
      <c r="U512" s="35"/>
      <c r="V512" s="32"/>
      <c r="W512" s="28"/>
      <c r="X512" s="35"/>
      <c r="Y512" s="32"/>
      <c r="Z512" s="28"/>
      <c r="AA512" s="36"/>
    </row>
    <row r="513" spans="1:27" ht="14">
      <c r="A513" s="27" t="s">
        <v>858</v>
      </c>
      <c r="B513" s="28"/>
      <c r="C513" s="29">
        <v>55</v>
      </c>
      <c r="D513" s="30">
        <f t="shared" si="6"/>
        <v>10</v>
      </c>
      <c r="E513" s="37" t="s">
        <v>870</v>
      </c>
      <c r="F513" s="32"/>
      <c r="G513" s="28"/>
      <c r="H513" s="32" t="s">
        <v>825</v>
      </c>
      <c r="I513" s="33" t="s">
        <v>826</v>
      </c>
      <c r="J513" s="32"/>
      <c r="K513" s="28">
        <f>IFERROR(VLOOKUP(L513,Ingredients!A:B,2,FALSE),"")</f>
        <v>15</v>
      </c>
      <c r="L513" s="34" t="s">
        <v>871</v>
      </c>
      <c r="M513" s="32" t="s">
        <v>89</v>
      </c>
      <c r="N513" s="28">
        <f>IFERROR(VLOOKUP(O513,Ingredients!$A:$B,2,FALSE),"")</f>
        <v>30</v>
      </c>
      <c r="O513" s="34" t="s">
        <v>749</v>
      </c>
      <c r="P513" s="32" t="s">
        <v>87</v>
      </c>
      <c r="Q513" s="28"/>
      <c r="R513" s="35"/>
      <c r="S513" s="32"/>
      <c r="T513" s="28"/>
      <c r="U513" s="35"/>
      <c r="V513" s="32"/>
      <c r="W513" s="28"/>
      <c r="X513" s="35"/>
      <c r="Y513" s="32"/>
      <c r="Z513" s="28"/>
      <c r="AA513" s="36"/>
    </row>
    <row r="514" spans="1:27" ht="14">
      <c r="A514" s="27" t="s">
        <v>858</v>
      </c>
      <c r="B514" s="28"/>
      <c r="C514" s="29">
        <v>55</v>
      </c>
      <c r="D514" s="30">
        <f t="shared" si="6"/>
        <v>25</v>
      </c>
      <c r="E514" s="37" t="s">
        <v>870</v>
      </c>
      <c r="F514" s="32"/>
      <c r="G514" s="28"/>
      <c r="H514" s="32" t="s">
        <v>825</v>
      </c>
      <c r="I514" s="33" t="s">
        <v>826</v>
      </c>
      <c r="J514" s="32"/>
      <c r="K514" s="28">
        <f>IFERROR(VLOOKUP(L514,Ingredients!A:B,2,FALSE),"")</f>
        <v>15</v>
      </c>
      <c r="L514" s="34" t="s">
        <v>871</v>
      </c>
      <c r="M514" s="32" t="s">
        <v>89</v>
      </c>
      <c r="N514" s="28">
        <f>IFERROR(VLOOKUP(O514,Ingredients!$A:$B,2,FALSE),"")</f>
        <v>15</v>
      </c>
      <c r="O514" s="34" t="s">
        <v>871</v>
      </c>
      <c r="P514" s="32" t="s">
        <v>87</v>
      </c>
      <c r="Q514" s="28"/>
      <c r="R514" s="35"/>
      <c r="S514" s="32"/>
      <c r="T514" s="28"/>
      <c r="U514" s="35"/>
      <c r="V514" s="32"/>
      <c r="W514" s="28"/>
      <c r="X514" s="35"/>
      <c r="Y514" s="32"/>
      <c r="Z514" s="28"/>
      <c r="AA514" s="36"/>
    </row>
    <row r="515" spans="1:27" ht="14">
      <c r="A515" s="27" t="s">
        <v>861</v>
      </c>
      <c r="B515" s="28"/>
      <c r="C515" s="29">
        <v>55</v>
      </c>
      <c r="D515" s="30">
        <f t="shared" si="6"/>
        <v>-10</v>
      </c>
      <c r="E515" s="37" t="s">
        <v>872</v>
      </c>
      <c r="F515" s="32"/>
      <c r="G515" s="28"/>
      <c r="H515" s="32" t="s">
        <v>825</v>
      </c>
      <c r="I515" s="33" t="s">
        <v>826</v>
      </c>
      <c r="J515" s="32"/>
      <c r="K515" s="28">
        <f>IFERROR(VLOOKUP(L515,Ingredients!A:B,2,FALSE),"")</f>
        <v>15</v>
      </c>
      <c r="L515" s="34" t="s">
        <v>873</v>
      </c>
      <c r="M515" s="32" t="s">
        <v>89</v>
      </c>
      <c r="N515" s="28">
        <f>IFERROR(VLOOKUP(O515,Ingredients!$A:$B,2,FALSE),"")</f>
        <v>50</v>
      </c>
      <c r="O515" s="34" t="s">
        <v>851</v>
      </c>
      <c r="P515" s="32" t="s">
        <v>87</v>
      </c>
      <c r="Q515" s="28"/>
      <c r="R515" s="35"/>
      <c r="S515" s="32"/>
      <c r="T515" s="28"/>
      <c r="U515" s="35"/>
      <c r="V515" s="32"/>
      <c r="W515" s="28"/>
      <c r="X515" s="35"/>
      <c r="Y515" s="32"/>
      <c r="Z515" s="28"/>
      <c r="AA515" s="36"/>
    </row>
    <row r="516" spans="1:27" ht="14">
      <c r="A516" s="27" t="s">
        <v>861</v>
      </c>
      <c r="B516" s="28"/>
      <c r="C516" s="29">
        <v>55</v>
      </c>
      <c r="D516" s="30">
        <f t="shared" si="6"/>
        <v>10</v>
      </c>
      <c r="E516" s="37" t="s">
        <v>872</v>
      </c>
      <c r="F516" s="32"/>
      <c r="G516" s="28"/>
      <c r="H516" s="32" t="s">
        <v>825</v>
      </c>
      <c r="I516" s="33" t="s">
        <v>826</v>
      </c>
      <c r="J516" s="32"/>
      <c r="K516" s="28">
        <f>IFERROR(VLOOKUP(L516,Ingredients!A:B,2,FALSE),"")</f>
        <v>15</v>
      </c>
      <c r="L516" s="34" t="s">
        <v>873</v>
      </c>
      <c r="M516" s="32" t="s">
        <v>89</v>
      </c>
      <c r="N516" s="28">
        <f>IFERROR(VLOOKUP(O516,Ingredients!$A:$B,2,FALSE),"")</f>
        <v>30</v>
      </c>
      <c r="O516" s="34" t="s">
        <v>749</v>
      </c>
      <c r="P516" s="32" t="s">
        <v>87</v>
      </c>
      <c r="Q516" s="28"/>
      <c r="R516" s="35"/>
      <c r="S516" s="32"/>
      <c r="T516" s="28"/>
      <c r="U516" s="35"/>
      <c r="V516" s="32"/>
      <c r="W516" s="28"/>
      <c r="X516" s="35"/>
      <c r="Y516" s="32"/>
      <c r="Z516" s="28"/>
      <c r="AA516" s="36"/>
    </row>
    <row r="517" spans="1:27" ht="14">
      <c r="A517" s="27" t="s">
        <v>861</v>
      </c>
      <c r="B517" s="28"/>
      <c r="C517" s="29">
        <v>55</v>
      </c>
      <c r="D517" s="30">
        <f t="shared" si="6"/>
        <v>25</v>
      </c>
      <c r="E517" s="37" t="s">
        <v>872</v>
      </c>
      <c r="F517" s="32"/>
      <c r="G517" s="28"/>
      <c r="H517" s="32" t="s">
        <v>825</v>
      </c>
      <c r="I517" s="33" t="s">
        <v>826</v>
      </c>
      <c r="J517" s="32"/>
      <c r="K517" s="28">
        <f>IFERROR(VLOOKUP(L517,Ingredients!A:B,2,FALSE),"")</f>
        <v>15</v>
      </c>
      <c r="L517" s="34" t="s">
        <v>873</v>
      </c>
      <c r="M517" s="32" t="s">
        <v>89</v>
      </c>
      <c r="N517" s="28">
        <f>IFERROR(VLOOKUP(O517,Ingredients!$A:$B,2,FALSE),"")</f>
        <v>15</v>
      </c>
      <c r="O517" s="34" t="s">
        <v>873</v>
      </c>
      <c r="P517" s="32" t="s">
        <v>87</v>
      </c>
      <c r="Q517" s="28"/>
      <c r="R517" s="35"/>
      <c r="S517" s="32"/>
      <c r="T517" s="28"/>
      <c r="U517" s="35"/>
      <c r="V517" s="32"/>
      <c r="W517" s="28"/>
      <c r="X517" s="35"/>
      <c r="Y517" s="32"/>
      <c r="Z517" s="28"/>
      <c r="AA517" s="36"/>
    </row>
    <row r="518" spans="1:27" ht="14">
      <c r="A518" s="35" t="s">
        <v>864</v>
      </c>
      <c r="B518" s="28"/>
      <c r="C518" s="29">
        <v>375</v>
      </c>
      <c r="D518" s="30">
        <f t="shared" si="6"/>
        <v>-25</v>
      </c>
      <c r="E518" s="39" t="s">
        <v>874</v>
      </c>
      <c r="F518" s="32"/>
      <c r="G518" s="28"/>
      <c r="H518" s="32" t="s">
        <v>825</v>
      </c>
      <c r="I518" s="33" t="s">
        <v>826</v>
      </c>
      <c r="J518" s="32"/>
      <c r="K518" s="28">
        <f>IFERROR(VLOOKUP(L518,Ingredients!A:B,2,FALSE),"")</f>
        <v>200</v>
      </c>
      <c r="L518" s="38" t="s">
        <v>875</v>
      </c>
      <c r="M518" s="32" t="s">
        <v>89</v>
      </c>
      <c r="N518" s="28">
        <f>IFERROR(VLOOKUP(O518,Ingredients!$A:$B,2,FALSE),"")</f>
        <v>200</v>
      </c>
      <c r="O518" s="38" t="s">
        <v>875</v>
      </c>
      <c r="P518" s="32" t="s">
        <v>87</v>
      </c>
      <c r="Q518" s="28"/>
      <c r="R518" s="35"/>
      <c r="S518" s="32"/>
      <c r="T518" s="28"/>
      <c r="U518" s="35"/>
      <c r="V518" s="32"/>
      <c r="W518" s="28"/>
      <c r="X518" s="35"/>
      <c r="Y518" s="32"/>
      <c r="Z518" s="28"/>
      <c r="AA518" s="36"/>
    </row>
    <row r="519" spans="1:27" ht="14">
      <c r="A519" s="35" t="s">
        <v>864</v>
      </c>
      <c r="B519" s="28"/>
      <c r="C519" s="29">
        <v>375</v>
      </c>
      <c r="D519" s="30">
        <f t="shared" si="6"/>
        <v>125</v>
      </c>
      <c r="E519" s="39" t="s">
        <v>874</v>
      </c>
      <c r="F519" s="32"/>
      <c r="G519" s="28"/>
      <c r="H519" s="32" t="s">
        <v>825</v>
      </c>
      <c r="I519" s="33" t="s">
        <v>826</v>
      </c>
      <c r="J519" s="32"/>
      <c r="K519" s="28">
        <f>IFERROR(VLOOKUP(L519,Ingredients!A:B,2,FALSE),"")</f>
        <v>200</v>
      </c>
      <c r="L519" s="38" t="s">
        <v>875</v>
      </c>
      <c r="M519" s="32" t="s">
        <v>89</v>
      </c>
      <c r="N519" s="28">
        <f>IFERROR(VLOOKUP(O519,Ingredients!$A:$B,2,FALSE),"")</f>
        <v>50</v>
      </c>
      <c r="O519" s="34" t="s">
        <v>851</v>
      </c>
      <c r="P519" s="32" t="s">
        <v>87</v>
      </c>
      <c r="Q519" s="28"/>
      <c r="R519" s="35"/>
      <c r="S519" s="32"/>
      <c r="T519" s="28"/>
      <c r="U519" s="35"/>
      <c r="V519" s="32"/>
      <c r="W519" s="28"/>
      <c r="X519" s="35"/>
      <c r="Y519" s="32"/>
      <c r="Z519" s="28"/>
      <c r="AA519" s="36"/>
    </row>
    <row r="520" spans="1:27" ht="14">
      <c r="A520" s="27" t="s">
        <v>866</v>
      </c>
      <c r="B520" s="28"/>
      <c r="C520" s="29">
        <v>45</v>
      </c>
      <c r="D520" s="30">
        <f t="shared" si="6"/>
        <v>-35</v>
      </c>
      <c r="E520" s="37" t="s">
        <v>876</v>
      </c>
      <c r="F520" s="32"/>
      <c r="G520" s="28"/>
      <c r="H520" s="32" t="s">
        <v>825</v>
      </c>
      <c r="I520" s="33" t="s">
        <v>826</v>
      </c>
      <c r="J520" s="32"/>
      <c r="K520" s="28">
        <f>IFERROR(VLOOKUP(L520,Ingredients!A:B,2,FALSE),"")</f>
        <v>30</v>
      </c>
      <c r="L520" s="38" t="s">
        <v>877</v>
      </c>
      <c r="M520" s="32" t="s">
        <v>89</v>
      </c>
      <c r="N520" s="28">
        <f>IFERROR(VLOOKUP(O520,Ingredients!$A:$B,2,FALSE),"")</f>
        <v>50</v>
      </c>
      <c r="O520" s="34" t="s">
        <v>851</v>
      </c>
      <c r="P520" s="32" t="s">
        <v>87</v>
      </c>
      <c r="Q520" s="28"/>
      <c r="R520" s="35"/>
      <c r="S520" s="32"/>
      <c r="T520" s="28"/>
      <c r="U520" s="35"/>
      <c r="V520" s="32"/>
      <c r="W520" s="28"/>
      <c r="X520" s="35"/>
      <c r="Y520" s="32"/>
      <c r="Z520" s="28"/>
      <c r="AA520" s="36"/>
    </row>
    <row r="521" spans="1:27" ht="14">
      <c r="A521" s="27" t="s">
        <v>866</v>
      </c>
      <c r="B521" s="28"/>
      <c r="C521" s="29">
        <v>45</v>
      </c>
      <c r="D521" s="30">
        <f t="shared" si="6"/>
        <v>-15</v>
      </c>
      <c r="E521" s="37" t="s">
        <v>876</v>
      </c>
      <c r="F521" s="32"/>
      <c r="G521" s="28"/>
      <c r="H521" s="32" t="s">
        <v>825</v>
      </c>
      <c r="I521" s="33" t="s">
        <v>826</v>
      </c>
      <c r="J521" s="32"/>
      <c r="K521" s="28">
        <f>IFERROR(VLOOKUP(L521,Ingredients!A:B,2,FALSE),"")</f>
        <v>30</v>
      </c>
      <c r="L521" s="38" t="s">
        <v>877</v>
      </c>
      <c r="M521" s="32" t="s">
        <v>89</v>
      </c>
      <c r="N521" s="28">
        <f>IFERROR(VLOOKUP(O521,Ingredients!$A:$B,2,FALSE),"")</f>
        <v>30</v>
      </c>
      <c r="O521" s="38" t="s">
        <v>877</v>
      </c>
      <c r="P521" s="32" t="s">
        <v>87</v>
      </c>
      <c r="Q521" s="28"/>
      <c r="R521" s="35"/>
      <c r="S521" s="32"/>
      <c r="T521" s="28"/>
      <c r="U521" s="35"/>
      <c r="V521" s="32"/>
      <c r="W521" s="28"/>
      <c r="X521" s="35"/>
      <c r="Y521" s="32"/>
      <c r="Z521" s="28"/>
      <c r="AA521" s="36"/>
    </row>
    <row r="522" spans="1:27" ht="14">
      <c r="A522" s="27" t="s">
        <v>878</v>
      </c>
      <c r="B522" s="28"/>
      <c r="C522" s="29">
        <v>65</v>
      </c>
      <c r="D522" s="30">
        <f t="shared" si="6"/>
        <v>-30</v>
      </c>
      <c r="E522" s="39" t="s">
        <v>879</v>
      </c>
      <c r="F522" s="32"/>
      <c r="G522" s="28"/>
      <c r="H522" s="32" t="s">
        <v>825</v>
      </c>
      <c r="I522" s="33" t="s">
        <v>826</v>
      </c>
      <c r="J522" s="32"/>
      <c r="K522" s="28">
        <f>IFERROR(VLOOKUP(L522,Ingredients!A:B,2,FALSE),"")</f>
        <v>10</v>
      </c>
      <c r="L522" s="38" t="s">
        <v>827</v>
      </c>
      <c r="M522" s="32" t="s">
        <v>89</v>
      </c>
      <c r="N522" s="28">
        <f>IFERROR(VLOOKUP(O522,Ingredients!$A:$B,2,FALSE),"")</f>
        <v>85</v>
      </c>
      <c r="O522" s="38" t="s">
        <v>880</v>
      </c>
      <c r="P522" s="32" t="s">
        <v>87</v>
      </c>
      <c r="Q522" s="28"/>
      <c r="R522" s="35"/>
      <c r="S522" s="32"/>
      <c r="T522" s="28"/>
      <c r="U522" s="35"/>
      <c r="V522" s="32"/>
      <c r="W522" s="28"/>
      <c r="X522" s="35"/>
      <c r="Y522" s="32"/>
      <c r="Z522" s="28"/>
      <c r="AA522" s="36"/>
    </row>
    <row r="523" spans="1:27" ht="14">
      <c r="A523" s="27" t="s">
        <v>881</v>
      </c>
      <c r="B523" s="28"/>
      <c r="C523" s="29">
        <v>65</v>
      </c>
      <c r="D523" s="30">
        <f t="shared" si="6"/>
        <v>-15</v>
      </c>
      <c r="E523" s="39" t="s">
        <v>882</v>
      </c>
      <c r="F523" s="32"/>
      <c r="G523" s="28"/>
      <c r="H523" s="32" t="s">
        <v>825</v>
      </c>
      <c r="I523" s="33" t="s">
        <v>826</v>
      </c>
      <c r="J523" s="32"/>
      <c r="K523" s="28">
        <f>IFERROR(VLOOKUP(L523,Ingredients!A:B,2,FALSE),"")</f>
        <v>10</v>
      </c>
      <c r="L523" s="38" t="s">
        <v>827</v>
      </c>
      <c r="M523" s="32" t="s">
        <v>89</v>
      </c>
      <c r="N523" s="28">
        <f>IFERROR(VLOOKUP(O523,Ingredients!$A:$B,2,FALSE),"")</f>
        <v>70</v>
      </c>
      <c r="O523" s="38" t="s">
        <v>883</v>
      </c>
      <c r="P523" s="32" t="s">
        <v>87</v>
      </c>
      <c r="Q523" s="28"/>
      <c r="R523" s="35"/>
      <c r="S523" s="32"/>
      <c r="T523" s="28"/>
      <c r="U523" s="35"/>
      <c r="V523" s="32"/>
      <c r="W523" s="28"/>
      <c r="X523" s="35"/>
      <c r="Y523" s="32"/>
      <c r="Z523" s="28"/>
      <c r="AA523" s="36"/>
    </row>
    <row r="524" spans="1:27" ht="14">
      <c r="A524" s="27" t="s">
        <v>884</v>
      </c>
      <c r="B524" s="28"/>
      <c r="C524" s="29">
        <v>65</v>
      </c>
      <c r="D524" s="30">
        <f t="shared" si="6"/>
        <v>-40</v>
      </c>
      <c r="E524" s="39" t="s">
        <v>885</v>
      </c>
      <c r="F524" s="32"/>
      <c r="G524" s="28"/>
      <c r="H524" s="32" t="s">
        <v>825</v>
      </c>
      <c r="I524" s="33" t="s">
        <v>826</v>
      </c>
      <c r="J524" s="32"/>
      <c r="K524" s="28">
        <f>IFERROR(VLOOKUP(L524,Ingredients!A:B,2,FALSE),"")</f>
        <v>10</v>
      </c>
      <c r="L524" s="38" t="s">
        <v>827</v>
      </c>
      <c r="M524" s="32" t="s">
        <v>89</v>
      </c>
      <c r="N524" s="28">
        <f>IFERROR(VLOOKUP(O524,Ingredients!$A:$B,2,FALSE),"")</f>
        <v>95</v>
      </c>
      <c r="O524" s="38" t="s">
        <v>886</v>
      </c>
      <c r="P524" s="32" t="s">
        <v>87</v>
      </c>
      <c r="Q524" s="28"/>
      <c r="R524" s="35"/>
      <c r="S524" s="32"/>
      <c r="T524" s="28"/>
      <c r="U524" s="35"/>
      <c r="V524" s="32"/>
      <c r="W524" s="28"/>
      <c r="X524" s="35"/>
      <c r="Y524" s="32"/>
      <c r="Z524" s="28"/>
      <c r="AA524" s="36"/>
    </row>
    <row r="525" spans="1:27" ht="14">
      <c r="A525" s="35" t="s">
        <v>875</v>
      </c>
      <c r="B525" s="28"/>
      <c r="C525" s="29">
        <v>200</v>
      </c>
      <c r="D525" s="30">
        <f t="shared" si="6"/>
        <v>70</v>
      </c>
      <c r="E525" s="39" t="s">
        <v>887</v>
      </c>
      <c r="F525" s="32"/>
      <c r="G525" s="28"/>
      <c r="H525" s="32" t="s">
        <v>825</v>
      </c>
      <c r="I525" s="33" t="s">
        <v>826</v>
      </c>
      <c r="J525" s="32"/>
      <c r="K525" s="28">
        <f>IFERROR(VLOOKUP(L525,Ingredients!A:B,2,FALSE),"")</f>
        <v>10</v>
      </c>
      <c r="L525" s="38" t="s">
        <v>827</v>
      </c>
      <c r="M525" s="32" t="s">
        <v>89</v>
      </c>
      <c r="N525" s="28">
        <f>IFERROR(VLOOKUP(O525,Ingredients!$A:$B,2,FALSE),"")</f>
        <v>120</v>
      </c>
      <c r="O525" s="38" t="s">
        <v>762</v>
      </c>
      <c r="P525" s="32" t="s">
        <v>87</v>
      </c>
      <c r="Q525" s="28"/>
      <c r="R525" s="35"/>
      <c r="S525" s="32"/>
      <c r="T525" s="28"/>
      <c r="U525" s="35"/>
      <c r="V525" s="32"/>
      <c r="W525" s="28"/>
      <c r="X525" s="35"/>
      <c r="Y525" s="32"/>
      <c r="Z525" s="28"/>
      <c r="AA525" s="36"/>
    </row>
    <row r="526" spans="1:27" ht="14">
      <c r="A526" s="27" t="s">
        <v>888</v>
      </c>
      <c r="B526" s="28"/>
      <c r="C526" s="29">
        <v>65</v>
      </c>
      <c r="D526" s="30">
        <f t="shared" si="6"/>
        <v>-35</v>
      </c>
      <c r="E526" s="39" t="s">
        <v>889</v>
      </c>
      <c r="F526" s="32"/>
      <c r="G526" s="28"/>
      <c r="H526" s="32" t="s">
        <v>825</v>
      </c>
      <c r="I526" s="33" t="s">
        <v>826</v>
      </c>
      <c r="J526" s="32"/>
      <c r="K526" s="28">
        <f>IFERROR(VLOOKUP(L526,Ingredients!A:B,2,FALSE),"")</f>
        <v>10</v>
      </c>
      <c r="L526" s="38" t="s">
        <v>827</v>
      </c>
      <c r="M526" s="32" t="s">
        <v>89</v>
      </c>
      <c r="N526" s="28">
        <f>IFERROR(VLOOKUP(O526,Ingredients!$A:$B,2,FALSE),"")</f>
        <v>90</v>
      </c>
      <c r="O526" s="38" t="s">
        <v>890</v>
      </c>
      <c r="P526" s="32" t="s">
        <v>87</v>
      </c>
      <c r="Q526" s="28"/>
      <c r="R526" s="35"/>
      <c r="S526" s="32"/>
      <c r="T526" s="28"/>
      <c r="U526" s="35"/>
      <c r="V526" s="32"/>
      <c r="W526" s="28"/>
      <c r="X526" s="35"/>
      <c r="Y526" s="32"/>
      <c r="Z526" s="28"/>
      <c r="AA526" s="36"/>
    </row>
    <row r="527" spans="1:27" ht="14">
      <c r="A527" s="27" t="s">
        <v>891</v>
      </c>
      <c r="B527" s="28"/>
      <c r="C527" s="29">
        <v>65</v>
      </c>
      <c r="D527" s="30">
        <f t="shared" si="6"/>
        <v>49</v>
      </c>
      <c r="E527" s="39" t="s">
        <v>892</v>
      </c>
      <c r="F527" s="32"/>
      <c r="G527" s="28"/>
      <c r="H527" s="32" t="s">
        <v>825</v>
      </c>
      <c r="I527" s="33" t="s">
        <v>826</v>
      </c>
      <c r="J527" s="32"/>
      <c r="K527" s="28">
        <f>IFERROR(VLOOKUP(L527,Ingredients!A:B,2,FALSE),"")</f>
        <v>10</v>
      </c>
      <c r="L527" s="38" t="s">
        <v>827</v>
      </c>
      <c r="M527" s="32" t="s">
        <v>89</v>
      </c>
      <c r="N527" s="28">
        <f>IFERROR(VLOOKUP(O527,Ingredients!$A:$B,2,FALSE),"")</f>
        <v>6</v>
      </c>
      <c r="O527" s="38" t="s">
        <v>893</v>
      </c>
      <c r="P527" s="32" t="s">
        <v>87</v>
      </c>
      <c r="Q527" s="28"/>
      <c r="R527" s="35"/>
      <c r="S527" s="32"/>
      <c r="T527" s="28"/>
      <c r="U527" s="35"/>
      <c r="V527" s="32"/>
      <c r="W527" s="28"/>
      <c r="X527" s="35"/>
      <c r="Y527" s="32"/>
      <c r="Z527" s="28"/>
      <c r="AA527" s="36"/>
    </row>
    <row r="528" spans="1:27" ht="14">
      <c r="A528" s="27" t="s">
        <v>873</v>
      </c>
      <c r="B528" s="28"/>
      <c r="C528" s="29">
        <v>15</v>
      </c>
      <c r="D528" s="30">
        <f t="shared" si="6"/>
        <v>-4</v>
      </c>
      <c r="E528" s="37" t="s">
        <v>894</v>
      </c>
      <c r="F528" s="32"/>
      <c r="G528" s="28"/>
      <c r="H528" s="32" t="s">
        <v>825</v>
      </c>
      <c r="I528" s="33" t="s">
        <v>826</v>
      </c>
      <c r="J528" s="32"/>
      <c r="K528" s="28">
        <f>IFERROR(VLOOKUP(L528,Ingredients!A:B,2,FALSE),"")</f>
        <v>10</v>
      </c>
      <c r="L528" s="38" t="s">
        <v>827</v>
      </c>
      <c r="M528" s="32" t="s">
        <v>89</v>
      </c>
      <c r="N528" s="28">
        <f>IFERROR(VLOOKUP(O528,Ingredients!$A:$B,2,FALSE),"")</f>
        <v>9</v>
      </c>
      <c r="O528" s="38" t="s">
        <v>895</v>
      </c>
      <c r="P528" s="32" t="s">
        <v>87</v>
      </c>
      <c r="Q528" s="28"/>
      <c r="R528" s="35"/>
      <c r="S528" s="32"/>
      <c r="T528" s="28"/>
      <c r="U528" s="35"/>
      <c r="V528" s="32"/>
      <c r="W528" s="28"/>
      <c r="X528" s="35"/>
      <c r="Y528" s="32"/>
      <c r="Z528" s="28"/>
      <c r="AA528" s="36"/>
    </row>
    <row r="529" spans="1:27" ht="42">
      <c r="A529" s="27" t="s">
        <v>896</v>
      </c>
      <c r="B529" s="28"/>
      <c r="C529" s="29">
        <v>600</v>
      </c>
      <c r="D529" s="30">
        <f t="shared" si="6"/>
        <v>560</v>
      </c>
      <c r="E529" s="37" t="s">
        <v>897</v>
      </c>
      <c r="F529" s="32"/>
      <c r="G529" s="28"/>
      <c r="H529" s="32" t="s">
        <v>825</v>
      </c>
      <c r="I529" s="33" t="s">
        <v>826</v>
      </c>
      <c r="J529" s="32"/>
      <c r="K529" s="28">
        <f>IFERROR(VLOOKUP(L529,Ingredients!A:B,2,FALSE),"")</f>
        <v>10</v>
      </c>
      <c r="L529" s="38" t="s">
        <v>827</v>
      </c>
      <c r="M529" s="32" t="s">
        <v>89</v>
      </c>
      <c r="N529" s="28">
        <f>IFERROR(VLOOKUP(O529,Ingredients!$A:$B,2,FALSE),"")</f>
        <v>30</v>
      </c>
      <c r="O529" s="34" t="s">
        <v>173</v>
      </c>
      <c r="P529" s="32" t="s">
        <v>87</v>
      </c>
      <c r="Q529" s="28"/>
      <c r="R529" s="35"/>
      <c r="S529" s="32"/>
      <c r="T529" s="28"/>
      <c r="U529" s="35"/>
      <c r="V529" s="32"/>
      <c r="W529" s="28"/>
      <c r="X529" s="35"/>
      <c r="Y529" s="32"/>
      <c r="Z529" s="28"/>
      <c r="AA529" s="36"/>
    </row>
    <row r="530" spans="1:27" ht="14">
      <c r="A530" s="27" t="s">
        <v>898</v>
      </c>
      <c r="B530" s="28"/>
      <c r="C530" s="29">
        <v>350</v>
      </c>
      <c r="D530" s="30">
        <f t="shared" si="6"/>
        <v>310</v>
      </c>
      <c r="E530" s="39" t="s">
        <v>899</v>
      </c>
      <c r="F530" s="32"/>
      <c r="G530" s="28"/>
      <c r="H530" s="32" t="s">
        <v>825</v>
      </c>
      <c r="I530" s="33" t="s">
        <v>826</v>
      </c>
      <c r="J530" s="32"/>
      <c r="K530" s="28">
        <f>IFERROR(VLOOKUP(L530,Ingredients!A:B,2,FALSE),"")</f>
        <v>10</v>
      </c>
      <c r="L530" s="38" t="s">
        <v>827</v>
      </c>
      <c r="M530" s="32" t="s">
        <v>89</v>
      </c>
      <c r="N530" s="28">
        <f>IFERROR(VLOOKUP(O530,Ingredients!$A:$B,2,FALSE),"")</f>
        <v>30</v>
      </c>
      <c r="O530" s="34" t="s">
        <v>158</v>
      </c>
      <c r="P530" s="32" t="s">
        <v>87</v>
      </c>
      <c r="Q530" s="28"/>
      <c r="R530" s="35"/>
      <c r="S530" s="32"/>
      <c r="T530" s="28"/>
      <c r="U530" s="35"/>
      <c r="V530" s="32"/>
      <c r="W530" s="28"/>
      <c r="X530" s="35"/>
      <c r="Y530" s="32"/>
      <c r="Z530" s="28"/>
      <c r="AA530" s="36"/>
    </row>
    <row r="531" spans="1:27" ht="28">
      <c r="A531" s="27" t="s">
        <v>900</v>
      </c>
      <c r="B531" s="28"/>
      <c r="C531" s="29">
        <v>300</v>
      </c>
      <c r="D531" s="30">
        <f t="shared" si="6"/>
        <v>260</v>
      </c>
      <c r="E531" s="37" t="s">
        <v>901</v>
      </c>
      <c r="F531" s="32"/>
      <c r="G531" s="28"/>
      <c r="H531" s="32" t="s">
        <v>825</v>
      </c>
      <c r="I531" s="33" t="s">
        <v>826</v>
      </c>
      <c r="J531" s="32"/>
      <c r="K531" s="28">
        <f>IFERROR(VLOOKUP(L531,Ingredients!A:B,2,FALSE),"")</f>
        <v>10</v>
      </c>
      <c r="L531" s="38" t="s">
        <v>827</v>
      </c>
      <c r="M531" s="32" t="s">
        <v>89</v>
      </c>
      <c r="N531" s="28">
        <f>IFERROR(VLOOKUP(O531,Ingredients!$A:$B,2,FALSE),"")</f>
        <v>30</v>
      </c>
      <c r="O531" s="34" t="s">
        <v>154</v>
      </c>
      <c r="P531" s="32" t="s">
        <v>87</v>
      </c>
      <c r="Q531" s="28"/>
      <c r="R531" s="35"/>
      <c r="S531" s="32"/>
      <c r="T531" s="28"/>
      <c r="U531" s="35"/>
      <c r="V531" s="32"/>
      <c r="W531" s="28"/>
      <c r="X531" s="35"/>
      <c r="Y531" s="32"/>
      <c r="Z531" s="28"/>
      <c r="AA531" s="36"/>
    </row>
    <row r="532" spans="1:27" ht="14">
      <c r="A532" s="27" t="s">
        <v>402</v>
      </c>
      <c r="B532" s="28"/>
      <c r="C532" s="29">
        <v>30</v>
      </c>
      <c r="D532" s="30">
        <f t="shared" si="6"/>
        <v>-70</v>
      </c>
      <c r="E532" s="37" t="s">
        <v>902</v>
      </c>
      <c r="F532" s="32"/>
      <c r="G532" s="28"/>
      <c r="H532" s="32" t="s">
        <v>825</v>
      </c>
      <c r="I532" s="33" t="s">
        <v>826</v>
      </c>
      <c r="J532" s="32"/>
      <c r="K532" s="28">
        <f>IFERROR(VLOOKUP(L532,Ingredients!A:B,2,FALSE),"")</f>
        <v>10</v>
      </c>
      <c r="L532" s="38" t="s">
        <v>827</v>
      </c>
      <c r="M532" s="32" t="s">
        <v>89</v>
      </c>
      <c r="N532" s="28">
        <f>IFERROR(VLOOKUP(O532,Ingredients!$A:$B,2,FALSE),"")</f>
        <v>90</v>
      </c>
      <c r="O532" s="38" t="s">
        <v>401</v>
      </c>
      <c r="P532" s="32" t="s">
        <v>87</v>
      </c>
      <c r="Q532" s="28"/>
      <c r="R532" s="35"/>
      <c r="S532" s="32"/>
      <c r="T532" s="28"/>
      <c r="U532" s="35"/>
      <c r="V532" s="32"/>
      <c r="W532" s="28"/>
      <c r="X532" s="35"/>
      <c r="Y532" s="32"/>
      <c r="Z532" s="28"/>
      <c r="AA532" s="36"/>
    </row>
    <row r="533" spans="1:27" ht="14">
      <c r="A533" s="27" t="s">
        <v>871</v>
      </c>
      <c r="B533" s="28"/>
      <c r="C533" s="29">
        <v>15</v>
      </c>
      <c r="D533" s="30">
        <f t="shared" si="6"/>
        <v>-7</v>
      </c>
      <c r="E533" s="37" t="s">
        <v>903</v>
      </c>
      <c r="F533" s="32"/>
      <c r="G533" s="28"/>
      <c r="H533" s="32" t="s">
        <v>825</v>
      </c>
      <c r="I533" s="33" t="s">
        <v>826</v>
      </c>
      <c r="J533" s="32"/>
      <c r="K533" s="28">
        <f>IFERROR(VLOOKUP(L533,Ingredients!A:B,2,FALSE),"")</f>
        <v>10</v>
      </c>
      <c r="L533" s="38" t="s">
        <v>827</v>
      </c>
      <c r="M533" s="32" t="s">
        <v>89</v>
      </c>
      <c r="N533" s="28">
        <f>IFERROR(VLOOKUP(O533,Ingredients!$A:$B,2,FALSE),"")</f>
        <v>12</v>
      </c>
      <c r="O533" s="38" t="s">
        <v>739</v>
      </c>
      <c r="P533" s="32" t="s">
        <v>87</v>
      </c>
      <c r="Q533" s="28"/>
      <c r="R533" s="35"/>
      <c r="S533" s="32"/>
      <c r="T533" s="28"/>
      <c r="U533" s="35"/>
      <c r="V533" s="32"/>
      <c r="W533" s="28"/>
      <c r="X533" s="35"/>
      <c r="Y533" s="32"/>
      <c r="Z533" s="28"/>
      <c r="AA533" s="36"/>
    </row>
    <row r="534" spans="1:27" ht="28">
      <c r="A534" s="27" t="s">
        <v>904</v>
      </c>
      <c r="B534" s="28"/>
      <c r="C534" s="29">
        <v>400</v>
      </c>
      <c r="D534" s="30">
        <f t="shared" si="6"/>
        <v>360</v>
      </c>
      <c r="E534" s="39" t="s">
        <v>905</v>
      </c>
      <c r="F534" s="32"/>
      <c r="G534" s="28"/>
      <c r="H534" s="32" t="s">
        <v>825</v>
      </c>
      <c r="I534" s="33" t="s">
        <v>826</v>
      </c>
      <c r="J534" s="32"/>
      <c r="K534" s="28">
        <f>IFERROR(VLOOKUP(L534,Ingredients!A:B,2,FALSE),"")</f>
        <v>10</v>
      </c>
      <c r="L534" s="38" t="s">
        <v>827</v>
      </c>
      <c r="M534" s="32" t="s">
        <v>89</v>
      </c>
      <c r="N534" s="28">
        <f>IFERROR(VLOOKUP(O534,Ingredients!$A:$B,2,FALSE),"")</f>
        <v>30</v>
      </c>
      <c r="O534" s="34" t="s">
        <v>165</v>
      </c>
      <c r="P534" s="32" t="s">
        <v>87</v>
      </c>
      <c r="Q534" s="28"/>
      <c r="R534" s="35"/>
      <c r="S534" s="32"/>
      <c r="T534" s="28"/>
      <c r="U534" s="35"/>
      <c r="V534" s="32"/>
      <c r="W534" s="28"/>
      <c r="X534" s="35"/>
      <c r="Y534" s="32"/>
      <c r="Z534" s="28"/>
      <c r="AA534" s="36"/>
    </row>
    <row r="535" spans="1:27" ht="14">
      <c r="A535" s="35" t="s">
        <v>877</v>
      </c>
      <c r="B535" s="28"/>
      <c r="C535" s="29">
        <v>30</v>
      </c>
      <c r="D535" s="30">
        <f t="shared" si="6"/>
        <v>-70</v>
      </c>
      <c r="E535" s="37" t="s">
        <v>906</v>
      </c>
      <c r="F535" s="32"/>
      <c r="G535" s="28"/>
      <c r="H535" s="32" t="s">
        <v>825</v>
      </c>
      <c r="I535" s="33" t="s">
        <v>826</v>
      </c>
      <c r="J535" s="32"/>
      <c r="K535" s="28">
        <f>IFERROR(VLOOKUP(L535,Ingredients!A:B,2,FALSE),"")</f>
        <v>10</v>
      </c>
      <c r="L535" s="38" t="s">
        <v>827</v>
      </c>
      <c r="M535" s="32" t="s">
        <v>89</v>
      </c>
      <c r="N535" s="28">
        <f>IFERROR(VLOOKUP(O535,Ingredients!$A:$B,2,FALSE),"")</f>
        <v>90</v>
      </c>
      <c r="O535" s="38" t="s">
        <v>701</v>
      </c>
      <c r="P535" s="32" t="s">
        <v>87</v>
      </c>
      <c r="Q535" s="28"/>
      <c r="R535" s="35"/>
      <c r="S535" s="32"/>
      <c r="T535" s="28"/>
      <c r="U535" s="35"/>
      <c r="V535" s="32"/>
      <c r="W535" s="28"/>
      <c r="X535" s="35"/>
      <c r="Y535" s="32"/>
      <c r="Z535" s="28"/>
      <c r="AA535" s="36"/>
    </row>
    <row r="536" spans="1:27" ht="14">
      <c r="A536" s="35" t="s">
        <v>907</v>
      </c>
      <c r="B536" s="28"/>
      <c r="C536" s="29">
        <v>230</v>
      </c>
      <c r="D536" s="30">
        <f t="shared" si="6"/>
        <v>-20</v>
      </c>
      <c r="E536" s="37" t="s">
        <v>908</v>
      </c>
      <c r="F536" s="32"/>
      <c r="G536" s="28"/>
      <c r="H536" s="32" t="s">
        <v>825</v>
      </c>
      <c r="I536" s="33" t="s">
        <v>784</v>
      </c>
      <c r="J536" s="32"/>
      <c r="K536" s="28">
        <f>IFERROR(VLOOKUP(L536,Ingredients!A:B,2,FALSE),"")</f>
        <v>125</v>
      </c>
      <c r="L536" s="38" t="s">
        <v>909</v>
      </c>
      <c r="M536" s="32" t="s">
        <v>89</v>
      </c>
      <c r="N536" s="28">
        <f>IFERROR(VLOOKUP(O536,Ingredients!$A:$B,2,FALSE),"")</f>
        <v>125</v>
      </c>
      <c r="O536" s="38" t="s">
        <v>909</v>
      </c>
      <c r="P536" s="32" t="s">
        <v>87</v>
      </c>
      <c r="Q536" s="28"/>
      <c r="R536" s="35"/>
      <c r="S536" s="32"/>
      <c r="T536" s="28"/>
      <c r="U536" s="35"/>
      <c r="V536" s="32"/>
      <c r="W536" s="28"/>
      <c r="X536" s="35"/>
      <c r="Y536" s="32"/>
      <c r="Z536" s="28"/>
      <c r="AA536" s="36"/>
    </row>
    <row r="537" spans="1:27" ht="14">
      <c r="A537" s="35" t="s">
        <v>907</v>
      </c>
      <c r="B537" s="28"/>
      <c r="C537" s="29">
        <v>230</v>
      </c>
      <c r="D537" s="30" t="e">
        <f t="shared" si="6"/>
        <v>#VALUE!</v>
      </c>
      <c r="E537" s="37" t="s">
        <v>908</v>
      </c>
      <c r="F537" s="32"/>
      <c r="G537" s="28"/>
      <c r="H537" s="32" t="s">
        <v>825</v>
      </c>
      <c r="I537" s="33" t="s">
        <v>784</v>
      </c>
      <c r="J537" s="32"/>
      <c r="K537" s="28">
        <f>IFERROR(VLOOKUP(L537,Ingredients!A:B,2,FALSE),"")</f>
        <v>125</v>
      </c>
      <c r="L537" s="38" t="s">
        <v>909</v>
      </c>
      <c r="M537" s="32" t="s">
        <v>89</v>
      </c>
      <c r="N537" s="28" t="str">
        <f>IFERROR(VLOOKUP(O537,Ingredients!$A:$B,2,FALSE),"")</f>
        <v/>
      </c>
      <c r="O537" s="34" t="s">
        <v>837</v>
      </c>
      <c r="P537" s="32" t="s">
        <v>87</v>
      </c>
      <c r="Q537" s="28"/>
      <c r="R537" s="35"/>
      <c r="S537" s="32"/>
      <c r="T537" s="28"/>
      <c r="U537" s="35"/>
      <c r="V537" s="32"/>
      <c r="W537" s="28"/>
      <c r="X537" s="35"/>
      <c r="Y537" s="32"/>
      <c r="Z537" s="28"/>
      <c r="AA537" s="36"/>
    </row>
    <row r="538" spans="1:27" ht="14">
      <c r="A538" s="35" t="s">
        <v>910</v>
      </c>
      <c r="B538" s="28"/>
      <c r="C538" s="29">
        <v>80</v>
      </c>
      <c r="D538" s="30">
        <f t="shared" si="6"/>
        <v>45</v>
      </c>
      <c r="E538" s="37" t="s">
        <v>911</v>
      </c>
      <c r="F538" s="32"/>
      <c r="G538" s="28"/>
      <c r="H538" s="32" t="s">
        <v>825</v>
      </c>
      <c r="I538" s="33" t="s">
        <v>784</v>
      </c>
      <c r="J538" s="32"/>
      <c r="K538" s="28">
        <f>IFERROR(VLOOKUP(L538,Ingredients!A:B,2,FALSE),"")</f>
        <v>10</v>
      </c>
      <c r="L538" s="38" t="s">
        <v>827</v>
      </c>
      <c r="M538" s="32" t="s">
        <v>89</v>
      </c>
      <c r="N538" s="28">
        <f>IFERROR(VLOOKUP(O538,Ingredients!$A:$B,2,FALSE),"")</f>
        <v>25</v>
      </c>
      <c r="O538" s="38" t="s">
        <v>912</v>
      </c>
      <c r="P538" s="32" t="s">
        <v>87</v>
      </c>
      <c r="Q538" s="28"/>
      <c r="R538" s="35"/>
      <c r="S538" s="32"/>
      <c r="T538" s="28"/>
      <c r="U538" s="35"/>
      <c r="V538" s="32"/>
      <c r="W538" s="28"/>
      <c r="X538" s="35"/>
      <c r="Y538" s="32"/>
      <c r="Z538" s="28"/>
      <c r="AA538" s="36"/>
    </row>
    <row r="539" spans="1:27" ht="14">
      <c r="A539" s="27" t="s">
        <v>913</v>
      </c>
      <c r="B539" s="28"/>
      <c r="C539" s="29">
        <v>80</v>
      </c>
      <c r="D539" s="30">
        <f t="shared" si="6"/>
        <v>0</v>
      </c>
      <c r="E539" s="37" t="s">
        <v>914</v>
      </c>
      <c r="F539" s="32"/>
      <c r="G539" s="28"/>
      <c r="H539" s="32" t="s">
        <v>825</v>
      </c>
      <c r="I539" s="33" t="s">
        <v>784</v>
      </c>
      <c r="J539" s="32"/>
      <c r="K539" s="28">
        <f>IFERROR(VLOOKUP(L539,Ingredients!A:B,2,FALSE),"")</f>
        <v>30</v>
      </c>
      <c r="L539" s="38" t="s">
        <v>915</v>
      </c>
      <c r="M539" s="32" t="s">
        <v>89</v>
      </c>
      <c r="N539" s="28">
        <f>IFERROR(VLOOKUP(O539,Ingredients!$A:$B,2,FALSE),"")</f>
        <v>50</v>
      </c>
      <c r="O539" s="34" t="s">
        <v>851</v>
      </c>
      <c r="P539" s="32" t="s">
        <v>87</v>
      </c>
      <c r="Q539" s="28"/>
      <c r="R539" s="35"/>
      <c r="S539" s="32"/>
      <c r="T539" s="28"/>
      <c r="U539" s="35"/>
      <c r="V539" s="32"/>
      <c r="W539" s="28"/>
      <c r="X539" s="35"/>
      <c r="Y539" s="32"/>
      <c r="Z539" s="28"/>
      <c r="AA539" s="36"/>
    </row>
    <row r="540" spans="1:27" ht="14">
      <c r="A540" s="27" t="s">
        <v>913</v>
      </c>
      <c r="B540" s="28"/>
      <c r="C540" s="29">
        <v>80</v>
      </c>
      <c r="D540" s="30">
        <f t="shared" si="6"/>
        <v>20</v>
      </c>
      <c r="E540" s="37" t="s">
        <v>914</v>
      </c>
      <c r="F540" s="32"/>
      <c r="G540" s="28"/>
      <c r="H540" s="32" t="s">
        <v>825</v>
      </c>
      <c r="I540" s="33" t="s">
        <v>784</v>
      </c>
      <c r="J540" s="32"/>
      <c r="K540" s="28">
        <f>IFERROR(VLOOKUP(L540,Ingredients!A:B,2,FALSE),"")</f>
        <v>30</v>
      </c>
      <c r="L540" s="38" t="s">
        <v>915</v>
      </c>
      <c r="M540" s="32" t="s">
        <v>89</v>
      </c>
      <c r="N540" s="28">
        <f>IFERROR(VLOOKUP(O540,Ingredients!$A:$B,2,FALSE),"")</f>
        <v>30</v>
      </c>
      <c r="O540" s="34" t="s">
        <v>749</v>
      </c>
      <c r="P540" s="32" t="s">
        <v>87</v>
      </c>
      <c r="Q540" s="28"/>
      <c r="R540" s="35"/>
      <c r="S540" s="32"/>
      <c r="T540" s="28"/>
      <c r="U540" s="35"/>
      <c r="V540" s="32"/>
      <c r="W540" s="28"/>
      <c r="X540" s="35"/>
      <c r="Y540" s="32"/>
      <c r="Z540" s="28"/>
      <c r="AA540" s="36"/>
    </row>
    <row r="541" spans="1:27" ht="14">
      <c r="A541" s="27" t="s">
        <v>913</v>
      </c>
      <c r="B541" s="28"/>
      <c r="C541" s="29">
        <v>80</v>
      </c>
      <c r="D541" s="30">
        <f t="shared" si="6"/>
        <v>20</v>
      </c>
      <c r="E541" s="37" t="s">
        <v>914</v>
      </c>
      <c r="F541" s="32"/>
      <c r="G541" s="28"/>
      <c r="H541" s="32" t="s">
        <v>825</v>
      </c>
      <c r="I541" s="33" t="s">
        <v>784</v>
      </c>
      <c r="J541" s="32"/>
      <c r="K541" s="28">
        <f>IFERROR(VLOOKUP(L541,Ingredients!A:B,2,FALSE),"")</f>
        <v>30</v>
      </c>
      <c r="L541" s="38" t="s">
        <v>915</v>
      </c>
      <c r="M541" s="32" t="s">
        <v>89</v>
      </c>
      <c r="N541" s="28">
        <f>IFERROR(VLOOKUP(O541,Ingredients!$A:$B,2,FALSE),"")</f>
        <v>30</v>
      </c>
      <c r="O541" s="38" t="s">
        <v>915</v>
      </c>
      <c r="P541" s="32" t="s">
        <v>87</v>
      </c>
      <c r="Q541" s="28"/>
      <c r="R541" s="35"/>
      <c r="S541" s="32"/>
      <c r="T541" s="28"/>
      <c r="U541" s="35"/>
      <c r="V541" s="32"/>
      <c r="W541" s="28"/>
      <c r="X541" s="35"/>
      <c r="Y541" s="32"/>
      <c r="Z541" s="28"/>
      <c r="AA541" s="36"/>
    </row>
    <row r="542" spans="1:27" ht="14">
      <c r="A542" s="35" t="s">
        <v>909</v>
      </c>
      <c r="B542" s="28"/>
      <c r="C542" s="29">
        <v>125</v>
      </c>
      <c r="D542" s="30">
        <f t="shared" si="6"/>
        <v>-35</v>
      </c>
      <c r="E542" s="37" t="s">
        <v>916</v>
      </c>
      <c r="F542" s="32"/>
      <c r="G542" s="28"/>
      <c r="H542" s="32" t="s">
        <v>825</v>
      </c>
      <c r="I542" s="33" t="s">
        <v>784</v>
      </c>
      <c r="J542" s="32"/>
      <c r="K542" s="28">
        <f>IFERROR(VLOOKUP(L542,Ingredients!A:B,2,FALSE),"")</f>
        <v>80</v>
      </c>
      <c r="L542" s="34" t="s">
        <v>913</v>
      </c>
      <c r="M542" s="32" t="s">
        <v>89</v>
      </c>
      <c r="N542" s="28">
        <f>IFERROR(VLOOKUP(O542,Ingredients!$A:$B,2,FALSE),"")</f>
        <v>80</v>
      </c>
      <c r="O542" s="34" t="s">
        <v>913</v>
      </c>
      <c r="P542" s="32" t="s">
        <v>87</v>
      </c>
      <c r="Q542" s="28"/>
      <c r="R542" s="35"/>
      <c r="S542" s="32"/>
      <c r="T542" s="28"/>
      <c r="U542" s="35"/>
      <c r="V542" s="32"/>
      <c r="W542" s="28"/>
      <c r="X542" s="35"/>
      <c r="Y542" s="32"/>
      <c r="Z542" s="28"/>
      <c r="AA542" s="36"/>
    </row>
    <row r="543" spans="1:27" ht="14">
      <c r="A543" s="35" t="s">
        <v>909</v>
      </c>
      <c r="B543" s="28"/>
      <c r="C543" s="29">
        <v>125</v>
      </c>
      <c r="D543" s="30">
        <f t="shared" si="6"/>
        <v>-5</v>
      </c>
      <c r="E543" s="37" t="s">
        <v>916</v>
      </c>
      <c r="F543" s="32"/>
      <c r="G543" s="28"/>
      <c r="H543" s="32" t="s">
        <v>825</v>
      </c>
      <c r="I543" s="33" t="s">
        <v>784</v>
      </c>
      <c r="J543" s="32"/>
      <c r="K543" s="28">
        <f>IFERROR(VLOOKUP(L543,Ingredients!A:B,2,FALSE),"")</f>
        <v>80</v>
      </c>
      <c r="L543" s="34" t="s">
        <v>913</v>
      </c>
      <c r="M543" s="32" t="s">
        <v>89</v>
      </c>
      <c r="N543" s="28">
        <f>IFERROR(VLOOKUP(O543,Ingredients!$A:$B,2,FALSE),"")</f>
        <v>50</v>
      </c>
      <c r="O543" s="34" t="s">
        <v>851</v>
      </c>
      <c r="P543" s="32" t="s">
        <v>87</v>
      </c>
      <c r="Q543" s="28"/>
      <c r="R543" s="35"/>
      <c r="S543" s="32"/>
      <c r="T543" s="28"/>
      <c r="U543" s="35"/>
      <c r="V543" s="32"/>
      <c r="W543" s="28"/>
      <c r="X543" s="35"/>
      <c r="Y543" s="32"/>
      <c r="Z543" s="28"/>
      <c r="AA543" s="36"/>
    </row>
    <row r="544" spans="1:27" ht="14">
      <c r="A544" s="35" t="s">
        <v>915</v>
      </c>
      <c r="B544" s="28"/>
      <c r="C544" s="29">
        <v>30</v>
      </c>
      <c r="D544" s="30">
        <f t="shared" si="6"/>
        <v>-40</v>
      </c>
      <c r="E544" s="37" t="s">
        <v>917</v>
      </c>
      <c r="F544" s="32"/>
      <c r="G544" s="28"/>
      <c r="H544" s="32" t="s">
        <v>825</v>
      </c>
      <c r="I544" s="33" t="s">
        <v>784</v>
      </c>
      <c r="J544" s="32"/>
      <c r="K544" s="28">
        <f>IFERROR(VLOOKUP(L544,Ingredients!A:B,2,FALSE),"")</f>
        <v>20</v>
      </c>
      <c r="L544" s="38" t="s">
        <v>918</v>
      </c>
      <c r="M544" s="32" t="s">
        <v>89</v>
      </c>
      <c r="N544" s="28">
        <f>IFERROR(VLOOKUP(O544,Ingredients!$A:$B,2,FALSE),"")</f>
        <v>50</v>
      </c>
      <c r="O544" s="34" t="s">
        <v>851</v>
      </c>
      <c r="P544" s="32" t="s">
        <v>87</v>
      </c>
      <c r="Q544" s="28"/>
      <c r="R544" s="35"/>
      <c r="S544" s="32"/>
      <c r="T544" s="28"/>
      <c r="U544" s="35"/>
      <c r="V544" s="32"/>
      <c r="W544" s="28"/>
      <c r="X544" s="35"/>
      <c r="Y544" s="32"/>
      <c r="Z544" s="28"/>
      <c r="AA544" s="36"/>
    </row>
    <row r="545" spans="1:27" ht="14">
      <c r="A545" s="35" t="s">
        <v>915</v>
      </c>
      <c r="B545" s="28"/>
      <c r="C545" s="29">
        <v>30</v>
      </c>
      <c r="D545" s="30">
        <f t="shared" si="6"/>
        <v>-20</v>
      </c>
      <c r="E545" s="37" t="s">
        <v>917</v>
      </c>
      <c r="F545" s="32"/>
      <c r="G545" s="28"/>
      <c r="H545" s="32" t="s">
        <v>825</v>
      </c>
      <c r="I545" s="33" t="s">
        <v>784</v>
      </c>
      <c r="J545" s="32"/>
      <c r="K545" s="28">
        <f>IFERROR(VLOOKUP(L545,Ingredients!A:B,2,FALSE),"")</f>
        <v>20</v>
      </c>
      <c r="L545" s="38" t="s">
        <v>918</v>
      </c>
      <c r="M545" s="32" t="s">
        <v>89</v>
      </c>
      <c r="N545" s="28">
        <f>IFERROR(VLOOKUP(O545,Ingredients!$A:$B,2,FALSE),"")</f>
        <v>30</v>
      </c>
      <c r="O545" s="34" t="s">
        <v>749</v>
      </c>
      <c r="P545" s="32" t="s">
        <v>87</v>
      </c>
      <c r="Q545" s="28"/>
      <c r="R545" s="35"/>
      <c r="S545" s="32"/>
      <c r="T545" s="28"/>
      <c r="U545" s="35"/>
      <c r="V545" s="32"/>
      <c r="W545" s="28"/>
      <c r="X545" s="35"/>
      <c r="Y545" s="32"/>
      <c r="Z545" s="28"/>
      <c r="AA545" s="36"/>
    </row>
    <row r="546" spans="1:27" ht="14">
      <c r="A546" s="35" t="s">
        <v>915</v>
      </c>
      <c r="B546" s="28"/>
      <c r="C546" s="29">
        <v>30</v>
      </c>
      <c r="D546" s="30">
        <f t="shared" si="6"/>
        <v>-10</v>
      </c>
      <c r="E546" s="37" t="s">
        <v>917</v>
      </c>
      <c r="F546" s="32"/>
      <c r="G546" s="28"/>
      <c r="H546" s="32" t="s">
        <v>825</v>
      </c>
      <c r="I546" s="33" t="s">
        <v>784</v>
      </c>
      <c r="J546" s="32"/>
      <c r="K546" s="28">
        <f>IFERROR(VLOOKUP(L546,Ingredients!A:B,2,FALSE),"")</f>
        <v>20</v>
      </c>
      <c r="L546" s="38" t="s">
        <v>918</v>
      </c>
      <c r="M546" s="32" t="s">
        <v>89</v>
      </c>
      <c r="N546" s="28">
        <f>IFERROR(VLOOKUP(O546,Ingredients!$A:$B,2,FALSE),"")</f>
        <v>20</v>
      </c>
      <c r="O546" s="38" t="s">
        <v>918</v>
      </c>
      <c r="P546" s="32" t="s">
        <v>87</v>
      </c>
      <c r="Q546" s="28"/>
      <c r="R546" s="35"/>
      <c r="S546" s="32"/>
      <c r="T546" s="28"/>
      <c r="U546" s="35"/>
      <c r="V546" s="32"/>
      <c r="W546" s="28"/>
      <c r="X546" s="35"/>
      <c r="Y546" s="32"/>
      <c r="Z546" s="28"/>
      <c r="AA546" s="36"/>
    </row>
    <row r="547" spans="1:27" ht="14">
      <c r="A547" s="35" t="s">
        <v>918</v>
      </c>
      <c r="B547" s="28"/>
      <c r="C547" s="29">
        <v>20</v>
      </c>
      <c r="D547" s="30">
        <f t="shared" si="6"/>
        <v>-20</v>
      </c>
      <c r="E547" s="37" t="s">
        <v>919</v>
      </c>
      <c r="F547" s="32"/>
      <c r="G547" s="28"/>
      <c r="H547" s="32" t="s">
        <v>825</v>
      </c>
      <c r="I547" s="33" t="s">
        <v>784</v>
      </c>
      <c r="J547" s="32"/>
      <c r="K547" s="28">
        <f>IFERROR(VLOOKUP(L547,Ingredients!A:B,2,FALSE),"")</f>
        <v>10</v>
      </c>
      <c r="L547" s="38" t="s">
        <v>827</v>
      </c>
      <c r="M547" s="32" t="s">
        <v>89</v>
      </c>
      <c r="N547" s="28">
        <f>IFERROR(VLOOKUP(O547,Ingredients!$A:$B,2,FALSE),"")</f>
        <v>30</v>
      </c>
      <c r="O547" s="38" t="s">
        <v>706</v>
      </c>
      <c r="P547" s="32" t="s">
        <v>87</v>
      </c>
      <c r="Q547" s="28"/>
      <c r="R547" s="35"/>
      <c r="S547" s="32"/>
      <c r="T547" s="28"/>
      <c r="U547" s="35"/>
      <c r="V547" s="32"/>
      <c r="W547" s="28"/>
      <c r="X547" s="35"/>
      <c r="Y547" s="32"/>
      <c r="Z547" s="28"/>
      <c r="AA547" s="36"/>
    </row>
    <row r="548" spans="1:27" ht="14">
      <c r="A548" s="27" t="s">
        <v>920</v>
      </c>
      <c r="B548" s="28"/>
      <c r="C548" s="29">
        <v>80</v>
      </c>
      <c r="D548" s="30">
        <f t="shared" si="6"/>
        <v>-126</v>
      </c>
      <c r="E548" s="39" t="s">
        <v>921</v>
      </c>
      <c r="F548" s="32"/>
      <c r="G548" s="28"/>
      <c r="H548" s="33" t="s">
        <v>825</v>
      </c>
      <c r="I548" s="33" t="s">
        <v>922</v>
      </c>
      <c r="J548" s="32"/>
      <c r="K548" s="28">
        <f>IFERROR(VLOOKUP(L548,Ingredients!A:B,2,FALSE),"")</f>
        <v>200</v>
      </c>
      <c r="L548" s="38" t="s">
        <v>923</v>
      </c>
      <c r="M548" s="32" t="s">
        <v>89</v>
      </c>
      <c r="N548" s="28">
        <f>IFERROR(VLOOKUP(O548,Ingredients!$A:$B,2,FALSE),"")</f>
        <v>6</v>
      </c>
      <c r="O548" s="38" t="s">
        <v>893</v>
      </c>
      <c r="P548" s="32" t="s">
        <v>87</v>
      </c>
      <c r="Q548" s="28"/>
      <c r="R548" s="35"/>
      <c r="S548" s="32"/>
      <c r="T548" s="28"/>
      <c r="U548" s="35"/>
      <c r="V548" s="32"/>
      <c r="W548" s="28"/>
      <c r="X548" s="35"/>
      <c r="Y548" s="32"/>
      <c r="Z548" s="28"/>
      <c r="AA548" s="36"/>
    </row>
    <row r="549" spans="1:27" ht="14">
      <c r="A549" s="27" t="s">
        <v>924</v>
      </c>
      <c r="B549" s="28"/>
      <c r="C549" s="29">
        <v>80</v>
      </c>
      <c r="D549" s="30">
        <f t="shared" si="6"/>
        <v>-205</v>
      </c>
      <c r="E549" s="39" t="s">
        <v>925</v>
      </c>
      <c r="F549" s="32"/>
      <c r="G549" s="28"/>
      <c r="H549" s="33" t="s">
        <v>825</v>
      </c>
      <c r="I549" s="33" t="s">
        <v>922</v>
      </c>
      <c r="J549" s="32"/>
      <c r="K549" s="28">
        <f>IFERROR(VLOOKUP(L549,Ingredients!A:B,2,FALSE),"")</f>
        <v>200</v>
      </c>
      <c r="L549" s="38" t="s">
        <v>923</v>
      </c>
      <c r="M549" s="32" t="s">
        <v>89</v>
      </c>
      <c r="N549" s="28">
        <f>IFERROR(VLOOKUP(O549,Ingredients!$A:$B,2,FALSE),"")</f>
        <v>85</v>
      </c>
      <c r="O549" s="38" t="s">
        <v>880</v>
      </c>
      <c r="P549" s="32" t="s">
        <v>87</v>
      </c>
      <c r="Q549" s="28"/>
      <c r="R549" s="35"/>
      <c r="S549" s="32"/>
      <c r="T549" s="28"/>
      <c r="U549" s="35"/>
      <c r="V549" s="32"/>
      <c r="W549" s="28"/>
      <c r="X549" s="35"/>
      <c r="Y549" s="32"/>
      <c r="Z549" s="28"/>
      <c r="AA549" s="36"/>
    </row>
    <row r="550" spans="1:27" ht="14">
      <c r="A550" s="27" t="s">
        <v>926</v>
      </c>
      <c r="B550" s="28"/>
      <c r="C550" s="29">
        <v>80</v>
      </c>
      <c r="D550" s="30">
        <f t="shared" si="6"/>
        <v>-215</v>
      </c>
      <c r="E550" s="39" t="s">
        <v>927</v>
      </c>
      <c r="F550" s="32"/>
      <c r="G550" s="28"/>
      <c r="H550" s="33" t="s">
        <v>825</v>
      </c>
      <c r="I550" s="33" t="s">
        <v>922</v>
      </c>
      <c r="J550" s="32"/>
      <c r="K550" s="28">
        <f>IFERROR(VLOOKUP(L550,Ingredients!A:B,2,FALSE),"")</f>
        <v>200</v>
      </c>
      <c r="L550" s="38" t="s">
        <v>923</v>
      </c>
      <c r="M550" s="32" t="s">
        <v>89</v>
      </c>
      <c r="N550" s="28">
        <f>IFERROR(VLOOKUP(O550,Ingredients!$A:$B,2,FALSE),"")</f>
        <v>95</v>
      </c>
      <c r="O550" s="38" t="s">
        <v>886</v>
      </c>
      <c r="P550" s="32" t="s">
        <v>87</v>
      </c>
      <c r="Q550" s="28"/>
      <c r="R550" s="35"/>
      <c r="S550" s="32"/>
      <c r="T550" s="28"/>
      <c r="U550" s="35"/>
      <c r="V550" s="32"/>
      <c r="W550" s="28"/>
      <c r="X550" s="35"/>
      <c r="Y550" s="32"/>
      <c r="Z550" s="28"/>
      <c r="AA550" s="36"/>
    </row>
    <row r="551" spans="1:27" ht="14">
      <c r="A551" s="27" t="s">
        <v>928</v>
      </c>
      <c r="B551" s="28"/>
      <c r="C551" s="29">
        <v>80</v>
      </c>
      <c r="D551" s="30">
        <f t="shared" si="6"/>
        <v>-150</v>
      </c>
      <c r="E551" s="39" t="s">
        <v>929</v>
      </c>
      <c r="F551" s="32"/>
      <c r="G551" s="28"/>
      <c r="H551" s="33" t="s">
        <v>825</v>
      </c>
      <c r="I551" s="33" t="s">
        <v>922</v>
      </c>
      <c r="J551" s="32"/>
      <c r="K551" s="28">
        <f>IFERROR(VLOOKUP(L551,Ingredients!A:B,2,FALSE),"")</f>
        <v>200</v>
      </c>
      <c r="L551" s="38" t="s">
        <v>923</v>
      </c>
      <c r="M551" s="32" t="s">
        <v>89</v>
      </c>
      <c r="N551" s="28">
        <f>IFERROR(VLOOKUP(O551,Ingredients!$A:$B,2,FALSE),"")</f>
        <v>30</v>
      </c>
      <c r="O551" s="34" t="s">
        <v>749</v>
      </c>
      <c r="P551" s="32" t="s">
        <v>87</v>
      </c>
      <c r="Q551" s="28"/>
      <c r="R551" s="35"/>
      <c r="S551" s="32"/>
      <c r="T551" s="28"/>
      <c r="U551" s="35"/>
      <c r="V551" s="32"/>
      <c r="W551" s="28"/>
      <c r="X551" s="35"/>
      <c r="Y551" s="32"/>
      <c r="Z551" s="28"/>
      <c r="AA551" s="36"/>
    </row>
    <row r="552" spans="1:27" ht="14">
      <c r="A552" s="27" t="s">
        <v>930</v>
      </c>
      <c r="B552" s="28"/>
      <c r="C552" s="29">
        <v>120</v>
      </c>
      <c r="D552" s="30">
        <f t="shared" si="6"/>
        <v>39</v>
      </c>
      <c r="E552" s="39" t="s">
        <v>931</v>
      </c>
      <c r="F552" s="32"/>
      <c r="G552" s="28"/>
      <c r="H552" s="33" t="s">
        <v>825</v>
      </c>
      <c r="I552" s="33" t="s">
        <v>922</v>
      </c>
      <c r="J552" s="32"/>
      <c r="K552" s="28">
        <f>IFERROR(VLOOKUP(L552,Ingredients!A:B,2,FALSE),"")</f>
        <v>80</v>
      </c>
      <c r="L552" s="34" t="s">
        <v>920</v>
      </c>
      <c r="M552" s="32" t="s">
        <v>87</v>
      </c>
      <c r="N552" s="28">
        <f>IFERROR(VLOOKUP(O552,Ingredients!$A:$B,2,FALSE),"")</f>
        <v>1</v>
      </c>
      <c r="O552" s="34" t="s">
        <v>932</v>
      </c>
      <c r="P552" s="32" t="s">
        <v>89</v>
      </c>
      <c r="Q552" s="28"/>
      <c r="R552" s="35"/>
      <c r="S552" s="32"/>
      <c r="T552" s="28"/>
      <c r="U552" s="35"/>
      <c r="V552" s="32"/>
      <c r="W552" s="28"/>
      <c r="X552" s="35"/>
      <c r="Y552" s="32"/>
      <c r="Z552" s="28"/>
      <c r="AA552" s="36"/>
    </row>
    <row r="553" spans="1:27" ht="14">
      <c r="A553" s="27" t="s">
        <v>933</v>
      </c>
      <c r="B553" s="28"/>
      <c r="C553" s="29">
        <v>120</v>
      </c>
      <c r="D553" s="30">
        <f t="shared" si="6"/>
        <v>39</v>
      </c>
      <c r="E553" s="39" t="s">
        <v>934</v>
      </c>
      <c r="F553" s="32"/>
      <c r="G553" s="28"/>
      <c r="H553" s="32" t="s">
        <v>825</v>
      </c>
      <c r="I553" s="33" t="s">
        <v>922</v>
      </c>
      <c r="J553" s="32"/>
      <c r="K553" s="28">
        <f>IFERROR(VLOOKUP(L553,Ingredients!A:B,2,FALSE),"")</f>
        <v>80</v>
      </c>
      <c r="L553" s="34" t="s">
        <v>926</v>
      </c>
      <c r="M553" s="32" t="s">
        <v>87</v>
      </c>
      <c r="N553" s="28">
        <f>IFERROR(VLOOKUP(O553,Ingredients!$A:$B,2,FALSE),"")</f>
        <v>1</v>
      </c>
      <c r="O553" s="34" t="s">
        <v>935</v>
      </c>
      <c r="P553" s="32" t="s">
        <v>89</v>
      </c>
      <c r="Q553" s="28"/>
      <c r="R553" s="35"/>
      <c r="S553" s="32"/>
      <c r="T553" s="28"/>
      <c r="U553" s="35"/>
      <c r="V553" s="32"/>
      <c r="W553" s="28"/>
      <c r="X553" s="35"/>
      <c r="Y553" s="32"/>
      <c r="Z553" s="28"/>
      <c r="AA553" s="36"/>
    </row>
    <row r="554" spans="1:27" ht="14">
      <c r="A554" s="27" t="s">
        <v>936</v>
      </c>
      <c r="B554" s="28"/>
      <c r="C554" s="29">
        <v>120</v>
      </c>
      <c r="D554" s="30">
        <f t="shared" si="6"/>
        <v>39</v>
      </c>
      <c r="E554" s="39" t="s">
        <v>937</v>
      </c>
      <c r="F554" s="32"/>
      <c r="G554" s="28"/>
      <c r="H554" s="33" t="s">
        <v>825</v>
      </c>
      <c r="I554" s="33" t="s">
        <v>922</v>
      </c>
      <c r="J554" s="32"/>
      <c r="K554" s="28">
        <f>IFERROR(VLOOKUP(L554,Ingredients!A:B,2,FALSE),"")</f>
        <v>80</v>
      </c>
      <c r="L554" s="34" t="s">
        <v>928</v>
      </c>
      <c r="M554" s="32" t="s">
        <v>87</v>
      </c>
      <c r="N554" s="28">
        <f>IFERROR(VLOOKUP(O554,Ingredients!$A:$B,2,FALSE),"")</f>
        <v>1</v>
      </c>
      <c r="O554" s="34" t="s">
        <v>938</v>
      </c>
      <c r="P554" s="32" t="s">
        <v>89</v>
      </c>
      <c r="Q554" s="28"/>
      <c r="R554" s="35"/>
      <c r="S554" s="32"/>
      <c r="T554" s="28"/>
      <c r="U554" s="35"/>
      <c r="V554" s="32"/>
      <c r="W554" s="28"/>
      <c r="X554" s="35"/>
      <c r="Y554" s="32"/>
      <c r="Z554" s="28"/>
      <c r="AA554" s="36"/>
    </row>
    <row r="555" spans="1:27" ht="14">
      <c r="A555" s="27" t="s">
        <v>939</v>
      </c>
      <c r="B555" s="28"/>
      <c r="C555" s="29">
        <v>230</v>
      </c>
      <c r="D555" s="30">
        <f t="shared" si="6"/>
        <v>-20</v>
      </c>
      <c r="E555" s="37" t="s">
        <v>940</v>
      </c>
      <c r="F555" s="32"/>
      <c r="G555" s="28"/>
      <c r="H555" s="32" t="s">
        <v>825</v>
      </c>
      <c r="I555" s="33" t="s">
        <v>169</v>
      </c>
      <c r="J555" s="32"/>
      <c r="K555" s="28">
        <f>IFERROR(VLOOKUP(L555,Ingredients!A:B,2,FALSE),"")</f>
        <v>125</v>
      </c>
      <c r="L555" s="34" t="s">
        <v>941</v>
      </c>
      <c r="M555" s="32" t="s">
        <v>89</v>
      </c>
      <c r="N555" s="28">
        <f>IFERROR(VLOOKUP(O555,Ingredients!$A:$B,2,FALSE),"")</f>
        <v>125</v>
      </c>
      <c r="O555" s="34" t="s">
        <v>941</v>
      </c>
      <c r="P555" s="32" t="s">
        <v>87</v>
      </c>
      <c r="Q555" s="28"/>
      <c r="R555" s="35"/>
      <c r="S555" s="32"/>
      <c r="T555" s="28"/>
      <c r="U555" s="35"/>
      <c r="V555" s="32"/>
      <c r="W555" s="28"/>
      <c r="X555" s="35"/>
      <c r="Y555" s="32"/>
      <c r="Z555" s="28"/>
      <c r="AA555" s="36"/>
    </row>
    <row r="556" spans="1:27" ht="14">
      <c r="A556" s="27" t="s">
        <v>939</v>
      </c>
      <c r="B556" s="28"/>
      <c r="C556" s="29">
        <v>230</v>
      </c>
      <c r="D556" s="30">
        <f t="shared" si="6"/>
        <v>0</v>
      </c>
      <c r="E556" s="37" t="s">
        <v>940</v>
      </c>
      <c r="F556" s="32"/>
      <c r="G556" s="28"/>
      <c r="H556" s="32" t="s">
        <v>825</v>
      </c>
      <c r="I556" s="33" t="s">
        <v>169</v>
      </c>
      <c r="J556" s="32"/>
      <c r="K556" s="28">
        <f>IFERROR(VLOOKUP(L556,Ingredients!A:B,2,FALSE),"")</f>
        <v>230</v>
      </c>
      <c r="L556" s="38" t="s">
        <v>907</v>
      </c>
      <c r="M556" s="32" t="s">
        <v>89</v>
      </c>
      <c r="N556" s="28"/>
      <c r="O556" s="38" t="s">
        <v>334</v>
      </c>
      <c r="P556" s="32" t="s">
        <v>129</v>
      </c>
      <c r="Q556" s="28"/>
      <c r="R556" s="35"/>
      <c r="S556" s="32"/>
      <c r="T556" s="28"/>
      <c r="U556" s="35"/>
      <c r="V556" s="32"/>
      <c r="W556" s="28"/>
      <c r="X556" s="35"/>
      <c r="Y556" s="32"/>
      <c r="Z556" s="28"/>
      <c r="AA556" s="36"/>
    </row>
    <row r="557" spans="1:27" ht="14">
      <c r="A557" s="27" t="s">
        <v>939</v>
      </c>
      <c r="B557" s="28"/>
      <c r="C557" s="29">
        <v>230</v>
      </c>
      <c r="D557" s="30" t="e">
        <f t="shared" si="6"/>
        <v>#VALUE!</v>
      </c>
      <c r="E557" s="37" t="s">
        <v>940</v>
      </c>
      <c r="F557" s="32"/>
      <c r="G557" s="28"/>
      <c r="H557" s="32" t="s">
        <v>825</v>
      </c>
      <c r="I557" s="33" t="s">
        <v>169</v>
      </c>
      <c r="J557" s="32"/>
      <c r="K557" s="28">
        <f>IFERROR(VLOOKUP(L557,Ingredients!A:B,2,FALSE),"")</f>
        <v>125</v>
      </c>
      <c r="L557" s="34" t="s">
        <v>941</v>
      </c>
      <c r="M557" s="32" t="s">
        <v>89</v>
      </c>
      <c r="N557" s="28" t="str">
        <f>IFERROR(VLOOKUP(O557,Ingredients!$A:$B,2,FALSE),"")</f>
        <v/>
      </c>
      <c r="O557" s="34" t="s">
        <v>837</v>
      </c>
      <c r="P557" s="32" t="s">
        <v>87</v>
      </c>
      <c r="Q557" s="28"/>
      <c r="R557" s="35"/>
      <c r="S557" s="32"/>
      <c r="T557" s="28"/>
      <c r="U557" s="35"/>
      <c r="V557" s="32"/>
      <c r="W557" s="28"/>
      <c r="X557" s="35"/>
      <c r="Y557" s="32"/>
      <c r="Z557" s="28"/>
      <c r="AA557" s="36"/>
    </row>
    <row r="558" spans="1:27" ht="14">
      <c r="A558" s="27" t="s">
        <v>942</v>
      </c>
      <c r="B558" s="28"/>
      <c r="C558" s="29">
        <v>80</v>
      </c>
      <c r="D558" s="30">
        <f t="shared" si="6"/>
        <v>-80</v>
      </c>
      <c r="E558" s="31" t="s">
        <v>943</v>
      </c>
      <c r="F558" s="32"/>
      <c r="G558" s="28"/>
      <c r="H558" s="32" t="s">
        <v>825</v>
      </c>
      <c r="I558" s="33" t="s">
        <v>169</v>
      </c>
      <c r="J558" s="32"/>
      <c r="K558" s="28">
        <f>IFERROR(VLOOKUP(L558,Ingredients!A:B,2,FALSE),"")</f>
        <v>80</v>
      </c>
      <c r="L558" s="34" t="s">
        <v>944</v>
      </c>
      <c r="M558" s="32" t="s">
        <v>89</v>
      </c>
      <c r="N558" s="28">
        <f>IFERROR(VLOOKUP(O558,Ingredients!$A:$B,2,FALSE),"")</f>
        <v>80</v>
      </c>
      <c r="O558" s="34" t="s">
        <v>945</v>
      </c>
      <c r="P558" s="32" t="s">
        <v>87</v>
      </c>
      <c r="Q558" s="28"/>
      <c r="R558" s="35"/>
      <c r="S558" s="32"/>
      <c r="T558" s="28"/>
      <c r="U558" s="35"/>
      <c r="V558" s="32"/>
      <c r="W558" s="28"/>
      <c r="X558" s="35"/>
      <c r="Y558" s="32"/>
      <c r="Z558" s="28"/>
      <c r="AA558" s="36"/>
    </row>
    <row r="559" spans="1:27" ht="14">
      <c r="A559" s="27" t="s">
        <v>941</v>
      </c>
      <c r="B559" s="28"/>
      <c r="C559" s="29">
        <v>125</v>
      </c>
      <c r="D559" s="30">
        <f t="shared" si="6"/>
        <v>-35</v>
      </c>
      <c r="E559" s="37" t="s">
        <v>946</v>
      </c>
      <c r="F559" s="32"/>
      <c r="G559" s="28"/>
      <c r="H559" s="32" t="s">
        <v>825</v>
      </c>
      <c r="I559" s="33" t="s">
        <v>169</v>
      </c>
      <c r="J559" s="32"/>
      <c r="K559" s="28">
        <f>IFERROR(VLOOKUP(L559,Ingredients!A:B,2,FALSE),"")</f>
        <v>80</v>
      </c>
      <c r="L559" s="34" t="s">
        <v>944</v>
      </c>
      <c r="M559" s="32" t="s">
        <v>89</v>
      </c>
      <c r="N559" s="28">
        <f>IFERROR(VLOOKUP(O559,Ingredients!$A:$B,2,FALSE),"")</f>
        <v>80</v>
      </c>
      <c r="O559" s="34" t="s">
        <v>944</v>
      </c>
      <c r="P559" s="32" t="s">
        <v>87</v>
      </c>
      <c r="Q559" s="28"/>
      <c r="R559" s="35"/>
      <c r="S559" s="32"/>
      <c r="T559" s="28"/>
      <c r="U559" s="35"/>
      <c r="V559" s="32"/>
      <c r="W559" s="28"/>
      <c r="X559" s="35"/>
      <c r="Y559" s="32"/>
      <c r="Z559" s="28"/>
      <c r="AA559" s="36"/>
    </row>
    <row r="560" spans="1:27" ht="14">
      <c r="A560" s="27" t="s">
        <v>941</v>
      </c>
      <c r="B560" s="28"/>
      <c r="C560" s="29">
        <v>125</v>
      </c>
      <c r="D560" s="30">
        <f t="shared" si="6"/>
        <v>-5</v>
      </c>
      <c r="E560" s="37" t="s">
        <v>946</v>
      </c>
      <c r="F560" s="32"/>
      <c r="G560" s="28"/>
      <c r="H560" s="32" t="s">
        <v>825</v>
      </c>
      <c r="I560" s="33" t="s">
        <v>169</v>
      </c>
      <c r="J560" s="32"/>
      <c r="K560" s="28">
        <f>IFERROR(VLOOKUP(L560,Ingredients!A:B,2,FALSE),"")</f>
        <v>80</v>
      </c>
      <c r="L560" s="34" t="s">
        <v>944</v>
      </c>
      <c r="M560" s="32" t="s">
        <v>89</v>
      </c>
      <c r="N560" s="28">
        <f>IFERROR(VLOOKUP(O560,Ingredients!$A:$B,2,FALSE),"")</f>
        <v>50</v>
      </c>
      <c r="O560" s="34" t="s">
        <v>851</v>
      </c>
      <c r="P560" s="32" t="s">
        <v>87</v>
      </c>
      <c r="Q560" s="28"/>
      <c r="R560" s="35"/>
      <c r="S560" s="32"/>
      <c r="T560" s="28"/>
      <c r="U560" s="35"/>
      <c r="V560" s="32"/>
      <c r="W560" s="28"/>
      <c r="X560" s="35"/>
      <c r="Y560" s="32"/>
      <c r="Z560" s="28"/>
      <c r="AA560" s="36"/>
    </row>
    <row r="561" spans="1:27" ht="14">
      <c r="A561" s="27" t="s">
        <v>941</v>
      </c>
      <c r="B561" s="28"/>
      <c r="C561" s="29">
        <v>125</v>
      </c>
      <c r="D561" s="30">
        <f t="shared" si="6"/>
        <v>0</v>
      </c>
      <c r="E561" s="37" t="s">
        <v>946</v>
      </c>
      <c r="F561" s="32"/>
      <c r="G561" s="28"/>
      <c r="H561" s="32" t="s">
        <v>825</v>
      </c>
      <c r="I561" s="33" t="s">
        <v>169</v>
      </c>
      <c r="J561" s="32"/>
      <c r="K561" s="28">
        <f>IFERROR(VLOOKUP(L561,Ingredients!A:B,2,FALSE),"")</f>
        <v>125</v>
      </c>
      <c r="L561" s="38" t="s">
        <v>909</v>
      </c>
      <c r="M561" s="32" t="s">
        <v>89</v>
      </c>
      <c r="N561" s="28"/>
      <c r="O561" s="38" t="s">
        <v>334</v>
      </c>
      <c r="P561" s="32" t="s">
        <v>129</v>
      </c>
      <c r="Q561" s="28"/>
      <c r="R561" s="35"/>
      <c r="S561" s="32"/>
      <c r="T561" s="28"/>
      <c r="U561" s="35"/>
      <c r="V561" s="32"/>
      <c r="W561" s="28"/>
      <c r="X561" s="35"/>
      <c r="Y561" s="32"/>
      <c r="Z561" s="28"/>
      <c r="AA561" s="36"/>
    </row>
    <row r="562" spans="1:27" ht="14">
      <c r="A562" s="27" t="s">
        <v>947</v>
      </c>
      <c r="B562" s="28"/>
      <c r="C562" s="29">
        <v>170</v>
      </c>
      <c r="D562" s="30">
        <f t="shared" si="6"/>
        <v>-110</v>
      </c>
      <c r="E562" s="31" t="s">
        <v>948</v>
      </c>
      <c r="F562" s="32"/>
      <c r="G562" s="28"/>
      <c r="H562" s="33" t="s">
        <v>825</v>
      </c>
      <c r="I562" s="33" t="s">
        <v>169</v>
      </c>
      <c r="J562" s="32"/>
      <c r="K562" s="28">
        <f>IFERROR(VLOOKUP(L562,Ingredients!A:B,2,FALSE),"")</f>
        <v>80</v>
      </c>
      <c r="L562" s="34" t="s">
        <v>945</v>
      </c>
      <c r="M562" s="32" t="s">
        <v>87</v>
      </c>
      <c r="N562" s="28">
        <f>IFERROR(VLOOKUP(O562,Ingredients!$A:$B,2,FALSE),"")</f>
        <v>200</v>
      </c>
      <c r="O562" s="34" t="s">
        <v>798</v>
      </c>
      <c r="P562" s="32" t="s">
        <v>89</v>
      </c>
      <c r="Q562" s="28"/>
      <c r="R562" s="35"/>
      <c r="S562" s="32"/>
      <c r="T562" s="28"/>
      <c r="U562" s="35"/>
      <c r="V562" s="32"/>
      <c r="W562" s="28"/>
      <c r="X562" s="35"/>
      <c r="Y562" s="32"/>
      <c r="Z562" s="28"/>
      <c r="AA562" s="36"/>
    </row>
    <row r="563" spans="1:27" ht="14">
      <c r="A563" s="27" t="s">
        <v>944</v>
      </c>
      <c r="B563" s="28"/>
      <c r="C563" s="29">
        <v>80</v>
      </c>
      <c r="D563" s="30">
        <f t="shared" si="6"/>
        <v>0</v>
      </c>
      <c r="E563" s="37" t="s">
        <v>949</v>
      </c>
      <c r="F563" s="32"/>
      <c r="G563" s="28"/>
      <c r="H563" s="32" t="s">
        <v>825</v>
      </c>
      <c r="I563" s="33" t="s">
        <v>169</v>
      </c>
      <c r="J563" s="32"/>
      <c r="K563" s="28">
        <f>IFERROR(VLOOKUP(L563,Ingredients!A:B,2,FALSE),"")</f>
        <v>30</v>
      </c>
      <c r="L563" s="34" t="s">
        <v>950</v>
      </c>
      <c r="M563" s="32" t="s">
        <v>89</v>
      </c>
      <c r="N563" s="28">
        <f>IFERROR(VLOOKUP(O563,Ingredients!$A:$B,2,FALSE),"")</f>
        <v>50</v>
      </c>
      <c r="O563" s="34" t="s">
        <v>851</v>
      </c>
      <c r="P563" s="32" t="s">
        <v>87</v>
      </c>
      <c r="Q563" s="28"/>
      <c r="R563" s="35"/>
      <c r="S563" s="32"/>
      <c r="T563" s="28"/>
      <c r="U563" s="35"/>
      <c r="V563" s="32"/>
      <c r="W563" s="28"/>
      <c r="X563" s="35"/>
      <c r="Y563" s="32"/>
      <c r="Z563" s="28"/>
      <c r="AA563" s="36"/>
    </row>
    <row r="564" spans="1:27" ht="14">
      <c r="A564" s="27" t="s">
        <v>944</v>
      </c>
      <c r="B564" s="28"/>
      <c r="C564" s="29">
        <v>80</v>
      </c>
      <c r="D564" s="30">
        <f t="shared" si="6"/>
        <v>0</v>
      </c>
      <c r="E564" s="37" t="s">
        <v>949</v>
      </c>
      <c r="F564" s="32"/>
      <c r="G564" s="28"/>
      <c r="H564" s="32" t="s">
        <v>825</v>
      </c>
      <c r="I564" s="33" t="s">
        <v>169</v>
      </c>
      <c r="J564" s="32"/>
      <c r="K564" s="28">
        <f>IFERROR(VLOOKUP(L564,Ingredients!A:B,2,FALSE),"")</f>
        <v>80</v>
      </c>
      <c r="L564" s="34" t="s">
        <v>913</v>
      </c>
      <c r="M564" s="32" t="s">
        <v>89</v>
      </c>
      <c r="N564" s="28"/>
      <c r="O564" s="38" t="s">
        <v>334</v>
      </c>
      <c r="P564" s="32" t="s">
        <v>129</v>
      </c>
      <c r="Q564" s="28"/>
      <c r="R564" s="35"/>
      <c r="S564" s="32"/>
      <c r="T564" s="28"/>
      <c r="U564" s="35"/>
      <c r="V564" s="32"/>
      <c r="W564" s="28"/>
      <c r="X564" s="35"/>
      <c r="Y564" s="32"/>
      <c r="Z564" s="28"/>
      <c r="AA564" s="36"/>
    </row>
    <row r="565" spans="1:27" ht="14">
      <c r="A565" s="27" t="s">
        <v>944</v>
      </c>
      <c r="B565" s="28"/>
      <c r="C565" s="29">
        <v>80</v>
      </c>
      <c r="D565" s="30">
        <f t="shared" si="6"/>
        <v>20</v>
      </c>
      <c r="E565" s="37" t="s">
        <v>949</v>
      </c>
      <c r="F565" s="32"/>
      <c r="G565" s="28"/>
      <c r="H565" s="32" t="s">
        <v>825</v>
      </c>
      <c r="I565" s="33" t="s">
        <v>169</v>
      </c>
      <c r="J565" s="32"/>
      <c r="K565" s="28">
        <f>IFERROR(VLOOKUP(L565,Ingredients!A:B,2,FALSE),"")</f>
        <v>30</v>
      </c>
      <c r="L565" s="34" t="s">
        <v>950</v>
      </c>
      <c r="M565" s="32" t="s">
        <v>89</v>
      </c>
      <c r="N565" s="28">
        <f>IFERROR(VLOOKUP(O565,Ingredients!$A:$B,2,FALSE),"")</f>
        <v>30</v>
      </c>
      <c r="O565" s="34" t="s">
        <v>749</v>
      </c>
      <c r="P565" s="32" t="s">
        <v>87</v>
      </c>
      <c r="Q565" s="28"/>
      <c r="R565" s="35"/>
      <c r="S565" s="32"/>
      <c r="T565" s="28"/>
      <c r="U565" s="35"/>
      <c r="V565" s="32"/>
      <c r="W565" s="28"/>
      <c r="X565" s="35"/>
      <c r="Y565" s="32"/>
      <c r="Z565" s="28"/>
      <c r="AA565" s="36"/>
    </row>
    <row r="566" spans="1:27" ht="14">
      <c r="A566" s="27" t="s">
        <v>944</v>
      </c>
      <c r="B566" s="28"/>
      <c r="C566" s="29">
        <v>80</v>
      </c>
      <c r="D566" s="30">
        <f t="shared" si="6"/>
        <v>20</v>
      </c>
      <c r="E566" s="37" t="s">
        <v>949</v>
      </c>
      <c r="F566" s="32"/>
      <c r="G566" s="28"/>
      <c r="H566" s="32" t="s">
        <v>825</v>
      </c>
      <c r="I566" s="33" t="s">
        <v>169</v>
      </c>
      <c r="J566" s="32"/>
      <c r="K566" s="28">
        <f>IFERROR(VLOOKUP(L566,Ingredients!A:B,2,FALSE),"")</f>
        <v>30</v>
      </c>
      <c r="L566" s="34" t="s">
        <v>950</v>
      </c>
      <c r="M566" s="32" t="s">
        <v>89</v>
      </c>
      <c r="N566" s="28">
        <f>IFERROR(VLOOKUP(O566,Ingredients!$A:$B,2,FALSE),"")</f>
        <v>30</v>
      </c>
      <c r="O566" s="34" t="s">
        <v>950</v>
      </c>
      <c r="P566" s="32" t="s">
        <v>87</v>
      </c>
      <c r="Q566" s="28"/>
      <c r="R566" s="35"/>
      <c r="S566" s="32"/>
      <c r="T566" s="28"/>
      <c r="U566" s="35"/>
      <c r="V566" s="32"/>
      <c r="W566" s="28"/>
      <c r="X566" s="35"/>
      <c r="Y566" s="32"/>
      <c r="Z566" s="28"/>
      <c r="AA566" s="36"/>
    </row>
    <row r="567" spans="1:27" ht="14">
      <c r="A567" s="27" t="s">
        <v>951</v>
      </c>
      <c r="B567" s="28"/>
      <c r="C567" s="29">
        <v>30</v>
      </c>
      <c r="D567" s="30">
        <f t="shared" si="6"/>
        <v>-80</v>
      </c>
      <c r="E567" s="31" t="s">
        <v>952</v>
      </c>
      <c r="F567" s="32"/>
      <c r="G567" s="28"/>
      <c r="H567" s="32" t="s">
        <v>825</v>
      </c>
      <c r="I567" s="33" t="s">
        <v>169</v>
      </c>
      <c r="J567" s="32"/>
      <c r="K567" s="28">
        <f>IFERROR(VLOOKUP(L567,Ingredients!A:B,2,FALSE),"")</f>
        <v>30</v>
      </c>
      <c r="L567" s="34" t="s">
        <v>950</v>
      </c>
      <c r="M567" s="32" t="s">
        <v>89</v>
      </c>
      <c r="N567" s="28">
        <f>IFERROR(VLOOKUP(O567,Ingredients!$A:$B,2,FALSE),"")</f>
        <v>80</v>
      </c>
      <c r="O567" s="34" t="s">
        <v>945</v>
      </c>
      <c r="P567" s="32" t="s">
        <v>87</v>
      </c>
      <c r="Q567" s="28"/>
      <c r="R567" s="35"/>
      <c r="S567" s="32"/>
      <c r="T567" s="28"/>
      <c r="U567" s="35"/>
      <c r="V567" s="32"/>
      <c r="W567" s="28"/>
      <c r="X567" s="35"/>
      <c r="Y567" s="32"/>
      <c r="Z567" s="28"/>
      <c r="AA567" s="36"/>
    </row>
    <row r="568" spans="1:27" ht="14">
      <c r="A568" s="27" t="s">
        <v>950</v>
      </c>
      <c r="B568" s="28"/>
      <c r="C568" s="29">
        <v>30</v>
      </c>
      <c r="D568" s="30">
        <f t="shared" si="6"/>
        <v>-40</v>
      </c>
      <c r="E568" s="37" t="s">
        <v>953</v>
      </c>
      <c r="F568" s="32"/>
      <c r="G568" s="28"/>
      <c r="H568" s="32" t="s">
        <v>825</v>
      </c>
      <c r="I568" s="33" t="s">
        <v>169</v>
      </c>
      <c r="J568" s="32"/>
      <c r="K568" s="28">
        <f>IFERROR(VLOOKUP(L568,Ingredients!A:B,2,FALSE),"")</f>
        <v>20</v>
      </c>
      <c r="L568" s="34" t="s">
        <v>801</v>
      </c>
      <c r="M568" s="32" t="s">
        <v>89</v>
      </c>
      <c r="N568" s="28">
        <f>IFERROR(VLOOKUP(O568,Ingredients!$A:$B,2,FALSE),"")</f>
        <v>50</v>
      </c>
      <c r="O568" s="34" t="s">
        <v>851</v>
      </c>
      <c r="P568" s="32" t="s">
        <v>87</v>
      </c>
      <c r="Q568" s="28"/>
      <c r="R568" s="35"/>
      <c r="S568" s="32"/>
      <c r="T568" s="28"/>
      <c r="U568" s="35"/>
      <c r="V568" s="32"/>
      <c r="W568" s="28"/>
      <c r="X568" s="35"/>
      <c r="Y568" s="32"/>
      <c r="Z568" s="28"/>
      <c r="AA568" s="36"/>
    </row>
    <row r="569" spans="1:27" ht="14">
      <c r="A569" s="27" t="s">
        <v>950</v>
      </c>
      <c r="B569" s="28"/>
      <c r="C569" s="29">
        <v>30</v>
      </c>
      <c r="D569" s="30">
        <f t="shared" si="6"/>
        <v>-20</v>
      </c>
      <c r="E569" s="37" t="s">
        <v>953</v>
      </c>
      <c r="F569" s="32"/>
      <c r="G569" s="28"/>
      <c r="H569" s="32" t="s">
        <v>825</v>
      </c>
      <c r="I569" s="33" t="s">
        <v>169</v>
      </c>
      <c r="J569" s="32"/>
      <c r="K569" s="28">
        <f>IFERROR(VLOOKUP(L569,Ingredients!A:B,2,FALSE),"")</f>
        <v>20</v>
      </c>
      <c r="L569" s="34" t="s">
        <v>801</v>
      </c>
      <c r="M569" s="32" t="s">
        <v>89</v>
      </c>
      <c r="N569" s="28">
        <f>IFERROR(VLOOKUP(O569,Ingredients!$A:$B,2,FALSE),"")</f>
        <v>30</v>
      </c>
      <c r="O569" s="34" t="s">
        <v>749</v>
      </c>
      <c r="P569" s="32" t="s">
        <v>87</v>
      </c>
      <c r="Q569" s="28"/>
      <c r="R569" s="35"/>
      <c r="S569" s="32"/>
      <c r="T569" s="28"/>
      <c r="U569" s="35"/>
      <c r="V569" s="32"/>
      <c r="W569" s="28"/>
      <c r="X569" s="35"/>
      <c r="Y569" s="32"/>
      <c r="Z569" s="28"/>
      <c r="AA569" s="36"/>
    </row>
    <row r="570" spans="1:27" ht="14">
      <c r="A570" s="27" t="s">
        <v>950</v>
      </c>
      <c r="B570" s="28"/>
      <c r="C570" s="29">
        <v>30</v>
      </c>
      <c r="D570" s="30">
        <f t="shared" si="6"/>
        <v>-10</v>
      </c>
      <c r="E570" s="37" t="s">
        <v>953</v>
      </c>
      <c r="F570" s="32"/>
      <c r="G570" s="28"/>
      <c r="H570" s="32" t="s">
        <v>825</v>
      </c>
      <c r="I570" s="33" t="s">
        <v>169</v>
      </c>
      <c r="J570" s="32"/>
      <c r="K570" s="28">
        <f>IFERROR(VLOOKUP(L570,Ingredients!A:B,2,FALSE),"")</f>
        <v>20</v>
      </c>
      <c r="L570" s="34" t="s">
        <v>801</v>
      </c>
      <c r="M570" s="32" t="s">
        <v>89</v>
      </c>
      <c r="N570" s="28">
        <f>IFERROR(VLOOKUP(O570,Ingredients!$A:$B,2,FALSE),"")</f>
        <v>20</v>
      </c>
      <c r="O570" s="34" t="s">
        <v>801</v>
      </c>
      <c r="P570" s="32" t="s">
        <v>87</v>
      </c>
      <c r="Q570" s="28"/>
      <c r="R570" s="35"/>
      <c r="S570" s="32"/>
      <c r="T570" s="28"/>
      <c r="U570" s="35"/>
      <c r="V570" s="32"/>
      <c r="W570" s="28"/>
      <c r="X570" s="35"/>
      <c r="Y570" s="32"/>
      <c r="Z570" s="28"/>
      <c r="AA570" s="36"/>
    </row>
    <row r="571" spans="1:27" ht="14">
      <c r="A571" s="27" t="s">
        <v>950</v>
      </c>
      <c r="B571" s="28"/>
      <c r="C571" s="29">
        <v>30</v>
      </c>
      <c r="D571" s="30">
        <f t="shared" si="6"/>
        <v>0</v>
      </c>
      <c r="E571" s="37" t="s">
        <v>953</v>
      </c>
      <c r="F571" s="32"/>
      <c r="G571" s="28"/>
      <c r="H571" s="32" t="s">
        <v>825</v>
      </c>
      <c r="I571" s="33" t="s">
        <v>169</v>
      </c>
      <c r="J571" s="32"/>
      <c r="K571" s="28">
        <f>IFERROR(VLOOKUP(L571,Ingredients!A:B,2,FALSE),"")</f>
        <v>30</v>
      </c>
      <c r="L571" s="38" t="s">
        <v>915</v>
      </c>
      <c r="M571" s="32" t="s">
        <v>89</v>
      </c>
      <c r="N571" s="28"/>
      <c r="O571" s="38" t="s">
        <v>334</v>
      </c>
      <c r="P571" s="32" t="s">
        <v>129</v>
      </c>
      <c r="Q571" s="28"/>
      <c r="R571" s="35"/>
      <c r="S571" s="32"/>
      <c r="T571" s="28"/>
      <c r="U571" s="35"/>
      <c r="V571" s="32"/>
      <c r="W571" s="28"/>
      <c r="X571" s="35"/>
      <c r="Y571" s="32"/>
      <c r="Z571" s="28"/>
      <c r="AA571" s="36"/>
    </row>
    <row r="572" spans="1:27" ht="14">
      <c r="A572" s="27" t="s">
        <v>954</v>
      </c>
      <c r="B572" s="28"/>
      <c r="C572" s="29">
        <v>20</v>
      </c>
      <c r="D572" s="30">
        <f t="shared" si="6"/>
        <v>-80</v>
      </c>
      <c r="E572" s="31" t="s">
        <v>955</v>
      </c>
      <c r="F572" s="32"/>
      <c r="G572" s="28"/>
      <c r="H572" s="32" t="s">
        <v>825</v>
      </c>
      <c r="I572" s="33" t="s">
        <v>169</v>
      </c>
      <c r="J572" s="32"/>
      <c r="K572" s="28">
        <f>IFERROR(VLOOKUP(L572,Ingredients!A:B,2,FALSE),"")</f>
        <v>20</v>
      </c>
      <c r="L572" s="34" t="s">
        <v>801</v>
      </c>
      <c r="M572" s="32" t="s">
        <v>89</v>
      </c>
      <c r="N572" s="28">
        <f>IFERROR(VLOOKUP(O572,Ingredients!$A:$B,2,FALSE),"")</f>
        <v>80</v>
      </c>
      <c r="O572" s="34" t="s">
        <v>945</v>
      </c>
      <c r="P572" s="32" t="s">
        <v>87</v>
      </c>
      <c r="Q572" s="28"/>
      <c r="R572" s="35"/>
      <c r="S572" s="32"/>
      <c r="T572" s="28"/>
      <c r="U572" s="35"/>
      <c r="V572" s="32"/>
      <c r="W572" s="28"/>
      <c r="X572" s="35"/>
      <c r="Y572" s="32"/>
      <c r="Z572" s="28"/>
      <c r="AA572" s="36"/>
    </row>
    <row r="573" spans="1:27" ht="14">
      <c r="A573" s="27" t="s">
        <v>956</v>
      </c>
      <c r="B573" s="28"/>
      <c r="C573" s="29">
        <v>80</v>
      </c>
      <c r="D573" s="30">
        <f t="shared" si="6"/>
        <v>0</v>
      </c>
      <c r="E573" s="31" t="s">
        <v>957</v>
      </c>
      <c r="F573" s="32"/>
      <c r="G573" s="28"/>
      <c r="H573" s="32" t="s">
        <v>825</v>
      </c>
      <c r="I573" s="33" t="s">
        <v>169</v>
      </c>
      <c r="J573" s="32"/>
      <c r="K573" s="28">
        <f>IFERROR(VLOOKUP(L573,Ingredients!A:B,2,FALSE),"")</f>
        <v>80</v>
      </c>
      <c r="L573" s="38" t="s">
        <v>910</v>
      </c>
      <c r="M573" s="32" t="s">
        <v>89</v>
      </c>
      <c r="N573" s="28"/>
      <c r="O573" s="38" t="s">
        <v>334</v>
      </c>
      <c r="P573" s="32" t="s">
        <v>129</v>
      </c>
      <c r="Q573" s="28"/>
      <c r="R573" s="35"/>
      <c r="S573" s="32"/>
      <c r="T573" s="28"/>
      <c r="U573" s="35"/>
      <c r="V573" s="32"/>
      <c r="W573" s="28"/>
      <c r="X573" s="35"/>
      <c r="Y573" s="32"/>
      <c r="Z573" s="28"/>
      <c r="AA573" s="36"/>
    </row>
    <row r="574" spans="1:27" ht="14">
      <c r="A574" s="27" t="s">
        <v>801</v>
      </c>
      <c r="B574" s="28"/>
      <c r="C574" s="29">
        <v>20</v>
      </c>
      <c r="D574" s="30">
        <f t="shared" si="6"/>
        <v>-10</v>
      </c>
      <c r="E574" s="31" t="s">
        <v>958</v>
      </c>
      <c r="F574" s="32"/>
      <c r="G574" s="28"/>
      <c r="H574" s="32" t="s">
        <v>825</v>
      </c>
      <c r="I574" s="33" t="s">
        <v>169</v>
      </c>
      <c r="J574" s="32"/>
      <c r="K574" s="28">
        <f>IFERROR(VLOOKUP(L574,Ingredients!A:B,2,FALSE),"")</f>
        <v>10</v>
      </c>
      <c r="L574" s="38" t="s">
        <v>827</v>
      </c>
      <c r="M574" s="32" t="s">
        <v>89</v>
      </c>
      <c r="N574" s="28">
        <f>IFERROR(VLOOKUP(O574,Ingredients!$A:$B,2,FALSE),"")</f>
        <v>20</v>
      </c>
      <c r="O574" s="38" t="s">
        <v>754</v>
      </c>
      <c r="P574" s="32" t="s">
        <v>87</v>
      </c>
      <c r="Q574" s="28"/>
      <c r="R574" s="35"/>
      <c r="S574" s="32"/>
      <c r="T574" s="28"/>
      <c r="U574" s="35"/>
      <c r="V574" s="32"/>
      <c r="W574" s="28"/>
      <c r="X574" s="35"/>
      <c r="Y574" s="32"/>
      <c r="Z574" s="28"/>
      <c r="AA574" s="36"/>
    </row>
    <row r="575" spans="1:27" ht="14">
      <c r="A575" s="27" t="s">
        <v>801</v>
      </c>
      <c r="B575" s="28"/>
      <c r="C575" s="29">
        <v>20</v>
      </c>
      <c r="D575" s="30">
        <f t="shared" si="6"/>
        <v>0</v>
      </c>
      <c r="E575" s="31" t="s">
        <v>958</v>
      </c>
      <c r="F575" s="32"/>
      <c r="G575" s="28"/>
      <c r="H575" s="32" t="s">
        <v>825</v>
      </c>
      <c r="I575" s="33" t="s">
        <v>169</v>
      </c>
      <c r="J575" s="32"/>
      <c r="K575" s="28">
        <f>IFERROR(VLOOKUP(L575,Ingredients!A:B,2,FALSE),"")</f>
        <v>20</v>
      </c>
      <c r="L575" s="38" t="s">
        <v>918</v>
      </c>
      <c r="M575" s="32" t="s">
        <v>89</v>
      </c>
      <c r="N575" s="28"/>
      <c r="O575" s="38" t="s">
        <v>334</v>
      </c>
      <c r="P575" s="32" t="s">
        <v>129</v>
      </c>
      <c r="Q575" s="28"/>
      <c r="R575" s="35"/>
      <c r="S575" s="32"/>
      <c r="T575" s="28"/>
      <c r="U575" s="35"/>
      <c r="V575" s="32"/>
      <c r="W575" s="28"/>
      <c r="X575" s="35"/>
      <c r="Y575" s="32"/>
      <c r="Z575" s="28"/>
      <c r="AA575" s="36"/>
    </row>
    <row r="576" spans="1:27" ht="14">
      <c r="A576" s="27" t="s">
        <v>801</v>
      </c>
      <c r="B576" s="28"/>
      <c r="C576" s="29">
        <v>20</v>
      </c>
      <c r="D576" s="30">
        <f t="shared" si="6"/>
        <v>10</v>
      </c>
      <c r="E576" s="31" t="s">
        <v>958</v>
      </c>
      <c r="F576" s="32"/>
      <c r="G576" s="28"/>
      <c r="H576" s="32" t="s">
        <v>825</v>
      </c>
      <c r="I576" s="33" t="s">
        <v>169</v>
      </c>
      <c r="J576" s="32"/>
      <c r="K576" s="28">
        <f>IFERROR(VLOOKUP(L576,Ingredients!A:B,2,FALSE),"")</f>
        <v>10</v>
      </c>
      <c r="L576" s="38" t="s">
        <v>827</v>
      </c>
      <c r="M576" s="32" t="s">
        <v>89</v>
      </c>
      <c r="N576" s="28"/>
      <c r="O576" s="38" t="s">
        <v>959</v>
      </c>
      <c r="P576" s="32" t="s">
        <v>129</v>
      </c>
      <c r="Q576" s="28"/>
      <c r="R576" s="35"/>
      <c r="S576" s="32"/>
      <c r="T576" s="28"/>
      <c r="U576" s="35"/>
      <c r="V576" s="32"/>
      <c r="W576" s="28"/>
      <c r="X576" s="35"/>
      <c r="Y576" s="32"/>
      <c r="Z576" s="28"/>
      <c r="AA576" s="36"/>
    </row>
    <row r="577" spans="1:27" ht="14">
      <c r="A577" s="27" t="s">
        <v>960</v>
      </c>
      <c r="B577" s="28"/>
      <c r="C577" s="29">
        <v>0</v>
      </c>
      <c r="D577" s="30">
        <f t="shared" si="6"/>
        <v>-200</v>
      </c>
      <c r="E577" s="37" t="s">
        <v>961</v>
      </c>
      <c r="F577" s="32"/>
      <c r="G577" s="28"/>
      <c r="H577" s="33" t="s">
        <v>338</v>
      </c>
      <c r="I577" s="33" t="s">
        <v>962</v>
      </c>
      <c r="J577" s="32"/>
      <c r="K577" s="28">
        <f>IFERROR(VLOOKUP(L577,Ingredients!A:B,2,FALSE),"")</f>
        <v>200</v>
      </c>
      <c r="L577" s="38" t="s">
        <v>923</v>
      </c>
      <c r="M577" s="32" t="s">
        <v>87</v>
      </c>
      <c r="N577" s="28"/>
      <c r="O577" s="34" t="s">
        <v>963</v>
      </c>
      <c r="P577" s="32" t="s">
        <v>129</v>
      </c>
      <c r="Q577" s="28"/>
      <c r="R577" s="35"/>
      <c r="S577" s="32"/>
      <c r="T577" s="28"/>
      <c r="U577" s="35"/>
      <c r="V577" s="32"/>
      <c r="W577" s="28"/>
      <c r="X577" s="35"/>
      <c r="Y577" s="32"/>
      <c r="Z577" s="28"/>
      <c r="AA577" s="36"/>
    </row>
    <row r="578" spans="1:27" ht="13">
      <c r="A578" s="27" t="s">
        <v>964</v>
      </c>
      <c r="B578" s="28"/>
      <c r="C578" s="29">
        <v>9410</v>
      </c>
      <c r="D578" s="30" t="e">
        <f>IF(ISNUMBER(C578),C578-(IF(M578="None",0,K578)+IF(P578="None",0,N578)+IF(S578="None",0,Q578)+IF(V578="None",0,T578)+IF(Y578="None",0,W578)),"")</f>
        <v>#VALUE!</v>
      </c>
      <c r="E578" s="41"/>
      <c r="F578" s="32"/>
      <c r="G578" s="28"/>
      <c r="H578" s="33" t="s">
        <v>338</v>
      </c>
      <c r="I578" s="33" t="s">
        <v>962</v>
      </c>
      <c r="J578" s="32"/>
      <c r="K578" s="28" t="str">
        <f>IFERROR(VLOOKUP(L578,Ingredients!A:B,2,FALSE),"")</f>
        <v/>
      </c>
      <c r="L578" s="34" t="s">
        <v>965</v>
      </c>
      <c r="M578" s="32" t="s">
        <v>87</v>
      </c>
      <c r="N578" s="28" t="str">
        <f>IFERROR(VLOOKUP(O578,Ingredients!$A:$B,2,FALSE),"")</f>
        <v/>
      </c>
      <c r="O578" s="34" t="s">
        <v>966</v>
      </c>
      <c r="P578" s="32" t="s">
        <v>87</v>
      </c>
      <c r="Q578" s="28" t="str">
        <f>IFERROR(VLOOKUP(R578,Ingredients!$A:$B,2,FALSE),"")</f>
        <v/>
      </c>
      <c r="R578" s="27" t="s">
        <v>967</v>
      </c>
      <c r="S578" s="32" t="s">
        <v>87</v>
      </c>
      <c r="T578" s="28"/>
      <c r="U578" s="35"/>
      <c r="V578" s="32"/>
      <c r="W578" s="28"/>
      <c r="X578" s="35"/>
      <c r="Y578" s="32"/>
      <c r="Z578" s="28"/>
      <c r="AA578" s="36"/>
    </row>
    <row r="579" spans="1:27" ht="13">
      <c r="A579" s="27" t="s">
        <v>968</v>
      </c>
      <c r="B579" s="28"/>
      <c r="C579" s="29">
        <v>0</v>
      </c>
      <c r="D579" s="30" t="e">
        <f t="shared" ref="D579:D581" si="7">IF(ISNUMBER(C579),C579-K579-N579-Q579-T579-W579,"")</f>
        <v>#VALUE!</v>
      </c>
      <c r="E579" s="41"/>
      <c r="F579" s="32"/>
      <c r="G579" s="28"/>
      <c r="H579" s="33" t="s">
        <v>338</v>
      </c>
      <c r="I579" s="33" t="s">
        <v>338</v>
      </c>
      <c r="J579" s="32"/>
      <c r="K579" s="28"/>
      <c r="L579" s="34" t="s">
        <v>969</v>
      </c>
      <c r="M579" s="32" t="s">
        <v>129</v>
      </c>
      <c r="N579" s="28" t="str">
        <f>IFERROR(VLOOKUP(O579,Ingredients!$A:$B,2,FALSE),"")</f>
        <v/>
      </c>
      <c r="O579" s="34" t="s">
        <v>970</v>
      </c>
      <c r="P579" s="32" t="s">
        <v>87</v>
      </c>
      <c r="Q579" s="28"/>
      <c r="R579" s="35"/>
      <c r="S579" s="32"/>
      <c r="T579" s="28"/>
      <c r="U579" s="35"/>
      <c r="V579" s="32"/>
      <c r="W579" s="28"/>
      <c r="X579" s="35"/>
      <c r="Y579" s="32"/>
      <c r="Z579" s="28"/>
      <c r="AA579" s="36"/>
    </row>
    <row r="580" spans="1:27" ht="13">
      <c r="A580" s="27" t="s">
        <v>968</v>
      </c>
      <c r="B580" s="28"/>
      <c r="C580" s="29">
        <v>0</v>
      </c>
      <c r="D580" s="30" t="e">
        <f t="shared" si="7"/>
        <v>#VALUE!</v>
      </c>
      <c r="E580" s="41"/>
      <c r="F580" s="32"/>
      <c r="G580" s="28"/>
      <c r="H580" s="33" t="s">
        <v>338</v>
      </c>
      <c r="I580" s="33" t="s">
        <v>338</v>
      </c>
      <c r="J580" s="32"/>
      <c r="K580" s="28"/>
      <c r="L580" s="34" t="s">
        <v>971</v>
      </c>
      <c r="M580" s="32" t="s">
        <v>129</v>
      </c>
      <c r="N580" s="28" t="str">
        <f>IFERROR(VLOOKUP(O580,Ingredients!$A:$B,2,FALSE),"")</f>
        <v/>
      </c>
      <c r="O580" s="34" t="s">
        <v>970</v>
      </c>
      <c r="P580" s="32" t="s">
        <v>87</v>
      </c>
      <c r="Q580" s="28"/>
      <c r="R580" s="35"/>
      <c r="S580" s="32"/>
      <c r="T580" s="28"/>
      <c r="U580" s="35"/>
      <c r="V580" s="32"/>
      <c r="W580" s="28"/>
      <c r="X580" s="35"/>
      <c r="Y580" s="32"/>
      <c r="Z580" s="28"/>
      <c r="AA580" s="36"/>
    </row>
    <row r="581" spans="1:27" ht="13">
      <c r="A581" s="27" t="s">
        <v>968</v>
      </c>
      <c r="B581" s="28"/>
      <c r="C581" s="29">
        <v>0</v>
      </c>
      <c r="D581" s="30" t="e">
        <f t="shared" si="7"/>
        <v>#VALUE!</v>
      </c>
      <c r="E581" s="41"/>
      <c r="F581" s="32"/>
      <c r="G581" s="28"/>
      <c r="H581" s="33" t="s">
        <v>338</v>
      </c>
      <c r="I581" s="33" t="s">
        <v>338</v>
      </c>
      <c r="J581" s="32"/>
      <c r="K581" s="28"/>
      <c r="L581" s="34" t="s">
        <v>972</v>
      </c>
      <c r="M581" s="32" t="s">
        <v>129</v>
      </c>
      <c r="N581" s="28" t="str">
        <f>IFERROR(VLOOKUP(O581,Ingredients!$A:$B,2,FALSE),"")</f>
        <v/>
      </c>
      <c r="O581" s="34" t="s">
        <v>970</v>
      </c>
      <c r="P581" s="32" t="s">
        <v>87</v>
      </c>
      <c r="Q581" s="28"/>
      <c r="R581" s="35"/>
      <c r="S581" s="32"/>
      <c r="T581" s="28"/>
      <c r="U581" s="35"/>
      <c r="V581" s="32"/>
      <c r="W581" s="28"/>
      <c r="X581" s="35"/>
      <c r="Y581" s="32"/>
      <c r="Z581" s="28"/>
      <c r="AA581" s="36"/>
    </row>
    <row r="582" spans="1:27" ht="14">
      <c r="A582" s="27" t="s">
        <v>973</v>
      </c>
      <c r="B582" s="28"/>
      <c r="C582" s="28"/>
      <c r="D582" s="30" t="str">
        <f t="shared" ref="D582:D584" si="8">IF(ISNUMBER(C582),C582-(IF(M582="None",0,K582)+IF(P582="None",0,N582)+IF(S582="None",0,Q582)+IF(V582="None",0,T582)+IF(Y582="None",0,W582)),"")</f>
        <v/>
      </c>
      <c r="E582" s="41"/>
      <c r="F582" s="32"/>
      <c r="G582" s="28"/>
      <c r="H582" s="33" t="s">
        <v>338</v>
      </c>
      <c r="I582" s="33" t="s">
        <v>338</v>
      </c>
      <c r="J582" s="32"/>
      <c r="K582" s="28" t="str">
        <f>IFERROR(VLOOKUP(L582,Ingredients!A:B,2,FALSE),"")</f>
        <v/>
      </c>
      <c r="L582" s="34" t="s">
        <v>974</v>
      </c>
      <c r="M582" s="32" t="s">
        <v>89</v>
      </c>
      <c r="N582" s="28"/>
      <c r="O582" s="34" t="s">
        <v>975</v>
      </c>
      <c r="P582" s="32" t="s">
        <v>129</v>
      </c>
      <c r="Q582" s="28"/>
      <c r="R582" s="35"/>
      <c r="S582" s="32"/>
      <c r="T582" s="28"/>
      <c r="U582" s="35"/>
      <c r="V582" s="32"/>
      <c r="W582" s="28"/>
      <c r="X582" s="35"/>
      <c r="Y582" s="32"/>
      <c r="Z582" s="28"/>
      <c r="AA582" s="36"/>
    </row>
    <row r="583" spans="1:27" ht="14">
      <c r="A583" s="27" t="s">
        <v>976</v>
      </c>
      <c r="B583" s="28"/>
      <c r="C583" s="28"/>
      <c r="D583" s="30" t="str">
        <f t="shared" si="8"/>
        <v/>
      </c>
      <c r="E583" s="41"/>
      <c r="F583" s="32"/>
      <c r="G583" s="28"/>
      <c r="H583" s="33" t="s">
        <v>338</v>
      </c>
      <c r="I583" s="33" t="s">
        <v>338</v>
      </c>
      <c r="J583" s="32"/>
      <c r="K583" s="28" t="str">
        <f>IFERROR(VLOOKUP(L583,Ingredients!A:B,2,FALSE),"")</f>
        <v/>
      </c>
      <c r="L583" s="34" t="s">
        <v>977</v>
      </c>
      <c r="M583" s="32" t="s">
        <v>89</v>
      </c>
      <c r="N583" s="28"/>
      <c r="O583" s="34" t="s">
        <v>975</v>
      </c>
      <c r="P583" s="32" t="s">
        <v>129</v>
      </c>
      <c r="Q583" s="28"/>
      <c r="R583" s="35"/>
      <c r="S583" s="32"/>
      <c r="T583" s="28"/>
      <c r="U583" s="35"/>
      <c r="V583" s="32"/>
      <c r="W583" s="28"/>
      <c r="X583" s="35"/>
      <c r="Y583" s="32"/>
      <c r="Z583" s="28"/>
      <c r="AA583" s="36"/>
    </row>
    <row r="584" spans="1:27" ht="14">
      <c r="A584" s="27" t="s">
        <v>978</v>
      </c>
      <c r="B584" s="28"/>
      <c r="C584" s="28"/>
      <c r="D584" s="30" t="str">
        <f t="shared" si="8"/>
        <v/>
      </c>
      <c r="E584" s="41"/>
      <c r="F584" s="32"/>
      <c r="G584" s="28"/>
      <c r="H584" s="33" t="s">
        <v>338</v>
      </c>
      <c r="I584" s="33" t="s">
        <v>338</v>
      </c>
      <c r="J584" s="32"/>
      <c r="K584" s="28" t="str">
        <f>IFERROR(VLOOKUP(L584,Ingredients!A:B,2,FALSE),"")</f>
        <v/>
      </c>
      <c r="L584" s="34" t="s">
        <v>979</v>
      </c>
      <c r="M584" s="32" t="s">
        <v>89</v>
      </c>
      <c r="N584" s="28">
        <f>IFERROR(VLOOKUP(O584,Ingredients!$A:$B,2,FALSE),"")</f>
        <v>80</v>
      </c>
      <c r="O584" s="34" t="s">
        <v>945</v>
      </c>
      <c r="P584" s="32" t="s">
        <v>87</v>
      </c>
      <c r="Q584" s="28"/>
      <c r="R584" s="35"/>
      <c r="S584" s="32"/>
      <c r="T584" s="28"/>
      <c r="U584" s="35"/>
      <c r="V584" s="32"/>
      <c r="W584" s="28"/>
      <c r="X584" s="35"/>
      <c r="Y584" s="32"/>
      <c r="Z584" s="28"/>
      <c r="AA584" s="36"/>
    </row>
    <row r="585" spans="1:27" ht="14">
      <c r="A585" s="27" t="s">
        <v>970</v>
      </c>
      <c r="B585" s="28"/>
      <c r="C585" s="29">
        <v>0</v>
      </c>
      <c r="D585" s="30">
        <f t="shared" ref="D585:D588" si="9">IF(ISNUMBER(C585),C585-K585-N585-Q585-T585-W585,"")</f>
        <v>-75</v>
      </c>
      <c r="E585" s="37" t="s">
        <v>980</v>
      </c>
      <c r="F585" s="44"/>
      <c r="G585" s="28"/>
      <c r="H585" s="33" t="s">
        <v>338</v>
      </c>
      <c r="I585" s="33" t="s">
        <v>338</v>
      </c>
      <c r="J585" s="32"/>
      <c r="K585" s="28"/>
      <c r="L585" s="34" t="s">
        <v>981</v>
      </c>
      <c r="M585" s="32" t="s">
        <v>129</v>
      </c>
      <c r="N585" s="28">
        <f>IFERROR(VLOOKUP(O585,Ingredients!$A:$B,2,FALSE),"")</f>
        <v>75</v>
      </c>
      <c r="O585" s="34" t="s">
        <v>982</v>
      </c>
      <c r="P585" s="32" t="s">
        <v>89</v>
      </c>
      <c r="Q585" s="28"/>
      <c r="R585" s="35"/>
      <c r="S585" s="32"/>
      <c r="T585" s="28"/>
      <c r="U585" s="35"/>
      <c r="V585" s="32"/>
      <c r="W585" s="28"/>
      <c r="X585" s="35"/>
      <c r="Y585" s="32"/>
      <c r="Z585" s="28"/>
      <c r="AA585" s="36"/>
    </row>
    <row r="586" spans="1:27" ht="14">
      <c r="A586" s="27" t="s">
        <v>970</v>
      </c>
      <c r="B586" s="28"/>
      <c r="C586" s="29">
        <v>0</v>
      </c>
      <c r="D586" s="30">
        <f t="shared" si="9"/>
        <v>-55</v>
      </c>
      <c r="E586" s="37" t="s">
        <v>980</v>
      </c>
      <c r="F586" s="32"/>
      <c r="G586" s="28"/>
      <c r="H586" s="33" t="s">
        <v>338</v>
      </c>
      <c r="I586" s="33" t="s">
        <v>338</v>
      </c>
      <c r="J586" s="32"/>
      <c r="K586" s="28"/>
      <c r="L586" s="34" t="s">
        <v>981</v>
      </c>
      <c r="M586" s="32" t="s">
        <v>129</v>
      </c>
      <c r="N586" s="28">
        <f>IFERROR(VLOOKUP(O586,Ingredients!$A:$B,2,FALSE),"")</f>
        <v>55</v>
      </c>
      <c r="O586" s="34" t="s">
        <v>983</v>
      </c>
      <c r="P586" s="32" t="s">
        <v>89</v>
      </c>
      <c r="Q586" s="28"/>
      <c r="R586" s="35"/>
      <c r="S586" s="32"/>
      <c r="T586" s="28"/>
      <c r="U586" s="35"/>
      <c r="V586" s="32"/>
      <c r="W586" s="28"/>
      <c r="X586" s="35"/>
      <c r="Y586" s="32"/>
      <c r="Z586" s="28"/>
      <c r="AA586" s="36"/>
    </row>
    <row r="587" spans="1:27" ht="14">
      <c r="A587" s="27" t="s">
        <v>970</v>
      </c>
      <c r="B587" s="28"/>
      <c r="C587" s="29">
        <v>0</v>
      </c>
      <c r="D587" s="30">
        <f t="shared" si="9"/>
        <v>-35</v>
      </c>
      <c r="E587" s="37" t="s">
        <v>980</v>
      </c>
      <c r="F587" s="44"/>
      <c r="G587" s="28"/>
      <c r="H587" s="33" t="s">
        <v>338</v>
      </c>
      <c r="I587" s="33" t="s">
        <v>338</v>
      </c>
      <c r="J587" s="32"/>
      <c r="K587" s="28"/>
      <c r="L587" s="34" t="s">
        <v>981</v>
      </c>
      <c r="M587" s="32" t="s">
        <v>129</v>
      </c>
      <c r="N587" s="28">
        <f>IFERROR(VLOOKUP(O587,Ingredients!$A:$B,2,FALSE),"")</f>
        <v>35</v>
      </c>
      <c r="O587" s="34" t="s">
        <v>984</v>
      </c>
      <c r="P587" s="32" t="s">
        <v>89</v>
      </c>
      <c r="Q587" s="28"/>
      <c r="R587" s="35"/>
      <c r="S587" s="32"/>
      <c r="T587" s="28"/>
      <c r="U587" s="35"/>
      <c r="V587" s="32"/>
      <c r="W587" s="28"/>
      <c r="X587" s="35"/>
      <c r="Y587" s="32"/>
      <c r="Z587" s="28"/>
      <c r="AA587" s="36"/>
    </row>
    <row r="588" spans="1:27" ht="14">
      <c r="A588" s="27" t="s">
        <v>970</v>
      </c>
      <c r="B588" s="28"/>
      <c r="C588" s="29">
        <v>0</v>
      </c>
      <c r="D588" s="30" t="e">
        <f t="shared" si="9"/>
        <v>#VALUE!</v>
      </c>
      <c r="E588" s="37" t="s">
        <v>980</v>
      </c>
      <c r="F588" s="32"/>
      <c r="G588" s="28"/>
      <c r="H588" s="33" t="s">
        <v>338</v>
      </c>
      <c r="I588" s="33" t="s">
        <v>338</v>
      </c>
      <c r="J588" s="32"/>
      <c r="K588" s="28"/>
      <c r="L588" s="34" t="s">
        <v>981</v>
      </c>
      <c r="M588" s="32" t="s">
        <v>129</v>
      </c>
      <c r="N588" s="28" t="str">
        <f>IFERROR(VLOOKUP(O588,Ingredients!$A:$B,2,FALSE),"")</f>
        <v/>
      </c>
      <c r="O588" s="34" t="s">
        <v>985</v>
      </c>
      <c r="P588" s="32" t="s">
        <v>89</v>
      </c>
      <c r="Q588" s="28"/>
      <c r="R588" s="35"/>
      <c r="S588" s="32"/>
      <c r="T588" s="28"/>
      <c r="U588" s="35"/>
      <c r="V588" s="32"/>
      <c r="W588" s="28"/>
      <c r="X588" s="35"/>
      <c r="Y588" s="32"/>
      <c r="Z588" s="28"/>
      <c r="AA588" s="36"/>
    </row>
    <row r="589" spans="1:27" ht="14">
      <c r="A589" s="27" t="s">
        <v>986</v>
      </c>
      <c r="B589" s="28"/>
      <c r="C589" s="28"/>
      <c r="D589" s="30" t="str">
        <f t="shared" ref="D589:D590" si="10">IF(ISNUMBER(C589),C589-(IF(M589="None",0,K589)+IF(P589="None",0,N589)+IF(S589="None",0,Q589)+IF(V589="None",0,T589)+IF(Y589="None",0,W589)),"")</f>
        <v/>
      </c>
      <c r="E589" s="41"/>
      <c r="F589" s="32"/>
      <c r="G589" s="28"/>
      <c r="H589" s="33" t="s">
        <v>338</v>
      </c>
      <c r="I589" s="33" t="s">
        <v>338</v>
      </c>
      <c r="J589" s="32"/>
      <c r="K589" s="28" t="str">
        <f>IFERROR(VLOOKUP(L589,Ingredients!A:B,2,FALSE),"")</f>
        <v/>
      </c>
      <c r="L589" s="34" t="s">
        <v>987</v>
      </c>
      <c r="M589" s="32" t="s">
        <v>89</v>
      </c>
      <c r="N589" s="28"/>
      <c r="O589" s="34" t="s">
        <v>975</v>
      </c>
      <c r="P589" s="32" t="s">
        <v>129</v>
      </c>
      <c r="Q589" s="28"/>
      <c r="R589" s="35"/>
      <c r="S589" s="32"/>
      <c r="T589" s="28"/>
      <c r="U589" s="35"/>
      <c r="V589" s="32"/>
      <c r="W589" s="28"/>
      <c r="X589" s="35"/>
      <c r="Y589" s="32"/>
      <c r="Z589" s="28"/>
      <c r="AA589" s="36"/>
    </row>
    <row r="590" spans="1:27" ht="13">
      <c r="A590" s="27" t="s">
        <v>979</v>
      </c>
      <c r="B590" s="28"/>
      <c r="C590" s="29">
        <v>1000</v>
      </c>
      <c r="D590" s="30">
        <f t="shared" si="10"/>
        <v>850</v>
      </c>
      <c r="E590" s="41"/>
      <c r="F590" s="32"/>
      <c r="G590" s="28"/>
      <c r="H590" s="33" t="s">
        <v>338</v>
      </c>
      <c r="I590" s="33" t="s">
        <v>338</v>
      </c>
      <c r="J590" s="32"/>
      <c r="K590" s="28">
        <f>IFERROR(VLOOKUP(L590,Ingredients!A:B,2,FALSE),"")</f>
        <v>50</v>
      </c>
      <c r="L590" s="34" t="s">
        <v>988</v>
      </c>
      <c r="M590" s="32" t="s">
        <v>89</v>
      </c>
      <c r="N590" s="28">
        <f>IFERROR(VLOOKUP(O590,Ingredients!$A:$B,2,FALSE),"")</f>
        <v>70</v>
      </c>
      <c r="O590" s="34" t="s">
        <v>883</v>
      </c>
      <c r="P590" s="32" t="s">
        <v>87</v>
      </c>
      <c r="Q590" s="28">
        <f>IFERROR(VLOOKUP(R590,Ingredients!$A:$B,2,FALSE),"")</f>
        <v>30</v>
      </c>
      <c r="R590" s="27" t="s">
        <v>749</v>
      </c>
      <c r="S590" s="32" t="s">
        <v>87</v>
      </c>
      <c r="T590" s="28"/>
      <c r="U590" s="35"/>
      <c r="V590" s="32"/>
      <c r="W590" s="28"/>
      <c r="X590" s="35"/>
      <c r="Y590" s="32"/>
      <c r="Z590" s="28"/>
      <c r="AA590" s="36"/>
    </row>
    <row r="591" spans="1:27" ht="42">
      <c r="A591" s="27" t="s">
        <v>989</v>
      </c>
      <c r="B591" s="28"/>
      <c r="C591" s="29">
        <v>1150</v>
      </c>
      <c r="D591" s="30">
        <f t="shared" ref="D591:D668" si="11">IF(ISNUMBER(C591),C591-K591-N591-Q591-T591-W591,"")</f>
        <v>-1290</v>
      </c>
      <c r="E591" s="37" t="s">
        <v>990</v>
      </c>
      <c r="F591" s="32"/>
      <c r="G591" s="28"/>
      <c r="H591" s="32" t="s">
        <v>24</v>
      </c>
      <c r="I591" s="33" t="s">
        <v>991</v>
      </c>
      <c r="J591" s="32"/>
      <c r="K591" s="28">
        <f>IFERROR(VLOOKUP(L591,Ingredients!A:B,2,FALSE),"")</f>
        <v>1200</v>
      </c>
      <c r="L591" s="34" t="s">
        <v>992</v>
      </c>
      <c r="M591" s="32" t="s">
        <v>87</v>
      </c>
      <c r="N591" s="28">
        <f>IFERROR(VLOOKUP(O591,Ingredients!$A:$B,2,FALSE),"")</f>
        <v>620</v>
      </c>
      <c r="O591" s="34" t="s">
        <v>993</v>
      </c>
      <c r="P591" s="32" t="s">
        <v>87</v>
      </c>
      <c r="Q591" s="28">
        <f>IFERROR(VLOOKUP(R591,Ingredients!$A:$B,2,FALSE),"")</f>
        <v>620</v>
      </c>
      <c r="R591" s="27" t="s">
        <v>993</v>
      </c>
      <c r="S591" s="32" t="s">
        <v>89</v>
      </c>
      <c r="T591" s="28"/>
      <c r="U591" s="35"/>
      <c r="V591" s="32"/>
      <c r="W591" s="28"/>
      <c r="X591" s="35"/>
      <c r="Y591" s="32"/>
      <c r="Z591" s="28"/>
      <c r="AA591" s="36"/>
    </row>
    <row r="592" spans="1:27" ht="56">
      <c r="A592" s="27" t="s">
        <v>994</v>
      </c>
      <c r="B592" s="28"/>
      <c r="C592" s="29">
        <v>1650</v>
      </c>
      <c r="D592" s="30">
        <f t="shared" si="11"/>
        <v>0</v>
      </c>
      <c r="E592" s="37" t="s">
        <v>995</v>
      </c>
      <c r="F592" s="32"/>
      <c r="G592" s="28"/>
      <c r="H592" s="32" t="s">
        <v>24</v>
      </c>
      <c r="I592" s="33" t="s">
        <v>991</v>
      </c>
      <c r="J592" s="32"/>
      <c r="K592" s="28">
        <f>IFERROR(VLOOKUP(L592,Ingredients!A:B,2,FALSE),"")</f>
        <v>1150</v>
      </c>
      <c r="L592" s="34" t="s">
        <v>989</v>
      </c>
      <c r="M592" s="32" t="s">
        <v>87</v>
      </c>
      <c r="N592" s="28">
        <f>IFERROR(VLOOKUP(O592,Ingredients!$A:$B,2,FALSE),"")</f>
        <v>500</v>
      </c>
      <c r="O592" s="38" t="s">
        <v>996</v>
      </c>
      <c r="P592" s="32" t="s">
        <v>89</v>
      </c>
      <c r="Q592" s="28"/>
      <c r="R592" s="35"/>
      <c r="S592" s="32"/>
      <c r="T592" s="28"/>
      <c r="U592" s="35"/>
      <c r="V592" s="32"/>
      <c r="W592" s="28"/>
      <c r="X592" s="35"/>
      <c r="Y592" s="32"/>
      <c r="Z592" s="28"/>
      <c r="AA592" s="36"/>
    </row>
    <row r="593" spans="1:27" ht="42">
      <c r="A593" s="27" t="s">
        <v>993</v>
      </c>
      <c r="B593" s="28"/>
      <c r="C593" s="29">
        <v>620</v>
      </c>
      <c r="D593" s="30">
        <f t="shared" si="11"/>
        <v>-590</v>
      </c>
      <c r="E593" s="37" t="s">
        <v>997</v>
      </c>
      <c r="F593" s="32"/>
      <c r="G593" s="28"/>
      <c r="H593" s="32" t="s">
        <v>24</v>
      </c>
      <c r="I593" s="33" t="s">
        <v>991</v>
      </c>
      <c r="J593" s="32"/>
      <c r="K593" s="28">
        <f>IFERROR(VLOOKUP(L593,Ingredients!A:B,2,FALSE),"")</f>
        <v>450</v>
      </c>
      <c r="L593" s="34" t="s">
        <v>103</v>
      </c>
      <c r="M593" s="32" t="s">
        <v>87</v>
      </c>
      <c r="N593" s="28">
        <f>IFERROR(VLOOKUP(O593,Ingredients!$A:$B,2,FALSE),"")</f>
        <v>380</v>
      </c>
      <c r="O593" s="34" t="s">
        <v>998</v>
      </c>
      <c r="P593" s="32" t="s">
        <v>87</v>
      </c>
      <c r="Q593" s="28">
        <f>IFERROR(VLOOKUP(R593,Ingredients!$A:$B,2,FALSE),"")</f>
        <v>380</v>
      </c>
      <c r="R593" s="27" t="s">
        <v>998</v>
      </c>
      <c r="S593" s="32" t="s">
        <v>89</v>
      </c>
      <c r="T593" s="28"/>
      <c r="U593" s="35"/>
      <c r="V593" s="32"/>
      <c r="W593" s="28"/>
      <c r="X593" s="35"/>
      <c r="Y593" s="32"/>
      <c r="Z593" s="28"/>
      <c r="AA593" s="36"/>
    </row>
    <row r="594" spans="1:27" ht="56">
      <c r="A594" s="27" t="s">
        <v>999</v>
      </c>
      <c r="B594" s="28"/>
      <c r="C594" s="29">
        <v>1120</v>
      </c>
      <c r="D594" s="30">
        <f t="shared" si="11"/>
        <v>0</v>
      </c>
      <c r="E594" s="37" t="s">
        <v>1000</v>
      </c>
      <c r="F594" s="32"/>
      <c r="G594" s="28"/>
      <c r="H594" s="32" t="s">
        <v>24</v>
      </c>
      <c r="I594" s="33" t="s">
        <v>991</v>
      </c>
      <c r="J594" s="32"/>
      <c r="K594" s="28">
        <f>IFERROR(VLOOKUP(L594,Ingredients!A:B,2,FALSE),"")</f>
        <v>620</v>
      </c>
      <c r="L594" s="34" t="s">
        <v>993</v>
      </c>
      <c r="M594" s="32" t="s">
        <v>87</v>
      </c>
      <c r="N594" s="28">
        <f>IFERROR(VLOOKUP(O594,Ingredients!$A:$B,2,FALSE),"")</f>
        <v>500</v>
      </c>
      <c r="O594" s="38" t="s">
        <v>996</v>
      </c>
      <c r="P594" s="32" t="s">
        <v>89</v>
      </c>
      <c r="Q594" s="28"/>
      <c r="R594" s="35"/>
      <c r="S594" s="32"/>
      <c r="T594" s="28"/>
      <c r="U594" s="35"/>
      <c r="V594" s="32"/>
      <c r="W594" s="28"/>
      <c r="X594" s="35"/>
      <c r="Y594" s="32"/>
      <c r="Z594" s="28"/>
      <c r="AA594" s="36"/>
    </row>
    <row r="595" spans="1:27" ht="42">
      <c r="A595" s="27" t="s">
        <v>998</v>
      </c>
      <c r="B595" s="28"/>
      <c r="C595" s="29">
        <v>380</v>
      </c>
      <c r="D595" s="30">
        <f t="shared" si="11"/>
        <v>-370</v>
      </c>
      <c r="E595" s="37" t="s">
        <v>1001</v>
      </c>
      <c r="F595" s="32"/>
      <c r="G595" s="28"/>
      <c r="H595" s="32" t="s">
        <v>24</v>
      </c>
      <c r="I595" s="33" t="s">
        <v>991</v>
      </c>
      <c r="J595" s="32"/>
      <c r="K595" s="28">
        <f>IFERROR(VLOOKUP(L595,Ingredients!A:B,2,FALSE),"")</f>
        <v>450</v>
      </c>
      <c r="L595" s="34" t="s">
        <v>103</v>
      </c>
      <c r="M595" s="32" t="s">
        <v>87</v>
      </c>
      <c r="N595" s="28">
        <f>IFERROR(VLOOKUP(O595,Ingredients!$A:$B,2,FALSE),"")</f>
        <v>150</v>
      </c>
      <c r="O595" s="34" t="s">
        <v>1002</v>
      </c>
      <c r="P595" s="32" t="s">
        <v>87</v>
      </c>
      <c r="Q595" s="28">
        <f>IFERROR(VLOOKUP(R595,Ingredients!$A:$B,2,FALSE),"")</f>
        <v>150</v>
      </c>
      <c r="R595" s="27" t="s">
        <v>1002</v>
      </c>
      <c r="S595" s="32" t="s">
        <v>89</v>
      </c>
      <c r="T595" s="28"/>
      <c r="U595" s="35"/>
      <c r="V595" s="32"/>
      <c r="W595" s="28"/>
      <c r="X595" s="35"/>
      <c r="Y595" s="32"/>
      <c r="Z595" s="28"/>
      <c r="AA595" s="36"/>
    </row>
    <row r="596" spans="1:27" ht="56">
      <c r="A596" s="27" t="s">
        <v>1003</v>
      </c>
      <c r="B596" s="28"/>
      <c r="C596" s="29">
        <v>880</v>
      </c>
      <c r="D596" s="30">
        <f t="shared" si="11"/>
        <v>0</v>
      </c>
      <c r="E596" s="37" t="s">
        <v>1004</v>
      </c>
      <c r="F596" s="32"/>
      <c r="G596" s="28"/>
      <c r="H596" s="32" t="s">
        <v>24</v>
      </c>
      <c r="I596" s="33" t="s">
        <v>991</v>
      </c>
      <c r="J596" s="32"/>
      <c r="K596" s="28">
        <f>IFERROR(VLOOKUP(L596,Ingredients!A:B,2,FALSE),"")</f>
        <v>380</v>
      </c>
      <c r="L596" s="34" t="s">
        <v>998</v>
      </c>
      <c r="M596" s="32" t="s">
        <v>87</v>
      </c>
      <c r="N596" s="28">
        <f>IFERROR(VLOOKUP(O596,Ingredients!$A:$B,2,FALSE),"")</f>
        <v>500</v>
      </c>
      <c r="O596" s="38" t="s">
        <v>996</v>
      </c>
      <c r="P596" s="32" t="s">
        <v>89</v>
      </c>
      <c r="Q596" s="28"/>
      <c r="R596" s="35"/>
      <c r="S596" s="32"/>
      <c r="T596" s="28"/>
      <c r="U596" s="35"/>
      <c r="V596" s="32"/>
      <c r="W596" s="28"/>
      <c r="X596" s="35"/>
      <c r="Y596" s="32"/>
      <c r="Z596" s="28"/>
      <c r="AA596" s="36"/>
    </row>
    <row r="597" spans="1:27" ht="42">
      <c r="A597" s="27" t="s">
        <v>1005</v>
      </c>
      <c r="B597" s="28"/>
      <c r="C597" s="29">
        <v>1650</v>
      </c>
      <c r="D597" s="30">
        <f t="shared" si="11"/>
        <v>0</v>
      </c>
      <c r="E597" s="37" t="s">
        <v>1006</v>
      </c>
      <c r="F597" s="32"/>
      <c r="G597" s="28"/>
      <c r="H597" s="32" t="s">
        <v>24</v>
      </c>
      <c r="I597" s="33" t="s">
        <v>991</v>
      </c>
      <c r="J597" s="32"/>
      <c r="K597" s="28">
        <f>IFERROR(VLOOKUP(L597,Ingredients!A:B,2,FALSE),"")</f>
        <v>1150</v>
      </c>
      <c r="L597" s="34" t="s">
        <v>989</v>
      </c>
      <c r="M597" s="32" t="s">
        <v>87</v>
      </c>
      <c r="N597" s="28">
        <f>IFERROR(VLOOKUP(O597,Ingredients!$A:$B,2,FALSE),"")</f>
        <v>500</v>
      </c>
      <c r="O597" s="34" t="s">
        <v>1007</v>
      </c>
      <c r="P597" s="32" t="s">
        <v>89</v>
      </c>
      <c r="Q597" s="28"/>
      <c r="R597" s="35"/>
      <c r="S597" s="32"/>
      <c r="T597" s="28"/>
      <c r="U597" s="35"/>
      <c r="V597" s="32"/>
      <c r="W597" s="28"/>
      <c r="X597" s="35"/>
      <c r="Y597" s="32"/>
      <c r="Z597" s="28"/>
      <c r="AA597" s="36"/>
    </row>
    <row r="598" spans="1:27" ht="42">
      <c r="A598" s="27" t="s">
        <v>1008</v>
      </c>
      <c r="B598" s="28"/>
      <c r="C598" s="29">
        <v>1120</v>
      </c>
      <c r="D598" s="30">
        <f t="shared" si="11"/>
        <v>0</v>
      </c>
      <c r="E598" s="37" t="s">
        <v>1009</v>
      </c>
      <c r="F598" s="32"/>
      <c r="G598" s="28"/>
      <c r="H598" s="32" t="s">
        <v>24</v>
      </c>
      <c r="I598" s="33" t="s">
        <v>991</v>
      </c>
      <c r="J598" s="32"/>
      <c r="K598" s="28">
        <f>IFERROR(VLOOKUP(L598,Ingredients!A:B,2,FALSE),"")</f>
        <v>620</v>
      </c>
      <c r="L598" s="34" t="s">
        <v>993</v>
      </c>
      <c r="M598" s="32" t="s">
        <v>87</v>
      </c>
      <c r="N598" s="28">
        <f>IFERROR(VLOOKUP(O598,Ingredients!$A:$B,2,FALSE),"")</f>
        <v>500</v>
      </c>
      <c r="O598" s="34" t="s">
        <v>1007</v>
      </c>
      <c r="P598" s="32" t="s">
        <v>89</v>
      </c>
      <c r="Q598" s="28"/>
      <c r="R598" s="35"/>
      <c r="S598" s="32"/>
      <c r="T598" s="28"/>
      <c r="U598" s="35"/>
      <c r="V598" s="32"/>
      <c r="W598" s="28"/>
      <c r="X598" s="35"/>
      <c r="Y598" s="32"/>
      <c r="Z598" s="28"/>
      <c r="AA598" s="36"/>
    </row>
    <row r="599" spans="1:27" ht="42">
      <c r="A599" s="27" t="s">
        <v>1010</v>
      </c>
      <c r="B599" s="28"/>
      <c r="C599" s="29">
        <v>880</v>
      </c>
      <c r="D599" s="30">
        <f t="shared" si="11"/>
        <v>0</v>
      </c>
      <c r="E599" s="37" t="s">
        <v>1011</v>
      </c>
      <c r="F599" s="32"/>
      <c r="G599" s="28"/>
      <c r="H599" s="32" t="s">
        <v>24</v>
      </c>
      <c r="I599" s="33" t="s">
        <v>991</v>
      </c>
      <c r="J599" s="32"/>
      <c r="K599" s="28">
        <f>IFERROR(VLOOKUP(L599,Ingredients!A:B,2,FALSE),"")</f>
        <v>380</v>
      </c>
      <c r="L599" s="34" t="s">
        <v>998</v>
      </c>
      <c r="M599" s="32" t="s">
        <v>87</v>
      </c>
      <c r="N599" s="28">
        <f>IFERROR(VLOOKUP(O599,Ingredients!$A:$B,2,FALSE),"")</f>
        <v>500</v>
      </c>
      <c r="O599" s="34" t="s">
        <v>1007</v>
      </c>
      <c r="P599" s="32" t="s">
        <v>89</v>
      </c>
      <c r="Q599" s="28"/>
      <c r="R599" s="35"/>
      <c r="S599" s="32"/>
      <c r="T599" s="28"/>
      <c r="U599" s="35"/>
      <c r="V599" s="32"/>
      <c r="W599" s="28"/>
      <c r="X599" s="35"/>
      <c r="Y599" s="32"/>
      <c r="Z599" s="28"/>
      <c r="AA599" s="36"/>
    </row>
    <row r="600" spans="1:27" ht="42">
      <c r="A600" s="27" t="s">
        <v>1012</v>
      </c>
      <c r="B600" s="28"/>
      <c r="C600" s="29">
        <v>650</v>
      </c>
      <c r="D600" s="30">
        <f t="shared" si="11"/>
        <v>0</v>
      </c>
      <c r="E600" s="37" t="s">
        <v>1013</v>
      </c>
      <c r="F600" s="32"/>
      <c r="G600" s="28"/>
      <c r="H600" s="32" t="s">
        <v>24</v>
      </c>
      <c r="I600" s="33" t="s">
        <v>991</v>
      </c>
      <c r="J600" s="32"/>
      <c r="K600" s="28">
        <f>IFERROR(VLOOKUP(L600,Ingredients!A:B,2,FALSE),"")</f>
        <v>150</v>
      </c>
      <c r="L600" s="34" t="s">
        <v>1002</v>
      </c>
      <c r="M600" s="32" t="s">
        <v>87</v>
      </c>
      <c r="N600" s="28">
        <f>IFERROR(VLOOKUP(O600,Ingredients!$A:$B,2,FALSE),"")</f>
        <v>500</v>
      </c>
      <c r="O600" s="34" t="s">
        <v>1007</v>
      </c>
      <c r="P600" s="32" t="s">
        <v>89</v>
      </c>
      <c r="Q600" s="28"/>
      <c r="R600" s="35"/>
      <c r="S600" s="32"/>
      <c r="T600" s="28"/>
      <c r="U600" s="35"/>
      <c r="V600" s="32"/>
      <c r="W600" s="28"/>
      <c r="X600" s="35"/>
      <c r="Y600" s="32"/>
      <c r="Z600" s="28"/>
      <c r="AA600" s="36"/>
    </row>
    <row r="601" spans="1:27" ht="42">
      <c r="A601" s="27" t="s">
        <v>1002</v>
      </c>
      <c r="B601" s="28"/>
      <c r="C601" s="29">
        <v>150</v>
      </c>
      <c r="D601" s="30" t="e">
        <f t="shared" si="11"/>
        <v>#VALUE!</v>
      </c>
      <c r="E601" s="37" t="s">
        <v>1014</v>
      </c>
      <c r="F601" s="32"/>
      <c r="G601" s="28"/>
      <c r="H601" s="32" t="s">
        <v>24</v>
      </c>
      <c r="I601" s="33" t="s">
        <v>991</v>
      </c>
      <c r="J601" s="32"/>
      <c r="K601" s="28" t="str">
        <f>IFERROR(VLOOKUP(L601,Ingredients!A:B,2,FALSE),"")</f>
        <v/>
      </c>
      <c r="L601" s="38" t="s">
        <v>1015</v>
      </c>
      <c r="M601" s="32" t="s">
        <v>87</v>
      </c>
      <c r="N601" s="28"/>
      <c r="O601" s="38" t="s">
        <v>177</v>
      </c>
      <c r="P601" s="32" t="s">
        <v>129</v>
      </c>
      <c r="Q601" s="28">
        <f>IFERROR(VLOOKUP(R601,Ingredients!$A:$B,2,FALSE),"")</f>
        <v>450</v>
      </c>
      <c r="R601" s="35" t="s">
        <v>103</v>
      </c>
      <c r="S601" s="32" t="s">
        <v>89</v>
      </c>
      <c r="T601" s="28"/>
      <c r="U601" s="35"/>
      <c r="V601" s="32"/>
      <c r="W601" s="28"/>
      <c r="X601" s="35"/>
      <c r="Y601" s="32"/>
      <c r="Z601" s="28"/>
      <c r="AA601" s="36"/>
    </row>
    <row r="602" spans="1:27" ht="56">
      <c r="A602" s="27" t="s">
        <v>1016</v>
      </c>
      <c r="B602" s="28"/>
      <c r="C602" s="29">
        <v>650</v>
      </c>
      <c r="D602" s="30">
        <f t="shared" si="11"/>
        <v>0</v>
      </c>
      <c r="E602" s="37" t="s">
        <v>1017</v>
      </c>
      <c r="F602" s="32"/>
      <c r="G602" s="28"/>
      <c r="H602" s="32" t="s">
        <v>24</v>
      </c>
      <c r="I602" s="33" t="s">
        <v>991</v>
      </c>
      <c r="J602" s="32"/>
      <c r="K602" s="28">
        <f>IFERROR(VLOOKUP(L602,Ingredients!A:B,2,FALSE),"")</f>
        <v>150</v>
      </c>
      <c r="L602" s="34" t="s">
        <v>1002</v>
      </c>
      <c r="M602" s="32" t="s">
        <v>87</v>
      </c>
      <c r="N602" s="28">
        <f>IFERROR(VLOOKUP(O602,Ingredients!$A:$B,2,FALSE),"")</f>
        <v>500</v>
      </c>
      <c r="O602" s="38" t="s">
        <v>996</v>
      </c>
      <c r="P602" s="32" t="s">
        <v>89</v>
      </c>
      <c r="Q602" s="28"/>
      <c r="R602" s="35"/>
      <c r="S602" s="32"/>
      <c r="T602" s="28"/>
      <c r="U602" s="35"/>
      <c r="V602" s="32"/>
      <c r="W602" s="28"/>
      <c r="X602" s="35"/>
      <c r="Y602" s="32"/>
      <c r="Z602" s="28"/>
      <c r="AA602" s="36"/>
    </row>
    <row r="603" spans="1:27" ht="42">
      <c r="A603" s="27" t="s">
        <v>1018</v>
      </c>
      <c r="B603" s="28"/>
      <c r="C603" s="29">
        <v>1150</v>
      </c>
      <c r="D603" s="30">
        <f t="shared" si="11"/>
        <v>-1290</v>
      </c>
      <c r="E603" s="37" t="s">
        <v>1019</v>
      </c>
      <c r="F603" s="32"/>
      <c r="G603" s="28"/>
      <c r="H603" s="32" t="s">
        <v>24</v>
      </c>
      <c r="I603" s="33" t="s">
        <v>1020</v>
      </c>
      <c r="J603" s="32"/>
      <c r="K603" s="28">
        <f>IFERROR(VLOOKUP(L603,Ingredients!A:B,2,FALSE),"")</f>
        <v>1200</v>
      </c>
      <c r="L603" s="34" t="s">
        <v>992</v>
      </c>
      <c r="M603" s="32" t="s">
        <v>87</v>
      </c>
      <c r="N603" s="28">
        <f>IFERROR(VLOOKUP(O603,Ingredients!$A:$B,2,FALSE),"")</f>
        <v>620</v>
      </c>
      <c r="O603" s="34" t="s">
        <v>1021</v>
      </c>
      <c r="P603" s="32" t="s">
        <v>87</v>
      </c>
      <c r="Q603" s="28">
        <f>IFERROR(VLOOKUP(R603,Ingredients!$A:$B,2,FALSE),"")</f>
        <v>620</v>
      </c>
      <c r="R603" s="27" t="s">
        <v>1021</v>
      </c>
      <c r="S603" s="32" t="s">
        <v>89</v>
      </c>
      <c r="T603" s="28"/>
      <c r="U603" s="35"/>
      <c r="V603" s="32"/>
      <c r="W603" s="28"/>
      <c r="X603" s="35"/>
      <c r="Y603" s="32"/>
      <c r="Z603" s="28"/>
      <c r="AA603" s="36"/>
    </row>
    <row r="604" spans="1:27" ht="56">
      <c r="A604" s="27" t="s">
        <v>1022</v>
      </c>
      <c r="B604" s="28"/>
      <c r="C604" s="29">
        <v>1650</v>
      </c>
      <c r="D604" s="30">
        <f t="shared" si="11"/>
        <v>0</v>
      </c>
      <c r="E604" s="37" t="s">
        <v>1023</v>
      </c>
      <c r="F604" s="32"/>
      <c r="G604" s="28"/>
      <c r="H604" s="32" t="s">
        <v>24</v>
      </c>
      <c r="I604" s="33" t="s">
        <v>1020</v>
      </c>
      <c r="J604" s="32"/>
      <c r="K604" s="28">
        <f>IFERROR(VLOOKUP(L604,Ingredients!A:B,2,FALSE),"")</f>
        <v>1150</v>
      </c>
      <c r="L604" s="34" t="s">
        <v>1018</v>
      </c>
      <c r="M604" s="32" t="s">
        <v>87</v>
      </c>
      <c r="N604" s="28">
        <f>IFERROR(VLOOKUP(O604,Ingredients!$A:$B,2,FALSE),"")</f>
        <v>500</v>
      </c>
      <c r="O604" s="38" t="s">
        <v>996</v>
      </c>
      <c r="P604" s="32" t="s">
        <v>89</v>
      </c>
      <c r="Q604" s="28"/>
      <c r="R604" s="35"/>
      <c r="S604" s="32"/>
      <c r="T604" s="28"/>
      <c r="U604" s="35"/>
      <c r="V604" s="32"/>
      <c r="W604" s="28"/>
      <c r="X604" s="35"/>
      <c r="Y604" s="32"/>
      <c r="Z604" s="28"/>
      <c r="AA604" s="36"/>
    </row>
    <row r="605" spans="1:27" ht="42">
      <c r="A605" s="27" t="s">
        <v>1021</v>
      </c>
      <c r="B605" s="28"/>
      <c r="C605" s="29">
        <v>620</v>
      </c>
      <c r="D605" s="30">
        <f t="shared" si="11"/>
        <v>-590</v>
      </c>
      <c r="E605" s="37" t="s">
        <v>1024</v>
      </c>
      <c r="F605" s="32"/>
      <c r="G605" s="28"/>
      <c r="H605" s="32" t="s">
        <v>24</v>
      </c>
      <c r="I605" s="33" t="s">
        <v>1020</v>
      </c>
      <c r="J605" s="32"/>
      <c r="K605" s="28">
        <f>IFERROR(VLOOKUP(L605,Ingredients!A:B,2,FALSE),"")</f>
        <v>450</v>
      </c>
      <c r="L605" s="38" t="s">
        <v>103</v>
      </c>
      <c r="M605" s="32" t="s">
        <v>87</v>
      </c>
      <c r="N605" s="28">
        <f>IFERROR(VLOOKUP(O605,Ingredients!$A:$B,2,FALSE),"")</f>
        <v>380</v>
      </c>
      <c r="O605" s="34" t="s">
        <v>1025</v>
      </c>
      <c r="P605" s="32" t="s">
        <v>87</v>
      </c>
      <c r="Q605" s="28">
        <f>IFERROR(VLOOKUP(R605,Ingredients!$A:$B,2,FALSE),"")</f>
        <v>380</v>
      </c>
      <c r="R605" s="27" t="s">
        <v>1025</v>
      </c>
      <c r="S605" s="32" t="s">
        <v>89</v>
      </c>
      <c r="T605" s="28"/>
      <c r="U605" s="35"/>
      <c r="V605" s="32"/>
      <c r="W605" s="28"/>
      <c r="X605" s="35"/>
      <c r="Y605" s="32"/>
      <c r="Z605" s="28"/>
      <c r="AA605" s="36"/>
    </row>
    <row r="606" spans="1:27" ht="56">
      <c r="A606" s="27" t="s">
        <v>1026</v>
      </c>
      <c r="B606" s="28"/>
      <c r="C606" s="29">
        <v>1120</v>
      </c>
      <c r="D606" s="30">
        <f t="shared" si="11"/>
        <v>0</v>
      </c>
      <c r="E606" s="37" t="s">
        <v>1027</v>
      </c>
      <c r="F606" s="32"/>
      <c r="G606" s="28"/>
      <c r="H606" s="32" t="s">
        <v>24</v>
      </c>
      <c r="I606" s="33" t="s">
        <v>1020</v>
      </c>
      <c r="J606" s="32"/>
      <c r="K606" s="28">
        <f>IFERROR(VLOOKUP(L606,Ingredients!A:B,2,FALSE),"")</f>
        <v>620</v>
      </c>
      <c r="L606" s="34" t="s">
        <v>1021</v>
      </c>
      <c r="M606" s="32" t="s">
        <v>87</v>
      </c>
      <c r="N606" s="28">
        <f>IFERROR(VLOOKUP(O606,Ingredients!$A:$B,2,FALSE),"")</f>
        <v>500</v>
      </c>
      <c r="O606" s="38" t="s">
        <v>996</v>
      </c>
      <c r="P606" s="32" t="s">
        <v>89</v>
      </c>
      <c r="Q606" s="28"/>
      <c r="R606" s="35"/>
      <c r="S606" s="32"/>
      <c r="T606" s="28"/>
      <c r="U606" s="35"/>
      <c r="V606" s="32"/>
      <c r="W606" s="28"/>
      <c r="X606" s="35"/>
      <c r="Y606" s="32"/>
      <c r="Z606" s="28"/>
      <c r="AA606" s="36"/>
    </row>
    <row r="607" spans="1:27" ht="42">
      <c r="A607" s="27" t="s">
        <v>1025</v>
      </c>
      <c r="B607" s="28"/>
      <c r="C607" s="29">
        <v>380</v>
      </c>
      <c r="D607" s="30">
        <f t="shared" si="11"/>
        <v>-370</v>
      </c>
      <c r="E607" s="37" t="s">
        <v>1028</v>
      </c>
      <c r="F607" s="32"/>
      <c r="G607" s="28"/>
      <c r="H607" s="32" t="s">
        <v>24</v>
      </c>
      <c r="I607" s="33" t="s">
        <v>1020</v>
      </c>
      <c r="J607" s="32"/>
      <c r="K607" s="28">
        <f>IFERROR(VLOOKUP(L607,Ingredients!A:B,2,FALSE),"")</f>
        <v>450</v>
      </c>
      <c r="L607" s="38" t="s">
        <v>103</v>
      </c>
      <c r="M607" s="32" t="s">
        <v>87</v>
      </c>
      <c r="N607" s="28">
        <f>IFERROR(VLOOKUP(O607,Ingredients!$A:$B,2,FALSE),"")</f>
        <v>150</v>
      </c>
      <c r="O607" s="34" t="s">
        <v>1029</v>
      </c>
      <c r="P607" s="32" t="s">
        <v>87</v>
      </c>
      <c r="Q607" s="28">
        <f>IFERROR(VLOOKUP(R607,Ingredients!$A:$B,2,FALSE),"")</f>
        <v>150</v>
      </c>
      <c r="R607" s="27" t="s">
        <v>1029</v>
      </c>
      <c r="S607" s="32" t="s">
        <v>89</v>
      </c>
      <c r="T607" s="28"/>
      <c r="U607" s="35"/>
      <c r="V607" s="32"/>
      <c r="W607" s="28"/>
      <c r="X607" s="35"/>
      <c r="Y607" s="32"/>
      <c r="Z607" s="28"/>
      <c r="AA607" s="36"/>
    </row>
    <row r="608" spans="1:27" ht="56">
      <c r="A608" s="27" t="s">
        <v>1030</v>
      </c>
      <c r="B608" s="28"/>
      <c r="C608" s="29">
        <v>880</v>
      </c>
      <c r="D608" s="30">
        <f t="shared" si="11"/>
        <v>0</v>
      </c>
      <c r="E608" s="37" t="s">
        <v>1031</v>
      </c>
      <c r="F608" s="32"/>
      <c r="G608" s="28"/>
      <c r="H608" s="32" t="s">
        <v>24</v>
      </c>
      <c r="I608" s="33" t="s">
        <v>1020</v>
      </c>
      <c r="J608" s="32"/>
      <c r="K608" s="28">
        <f>IFERROR(VLOOKUP(L608,Ingredients!A:B,2,FALSE),"")</f>
        <v>380</v>
      </c>
      <c r="L608" s="34" t="s">
        <v>1025</v>
      </c>
      <c r="M608" s="32" t="s">
        <v>87</v>
      </c>
      <c r="N608" s="28">
        <f>IFERROR(VLOOKUP(O608,Ingredients!$A:$B,2,FALSE),"")</f>
        <v>500</v>
      </c>
      <c r="O608" s="38" t="s">
        <v>996</v>
      </c>
      <c r="P608" s="32" t="s">
        <v>89</v>
      </c>
      <c r="Q608" s="28"/>
      <c r="R608" s="35"/>
      <c r="S608" s="32"/>
      <c r="T608" s="28"/>
      <c r="U608" s="35"/>
      <c r="V608" s="32"/>
      <c r="W608" s="28"/>
      <c r="X608" s="35"/>
      <c r="Y608" s="32"/>
      <c r="Z608" s="28"/>
      <c r="AA608" s="36"/>
    </row>
    <row r="609" spans="1:27" ht="42">
      <c r="A609" s="27" t="s">
        <v>1032</v>
      </c>
      <c r="B609" s="28"/>
      <c r="C609" s="29">
        <v>1650</v>
      </c>
      <c r="D609" s="30">
        <f t="shared" si="11"/>
        <v>0</v>
      </c>
      <c r="E609" s="37" t="s">
        <v>1033</v>
      </c>
      <c r="F609" s="32"/>
      <c r="G609" s="28"/>
      <c r="H609" s="32" t="s">
        <v>24</v>
      </c>
      <c r="I609" s="33" t="s">
        <v>1020</v>
      </c>
      <c r="J609" s="32"/>
      <c r="K609" s="28">
        <f>IFERROR(VLOOKUP(L609,Ingredients!A:B,2,FALSE),"")</f>
        <v>1150</v>
      </c>
      <c r="L609" s="34" t="s">
        <v>1018</v>
      </c>
      <c r="M609" s="32" t="s">
        <v>87</v>
      </c>
      <c r="N609" s="28">
        <f>IFERROR(VLOOKUP(O609,Ingredients!$A:$B,2,FALSE),"")</f>
        <v>500</v>
      </c>
      <c r="O609" s="34" t="s">
        <v>1007</v>
      </c>
      <c r="P609" s="32" t="s">
        <v>89</v>
      </c>
      <c r="Q609" s="28"/>
      <c r="R609" s="35"/>
      <c r="S609" s="32"/>
      <c r="T609" s="28"/>
      <c r="U609" s="35"/>
      <c r="V609" s="32"/>
      <c r="W609" s="28"/>
      <c r="X609" s="35"/>
      <c r="Y609" s="32"/>
      <c r="Z609" s="28"/>
      <c r="AA609" s="36"/>
    </row>
    <row r="610" spans="1:27" ht="42">
      <c r="A610" s="27" t="s">
        <v>1034</v>
      </c>
      <c r="B610" s="28"/>
      <c r="C610" s="29">
        <v>1120</v>
      </c>
      <c r="D610" s="30">
        <f t="shared" si="11"/>
        <v>0</v>
      </c>
      <c r="E610" s="37" t="s">
        <v>1035</v>
      </c>
      <c r="F610" s="32"/>
      <c r="G610" s="28"/>
      <c r="H610" s="32" t="s">
        <v>24</v>
      </c>
      <c r="I610" s="33" t="s">
        <v>1020</v>
      </c>
      <c r="J610" s="32"/>
      <c r="K610" s="28">
        <f>IFERROR(VLOOKUP(L610,Ingredients!A:B,2,FALSE),"")</f>
        <v>620</v>
      </c>
      <c r="L610" s="34" t="s">
        <v>1021</v>
      </c>
      <c r="M610" s="32" t="s">
        <v>87</v>
      </c>
      <c r="N610" s="28">
        <f>IFERROR(VLOOKUP(O610,Ingredients!$A:$B,2,FALSE),"")</f>
        <v>500</v>
      </c>
      <c r="O610" s="34" t="s">
        <v>1007</v>
      </c>
      <c r="P610" s="32" t="s">
        <v>89</v>
      </c>
      <c r="Q610" s="28"/>
      <c r="R610" s="35"/>
      <c r="S610" s="32"/>
      <c r="T610" s="28"/>
      <c r="U610" s="35"/>
      <c r="V610" s="32"/>
      <c r="W610" s="28"/>
      <c r="X610" s="35"/>
      <c r="Y610" s="32"/>
      <c r="Z610" s="28"/>
      <c r="AA610" s="36"/>
    </row>
    <row r="611" spans="1:27" ht="42">
      <c r="A611" s="27" t="s">
        <v>1036</v>
      </c>
      <c r="B611" s="28"/>
      <c r="C611" s="29">
        <v>880</v>
      </c>
      <c r="D611" s="30">
        <f t="shared" si="11"/>
        <v>0</v>
      </c>
      <c r="E611" s="37" t="s">
        <v>1037</v>
      </c>
      <c r="F611" s="32"/>
      <c r="G611" s="28"/>
      <c r="H611" s="32" t="s">
        <v>24</v>
      </c>
      <c r="I611" s="33" t="s">
        <v>1020</v>
      </c>
      <c r="J611" s="32"/>
      <c r="K611" s="28">
        <f>IFERROR(VLOOKUP(L611,Ingredients!A:B,2,FALSE),"")</f>
        <v>380</v>
      </c>
      <c r="L611" s="34" t="s">
        <v>1025</v>
      </c>
      <c r="M611" s="32" t="s">
        <v>87</v>
      </c>
      <c r="N611" s="28">
        <f>IFERROR(VLOOKUP(O611,Ingredients!$A:$B,2,FALSE),"")</f>
        <v>500</v>
      </c>
      <c r="O611" s="34" t="s">
        <v>1007</v>
      </c>
      <c r="P611" s="32" t="s">
        <v>89</v>
      </c>
      <c r="Q611" s="28"/>
      <c r="R611" s="35"/>
      <c r="S611" s="32"/>
      <c r="T611" s="28"/>
      <c r="U611" s="35"/>
      <c r="V611" s="32"/>
      <c r="W611" s="28"/>
      <c r="X611" s="35"/>
      <c r="Y611" s="32"/>
      <c r="Z611" s="28"/>
      <c r="AA611" s="36"/>
    </row>
    <row r="612" spans="1:27" ht="42">
      <c r="A612" s="27" t="s">
        <v>1038</v>
      </c>
      <c r="B612" s="28"/>
      <c r="C612" s="29">
        <v>650</v>
      </c>
      <c r="D612" s="30">
        <f t="shared" si="11"/>
        <v>0</v>
      </c>
      <c r="E612" s="37" t="s">
        <v>1039</v>
      </c>
      <c r="F612" s="32"/>
      <c r="G612" s="28"/>
      <c r="H612" s="32" t="s">
        <v>24</v>
      </c>
      <c r="I612" s="33" t="s">
        <v>1020</v>
      </c>
      <c r="J612" s="32"/>
      <c r="K612" s="28">
        <f>IFERROR(VLOOKUP(L612,Ingredients!A:B,2,FALSE),"")</f>
        <v>150</v>
      </c>
      <c r="L612" s="34" t="s">
        <v>1029</v>
      </c>
      <c r="M612" s="32" t="s">
        <v>87</v>
      </c>
      <c r="N612" s="28">
        <f>IFERROR(VLOOKUP(O612,Ingredients!$A:$B,2,FALSE),"")</f>
        <v>500</v>
      </c>
      <c r="O612" s="34" t="s">
        <v>1007</v>
      </c>
      <c r="P612" s="32" t="s">
        <v>89</v>
      </c>
      <c r="Q612" s="28"/>
      <c r="R612" s="35"/>
      <c r="S612" s="32"/>
      <c r="T612" s="28"/>
      <c r="U612" s="35"/>
      <c r="V612" s="32"/>
      <c r="W612" s="28"/>
      <c r="X612" s="35"/>
      <c r="Y612" s="32"/>
      <c r="Z612" s="28"/>
      <c r="AA612" s="36"/>
    </row>
    <row r="613" spans="1:27" ht="42">
      <c r="A613" s="27" t="s">
        <v>1029</v>
      </c>
      <c r="B613" s="28"/>
      <c r="C613" s="29">
        <v>150</v>
      </c>
      <c r="D613" s="30" t="e">
        <f t="shared" si="11"/>
        <v>#VALUE!</v>
      </c>
      <c r="E613" s="37" t="s">
        <v>1040</v>
      </c>
      <c r="F613" s="32"/>
      <c r="G613" s="28"/>
      <c r="H613" s="32" t="s">
        <v>24</v>
      </c>
      <c r="I613" s="33" t="s">
        <v>1020</v>
      </c>
      <c r="J613" s="32"/>
      <c r="K613" s="28"/>
      <c r="L613" s="38" t="s">
        <v>189</v>
      </c>
      <c r="M613" s="32" t="s">
        <v>129</v>
      </c>
      <c r="N613" s="28" t="str">
        <f>IFERROR(VLOOKUP(O613,Ingredients!$A:$B,2,FALSE),"")</f>
        <v/>
      </c>
      <c r="O613" s="38" t="s">
        <v>744</v>
      </c>
      <c r="P613" s="32" t="s">
        <v>87</v>
      </c>
      <c r="Q613" s="28">
        <f>IFERROR(VLOOKUP(R613,Ingredients!$A:$B,2,FALSE),"")</f>
        <v>450</v>
      </c>
      <c r="R613" s="35" t="s">
        <v>103</v>
      </c>
      <c r="S613" s="32" t="s">
        <v>89</v>
      </c>
      <c r="T613" s="28"/>
      <c r="U613" s="35"/>
      <c r="V613" s="32"/>
      <c r="W613" s="28"/>
      <c r="X613" s="35"/>
      <c r="Y613" s="32"/>
      <c r="Z613" s="28"/>
      <c r="AA613" s="36"/>
    </row>
    <row r="614" spans="1:27" ht="56">
      <c r="A614" s="27" t="s">
        <v>1041</v>
      </c>
      <c r="B614" s="28"/>
      <c r="C614" s="29">
        <v>650</v>
      </c>
      <c r="D614" s="30">
        <f t="shared" si="11"/>
        <v>0</v>
      </c>
      <c r="E614" s="37" t="s">
        <v>1042</v>
      </c>
      <c r="F614" s="32"/>
      <c r="G614" s="28"/>
      <c r="H614" s="32" t="s">
        <v>24</v>
      </c>
      <c r="I614" s="33" t="s">
        <v>1020</v>
      </c>
      <c r="J614" s="32"/>
      <c r="K614" s="28">
        <f>IFERROR(VLOOKUP(L614,Ingredients!A:B,2,FALSE),"")</f>
        <v>150</v>
      </c>
      <c r="L614" s="34" t="s">
        <v>1029</v>
      </c>
      <c r="M614" s="32" t="s">
        <v>87</v>
      </c>
      <c r="N614" s="28">
        <f>IFERROR(VLOOKUP(O614,Ingredients!$A:$B,2,FALSE),"")</f>
        <v>500</v>
      </c>
      <c r="O614" s="38" t="s">
        <v>996</v>
      </c>
      <c r="P614" s="32" t="s">
        <v>89</v>
      </c>
      <c r="Q614" s="28"/>
      <c r="R614" s="35"/>
      <c r="S614" s="32"/>
      <c r="T614" s="28"/>
      <c r="U614" s="35"/>
      <c r="V614" s="32"/>
      <c r="W614" s="28"/>
      <c r="X614" s="35"/>
      <c r="Y614" s="32"/>
      <c r="Z614" s="28"/>
      <c r="AA614" s="36"/>
    </row>
    <row r="615" spans="1:27" ht="42">
      <c r="A615" s="27" t="s">
        <v>1043</v>
      </c>
      <c r="B615" s="28"/>
      <c r="C615" s="29">
        <v>1150</v>
      </c>
      <c r="D615" s="30">
        <f t="shared" si="11"/>
        <v>-1290</v>
      </c>
      <c r="E615" s="37" t="s">
        <v>1044</v>
      </c>
      <c r="F615" s="32"/>
      <c r="G615" s="28"/>
      <c r="H615" s="32" t="s">
        <v>24</v>
      </c>
      <c r="I615" s="33" t="s">
        <v>1045</v>
      </c>
      <c r="J615" s="32"/>
      <c r="K615" s="28">
        <f>IFERROR(VLOOKUP(L615,Ingredients!A:B,2,FALSE),"")</f>
        <v>1200</v>
      </c>
      <c r="L615" s="34" t="s">
        <v>992</v>
      </c>
      <c r="M615" s="32" t="s">
        <v>87</v>
      </c>
      <c r="N615" s="28">
        <f>IFERROR(VLOOKUP(O615,Ingredients!$A:$B,2,FALSE),"")</f>
        <v>620</v>
      </c>
      <c r="O615" s="34" t="s">
        <v>1046</v>
      </c>
      <c r="P615" s="32" t="s">
        <v>87</v>
      </c>
      <c r="Q615" s="28">
        <f>IFERROR(VLOOKUP(R615,Ingredients!$A:$B,2,FALSE),"")</f>
        <v>620</v>
      </c>
      <c r="R615" s="27" t="s">
        <v>1046</v>
      </c>
      <c r="S615" s="32" t="s">
        <v>89</v>
      </c>
      <c r="T615" s="28"/>
      <c r="U615" s="35"/>
      <c r="V615" s="32"/>
      <c r="W615" s="28"/>
      <c r="X615" s="35"/>
      <c r="Y615" s="32"/>
      <c r="Z615" s="28"/>
      <c r="AA615" s="36"/>
    </row>
    <row r="616" spans="1:27" ht="56">
      <c r="A616" s="27" t="s">
        <v>1047</v>
      </c>
      <c r="B616" s="28"/>
      <c r="C616" s="29">
        <v>1650</v>
      </c>
      <c r="D616" s="30">
        <f t="shared" si="11"/>
        <v>0</v>
      </c>
      <c r="E616" s="37" t="s">
        <v>1048</v>
      </c>
      <c r="F616" s="32"/>
      <c r="G616" s="28"/>
      <c r="H616" s="32" t="s">
        <v>24</v>
      </c>
      <c r="I616" s="33" t="s">
        <v>1045</v>
      </c>
      <c r="J616" s="32"/>
      <c r="K616" s="28">
        <f>IFERROR(VLOOKUP(L616,Ingredients!A:B,2,FALSE),"")</f>
        <v>1150</v>
      </c>
      <c r="L616" s="34" t="s">
        <v>1043</v>
      </c>
      <c r="M616" s="32" t="s">
        <v>87</v>
      </c>
      <c r="N616" s="28">
        <f>IFERROR(VLOOKUP(O616,Ingredients!$A:$B,2,FALSE),"")</f>
        <v>500</v>
      </c>
      <c r="O616" s="38" t="s">
        <v>996</v>
      </c>
      <c r="P616" s="32" t="s">
        <v>89</v>
      </c>
      <c r="Q616" s="28"/>
      <c r="R616" s="35"/>
      <c r="S616" s="32"/>
      <c r="T616" s="28"/>
      <c r="U616" s="35"/>
      <c r="V616" s="32"/>
      <c r="W616" s="28"/>
      <c r="X616" s="35"/>
      <c r="Y616" s="32"/>
      <c r="Z616" s="28"/>
      <c r="AA616" s="36"/>
    </row>
    <row r="617" spans="1:27" ht="42">
      <c r="A617" s="27" t="s">
        <v>1046</v>
      </c>
      <c r="B617" s="28"/>
      <c r="C617" s="29">
        <v>620</v>
      </c>
      <c r="D617" s="30">
        <f t="shared" si="11"/>
        <v>-590</v>
      </c>
      <c r="E617" s="37" t="s">
        <v>1049</v>
      </c>
      <c r="F617" s="32"/>
      <c r="G617" s="28"/>
      <c r="H617" s="32" t="s">
        <v>24</v>
      </c>
      <c r="I617" s="33" t="s">
        <v>1045</v>
      </c>
      <c r="J617" s="32"/>
      <c r="K617" s="28">
        <f>IFERROR(VLOOKUP(L617,Ingredients!A:B,2,FALSE),"")</f>
        <v>450</v>
      </c>
      <c r="L617" s="38" t="s">
        <v>103</v>
      </c>
      <c r="M617" s="32" t="s">
        <v>87</v>
      </c>
      <c r="N617" s="28">
        <f>IFERROR(VLOOKUP(O617,Ingredients!$A:$B,2,FALSE),"")</f>
        <v>380</v>
      </c>
      <c r="O617" s="34" t="s">
        <v>1050</v>
      </c>
      <c r="P617" s="32" t="s">
        <v>87</v>
      </c>
      <c r="Q617" s="28">
        <f>IFERROR(VLOOKUP(R617,Ingredients!$A:$B,2,FALSE),"")</f>
        <v>380</v>
      </c>
      <c r="R617" s="27" t="s">
        <v>1050</v>
      </c>
      <c r="S617" s="32" t="s">
        <v>89</v>
      </c>
      <c r="T617" s="28"/>
      <c r="U617" s="35"/>
      <c r="V617" s="32"/>
      <c r="W617" s="28"/>
      <c r="X617" s="35"/>
      <c r="Y617" s="32"/>
      <c r="Z617" s="28"/>
      <c r="AA617" s="36"/>
    </row>
    <row r="618" spans="1:27" ht="56">
      <c r="A618" s="27" t="s">
        <v>1051</v>
      </c>
      <c r="B618" s="28"/>
      <c r="C618" s="29">
        <v>1120</v>
      </c>
      <c r="D618" s="30">
        <f t="shared" si="11"/>
        <v>0</v>
      </c>
      <c r="E618" s="37" t="s">
        <v>1052</v>
      </c>
      <c r="F618" s="32"/>
      <c r="G618" s="28"/>
      <c r="H618" s="32" t="s">
        <v>24</v>
      </c>
      <c r="I618" s="33" t="s">
        <v>1045</v>
      </c>
      <c r="J618" s="32"/>
      <c r="K618" s="28">
        <f>IFERROR(VLOOKUP(L618,Ingredients!A:B,2,FALSE),"")</f>
        <v>620</v>
      </c>
      <c r="L618" s="34" t="s">
        <v>1046</v>
      </c>
      <c r="M618" s="32" t="s">
        <v>87</v>
      </c>
      <c r="N618" s="28">
        <f>IFERROR(VLOOKUP(O618,Ingredients!$A:$B,2,FALSE),"")</f>
        <v>500</v>
      </c>
      <c r="O618" s="38" t="s">
        <v>996</v>
      </c>
      <c r="P618" s="32" t="s">
        <v>89</v>
      </c>
      <c r="Q618" s="28"/>
      <c r="R618" s="35"/>
      <c r="S618" s="32"/>
      <c r="T618" s="28"/>
      <c r="U618" s="35"/>
      <c r="V618" s="32"/>
      <c r="W618" s="28"/>
      <c r="X618" s="35"/>
      <c r="Y618" s="32"/>
      <c r="Z618" s="28"/>
      <c r="AA618" s="36"/>
    </row>
    <row r="619" spans="1:27" ht="42">
      <c r="A619" s="27" t="s">
        <v>1050</v>
      </c>
      <c r="B619" s="28"/>
      <c r="C619" s="29">
        <v>380</v>
      </c>
      <c r="D619" s="30">
        <f t="shared" si="11"/>
        <v>-370</v>
      </c>
      <c r="E619" s="37" t="s">
        <v>1053</v>
      </c>
      <c r="F619" s="32"/>
      <c r="G619" s="28"/>
      <c r="H619" s="32" t="s">
        <v>24</v>
      </c>
      <c r="I619" s="33" t="s">
        <v>1045</v>
      </c>
      <c r="J619" s="32"/>
      <c r="K619" s="28">
        <f>IFERROR(VLOOKUP(L619,Ingredients!A:B,2,FALSE),"")</f>
        <v>450</v>
      </c>
      <c r="L619" s="38" t="s">
        <v>103</v>
      </c>
      <c r="M619" s="32" t="s">
        <v>87</v>
      </c>
      <c r="N619" s="28">
        <f>IFERROR(VLOOKUP(O619,Ingredients!$A:$B,2,FALSE),"")</f>
        <v>150</v>
      </c>
      <c r="O619" s="34" t="s">
        <v>1054</v>
      </c>
      <c r="P619" s="32" t="s">
        <v>87</v>
      </c>
      <c r="Q619" s="28">
        <f>IFERROR(VLOOKUP(R619,Ingredients!$A:$B,2,FALSE),"")</f>
        <v>150</v>
      </c>
      <c r="R619" s="27" t="s">
        <v>1054</v>
      </c>
      <c r="S619" s="32" t="s">
        <v>89</v>
      </c>
      <c r="T619" s="28"/>
      <c r="U619" s="35"/>
      <c r="V619" s="32"/>
      <c r="W619" s="28"/>
      <c r="X619" s="35"/>
      <c r="Y619" s="32"/>
      <c r="Z619" s="28"/>
      <c r="AA619" s="36"/>
    </row>
    <row r="620" spans="1:27" ht="56">
      <c r="A620" s="27" t="s">
        <v>1055</v>
      </c>
      <c r="B620" s="28"/>
      <c r="C620" s="29">
        <v>880</v>
      </c>
      <c r="D620" s="30">
        <f t="shared" si="11"/>
        <v>0</v>
      </c>
      <c r="E620" s="37" t="s">
        <v>1056</v>
      </c>
      <c r="F620" s="32"/>
      <c r="G620" s="28"/>
      <c r="H620" s="32" t="s">
        <v>24</v>
      </c>
      <c r="I620" s="33" t="s">
        <v>1045</v>
      </c>
      <c r="J620" s="32"/>
      <c r="K620" s="28">
        <f>IFERROR(VLOOKUP(L620,Ingredients!A:B,2,FALSE),"")</f>
        <v>380</v>
      </c>
      <c r="L620" s="34" t="s">
        <v>1050</v>
      </c>
      <c r="M620" s="32" t="s">
        <v>87</v>
      </c>
      <c r="N620" s="28">
        <f>IFERROR(VLOOKUP(O620,Ingredients!$A:$B,2,FALSE),"")</f>
        <v>500</v>
      </c>
      <c r="O620" s="38" t="s">
        <v>996</v>
      </c>
      <c r="P620" s="32" t="s">
        <v>89</v>
      </c>
      <c r="Q620" s="28"/>
      <c r="R620" s="35"/>
      <c r="S620" s="32"/>
      <c r="T620" s="28"/>
      <c r="U620" s="35"/>
      <c r="V620" s="32"/>
      <c r="W620" s="28"/>
      <c r="X620" s="35"/>
      <c r="Y620" s="32"/>
      <c r="Z620" s="28"/>
      <c r="AA620" s="36"/>
    </row>
    <row r="621" spans="1:27" ht="42">
      <c r="A621" s="27" t="s">
        <v>1057</v>
      </c>
      <c r="B621" s="28"/>
      <c r="C621" s="29">
        <v>1650</v>
      </c>
      <c r="D621" s="30">
        <f t="shared" si="11"/>
        <v>0</v>
      </c>
      <c r="E621" s="37" t="s">
        <v>1058</v>
      </c>
      <c r="F621" s="32"/>
      <c r="G621" s="28"/>
      <c r="H621" s="32" t="s">
        <v>24</v>
      </c>
      <c r="I621" s="33" t="s">
        <v>1045</v>
      </c>
      <c r="J621" s="32"/>
      <c r="K621" s="28">
        <f>IFERROR(VLOOKUP(L621,Ingredients!A:B,2,FALSE),"")</f>
        <v>1150</v>
      </c>
      <c r="L621" s="34" t="s">
        <v>1043</v>
      </c>
      <c r="M621" s="32" t="s">
        <v>87</v>
      </c>
      <c r="N621" s="28">
        <f>IFERROR(VLOOKUP(O621,Ingredients!$A:$B,2,FALSE),"")</f>
        <v>500</v>
      </c>
      <c r="O621" s="34" t="s">
        <v>1007</v>
      </c>
      <c r="P621" s="32" t="s">
        <v>89</v>
      </c>
      <c r="Q621" s="28"/>
      <c r="R621" s="35"/>
      <c r="S621" s="32"/>
      <c r="T621" s="28"/>
      <c r="U621" s="35"/>
      <c r="V621" s="32"/>
      <c r="W621" s="28"/>
      <c r="X621" s="35"/>
      <c r="Y621" s="32"/>
      <c r="Z621" s="28"/>
      <c r="AA621" s="36"/>
    </row>
    <row r="622" spans="1:27" ht="42">
      <c r="A622" s="27" t="s">
        <v>1059</v>
      </c>
      <c r="B622" s="28"/>
      <c r="C622" s="29">
        <v>1120</v>
      </c>
      <c r="D622" s="30">
        <f t="shared" si="11"/>
        <v>0</v>
      </c>
      <c r="E622" s="37" t="s">
        <v>1060</v>
      </c>
      <c r="F622" s="32"/>
      <c r="G622" s="28"/>
      <c r="H622" s="32" t="s">
        <v>24</v>
      </c>
      <c r="I622" s="33" t="s">
        <v>1045</v>
      </c>
      <c r="J622" s="32"/>
      <c r="K622" s="28">
        <f>IFERROR(VLOOKUP(L622,Ingredients!A:B,2,FALSE),"")</f>
        <v>620</v>
      </c>
      <c r="L622" s="34" t="s">
        <v>1046</v>
      </c>
      <c r="M622" s="32" t="s">
        <v>87</v>
      </c>
      <c r="N622" s="28">
        <f>IFERROR(VLOOKUP(O622,Ingredients!$A:$B,2,FALSE),"")</f>
        <v>500</v>
      </c>
      <c r="O622" s="34" t="s">
        <v>1007</v>
      </c>
      <c r="P622" s="32" t="s">
        <v>89</v>
      </c>
      <c r="Q622" s="28"/>
      <c r="R622" s="35"/>
      <c r="S622" s="32"/>
      <c r="T622" s="28"/>
      <c r="U622" s="35"/>
      <c r="V622" s="32"/>
      <c r="W622" s="28"/>
      <c r="X622" s="35"/>
      <c r="Y622" s="32"/>
      <c r="Z622" s="28"/>
      <c r="AA622" s="36"/>
    </row>
    <row r="623" spans="1:27" ht="42">
      <c r="A623" s="27" t="s">
        <v>1061</v>
      </c>
      <c r="B623" s="28"/>
      <c r="C623" s="29">
        <v>880</v>
      </c>
      <c r="D623" s="30">
        <f t="shared" si="11"/>
        <v>0</v>
      </c>
      <c r="E623" s="37" t="s">
        <v>1062</v>
      </c>
      <c r="F623" s="32"/>
      <c r="G623" s="28"/>
      <c r="H623" s="32" t="s">
        <v>24</v>
      </c>
      <c r="I623" s="33" t="s">
        <v>1045</v>
      </c>
      <c r="J623" s="32"/>
      <c r="K623" s="28">
        <f>IFERROR(VLOOKUP(L623,Ingredients!A:B,2,FALSE),"")</f>
        <v>380</v>
      </c>
      <c r="L623" s="34" t="s">
        <v>1050</v>
      </c>
      <c r="M623" s="32" t="s">
        <v>87</v>
      </c>
      <c r="N623" s="28">
        <f>IFERROR(VLOOKUP(O623,Ingredients!$A:$B,2,FALSE),"")</f>
        <v>500</v>
      </c>
      <c r="O623" s="34" t="s">
        <v>1007</v>
      </c>
      <c r="P623" s="32" t="s">
        <v>89</v>
      </c>
      <c r="Q623" s="28"/>
      <c r="R623" s="35"/>
      <c r="S623" s="32"/>
      <c r="T623" s="28"/>
      <c r="U623" s="35"/>
      <c r="V623" s="32"/>
      <c r="W623" s="28"/>
      <c r="X623" s="35"/>
      <c r="Y623" s="32"/>
      <c r="Z623" s="28"/>
      <c r="AA623" s="36"/>
    </row>
    <row r="624" spans="1:27" ht="42">
      <c r="A624" s="27" t="s">
        <v>1063</v>
      </c>
      <c r="B624" s="28"/>
      <c r="C624" s="29">
        <v>650</v>
      </c>
      <c r="D624" s="30">
        <f t="shared" si="11"/>
        <v>0</v>
      </c>
      <c r="E624" s="37" t="s">
        <v>1064</v>
      </c>
      <c r="F624" s="32"/>
      <c r="G624" s="28"/>
      <c r="H624" s="32" t="s">
        <v>24</v>
      </c>
      <c r="I624" s="33" t="s">
        <v>1045</v>
      </c>
      <c r="J624" s="32"/>
      <c r="K624" s="28">
        <f>IFERROR(VLOOKUP(L624,Ingredients!A:B,2,FALSE),"")</f>
        <v>150</v>
      </c>
      <c r="L624" s="34" t="s">
        <v>1054</v>
      </c>
      <c r="M624" s="32" t="s">
        <v>87</v>
      </c>
      <c r="N624" s="28">
        <f>IFERROR(VLOOKUP(O624,Ingredients!$A:$B,2,FALSE),"")</f>
        <v>500</v>
      </c>
      <c r="O624" s="34" t="s">
        <v>1007</v>
      </c>
      <c r="P624" s="32" t="s">
        <v>89</v>
      </c>
      <c r="Q624" s="28"/>
      <c r="R624" s="35"/>
      <c r="S624" s="32"/>
      <c r="T624" s="28"/>
      <c r="U624" s="35"/>
      <c r="V624" s="32"/>
      <c r="W624" s="28"/>
      <c r="X624" s="35"/>
      <c r="Y624" s="32"/>
      <c r="Z624" s="28"/>
      <c r="AA624" s="36"/>
    </row>
    <row r="625" spans="1:27" ht="42">
      <c r="A625" s="27" t="s">
        <v>1054</v>
      </c>
      <c r="B625" s="28"/>
      <c r="C625" s="29">
        <v>150</v>
      </c>
      <c r="D625" s="30">
        <f t="shared" si="11"/>
        <v>-1050</v>
      </c>
      <c r="E625" s="37" t="s">
        <v>1065</v>
      </c>
      <c r="F625" s="32"/>
      <c r="G625" s="28"/>
      <c r="H625" s="32" t="s">
        <v>24</v>
      </c>
      <c r="I625" s="33" t="s">
        <v>1045</v>
      </c>
      <c r="J625" s="32"/>
      <c r="K625" s="28">
        <f>IFERROR(VLOOKUP(L625,Ingredients!A:B,2,FALSE),"")</f>
        <v>750</v>
      </c>
      <c r="L625" s="38" t="s">
        <v>698</v>
      </c>
      <c r="M625" s="32" t="s">
        <v>87</v>
      </c>
      <c r="N625" s="28"/>
      <c r="O625" s="38" t="s">
        <v>1066</v>
      </c>
      <c r="P625" s="32" t="s">
        <v>129</v>
      </c>
      <c r="Q625" s="28">
        <f>IFERROR(VLOOKUP(R625,Ingredients!$A:$B,2,FALSE),"")</f>
        <v>450</v>
      </c>
      <c r="R625" s="35" t="s">
        <v>103</v>
      </c>
      <c r="S625" s="32" t="s">
        <v>89</v>
      </c>
      <c r="T625" s="28"/>
      <c r="U625" s="35"/>
      <c r="V625" s="32"/>
      <c r="W625" s="28"/>
      <c r="X625" s="35"/>
      <c r="Y625" s="32"/>
      <c r="Z625" s="28"/>
      <c r="AA625" s="36"/>
    </row>
    <row r="626" spans="1:27" ht="56">
      <c r="A626" s="27" t="s">
        <v>1067</v>
      </c>
      <c r="B626" s="28"/>
      <c r="C626" s="29">
        <v>650</v>
      </c>
      <c r="D626" s="30">
        <f t="shared" si="11"/>
        <v>0</v>
      </c>
      <c r="E626" s="37" t="s">
        <v>1068</v>
      </c>
      <c r="F626" s="32"/>
      <c r="G626" s="28"/>
      <c r="H626" s="32" t="s">
        <v>24</v>
      </c>
      <c r="I626" s="33" t="s">
        <v>1045</v>
      </c>
      <c r="J626" s="32"/>
      <c r="K626" s="28">
        <f>IFERROR(VLOOKUP(L626,Ingredients!A:B,2,FALSE),"")</f>
        <v>150</v>
      </c>
      <c r="L626" s="34" t="s">
        <v>1054</v>
      </c>
      <c r="M626" s="32" t="s">
        <v>87</v>
      </c>
      <c r="N626" s="28">
        <f>IFERROR(VLOOKUP(O626,Ingredients!$A:$B,2,FALSE),"")</f>
        <v>500</v>
      </c>
      <c r="O626" s="38" t="s">
        <v>996</v>
      </c>
      <c r="P626" s="32" t="s">
        <v>89</v>
      </c>
      <c r="Q626" s="28"/>
      <c r="R626" s="35"/>
      <c r="S626" s="32"/>
      <c r="T626" s="28"/>
      <c r="U626" s="35"/>
      <c r="V626" s="32"/>
      <c r="W626" s="28"/>
      <c r="X626" s="35"/>
      <c r="Y626" s="32"/>
      <c r="Z626" s="28"/>
      <c r="AA626" s="36"/>
    </row>
    <row r="627" spans="1:27" ht="14">
      <c r="A627" s="35" t="s">
        <v>1069</v>
      </c>
      <c r="B627" s="28"/>
      <c r="C627" s="29">
        <v>150</v>
      </c>
      <c r="D627" s="30">
        <f t="shared" si="11"/>
        <v>100</v>
      </c>
      <c r="E627" s="37" t="s">
        <v>126</v>
      </c>
      <c r="F627" s="32"/>
      <c r="G627" s="28"/>
      <c r="H627" s="32" t="s">
        <v>24</v>
      </c>
      <c r="I627" s="33" t="s">
        <v>127</v>
      </c>
      <c r="J627" s="32"/>
      <c r="K627" s="28">
        <f>IFERROR(VLOOKUP(L627,Ingredients!A:B,2,FALSE),"")</f>
        <v>50</v>
      </c>
      <c r="L627" s="38" t="s">
        <v>192</v>
      </c>
      <c r="M627" s="32" t="s">
        <v>89</v>
      </c>
      <c r="N627" s="28"/>
      <c r="O627" s="38" t="s">
        <v>324</v>
      </c>
      <c r="P627" s="32" t="s">
        <v>129</v>
      </c>
      <c r="Q627" s="28"/>
      <c r="R627" s="35"/>
      <c r="S627" s="32"/>
      <c r="T627" s="28"/>
      <c r="U627" s="35"/>
      <c r="V627" s="32"/>
      <c r="W627" s="28"/>
      <c r="X627" s="35"/>
      <c r="Y627" s="32"/>
      <c r="Z627" s="28"/>
      <c r="AA627" s="36"/>
    </row>
    <row r="628" spans="1:27" ht="14">
      <c r="A628" s="35" t="s">
        <v>103</v>
      </c>
      <c r="B628" s="28"/>
      <c r="C628" s="29">
        <v>450</v>
      </c>
      <c r="D628" s="30">
        <f t="shared" si="11"/>
        <v>20</v>
      </c>
      <c r="E628" s="37" t="s">
        <v>126</v>
      </c>
      <c r="F628" s="32"/>
      <c r="G628" s="28"/>
      <c r="H628" s="32" t="s">
        <v>24</v>
      </c>
      <c r="I628" s="33" t="s">
        <v>127</v>
      </c>
      <c r="J628" s="32"/>
      <c r="K628" s="28">
        <f>IFERROR(VLOOKUP(L628,Ingredients!A:B,2,FALSE),"")</f>
        <v>150</v>
      </c>
      <c r="L628" s="38" t="s">
        <v>1069</v>
      </c>
      <c r="M628" s="32" t="s">
        <v>87</v>
      </c>
      <c r="N628" s="28">
        <f>IFERROR(VLOOKUP(O628,Ingredients!$A:$B,2,FALSE),"")</f>
        <v>280</v>
      </c>
      <c r="O628" s="38" t="s">
        <v>1070</v>
      </c>
      <c r="P628" s="32" t="s">
        <v>89</v>
      </c>
      <c r="Q628" s="28"/>
      <c r="R628" s="35"/>
      <c r="S628" s="32"/>
      <c r="T628" s="28"/>
      <c r="U628" s="35"/>
      <c r="V628" s="32"/>
      <c r="W628" s="28"/>
      <c r="X628" s="35"/>
      <c r="Y628" s="32"/>
      <c r="Z628" s="28"/>
      <c r="AA628" s="36"/>
    </row>
    <row r="629" spans="1:27" ht="14">
      <c r="A629" s="27" t="s">
        <v>992</v>
      </c>
      <c r="B629" s="28"/>
      <c r="C629" s="29">
        <v>1200</v>
      </c>
      <c r="D629" s="30">
        <f t="shared" si="11"/>
        <v>250</v>
      </c>
      <c r="E629" s="37" t="s">
        <v>126</v>
      </c>
      <c r="F629" s="32"/>
      <c r="G629" s="28"/>
      <c r="H629" s="32" t="s">
        <v>24</v>
      </c>
      <c r="I629" s="33" t="s">
        <v>127</v>
      </c>
      <c r="J629" s="32"/>
      <c r="K629" s="28">
        <f>IFERROR(VLOOKUP(L629,Ingredients!A:B,2,FALSE),"")</f>
        <v>150</v>
      </c>
      <c r="L629" s="38" t="s">
        <v>1069</v>
      </c>
      <c r="M629" s="32" t="s">
        <v>87</v>
      </c>
      <c r="N629" s="28">
        <f>IFERROR(VLOOKUP(O629,Ingredients!$A:$B,2,FALSE),"")</f>
        <v>800</v>
      </c>
      <c r="O629" s="34" t="s">
        <v>1071</v>
      </c>
      <c r="P629" s="32" t="s">
        <v>89</v>
      </c>
      <c r="Q629" s="28"/>
      <c r="R629" s="35"/>
      <c r="S629" s="32"/>
      <c r="T629" s="28"/>
      <c r="U629" s="35"/>
      <c r="V629" s="32"/>
      <c r="W629" s="28"/>
      <c r="X629" s="35"/>
      <c r="Y629" s="32"/>
      <c r="Z629" s="28"/>
      <c r="AA629" s="36"/>
    </row>
    <row r="630" spans="1:27" ht="14">
      <c r="A630" s="27" t="s">
        <v>1071</v>
      </c>
      <c r="B630" s="28"/>
      <c r="C630" s="29">
        <v>800</v>
      </c>
      <c r="D630" s="30">
        <f t="shared" si="11"/>
        <v>200</v>
      </c>
      <c r="E630" s="37" t="s">
        <v>126</v>
      </c>
      <c r="F630" s="32"/>
      <c r="G630" s="28"/>
      <c r="H630" s="32" t="s">
        <v>24</v>
      </c>
      <c r="I630" s="33" t="s">
        <v>127</v>
      </c>
      <c r="J630" s="32"/>
      <c r="K630" s="28">
        <f>IFERROR(VLOOKUP(L630,Ingredients!A:B,2,FALSE),"")</f>
        <v>600</v>
      </c>
      <c r="L630" s="34" t="s">
        <v>750</v>
      </c>
      <c r="M630" s="32" t="s">
        <v>89</v>
      </c>
      <c r="N630" s="28"/>
      <c r="O630" s="38" t="s">
        <v>324</v>
      </c>
      <c r="P630" s="32" t="s">
        <v>129</v>
      </c>
      <c r="Q630" s="28"/>
      <c r="R630" s="35"/>
      <c r="S630" s="32"/>
      <c r="T630" s="28"/>
      <c r="U630" s="35"/>
      <c r="V630" s="32"/>
      <c r="W630" s="28"/>
      <c r="X630" s="35"/>
      <c r="Y630" s="32"/>
      <c r="Z630" s="28"/>
      <c r="AA630" s="36"/>
    </row>
    <row r="631" spans="1:27" ht="14">
      <c r="A631" s="35" t="s">
        <v>1070</v>
      </c>
      <c r="B631" s="28"/>
      <c r="C631" s="29">
        <v>280</v>
      </c>
      <c r="D631" s="30">
        <f t="shared" si="11"/>
        <v>80</v>
      </c>
      <c r="E631" s="37" t="s">
        <v>126</v>
      </c>
      <c r="F631" s="32"/>
      <c r="G631" s="28"/>
      <c r="H631" s="32" t="s">
        <v>24</v>
      </c>
      <c r="I631" s="33" t="s">
        <v>127</v>
      </c>
      <c r="J631" s="32"/>
      <c r="K631" s="28">
        <f>IFERROR(VLOOKUP(L631,Ingredients!A:B,2,FALSE),"")</f>
        <v>200</v>
      </c>
      <c r="L631" s="38" t="s">
        <v>751</v>
      </c>
      <c r="M631" s="32" t="s">
        <v>89</v>
      </c>
      <c r="N631" s="28"/>
      <c r="O631" s="38" t="s">
        <v>324</v>
      </c>
      <c r="P631" s="32" t="s">
        <v>129</v>
      </c>
      <c r="Q631" s="28"/>
      <c r="R631" s="35"/>
      <c r="S631" s="32"/>
      <c r="T631" s="28"/>
      <c r="U631" s="35"/>
      <c r="V631" s="32"/>
      <c r="W631" s="28"/>
      <c r="X631" s="35"/>
      <c r="Y631" s="32"/>
      <c r="Z631" s="28"/>
      <c r="AA631" s="36"/>
    </row>
    <row r="632" spans="1:27" ht="42">
      <c r="A632" s="27" t="s">
        <v>1072</v>
      </c>
      <c r="B632" s="28"/>
      <c r="C632" s="29">
        <v>1150</v>
      </c>
      <c r="D632" s="30">
        <f t="shared" si="11"/>
        <v>-1290</v>
      </c>
      <c r="E632" s="37" t="s">
        <v>1073</v>
      </c>
      <c r="F632" s="32"/>
      <c r="G632" s="28"/>
      <c r="H632" s="32" t="s">
        <v>24</v>
      </c>
      <c r="I632" s="33" t="s">
        <v>1074</v>
      </c>
      <c r="J632" s="32"/>
      <c r="K632" s="28">
        <f>IFERROR(VLOOKUP(L632,Ingredients!A:B,2,FALSE),"")</f>
        <v>1200</v>
      </c>
      <c r="L632" s="34" t="s">
        <v>992</v>
      </c>
      <c r="M632" s="32" t="s">
        <v>87</v>
      </c>
      <c r="N632" s="28">
        <f>IFERROR(VLOOKUP(O632,Ingredients!$A:$B,2,FALSE),"")</f>
        <v>620</v>
      </c>
      <c r="O632" s="34" t="s">
        <v>1075</v>
      </c>
      <c r="P632" s="32" t="s">
        <v>87</v>
      </c>
      <c r="Q632" s="28">
        <f>IFERROR(VLOOKUP(R632,Ingredients!$A:$B,2,FALSE),"")</f>
        <v>620</v>
      </c>
      <c r="R632" s="27" t="s">
        <v>1075</v>
      </c>
      <c r="S632" s="32" t="s">
        <v>89</v>
      </c>
      <c r="T632" s="28"/>
      <c r="U632" s="35"/>
      <c r="V632" s="32"/>
      <c r="W632" s="28"/>
      <c r="X632" s="35"/>
      <c r="Y632" s="32"/>
      <c r="Z632" s="28"/>
      <c r="AA632" s="36"/>
    </row>
    <row r="633" spans="1:27" ht="56">
      <c r="A633" s="27" t="s">
        <v>1076</v>
      </c>
      <c r="B633" s="28"/>
      <c r="C633" s="29">
        <v>1650</v>
      </c>
      <c r="D633" s="30">
        <f t="shared" si="11"/>
        <v>0</v>
      </c>
      <c r="E633" s="37" t="s">
        <v>1077</v>
      </c>
      <c r="F633" s="32"/>
      <c r="G633" s="28"/>
      <c r="H633" s="32" t="s">
        <v>24</v>
      </c>
      <c r="I633" s="33" t="s">
        <v>1074</v>
      </c>
      <c r="J633" s="32"/>
      <c r="K633" s="28">
        <f>IFERROR(VLOOKUP(L633,Ingredients!A:B,2,FALSE),"")</f>
        <v>1150</v>
      </c>
      <c r="L633" s="34" t="s">
        <v>1072</v>
      </c>
      <c r="M633" s="32" t="s">
        <v>87</v>
      </c>
      <c r="N633" s="28">
        <f>IFERROR(VLOOKUP(O633,Ingredients!$A:$B,2,FALSE),"")</f>
        <v>500</v>
      </c>
      <c r="O633" s="38" t="s">
        <v>996</v>
      </c>
      <c r="P633" s="32" t="s">
        <v>89</v>
      </c>
      <c r="Q633" s="28"/>
      <c r="R633" s="35"/>
      <c r="S633" s="32"/>
      <c r="T633" s="28"/>
      <c r="U633" s="35"/>
      <c r="V633" s="32"/>
      <c r="W633" s="28"/>
      <c r="X633" s="35"/>
      <c r="Y633" s="32"/>
      <c r="Z633" s="28"/>
      <c r="AA633" s="36"/>
    </row>
    <row r="634" spans="1:27" ht="42">
      <c r="A634" s="27" t="s">
        <v>1075</v>
      </c>
      <c r="B634" s="28"/>
      <c r="C634" s="29">
        <v>620</v>
      </c>
      <c r="D634" s="30">
        <f t="shared" si="11"/>
        <v>-590</v>
      </c>
      <c r="E634" s="37" t="s">
        <v>1078</v>
      </c>
      <c r="F634" s="32"/>
      <c r="G634" s="28"/>
      <c r="H634" s="32" t="s">
        <v>24</v>
      </c>
      <c r="I634" s="33" t="s">
        <v>1074</v>
      </c>
      <c r="J634" s="32"/>
      <c r="K634" s="28">
        <f>IFERROR(VLOOKUP(L634,Ingredients!A:B,2,FALSE),"")</f>
        <v>450</v>
      </c>
      <c r="L634" s="38" t="s">
        <v>103</v>
      </c>
      <c r="M634" s="32" t="s">
        <v>87</v>
      </c>
      <c r="N634" s="28">
        <f>IFERROR(VLOOKUP(O634,Ingredients!$A:$B,2,FALSE),"")</f>
        <v>380</v>
      </c>
      <c r="O634" s="34" t="s">
        <v>1079</v>
      </c>
      <c r="P634" s="32" t="s">
        <v>87</v>
      </c>
      <c r="Q634" s="28">
        <f>IFERROR(VLOOKUP(R634,Ingredients!$A:$B,2,FALSE),"")</f>
        <v>380</v>
      </c>
      <c r="R634" s="27" t="s">
        <v>1079</v>
      </c>
      <c r="S634" s="32" t="s">
        <v>89</v>
      </c>
      <c r="T634" s="28"/>
      <c r="U634" s="35"/>
      <c r="V634" s="32"/>
      <c r="W634" s="28"/>
      <c r="X634" s="35"/>
      <c r="Y634" s="32"/>
      <c r="Z634" s="28"/>
      <c r="AA634" s="36"/>
    </row>
    <row r="635" spans="1:27" ht="56">
      <c r="A635" s="27" t="s">
        <v>1080</v>
      </c>
      <c r="B635" s="28"/>
      <c r="C635" s="29">
        <v>1120</v>
      </c>
      <c r="D635" s="30">
        <f t="shared" si="11"/>
        <v>0</v>
      </c>
      <c r="E635" s="37" t="s">
        <v>1081</v>
      </c>
      <c r="F635" s="32"/>
      <c r="G635" s="28"/>
      <c r="H635" s="32" t="s">
        <v>24</v>
      </c>
      <c r="I635" s="33" t="s">
        <v>1074</v>
      </c>
      <c r="J635" s="32"/>
      <c r="K635" s="28">
        <f>IFERROR(VLOOKUP(L635,Ingredients!A:B,2,FALSE),"")</f>
        <v>620</v>
      </c>
      <c r="L635" s="34" t="s">
        <v>1075</v>
      </c>
      <c r="M635" s="32" t="s">
        <v>87</v>
      </c>
      <c r="N635" s="28">
        <f>IFERROR(VLOOKUP(O635,Ingredients!$A:$B,2,FALSE),"")</f>
        <v>500</v>
      </c>
      <c r="O635" s="38" t="s">
        <v>996</v>
      </c>
      <c r="P635" s="32" t="s">
        <v>89</v>
      </c>
      <c r="Q635" s="28"/>
      <c r="R635" s="35"/>
      <c r="S635" s="32"/>
      <c r="T635" s="28"/>
      <c r="U635" s="35"/>
      <c r="V635" s="32"/>
      <c r="W635" s="28"/>
      <c r="X635" s="35"/>
      <c r="Y635" s="32"/>
      <c r="Z635" s="28"/>
      <c r="AA635" s="36"/>
    </row>
    <row r="636" spans="1:27" ht="42">
      <c r="A636" s="27" t="s">
        <v>1079</v>
      </c>
      <c r="B636" s="28"/>
      <c r="C636" s="29">
        <v>380</v>
      </c>
      <c r="D636" s="30">
        <f t="shared" si="11"/>
        <v>-370</v>
      </c>
      <c r="E636" s="37" t="s">
        <v>1082</v>
      </c>
      <c r="F636" s="32"/>
      <c r="G636" s="28"/>
      <c r="H636" s="32" t="s">
        <v>24</v>
      </c>
      <c r="I636" s="33" t="s">
        <v>1074</v>
      </c>
      <c r="J636" s="32"/>
      <c r="K636" s="28">
        <f>IFERROR(VLOOKUP(L636,Ingredients!A:B,2,FALSE),"")</f>
        <v>450</v>
      </c>
      <c r="L636" s="38" t="s">
        <v>103</v>
      </c>
      <c r="M636" s="32" t="s">
        <v>87</v>
      </c>
      <c r="N636" s="28">
        <f>IFERROR(VLOOKUP(O636,Ingredients!$A:$B,2,FALSE),"")</f>
        <v>150</v>
      </c>
      <c r="O636" s="34" t="s">
        <v>1083</v>
      </c>
      <c r="P636" s="32" t="s">
        <v>87</v>
      </c>
      <c r="Q636" s="28">
        <f>IFERROR(VLOOKUP(R636,Ingredients!$A:$B,2,FALSE),"")</f>
        <v>150</v>
      </c>
      <c r="R636" s="27" t="s">
        <v>1083</v>
      </c>
      <c r="S636" s="32" t="s">
        <v>89</v>
      </c>
      <c r="T636" s="28"/>
      <c r="U636" s="35"/>
      <c r="V636" s="32"/>
      <c r="W636" s="28"/>
      <c r="X636" s="35"/>
      <c r="Y636" s="32"/>
      <c r="Z636" s="28"/>
      <c r="AA636" s="36"/>
    </row>
    <row r="637" spans="1:27" ht="56">
      <c r="A637" s="27" t="s">
        <v>1084</v>
      </c>
      <c r="B637" s="28"/>
      <c r="C637" s="29">
        <v>880</v>
      </c>
      <c r="D637" s="30">
        <f t="shared" si="11"/>
        <v>0</v>
      </c>
      <c r="E637" s="37" t="s">
        <v>1085</v>
      </c>
      <c r="F637" s="32"/>
      <c r="G637" s="28"/>
      <c r="H637" s="32" t="s">
        <v>24</v>
      </c>
      <c r="I637" s="33" t="s">
        <v>1074</v>
      </c>
      <c r="J637" s="32"/>
      <c r="K637" s="28">
        <f>IFERROR(VLOOKUP(L637,Ingredients!A:B,2,FALSE),"")</f>
        <v>380</v>
      </c>
      <c r="L637" s="34" t="s">
        <v>1079</v>
      </c>
      <c r="M637" s="32" t="s">
        <v>87</v>
      </c>
      <c r="N637" s="28">
        <f>IFERROR(VLOOKUP(O637,Ingredients!$A:$B,2,FALSE),"")</f>
        <v>500</v>
      </c>
      <c r="O637" s="38" t="s">
        <v>996</v>
      </c>
      <c r="P637" s="32" t="s">
        <v>89</v>
      </c>
      <c r="Q637" s="28"/>
      <c r="R637" s="35"/>
      <c r="S637" s="32"/>
      <c r="T637" s="28"/>
      <c r="U637" s="35"/>
      <c r="V637" s="32"/>
      <c r="W637" s="28"/>
      <c r="X637" s="35"/>
      <c r="Y637" s="32"/>
      <c r="Z637" s="28"/>
      <c r="AA637" s="36"/>
    </row>
    <row r="638" spans="1:27" ht="42">
      <c r="A638" s="27" t="s">
        <v>1086</v>
      </c>
      <c r="B638" s="28"/>
      <c r="C638" s="29">
        <v>1650</v>
      </c>
      <c r="D638" s="30">
        <f t="shared" si="11"/>
        <v>0</v>
      </c>
      <c r="E638" s="37" t="s">
        <v>1087</v>
      </c>
      <c r="F638" s="32"/>
      <c r="G638" s="28"/>
      <c r="H638" s="32" t="s">
        <v>24</v>
      </c>
      <c r="I638" s="33" t="s">
        <v>1074</v>
      </c>
      <c r="J638" s="32"/>
      <c r="K638" s="28">
        <f>IFERROR(VLOOKUP(L638,Ingredients!A:B,2,FALSE),"")</f>
        <v>1150</v>
      </c>
      <c r="L638" s="34" t="s">
        <v>1072</v>
      </c>
      <c r="M638" s="32" t="s">
        <v>87</v>
      </c>
      <c r="N638" s="28">
        <f>IFERROR(VLOOKUP(O638,Ingredients!$A:$B,2,FALSE),"")</f>
        <v>500</v>
      </c>
      <c r="O638" s="34" t="s">
        <v>1007</v>
      </c>
      <c r="P638" s="32" t="s">
        <v>89</v>
      </c>
      <c r="Q638" s="28"/>
      <c r="R638" s="35"/>
      <c r="S638" s="32"/>
      <c r="T638" s="28"/>
      <c r="U638" s="35"/>
      <c r="V638" s="32"/>
      <c r="W638" s="28"/>
      <c r="X638" s="35"/>
      <c r="Y638" s="32"/>
      <c r="Z638" s="28"/>
      <c r="AA638" s="36"/>
    </row>
    <row r="639" spans="1:27" ht="42">
      <c r="A639" s="27" t="s">
        <v>1088</v>
      </c>
      <c r="B639" s="28"/>
      <c r="C639" s="29">
        <v>1120</v>
      </c>
      <c r="D639" s="30">
        <f t="shared" si="11"/>
        <v>0</v>
      </c>
      <c r="E639" s="37" t="s">
        <v>1089</v>
      </c>
      <c r="F639" s="32"/>
      <c r="G639" s="28"/>
      <c r="H639" s="32" t="s">
        <v>24</v>
      </c>
      <c r="I639" s="33" t="s">
        <v>1074</v>
      </c>
      <c r="J639" s="32"/>
      <c r="K639" s="28">
        <f>IFERROR(VLOOKUP(L639,Ingredients!A:B,2,FALSE),"")</f>
        <v>620</v>
      </c>
      <c r="L639" s="34" t="s">
        <v>1075</v>
      </c>
      <c r="M639" s="32" t="s">
        <v>87</v>
      </c>
      <c r="N639" s="28">
        <f>IFERROR(VLOOKUP(O639,Ingredients!$A:$B,2,FALSE),"")</f>
        <v>500</v>
      </c>
      <c r="O639" s="34" t="s">
        <v>1007</v>
      </c>
      <c r="P639" s="32" t="s">
        <v>89</v>
      </c>
      <c r="Q639" s="28"/>
      <c r="R639" s="35"/>
      <c r="S639" s="32"/>
      <c r="T639" s="28"/>
      <c r="U639" s="35"/>
      <c r="V639" s="32"/>
      <c r="W639" s="28"/>
      <c r="X639" s="35"/>
      <c r="Y639" s="32"/>
      <c r="Z639" s="28"/>
      <c r="AA639" s="36"/>
    </row>
    <row r="640" spans="1:27" ht="42">
      <c r="A640" s="27" t="s">
        <v>1090</v>
      </c>
      <c r="B640" s="28"/>
      <c r="C640" s="29">
        <v>880</v>
      </c>
      <c r="D640" s="30">
        <f t="shared" si="11"/>
        <v>0</v>
      </c>
      <c r="E640" s="37" t="s">
        <v>1091</v>
      </c>
      <c r="F640" s="32"/>
      <c r="G640" s="28"/>
      <c r="H640" s="32" t="s">
        <v>24</v>
      </c>
      <c r="I640" s="33" t="s">
        <v>1074</v>
      </c>
      <c r="J640" s="32"/>
      <c r="K640" s="28">
        <f>IFERROR(VLOOKUP(L640,Ingredients!A:B,2,FALSE),"")</f>
        <v>380</v>
      </c>
      <c r="L640" s="34" t="s">
        <v>1079</v>
      </c>
      <c r="M640" s="32" t="s">
        <v>87</v>
      </c>
      <c r="N640" s="28">
        <f>IFERROR(VLOOKUP(O640,Ingredients!$A:$B,2,FALSE),"")</f>
        <v>500</v>
      </c>
      <c r="O640" s="34" t="s">
        <v>1007</v>
      </c>
      <c r="P640" s="32" t="s">
        <v>89</v>
      </c>
      <c r="Q640" s="28"/>
      <c r="R640" s="35"/>
      <c r="S640" s="32"/>
      <c r="T640" s="28"/>
      <c r="U640" s="35"/>
      <c r="V640" s="32"/>
      <c r="W640" s="28"/>
      <c r="X640" s="35"/>
      <c r="Y640" s="32"/>
      <c r="Z640" s="28"/>
      <c r="AA640" s="36"/>
    </row>
    <row r="641" spans="1:27" ht="42">
      <c r="A641" s="27" t="s">
        <v>1092</v>
      </c>
      <c r="B641" s="28"/>
      <c r="C641" s="29">
        <v>650</v>
      </c>
      <c r="D641" s="30">
        <f t="shared" si="11"/>
        <v>0</v>
      </c>
      <c r="E641" s="37" t="s">
        <v>1093</v>
      </c>
      <c r="F641" s="32"/>
      <c r="G641" s="28"/>
      <c r="H641" s="32" t="s">
        <v>24</v>
      </c>
      <c r="I641" s="33" t="s">
        <v>1074</v>
      </c>
      <c r="J641" s="32"/>
      <c r="K641" s="28">
        <f>IFERROR(VLOOKUP(L641,Ingredients!A:B,2,FALSE),"")</f>
        <v>150</v>
      </c>
      <c r="L641" s="34" t="s">
        <v>1083</v>
      </c>
      <c r="M641" s="32" t="s">
        <v>87</v>
      </c>
      <c r="N641" s="28">
        <f>IFERROR(VLOOKUP(O641,Ingredients!$A:$B,2,FALSE),"")</f>
        <v>500</v>
      </c>
      <c r="O641" s="34" t="s">
        <v>1007</v>
      </c>
      <c r="P641" s="32" t="s">
        <v>89</v>
      </c>
      <c r="Q641" s="28"/>
      <c r="R641" s="35"/>
      <c r="S641" s="32"/>
      <c r="T641" s="28"/>
      <c r="U641" s="35"/>
      <c r="V641" s="32"/>
      <c r="W641" s="28"/>
      <c r="X641" s="35"/>
      <c r="Y641" s="32"/>
      <c r="Z641" s="28"/>
      <c r="AA641" s="36"/>
    </row>
    <row r="642" spans="1:27" ht="42">
      <c r="A642" s="27" t="s">
        <v>1083</v>
      </c>
      <c r="B642" s="28"/>
      <c r="C642" s="29">
        <v>150</v>
      </c>
      <c r="D642" s="30">
        <f t="shared" si="11"/>
        <v>-301</v>
      </c>
      <c r="E642" s="37" t="s">
        <v>1094</v>
      </c>
      <c r="F642" s="32"/>
      <c r="G642" s="28"/>
      <c r="H642" s="32" t="s">
        <v>24</v>
      </c>
      <c r="I642" s="33" t="s">
        <v>1074</v>
      </c>
      <c r="J642" s="32"/>
      <c r="K642" s="28">
        <f>IFERROR(VLOOKUP(L642,Ingredients!A:B,2,FALSE),"")</f>
        <v>1</v>
      </c>
      <c r="L642" s="34" t="s">
        <v>194</v>
      </c>
      <c r="M642" s="32" t="s">
        <v>87</v>
      </c>
      <c r="N642" s="28"/>
      <c r="O642" s="38" t="s">
        <v>294</v>
      </c>
      <c r="P642" s="32" t="s">
        <v>129</v>
      </c>
      <c r="Q642" s="28">
        <f>IFERROR(VLOOKUP(R642,Ingredients!$A:$B,2,FALSE),"")</f>
        <v>450</v>
      </c>
      <c r="R642" s="35" t="s">
        <v>103</v>
      </c>
      <c r="S642" s="32" t="s">
        <v>89</v>
      </c>
      <c r="T642" s="28"/>
      <c r="U642" s="35"/>
      <c r="V642" s="32"/>
      <c r="W642" s="28"/>
      <c r="X642" s="35"/>
      <c r="Y642" s="32"/>
      <c r="Z642" s="28"/>
      <c r="AA642" s="36"/>
    </row>
    <row r="643" spans="1:27" ht="56">
      <c r="A643" s="27" t="s">
        <v>1095</v>
      </c>
      <c r="B643" s="28"/>
      <c r="C643" s="29">
        <v>650</v>
      </c>
      <c r="D643" s="30">
        <f t="shared" si="11"/>
        <v>0</v>
      </c>
      <c r="E643" s="37" t="s">
        <v>1096</v>
      </c>
      <c r="F643" s="32"/>
      <c r="G643" s="28"/>
      <c r="H643" s="32" t="s">
        <v>24</v>
      </c>
      <c r="I643" s="33" t="s">
        <v>1074</v>
      </c>
      <c r="J643" s="32"/>
      <c r="K643" s="28">
        <f>IFERROR(VLOOKUP(L643,Ingredients!A:B,2,FALSE),"")</f>
        <v>150</v>
      </c>
      <c r="L643" s="34" t="s">
        <v>1083</v>
      </c>
      <c r="M643" s="32" t="s">
        <v>87</v>
      </c>
      <c r="N643" s="28">
        <f>IFERROR(VLOOKUP(O643,Ingredients!$A:$B,2,FALSE),"")</f>
        <v>500</v>
      </c>
      <c r="O643" s="38" t="s">
        <v>996</v>
      </c>
      <c r="P643" s="32" t="s">
        <v>89</v>
      </c>
      <c r="Q643" s="28"/>
      <c r="R643" s="35"/>
      <c r="S643" s="32"/>
      <c r="T643" s="28"/>
      <c r="U643" s="35"/>
      <c r="V643" s="32"/>
      <c r="W643" s="28"/>
      <c r="X643" s="35"/>
      <c r="Y643" s="32"/>
      <c r="Z643" s="28"/>
      <c r="AA643" s="36"/>
    </row>
    <row r="644" spans="1:27" ht="42">
      <c r="A644" s="27" t="s">
        <v>1097</v>
      </c>
      <c r="B644" s="28"/>
      <c r="C644" s="29">
        <v>1150</v>
      </c>
      <c r="D644" s="30">
        <f t="shared" si="11"/>
        <v>-1290</v>
      </c>
      <c r="E644" s="37" t="s">
        <v>1098</v>
      </c>
      <c r="F644" s="32"/>
      <c r="G644" s="28"/>
      <c r="H644" s="32" t="s">
        <v>24</v>
      </c>
      <c r="I644" s="33" t="s">
        <v>1099</v>
      </c>
      <c r="J644" s="32"/>
      <c r="K644" s="28">
        <f>IFERROR(VLOOKUP(L644,Ingredients!A:B,2,FALSE),"")</f>
        <v>1200</v>
      </c>
      <c r="L644" s="34" t="s">
        <v>992</v>
      </c>
      <c r="M644" s="32" t="s">
        <v>87</v>
      </c>
      <c r="N644" s="28">
        <f>IFERROR(VLOOKUP(O644,Ingredients!$A:$B,2,FALSE),"")</f>
        <v>620</v>
      </c>
      <c r="O644" s="34" t="s">
        <v>1100</v>
      </c>
      <c r="P644" s="32" t="s">
        <v>87</v>
      </c>
      <c r="Q644" s="28">
        <f>IFERROR(VLOOKUP(R644,Ingredients!$A:$B,2,FALSE),"")</f>
        <v>620</v>
      </c>
      <c r="R644" s="27" t="s">
        <v>1100</v>
      </c>
      <c r="S644" s="32" t="s">
        <v>89</v>
      </c>
      <c r="T644" s="28"/>
      <c r="U644" s="35"/>
      <c r="V644" s="32"/>
      <c r="W644" s="28"/>
      <c r="X644" s="35"/>
      <c r="Y644" s="32"/>
      <c r="Z644" s="28"/>
      <c r="AA644" s="36"/>
    </row>
    <row r="645" spans="1:27" ht="56">
      <c r="A645" s="27" t="s">
        <v>1101</v>
      </c>
      <c r="B645" s="28"/>
      <c r="C645" s="29">
        <v>1650</v>
      </c>
      <c r="D645" s="30">
        <f t="shared" si="11"/>
        <v>0</v>
      </c>
      <c r="E645" s="37" t="s">
        <v>1102</v>
      </c>
      <c r="F645" s="32"/>
      <c r="G645" s="28"/>
      <c r="H645" s="32" t="s">
        <v>24</v>
      </c>
      <c r="I645" s="33" t="s">
        <v>1099</v>
      </c>
      <c r="J645" s="32"/>
      <c r="K645" s="28">
        <f>IFERROR(VLOOKUP(L645,Ingredients!A:B,2,FALSE),"")</f>
        <v>1150</v>
      </c>
      <c r="L645" s="34" t="s">
        <v>1097</v>
      </c>
      <c r="M645" s="32" t="s">
        <v>87</v>
      </c>
      <c r="N645" s="28">
        <f>IFERROR(VLOOKUP(O645,Ingredients!$A:$B,2,FALSE),"")</f>
        <v>500</v>
      </c>
      <c r="O645" s="38" t="s">
        <v>996</v>
      </c>
      <c r="P645" s="32" t="s">
        <v>89</v>
      </c>
      <c r="Q645" s="28"/>
      <c r="R645" s="35"/>
      <c r="S645" s="32"/>
      <c r="T645" s="28"/>
      <c r="U645" s="35"/>
      <c r="V645" s="32"/>
      <c r="W645" s="28"/>
      <c r="X645" s="35"/>
      <c r="Y645" s="32"/>
      <c r="Z645" s="28"/>
      <c r="AA645" s="36"/>
    </row>
    <row r="646" spans="1:27" ht="42">
      <c r="A646" s="27" t="s">
        <v>1100</v>
      </c>
      <c r="B646" s="28"/>
      <c r="C646" s="29">
        <v>620</v>
      </c>
      <c r="D646" s="30">
        <f t="shared" si="11"/>
        <v>-590</v>
      </c>
      <c r="E646" s="37" t="s">
        <v>1103</v>
      </c>
      <c r="F646" s="32"/>
      <c r="G646" s="28"/>
      <c r="H646" s="32" t="s">
        <v>24</v>
      </c>
      <c r="I646" s="33" t="s">
        <v>1099</v>
      </c>
      <c r="J646" s="32"/>
      <c r="K646" s="28">
        <f>IFERROR(VLOOKUP(L646,Ingredients!A:B,2,FALSE),"")</f>
        <v>450</v>
      </c>
      <c r="L646" s="38" t="s">
        <v>103</v>
      </c>
      <c r="M646" s="32" t="s">
        <v>87</v>
      </c>
      <c r="N646" s="28">
        <f>IFERROR(VLOOKUP(O646,Ingredients!$A:$B,2,FALSE),"")</f>
        <v>380</v>
      </c>
      <c r="O646" s="34" t="s">
        <v>1104</v>
      </c>
      <c r="P646" s="32" t="s">
        <v>87</v>
      </c>
      <c r="Q646" s="28">
        <f>IFERROR(VLOOKUP(R646,Ingredients!$A:$B,2,FALSE),"")</f>
        <v>380</v>
      </c>
      <c r="R646" s="27" t="s">
        <v>1104</v>
      </c>
      <c r="S646" s="32" t="s">
        <v>89</v>
      </c>
      <c r="T646" s="28"/>
      <c r="U646" s="35"/>
      <c r="V646" s="32"/>
      <c r="W646" s="28"/>
      <c r="X646" s="35"/>
      <c r="Y646" s="32"/>
      <c r="Z646" s="28"/>
      <c r="AA646" s="36"/>
    </row>
    <row r="647" spans="1:27" ht="56">
      <c r="A647" s="27" t="s">
        <v>1105</v>
      </c>
      <c r="B647" s="28"/>
      <c r="C647" s="29">
        <v>1120</v>
      </c>
      <c r="D647" s="30">
        <f t="shared" si="11"/>
        <v>0</v>
      </c>
      <c r="E647" s="37" t="s">
        <v>1106</v>
      </c>
      <c r="F647" s="32"/>
      <c r="G647" s="28"/>
      <c r="H647" s="32" t="s">
        <v>24</v>
      </c>
      <c r="I647" s="33" t="s">
        <v>1099</v>
      </c>
      <c r="J647" s="32"/>
      <c r="K647" s="28">
        <f>IFERROR(VLOOKUP(L647,Ingredients!A:B,2,FALSE),"")</f>
        <v>620</v>
      </c>
      <c r="L647" s="34" t="s">
        <v>1100</v>
      </c>
      <c r="M647" s="32" t="s">
        <v>87</v>
      </c>
      <c r="N647" s="28">
        <f>IFERROR(VLOOKUP(O647,Ingredients!$A:$B,2,FALSE),"")</f>
        <v>500</v>
      </c>
      <c r="O647" s="38" t="s">
        <v>996</v>
      </c>
      <c r="P647" s="32" t="s">
        <v>89</v>
      </c>
      <c r="Q647" s="28"/>
      <c r="R647" s="35"/>
      <c r="S647" s="32"/>
      <c r="T647" s="28"/>
      <c r="U647" s="35"/>
      <c r="V647" s="32"/>
      <c r="W647" s="28"/>
      <c r="X647" s="35"/>
      <c r="Y647" s="32"/>
      <c r="Z647" s="28"/>
      <c r="AA647" s="36"/>
    </row>
    <row r="648" spans="1:27" ht="42">
      <c r="A648" s="27" t="s">
        <v>1104</v>
      </c>
      <c r="B648" s="28"/>
      <c r="C648" s="29">
        <v>380</v>
      </c>
      <c r="D648" s="30">
        <f t="shared" si="11"/>
        <v>-370</v>
      </c>
      <c r="E648" s="37" t="s">
        <v>1107</v>
      </c>
      <c r="F648" s="32"/>
      <c r="G648" s="28"/>
      <c r="H648" s="32" t="s">
        <v>24</v>
      </c>
      <c r="I648" s="33" t="s">
        <v>1099</v>
      </c>
      <c r="J648" s="32"/>
      <c r="K648" s="28">
        <f>IFERROR(VLOOKUP(L648,Ingredients!A:B,2,FALSE),"")</f>
        <v>450</v>
      </c>
      <c r="L648" s="38" t="s">
        <v>103</v>
      </c>
      <c r="M648" s="32" t="s">
        <v>87</v>
      </c>
      <c r="N648" s="28">
        <f>IFERROR(VLOOKUP(O648,Ingredients!$A:$B,2,FALSE),"")</f>
        <v>150</v>
      </c>
      <c r="O648" s="34" t="s">
        <v>1108</v>
      </c>
      <c r="P648" s="32" t="s">
        <v>87</v>
      </c>
      <c r="Q648" s="28">
        <f>IFERROR(VLOOKUP(R648,Ingredients!$A:$B,2,FALSE),"")</f>
        <v>150</v>
      </c>
      <c r="R648" s="27" t="s">
        <v>1108</v>
      </c>
      <c r="S648" s="32" t="s">
        <v>89</v>
      </c>
      <c r="T648" s="28"/>
      <c r="U648" s="35"/>
      <c r="V648" s="32"/>
      <c r="W648" s="28"/>
      <c r="X648" s="35"/>
      <c r="Y648" s="32"/>
      <c r="Z648" s="28"/>
      <c r="AA648" s="36"/>
    </row>
    <row r="649" spans="1:27" ht="56">
      <c r="A649" s="27" t="s">
        <v>1109</v>
      </c>
      <c r="B649" s="28"/>
      <c r="C649" s="29">
        <v>880</v>
      </c>
      <c r="D649" s="30">
        <f t="shared" si="11"/>
        <v>0</v>
      </c>
      <c r="E649" s="37" t="s">
        <v>1110</v>
      </c>
      <c r="F649" s="32"/>
      <c r="G649" s="28"/>
      <c r="H649" s="32" t="s">
        <v>24</v>
      </c>
      <c r="I649" s="33" t="s">
        <v>1099</v>
      </c>
      <c r="J649" s="32"/>
      <c r="K649" s="28">
        <f>IFERROR(VLOOKUP(L649,Ingredients!A:B,2,FALSE),"")</f>
        <v>380</v>
      </c>
      <c r="L649" s="34" t="s">
        <v>1104</v>
      </c>
      <c r="M649" s="32" t="s">
        <v>87</v>
      </c>
      <c r="N649" s="28">
        <f>IFERROR(VLOOKUP(O649,Ingredients!$A:$B,2,FALSE),"")</f>
        <v>500</v>
      </c>
      <c r="O649" s="38" t="s">
        <v>996</v>
      </c>
      <c r="P649" s="32" t="s">
        <v>89</v>
      </c>
      <c r="Q649" s="28"/>
      <c r="R649" s="35"/>
      <c r="S649" s="32"/>
      <c r="T649" s="28"/>
      <c r="U649" s="35"/>
      <c r="V649" s="32"/>
      <c r="W649" s="28"/>
      <c r="X649" s="35"/>
      <c r="Y649" s="32"/>
      <c r="Z649" s="28"/>
      <c r="AA649" s="36"/>
    </row>
    <row r="650" spans="1:27" ht="42">
      <c r="A650" s="27" t="s">
        <v>1111</v>
      </c>
      <c r="B650" s="28"/>
      <c r="C650" s="29">
        <v>1650</v>
      </c>
      <c r="D650" s="30">
        <f t="shared" si="11"/>
        <v>0</v>
      </c>
      <c r="E650" s="37" t="s">
        <v>1112</v>
      </c>
      <c r="F650" s="32"/>
      <c r="G650" s="28"/>
      <c r="H650" s="32" t="s">
        <v>24</v>
      </c>
      <c r="I650" s="33" t="s">
        <v>1099</v>
      </c>
      <c r="J650" s="32"/>
      <c r="K650" s="28">
        <f>IFERROR(VLOOKUP(L650,Ingredients!A:B,2,FALSE),"")</f>
        <v>1150</v>
      </c>
      <c r="L650" s="34" t="s">
        <v>1097</v>
      </c>
      <c r="M650" s="32" t="s">
        <v>87</v>
      </c>
      <c r="N650" s="28">
        <f>IFERROR(VLOOKUP(O650,Ingredients!$A:$B,2,FALSE),"")</f>
        <v>500</v>
      </c>
      <c r="O650" s="34" t="s">
        <v>1007</v>
      </c>
      <c r="P650" s="32" t="s">
        <v>89</v>
      </c>
      <c r="Q650" s="28"/>
      <c r="R650" s="35"/>
      <c r="S650" s="32"/>
      <c r="T650" s="28"/>
      <c r="U650" s="35"/>
      <c r="V650" s="32"/>
      <c r="W650" s="28"/>
      <c r="X650" s="35"/>
      <c r="Y650" s="32"/>
      <c r="Z650" s="28"/>
      <c r="AA650" s="36"/>
    </row>
    <row r="651" spans="1:27" ht="42">
      <c r="A651" s="27" t="s">
        <v>1113</v>
      </c>
      <c r="B651" s="28"/>
      <c r="C651" s="29">
        <v>1120</v>
      </c>
      <c r="D651" s="30">
        <f t="shared" si="11"/>
        <v>0</v>
      </c>
      <c r="E651" s="37" t="s">
        <v>1114</v>
      </c>
      <c r="F651" s="32"/>
      <c r="G651" s="28"/>
      <c r="H651" s="32" t="s">
        <v>24</v>
      </c>
      <c r="I651" s="33" t="s">
        <v>1099</v>
      </c>
      <c r="J651" s="32"/>
      <c r="K651" s="28">
        <f>IFERROR(VLOOKUP(L651,Ingredients!A:B,2,FALSE),"")</f>
        <v>620</v>
      </c>
      <c r="L651" s="34" t="s">
        <v>1100</v>
      </c>
      <c r="M651" s="32" t="s">
        <v>87</v>
      </c>
      <c r="N651" s="28">
        <f>IFERROR(VLOOKUP(O651,Ingredients!$A:$B,2,FALSE),"")</f>
        <v>500</v>
      </c>
      <c r="O651" s="34" t="s">
        <v>1007</v>
      </c>
      <c r="P651" s="32" t="s">
        <v>89</v>
      </c>
      <c r="Q651" s="28"/>
      <c r="R651" s="35"/>
      <c r="S651" s="32"/>
      <c r="T651" s="28"/>
      <c r="U651" s="35"/>
      <c r="V651" s="32"/>
      <c r="W651" s="28"/>
      <c r="X651" s="35"/>
      <c r="Y651" s="32"/>
      <c r="Z651" s="28"/>
      <c r="AA651" s="36"/>
    </row>
    <row r="652" spans="1:27" ht="42">
      <c r="A652" s="27" t="s">
        <v>1115</v>
      </c>
      <c r="B652" s="28"/>
      <c r="C652" s="29">
        <v>880</v>
      </c>
      <c r="D652" s="30">
        <f t="shared" si="11"/>
        <v>0</v>
      </c>
      <c r="E652" s="37" t="s">
        <v>1116</v>
      </c>
      <c r="F652" s="32"/>
      <c r="G652" s="28"/>
      <c r="H652" s="32" t="s">
        <v>24</v>
      </c>
      <c r="I652" s="33" t="s">
        <v>1099</v>
      </c>
      <c r="J652" s="32"/>
      <c r="K652" s="28">
        <f>IFERROR(VLOOKUP(L652,Ingredients!A:B,2,FALSE),"")</f>
        <v>380</v>
      </c>
      <c r="L652" s="34" t="s">
        <v>1104</v>
      </c>
      <c r="M652" s="32" t="s">
        <v>87</v>
      </c>
      <c r="N652" s="28">
        <f>IFERROR(VLOOKUP(O652,Ingredients!$A:$B,2,FALSE),"")</f>
        <v>500</v>
      </c>
      <c r="O652" s="34" t="s">
        <v>1007</v>
      </c>
      <c r="P652" s="32" t="s">
        <v>89</v>
      </c>
      <c r="Q652" s="28"/>
      <c r="R652" s="35"/>
      <c r="S652" s="32"/>
      <c r="T652" s="28"/>
      <c r="U652" s="35"/>
      <c r="V652" s="32"/>
      <c r="W652" s="28"/>
      <c r="X652" s="35"/>
      <c r="Y652" s="32"/>
      <c r="Z652" s="28"/>
      <c r="AA652" s="36"/>
    </row>
    <row r="653" spans="1:27" ht="42">
      <c r="A653" s="27" t="s">
        <v>1117</v>
      </c>
      <c r="B653" s="28"/>
      <c r="C653" s="29">
        <v>650</v>
      </c>
      <c r="D653" s="30">
        <f t="shared" si="11"/>
        <v>0</v>
      </c>
      <c r="E653" s="37" t="s">
        <v>1118</v>
      </c>
      <c r="F653" s="32"/>
      <c r="G653" s="28"/>
      <c r="H653" s="32" t="s">
        <v>24</v>
      </c>
      <c r="I653" s="33" t="s">
        <v>1099</v>
      </c>
      <c r="J653" s="32"/>
      <c r="K653" s="28">
        <f>IFERROR(VLOOKUP(L653,Ingredients!A:B,2,FALSE),"")</f>
        <v>150</v>
      </c>
      <c r="L653" s="34" t="s">
        <v>1108</v>
      </c>
      <c r="M653" s="32" t="s">
        <v>87</v>
      </c>
      <c r="N653" s="28">
        <f>IFERROR(VLOOKUP(O653,Ingredients!$A:$B,2,FALSE),"")</f>
        <v>500</v>
      </c>
      <c r="O653" s="34" t="s">
        <v>1007</v>
      </c>
      <c r="P653" s="32" t="s">
        <v>89</v>
      </c>
      <c r="Q653" s="28"/>
      <c r="R653" s="35"/>
      <c r="S653" s="32"/>
      <c r="T653" s="28"/>
      <c r="U653" s="35"/>
      <c r="V653" s="32"/>
      <c r="W653" s="28"/>
      <c r="X653" s="35"/>
      <c r="Y653" s="32"/>
      <c r="Z653" s="28"/>
      <c r="AA653" s="36"/>
    </row>
    <row r="654" spans="1:27" ht="42">
      <c r="A654" s="27" t="s">
        <v>1108</v>
      </c>
      <c r="B654" s="28"/>
      <c r="C654" s="29">
        <v>150</v>
      </c>
      <c r="D654" s="30" t="e">
        <f t="shared" si="11"/>
        <v>#VALUE!</v>
      </c>
      <c r="E654" s="37" t="s">
        <v>1119</v>
      </c>
      <c r="F654" s="32"/>
      <c r="G654" s="28"/>
      <c r="H654" s="32" t="s">
        <v>24</v>
      </c>
      <c r="I654" s="33" t="s">
        <v>1099</v>
      </c>
      <c r="J654" s="32"/>
      <c r="K654" s="28"/>
      <c r="L654" s="38" t="s">
        <v>189</v>
      </c>
      <c r="M654" s="32" t="s">
        <v>129</v>
      </c>
      <c r="N654" s="28" t="str">
        <f>IFERROR(VLOOKUP(O654,Ingredients!$A:$B,2,FALSE),"")</f>
        <v/>
      </c>
      <c r="O654" s="34" t="s">
        <v>704</v>
      </c>
      <c r="P654" s="32" t="s">
        <v>87</v>
      </c>
      <c r="Q654" s="28">
        <f>IFERROR(VLOOKUP(R654,Ingredients!$A:$B,2,FALSE),"")</f>
        <v>450</v>
      </c>
      <c r="R654" s="35" t="s">
        <v>103</v>
      </c>
      <c r="S654" s="32" t="s">
        <v>89</v>
      </c>
      <c r="T654" s="28"/>
      <c r="U654" s="35"/>
      <c r="V654" s="32"/>
      <c r="W654" s="28"/>
      <c r="X654" s="35"/>
      <c r="Y654" s="32"/>
      <c r="Z654" s="28"/>
      <c r="AA654" s="36"/>
    </row>
    <row r="655" spans="1:27" ht="56">
      <c r="A655" s="27" t="s">
        <v>1120</v>
      </c>
      <c r="B655" s="28"/>
      <c r="C655" s="29">
        <v>650</v>
      </c>
      <c r="D655" s="30">
        <f t="shared" si="11"/>
        <v>0</v>
      </c>
      <c r="E655" s="37" t="s">
        <v>1121</v>
      </c>
      <c r="F655" s="32"/>
      <c r="G655" s="28"/>
      <c r="H655" s="32" t="s">
        <v>24</v>
      </c>
      <c r="I655" s="33" t="s">
        <v>1099</v>
      </c>
      <c r="J655" s="32"/>
      <c r="K655" s="28">
        <f>IFERROR(VLOOKUP(L655,Ingredients!A:B,2,FALSE),"")</f>
        <v>150</v>
      </c>
      <c r="L655" s="34" t="s">
        <v>1108</v>
      </c>
      <c r="M655" s="32" t="s">
        <v>87</v>
      </c>
      <c r="N655" s="28">
        <f>IFERROR(VLOOKUP(O655,Ingredients!$A:$B,2,FALSE),"")</f>
        <v>500</v>
      </c>
      <c r="O655" s="38" t="s">
        <v>996</v>
      </c>
      <c r="P655" s="32" t="s">
        <v>89</v>
      </c>
      <c r="Q655" s="28"/>
      <c r="R655" s="35"/>
      <c r="S655" s="32"/>
      <c r="T655" s="28"/>
      <c r="U655" s="35"/>
      <c r="V655" s="32"/>
      <c r="W655" s="28"/>
      <c r="X655" s="35"/>
      <c r="Y655" s="32"/>
      <c r="Z655" s="28"/>
      <c r="AA655" s="36"/>
    </row>
    <row r="656" spans="1:27" ht="42">
      <c r="A656" s="27" t="s">
        <v>1122</v>
      </c>
      <c r="B656" s="28"/>
      <c r="C656" s="29">
        <v>1150</v>
      </c>
      <c r="D656" s="30">
        <f t="shared" si="11"/>
        <v>-1290</v>
      </c>
      <c r="E656" s="37" t="s">
        <v>1123</v>
      </c>
      <c r="F656" s="32"/>
      <c r="G656" s="28"/>
      <c r="H656" s="32" t="s">
        <v>24</v>
      </c>
      <c r="I656" s="33" t="s">
        <v>1124</v>
      </c>
      <c r="J656" s="32"/>
      <c r="K656" s="28">
        <f>IFERROR(VLOOKUP(L656,Ingredients!A:B,2,FALSE),"")</f>
        <v>1200</v>
      </c>
      <c r="L656" s="34" t="s">
        <v>992</v>
      </c>
      <c r="M656" s="32" t="s">
        <v>87</v>
      </c>
      <c r="N656" s="28">
        <f>IFERROR(VLOOKUP(O656,Ingredients!$A:$B,2,FALSE),"")</f>
        <v>620</v>
      </c>
      <c r="O656" s="34" t="s">
        <v>1125</v>
      </c>
      <c r="P656" s="32" t="s">
        <v>87</v>
      </c>
      <c r="Q656" s="28">
        <f>IFERROR(VLOOKUP(R656,Ingredients!$A:$B,2,FALSE),"")</f>
        <v>620</v>
      </c>
      <c r="R656" s="27" t="s">
        <v>1125</v>
      </c>
      <c r="S656" s="32" t="s">
        <v>89</v>
      </c>
      <c r="T656" s="28"/>
      <c r="U656" s="35"/>
      <c r="V656" s="32"/>
      <c r="W656" s="28"/>
      <c r="X656" s="35"/>
      <c r="Y656" s="32"/>
      <c r="Z656" s="28"/>
      <c r="AA656" s="36"/>
    </row>
    <row r="657" spans="1:27" ht="56">
      <c r="A657" s="27" t="s">
        <v>1126</v>
      </c>
      <c r="B657" s="28"/>
      <c r="C657" s="29">
        <v>1650</v>
      </c>
      <c r="D657" s="30">
        <f t="shared" si="11"/>
        <v>0</v>
      </c>
      <c r="E657" s="37" t="s">
        <v>1127</v>
      </c>
      <c r="F657" s="32"/>
      <c r="G657" s="28"/>
      <c r="H657" s="32" t="s">
        <v>24</v>
      </c>
      <c r="I657" s="33" t="s">
        <v>1124</v>
      </c>
      <c r="J657" s="32"/>
      <c r="K657" s="28">
        <f>IFERROR(VLOOKUP(L657,Ingredients!A:B,2,FALSE),"")</f>
        <v>1150</v>
      </c>
      <c r="L657" s="34" t="s">
        <v>1122</v>
      </c>
      <c r="M657" s="32" t="s">
        <v>87</v>
      </c>
      <c r="N657" s="28">
        <f>IFERROR(VLOOKUP(O657,Ingredients!$A:$B,2,FALSE),"")</f>
        <v>500</v>
      </c>
      <c r="O657" s="38" t="s">
        <v>996</v>
      </c>
      <c r="P657" s="32" t="s">
        <v>89</v>
      </c>
      <c r="Q657" s="28"/>
      <c r="R657" s="35"/>
      <c r="S657" s="32"/>
      <c r="T657" s="28"/>
      <c r="U657" s="35"/>
      <c r="V657" s="32"/>
      <c r="W657" s="28"/>
      <c r="X657" s="35"/>
      <c r="Y657" s="32"/>
      <c r="Z657" s="28"/>
      <c r="AA657" s="36"/>
    </row>
    <row r="658" spans="1:27" ht="42">
      <c r="A658" s="27" t="s">
        <v>1125</v>
      </c>
      <c r="B658" s="28"/>
      <c r="C658" s="29">
        <v>620</v>
      </c>
      <c r="D658" s="30">
        <f t="shared" si="11"/>
        <v>-590</v>
      </c>
      <c r="E658" s="37" t="s">
        <v>1128</v>
      </c>
      <c r="F658" s="32"/>
      <c r="G658" s="28"/>
      <c r="H658" s="32" t="s">
        <v>24</v>
      </c>
      <c r="I658" s="33" t="s">
        <v>1124</v>
      </c>
      <c r="J658" s="32"/>
      <c r="K658" s="28">
        <f>IFERROR(VLOOKUP(L658,Ingredients!A:B,2,FALSE),"")</f>
        <v>450</v>
      </c>
      <c r="L658" s="38" t="s">
        <v>103</v>
      </c>
      <c r="M658" s="32" t="s">
        <v>87</v>
      </c>
      <c r="N658" s="28">
        <f>IFERROR(VLOOKUP(O658,Ingredients!$A:$B,2,FALSE),"")</f>
        <v>380</v>
      </c>
      <c r="O658" s="34" t="s">
        <v>1129</v>
      </c>
      <c r="P658" s="32" t="s">
        <v>87</v>
      </c>
      <c r="Q658" s="28">
        <f>IFERROR(VLOOKUP(R658,Ingredients!$A:$B,2,FALSE),"")</f>
        <v>380</v>
      </c>
      <c r="R658" s="27" t="s">
        <v>1129</v>
      </c>
      <c r="S658" s="32" t="s">
        <v>89</v>
      </c>
      <c r="T658" s="28"/>
      <c r="U658" s="35"/>
      <c r="V658" s="32"/>
      <c r="W658" s="28"/>
      <c r="X658" s="35"/>
      <c r="Y658" s="32"/>
      <c r="Z658" s="28"/>
      <c r="AA658" s="36"/>
    </row>
    <row r="659" spans="1:27" ht="56">
      <c r="A659" s="27" t="s">
        <v>1130</v>
      </c>
      <c r="B659" s="28"/>
      <c r="C659" s="29">
        <v>1120</v>
      </c>
      <c r="D659" s="30">
        <f t="shared" si="11"/>
        <v>0</v>
      </c>
      <c r="E659" s="37" t="s">
        <v>1131</v>
      </c>
      <c r="F659" s="32"/>
      <c r="G659" s="28"/>
      <c r="H659" s="32" t="s">
        <v>24</v>
      </c>
      <c r="I659" s="33" t="s">
        <v>1124</v>
      </c>
      <c r="J659" s="32"/>
      <c r="K659" s="28">
        <f>IFERROR(VLOOKUP(L659,Ingredients!A:B,2,FALSE),"")</f>
        <v>620</v>
      </c>
      <c r="L659" s="34" t="s">
        <v>1125</v>
      </c>
      <c r="M659" s="32" t="s">
        <v>87</v>
      </c>
      <c r="N659" s="28">
        <f>IFERROR(VLOOKUP(O659,Ingredients!$A:$B,2,FALSE),"")</f>
        <v>500</v>
      </c>
      <c r="O659" s="38" t="s">
        <v>996</v>
      </c>
      <c r="P659" s="32" t="s">
        <v>89</v>
      </c>
      <c r="Q659" s="28"/>
      <c r="R659" s="35"/>
      <c r="S659" s="32"/>
      <c r="T659" s="28"/>
      <c r="U659" s="35"/>
      <c r="V659" s="32"/>
      <c r="W659" s="28"/>
      <c r="X659" s="35"/>
      <c r="Y659" s="32"/>
      <c r="Z659" s="28"/>
      <c r="AA659" s="36"/>
    </row>
    <row r="660" spans="1:27" ht="42">
      <c r="A660" s="27" t="s">
        <v>1129</v>
      </c>
      <c r="B660" s="28"/>
      <c r="C660" s="29">
        <v>380</v>
      </c>
      <c r="D660" s="30">
        <f t="shared" si="11"/>
        <v>-370</v>
      </c>
      <c r="E660" s="37" t="s">
        <v>1132</v>
      </c>
      <c r="F660" s="32"/>
      <c r="G660" s="28"/>
      <c r="H660" s="32" t="s">
        <v>24</v>
      </c>
      <c r="I660" s="33" t="s">
        <v>1124</v>
      </c>
      <c r="J660" s="32"/>
      <c r="K660" s="28">
        <f>IFERROR(VLOOKUP(L660,Ingredients!A:B,2,FALSE),"")</f>
        <v>450</v>
      </c>
      <c r="L660" s="38" t="s">
        <v>103</v>
      </c>
      <c r="M660" s="32" t="s">
        <v>87</v>
      </c>
      <c r="N660" s="28">
        <f>IFERROR(VLOOKUP(O660,Ingredients!$A:$B,2,FALSE),"")</f>
        <v>150</v>
      </c>
      <c r="O660" s="34" t="s">
        <v>1133</v>
      </c>
      <c r="P660" s="32" t="s">
        <v>87</v>
      </c>
      <c r="Q660" s="28">
        <f>IFERROR(VLOOKUP(R660,Ingredients!$A:$B,2,FALSE),"")</f>
        <v>150</v>
      </c>
      <c r="R660" s="27" t="s">
        <v>1133</v>
      </c>
      <c r="S660" s="32" t="s">
        <v>89</v>
      </c>
      <c r="T660" s="28"/>
      <c r="U660" s="35"/>
      <c r="V660" s="32"/>
      <c r="W660" s="28"/>
      <c r="X660" s="35"/>
      <c r="Y660" s="32"/>
      <c r="Z660" s="28"/>
      <c r="AA660" s="36"/>
    </row>
    <row r="661" spans="1:27" ht="56">
      <c r="A661" s="27" t="s">
        <v>1134</v>
      </c>
      <c r="B661" s="28"/>
      <c r="C661" s="29">
        <v>880</v>
      </c>
      <c r="D661" s="30">
        <f t="shared" si="11"/>
        <v>0</v>
      </c>
      <c r="E661" s="37" t="s">
        <v>1135</v>
      </c>
      <c r="F661" s="32"/>
      <c r="G661" s="28"/>
      <c r="H661" s="32" t="s">
        <v>24</v>
      </c>
      <c r="I661" s="33" t="s">
        <v>1124</v>
      </c>
      <c r="J661" s="32"/>
      <c r="K661" s="28">
        <f>IFERROR(VLOOKUP(L661,Ingredients!A:B,2,FALSE),"")</f>
        <v>380</v>
      </c>
      <c r="L661" s="34" t="s">
        <v>1129</v>
      </c>
      <c r="M661" s="32" t="s">
        <v>87</v>
      </c>
      <c r="N661" s="28">
        <f>IFERROR(VLOOKUP(O661,Ingredients!$A:$B,2,FALSE),"")</f>
        <v>500</v>
      </c>
      <c r="O661" s="38" t="s">
        <v>996</v>
      </c>
      <c r="P661" s="32" t="s">
        <v>89</v>
      </c>
      <c r="Q661" s="28"/>
      <c r="R661" s="35"/>
      <c r="S661" s="32"/>
      <c r="T661" s="28"/>
      <c r="U661" s="35"/>
      <c r="V661" s="32"/>
      <c r="W661" s="28"/>
      <c r="X661" s="35"/>
      <c r="Y661" s="32"/>
      <c r="Z661" s="28"/>
      <c r="AA661" s="36"/>
    </row>
    <row r="662" spans="1:27" ht="42">
      <c r="A662" s="27" t="s">
        <v>1136</v>
      </c>
      <c r="B662" s="28"/>
      <c r="C662" s="29">
        <v>1650</v>
      </c>
      <c r="D662" s="30">
        <f t="shared" si="11"/>
        <v>0</v>
      </c>
      <c r="E662" s="37" t="s">
        <v>1137</v>
      </c>
      <c r="F662" s="32"/>
      <c r="G662" s="28"/>
      <c r="H662" s="32" t="s">
        <v>24</v>
      </c>
      <c r="I662" s="33" t="s">
        <v>1124</v>
      </c>
      <c r="J662" s="32"/>
      <c r="K662" s="28">
        <f>IFERROR(VLOOKUP(L662,Ingredients!A:B,2,FALSE),"")</f>
        <v>1150</v>
      </c>
      <c r="L662" s="34" t="s">
        <v>1122</v>
      </c>
      <c r="M662" s="32" t="s">
        <v>87</v>
      </c>
      <c r="N662" s="28">
        <f>IFERROR(VLOOKUP(O662,Ingredients!$A:$B,2,FALSE),"")</f>
        <v>500</v>
      </c>
      <c r="O662" s="34" t="s">
        <v>1007</v>
      </c>
      <c r="P662" s="32" t="s">
        <v>89</v>
      </c>
      <c r="Q662" s="28"/>
      <c r="R662" s="35"/>
      <c r="S662" s="32"/>
      <c r="T662" s="28"/>
      <c r="U662" s="35"/>
      <c r="V662" s="32"/>
      <c r="W662" s="28"/>
      <c r="X662" s="35"/>
      <c r="Y662" s="32"/>
      <c r="Z662" s="28"/>
      <c r="AA662" s="36"/>
    </row>
    <row r="663" spans="1:27" ht="42">
      <c r="A663" s="27" t="s">
        <v>1138</v>
      </c>
      <c r="B663" s="28"/>
      <c r="C663" s="29">
        <v>1120</v>
      </c>
      <c r="D663" s="30">
        <f t="shared" si="11"/>
        <v>0</v>
      </c>
      <c r="E663" s="37" t="s">
        <v>1139</v>
      </c>
      <c r="F663" s="32"/>
      <c r="G663" s="28"/>
      <c r="H663" s="32" t="s">
        <v>24</v>
      </c>
      <c r="I663" s="33" t="s">
        <v>1124</v>
      </c>
      <c r="J663" s="32"/>
      <c r="K663" s="28">
        <f>IFERROR(VLOOKUP(L663,Ingredients!A:B,2,FALSE),"")</f>
        <v>620</v>
      </c>
      <c r="L663" s="34" t="s">
        <v>1125</v>
      </c>
      <c r="M663" s="32" t="s">
        <v>87</v>
      </c>
      <c r="N663" s="28">
        <f>IFERROR(VLOOKUP(O663,Ingredients!$A:$B,2,FALSE),"")</f>
        <v>500</v>
      </c>
      <c r="O663" s="34" t="s">
        <v>1007</v>
      </c>
      <c r="P663" s="32" t="s">
        <v>89</v>
      </c>
      <c r="Q663" s="28"/>
      <c r="R663" s="35"/>
      <c r="S663" s="32"/>
      <c r="T663" s="28"/>
      <c r="U663" s="35"/>
      <c r="V663" s="32"/>
      <c r="W663" s="28"/>
      <c r="X663" s="35"/>
      <c r="Y663" s="32"/>
      <c r="Z663" s="28"/>
      <c r="AA663" s="36"/>
    </row>
    <row r="664" spans="1:27" ht="42">
      <c r="A664" s="27" t="s">
        <v>1140</v>
      </c>
      <c r="B664" s="28"/>
      <c r="C664" s="29">
        <v>880</v>
      </c>
      <c r="D664" s="30">
        <f t="shared" si="11"/>
        <v>0</v>
      </c>
      <c r="E664" s="37" t="s">
        <v>1141</v>
      </c>
      <c r="F664" s="32"/>
      <c r="G664" s="28"/>
      <c r="H664" s="32" t="s">
        <v>24</v>
      </c>
      <c r="I664" s="33" t="s">
        <v>1124</v>
      </c>
      <c r="J664" s="32"/>
      <c r="K664" s="28">
        <f>IFERROR(VLOOKUP(L664,Ingredients!A:B,2,FALSE),"")</f>
        <v>380</v>
      </c>
      <c r="L664" s="34" t="s">
        <v>1129</v>
      </c>
      <c r="M664" s="32" t="s">
        <v>87</v>
      </c>
      <c r="N664" s="28">
        <f>IFERROR(VLOOKUP(O664,Ingredients!$A:$B,2,FALSE),"")</f>
        <v>500</v>
      </c>
      <c r="O664" s="34" t="s">
        <v>1007</v>
      </c>
      <c r="P664" s="32" t="s">
        <v>89</v>
      </c>
      <c r="Q664" s="28"/>
      <c r="R664" s="35"/>
      <c r="S664" s="32"/>
      <c r="T664" s="28"/>
      <c r="U664" s="35"/>
      <c r="V664" s="32"/>
      <c r="W664" s="28"/>
      <c r="X664" s="35"/>
      <c r="Y664" s="32"/>
      <c r="Z664" s="28"/>
      <c r="AA664" s="36"/>
    </row>
    <row r="665" spans="1:27" ht="42">
      <c r="A665" s="27" t="s">
        <v>1142</v>
      </c>
      <c r="B665" s="28"/>
      <c r="C665" s="29">
        <v>650</v>
      </c>
      <c r="D665" s="30">
        <f t="shared" si="11"/>
        <v>0</v>
      </c>
      <c r="E665" s="37" t="s">
        <v>1143</v>
      </c>
      <c r="F665" s="32"/>
      <c r="G665" s="28"/>
      <c r="H665" s="32" t="s">
        <v>24</v>
      </c>
      <c r="I665" s="33" t="s">
        <v>1124</v>
      </c>
      <c r="J665" s="32"/>
      <c r="K665" s="28">
        <f>IFERROR(VLOOKUP(L665,Ingredients!A:B,2,FALSE),"")</f>
        <v>150</v>
      </c>
      <c r="L665" s="34" t="s">
        <v>1133</v>
      </c>
      <c r="M665" s="32" t="s">
        <v>87</v>
      </c>
      <c r="N665" s="28">
        <f>IFERROR(VLOOKUP(O665,Ingredients!$A:$B,2,FALSE),"")</f>
        <v>500</v>
      </c>
      <c r="O665" s="34" t="s">
        <v>1007</v>
      </c>
      <c r="P665" s="32" t="s">
        <v>89</v>
      </c>
      <c r="Q665" s="28"/>
      <c r="R665" s="35"/>
      <c r="S665" s="32"/>
      <c r="T665" s="28"/>
      <c r="U665" s="35"/>
      <c r="V665" s="32"/>
      <c r="W665" s="28"/>
      <c r="X665" s="35"/>
      <c r="Y665" s="32"/>
      <c r="Z665" s="28"/>
      <c r="AA665" s="36"/>
    </row>
    <row r="666" spans="1:27" ht="42">
      <c r="A666" s="27" t="s">
        <v>1133</v>
      </c>
      <c r="B666" s="28"/>
      <c r="C666" s="29">
        <v>150</v>
      </c>
      <c r="D666" s="30">
        <f t="shared" si="11"/>
        <v>-350</v>
      </c>
      <c r="E666" s="37" t="s">
        <v>1144</v>
      </c>
      <c r="F666" s="32"/>
      <c r="G666" s="28"/>
      <c r="H666" s="32" t="s">
        <v>24</v>
      </c>
      <c r="I666" s="33" t="s">
        <v>1124</v>
      </c>
      <c r="J666" s="32"/>
      <c r="K666" s="28">
        <f>IFERROR(VLOOKUP(L666,Ingredients!A:B,2,FALSE),"")</f>
        <v>50</v>
      </c>
      <c r="L666" s="38" t="s">
        <v>192</v>
      </c>
      <c r="M666" s="32" t="s">
        <v>87</v>
      </c>
      <c r="N666" s="28"/>
      <c r="O666" s="38" t="s">
        <v>169</v>
      </c>
      <c r="P666" s="32" t="s">
        <v>129</v>
      </c>
      <c r="Q666" s="28">
        <f>IFERROR(VLOOKUP(R666,Ingredients!$A:$B,2,FALSE),"")</f>
        <v>450</v>
      </c>
      <c r="R666" s="35" t="s">
        <v>103</v>
      </c>
      <c r="S666" s="32" t="s">
        <v>89</v>
      </c>
      <c r="T666" s="28"/>
      <c r="U666" s="35"/>
      <c r="V666" s="32"/>
      <c r="W666" s="28"/>
      <c r="X666" s="35"/>
      <c r="Y666" s="32"/>
      <c r="Z666" s="28"/>
      <c r="AA666" s="36"/>
    </row>
    <row r="667" spans="1:27" ht="56">
      <c r="A667" s="27" t="s">
        <v>1145</v>
      </c>
      <c r="B667" s="28"/>
      <c r="C667" s="29">
        <v>650</v>
      </c>
      <c r="D667" s="30">
        <f t="shared" si="11"/>
        <v>0</v>
      </c>
      <c r="E667" s="37" t="s">
        <v>1146</v>
      </c>
      <c r="F667" s="32"/>
      <c r="G667" s="28"/>
      <c r="H667" s="32" t="s">
        <v>24</v>
      </c>
      <c r="I667" s="33" t="s">
        <v>1124</v>
      </c>
      <c r="J667" s="32"/>
      <c r="K667" s="28">
        <f>IFERROR(VLOOKUP(L667,Ingredients!A:B,2,FALSE),"")</f>
        <v>150</v>
      </c>
      <c r="L667" s="34" t="s">
        <v>1133</v>
      </c>
      <c r="M667" s="32" t="s">
        <v>87</v>
      </c>
      <c r="N667" s="28">
        <f>IFERROR(VLOOKUP(O667,Ingredients!$A:$B,2,FALSE),"")</f>
        <v>500</v>
      </c>
      <c r="O667" s="38" t="s">
        <v>996</v>
      </c>
      <c r="P667" s="32" t="s">
        <v>89</v>
      </c>
      <c r="Q667" s="28"/>
      <c r="R667" s="35"/>
      <c r="S667" s="32"/>
      <c r="T667" s="28"/>
      <c r="U667" s="35"/>
      <c r="V667" s="32"/>
      <c r="W667" s="28"/>
      <c r="X667" s="35"/>
      <c r="Y667" s="32"/>
      <c r="Z667" s="28"/>
      <c r="AA667" s="36"/>
    </row>
    <row r="668" spans="1:27" ht="14">
      <c r="A668" s="35" t="s">
        <v>1147</v>
      </c>
      <c r="B668" s="28"/>
      <c r="C668" s="29">
        <v>10</v>
      </c>
      <c r="D668" s="30">
        <f t="shared" si="11"/>
        <v>-120</v>
      </c>
      <c r="E668" s="37" t="s">
        <v>126</v>
      </c>
      <c r="F668" s="32"/>
      <c r="G668" s="28"/>
      <c r="H668" s="32" t="s">
        <v>42</v>
      </c>
      <c r="I668" s="33" t="s">
        <v>127</v>
      </c>
      <c r="J668" s="32"/>
      <c r="K668" s="28">
        <f>IFERROR(VLOOKUP(L668,Ingredients!A:B,2,FALSE),"")</f>
        <v>65</v>
      </c>
      <c r="L668" s="38" t="s">
        <v>771</v>
      </c>
      <c r="M668" s="32" t="s">
        <v>89</v>
      </c>
      <c r="N668" s="28">
        <f>IFERROR(VLOOKUP(O668,Ingredients!$A:$B,2,FALSE),"")</f>
        <v>65</v>
      </c>
      <c r="O668" s="38" t="s">
        <v>771</v>
      </c>
      <c r="P668" s="32" t="s">
        <v>87</v>
      </c>
      <c r="Q668" s="28"/>
      <c r="R668" s="35"/>
      <c r="S668" s="32"/>
      <c r="T668" s="28"/>
      <c r="U668" s="35"/>
      <c r="V668" s="32"/>
      <c r="W668" s="28"/>
      <c r="X668" s="35"/>
      <c r="Y668" s="32"/>
      <c r="Z668" s="28"/>
      <c r="AA668" s="36"/>
    </row>
    <row r="669" spans="1:27" ht="14">
      <c r="A669" s="27" t="s">
        <v>1148</v>
      </c>
      <c r="B669" s="28"/>
      <c r="C669" s="29" t="s">
        <v>30</v>
      </c>
      <c r="D669" s="30" t="s">
        <v>30</v>
      </c>
      <c r="E669" s="37" t="s">
        <v>1149</v>
      </c>
      <c r="F669" s="32"/>
      <c r="G669" s="28"/>
      <c r="H669" s="32" t="s">
        <v>42</v>
      </c>
      <c r="I669" s="33" t="s">
        <v>232</v>
      </c>
      <c r="J669" s="32"/>
      <c r="K669" s="28">
        <f>IFERROR(VLOOKUP(L669,Ingredients!A:B,2,FALSE),"")</f>
        <v>31</v>
      </c>
      <c r="L669" s="38" t="s">
        <v>822</v>
      </c>
      <c r="M669" s="32" t="s">
        <v>87</v>
      </c>
      <c r="N669" s="28">
        <f>IFERROR(VLOOKUP(O669,Ingredients!$A:$B,2,FALSE),"")</f>
        <v>4</v>
      </c>
      <c r="O669" s="38" t="s">
        <v>97</v>
      </c>
      <c r="P669" s="32" t="s">
        <v>89</v>
      </c>
      <c r="Q669" s="28"/>
      <c r="R669" s="35"/>
      <c r="S669" s="32"/>
      <c r="T669" s="28"/>
      <c r="U669" s="35"/>
      <c r="V669" s="32"/>
      <c r="W669" s="28"/>
      <c r="X669" s="35"/>
      <c r="Y669" s="32"/>
      <c r="Z669" s="28">
        <v>1</v>
      </c>
      <c r="AA669" s="36"/>
    </row>
    <row r="670" spans="1:27" ht="14">
      <c r="A670" s="27" t="s">
        <v>1148</v>
      </c>
      <c r="B670" s="28"/>
      <c r="C670" s="29" t="s">
        <v>30</v>
      </c>
      <c r="D670" s="30" t="s">
        <v>30</v>
      </c>
      <c r="E670" s="37" t="s">
        <v>1149</v>
      </c>
      <c r="F670" s="32"/>
      <c r="G670" s="28"/>
      <c r="H670" s="32" t="s">
        <v>42</v>
      </c>
      <c r="I670" s="33" t="s">
        <v>232</v>
      </c>
      <c r="J670" s="32"/>
      <c r="K670" s="28">
        <f>IFERROR(VLOOKUP(L670,Ingredients!A:B,2,FALSE),"")</f>
        <v>31</v>
      </c>
      <c r="L670" s="38" t="s">
        <v>822</v>
      </c>
      <c r="M670" s="32" t="s">
        <v>87</v>
      </c>
      <c r="N670" s="28">
        <f>IFERROR(VLOOKUP(O670,Ingredients!$A:$B,2,FALSE),"")</f>
        <v>6</v>
      </c>
      <c r="O670" s="38" t="s">
        <v>100</v>
      </c>
      <c r="P670" s="32" t="s">
        <v>89</v>
      </c>
      <c r="Q670" s="28"/>
      <c r="R670" s="35"/>
      <c r="S670" s="32"/>
      <c r="T670" s="28"/>
      <c r="U670" s="35"/>
      <c r="V670" s="32"/>
      <c r="W670" s="28"/>
      <c r="X670" s="35"/>
      <c r="Y670" s="32"/>
      <c r="Z670" s="28">
        <v>1</v>
      </c>
      <c r="AA670" s="36"/>
    </row>
    <row r="671" spans="1:27" ht="14">
      <c r="A671" s="35" t="s">
        <v>1150</v>
      </c>
      <c r="B671" s="28"/>
      <c r="C671" s="29" t="s">
        <v>30</v>
      </c>
      <c r="D671" s="30" t="s">
        <v>30</v>
      </c>
      <c r="E671" s="37" t="s">
        <v>1151</v>
      </c>
      <c r="F671" s="32"/>
      <c r="G671" s="28"/>
      <c r="H671" s="32" t="s">
        <v>42</v>
      </c>
      <c r="I671" s="33" t="s">
        <v>232</v>
      </c>
      <c r="J671" s="32"/>
      <c r="K671" s="28">
        <f>IFERROR(VLOOKUP(L671,Ingredients!A:B,2,FALSE),"")</f>
        <v>20</v>
      </c>
      <c r="L671" s="34" t="s">
        <v>1152</v>
      </c>
      <c r="M671" s="32" t="s">
        <v>89</v>
      </c>
      <c r="N671" s="28">
        <f>IFERROR(VLOOKUP(O671,Ingredients!$A:$B,2,FALSE),"")</f>
        <v>10</v>
      </c>
      <c r="O671" s="38" t="s">
        <v>1147</v>
      </c>
      <c r="P671" s="32" t="s">
        <v>87</v>
      </c>
      <c r="Q671" s="28"/>
      <c r="R671" s="35"/>
      <c r="S671" s="32"/>
      <c r="T671" s="28"/>
      <c r="U671" s="35"/>
      <c r="V671" s="32"/>
      <c r="W671" s="28"/>
      <c r="X671" s="35"/>
      <c r="Y671" s="32"/>
      <c r="Z671" s="28">
        <v>1</v>
      </c>
      <c r="AA671" s="36"/>
    </row>
    <row r="672" spans="1:27" ht="14">
      <c r="A672" s="27" t="s">
        <v>1153</v>
      </c>
      <c r="B672" s="28"/>
      <c r="C672" s="29" t="s">
        <v>30</v>
      </c>
      <c r="D672" s="30" t="s">
        <v>30</v>
      </c>
      <c r="E672" s="37" t="s">
        <v>1154</v>
      </c>
      <c r="F672" s="32"/>
      <c r="G672" s="28"/>
      <c r="H672" s="33" t="s">
        <v>42</v>
      </c>
      <c r="I672" s="33" t="s">
        <v>232</v>
      </c>
      <c r="J672" s="32" t="s">
        <v>107</v>
      </c>
      <c r="K672" s="28">
        <f>IFERROR(VLOOKUP(L672,Ingredients!A:B,2,FALSE),"")</f>
        <v>30</v>
      </c>
      <c r="L672" s="38" t="s">
        <v>90</v>
      </c>
      <c r="M672" s="32" t="s">
        <v>89</v>
      </c>
      <c r="N672" s="28"/>
      <c r="O672" s="38" t="s">
        <v>322</v>
      </c>
      <c r="P672" s="32" t="s">
        <v>129</v>
      </c>
      <c r="Q672" s="28"/>
      <c r="R672" s="35"/>
      <c r="S672" s="32"/>
      <c r="T672" s="28"/>
      <c r="U672" s="35"/>
      <c r="V672" s="32"/>
      <c r="W672" s="28"/>
      <c r="X672" s="35"/>
      <c r="Y672" s="32"/>
      <c r="Z672" s="28">
        <v>1</v>
      </c>
      <c r="AA672" s="36"/>
    </row>
    <row r="673" spans="1:27" ht="14">
      <c r="A673" s="27" t="s">
        <v>1155</v>
      </c>
      <c r="B673" s="28"/>
      <c r="C673" s="29" t="s">
        <v>30</v>
      </c>
      <c r="D673" s="30" t="s">
        <v>30</v>
      </c>
      <c r="E673" s="37" t="s">
        <v>1156</v>
      </c>
      <c r="F673" s="32"/>
      <c r="G673" s="28"/>
      <c r="H673" s="32" t="s">
        <v>42</v>
      </c>
      <c r="I673" s="33" t="s">
        <v>232</v>
      </c>
      <c r="J673" s="32"/>
      <c r="K673" s="28">
        <f>IFERROR(VLOOKUP(L673,Ingredients!A:B,2,FALSE),"")</f>
        <v>1</v>
      </c>
      <c r="L673" s="38" t="s">
        <v>790</v>
      </c>
      <c r="M673" s="32" t="s">
        <v>87</v>
      </c>
      <c r="N673" s="28">
        <f>IFERROR(VLOOKUP(O673,Ingredients!$A:$B,2,FALSE),"")</f>
        <v>1</v>
      </c>
      <c r="O673" s="38" t="s">
        <v>1157</v>
      </c>
      <c r="P673" s="32" t="s">
        <v>89</v>
      </c>
      <c r="Q673" s="28"/>
      <c r="R673" s="35"/>
      <c r="S673" s="32"/>
      <c r="T673" s="28"/>
      <c r="U673" s="35"/>
      <c r="V673" s="32"/>
      <c r="W673" s="28"/>
      <c r="X673" s="35"/>
      <c r="Y673" s="32"/>
      <c r="Z673" s="28">
        <v>1</v>
      </c>
      <c r="AA673" s="36"/>
    </row>
    <row r="674" spans="1:27" ht="14">
      <c r="A674" s="27" t="s">
        <v>1158</v>
      </c>
      <c r="B674" s="28"/>
      <c r="C674" s="29" t="s">
        <v>30</v>
      </c>
      <c r="D674" s="30" t="s">
        <v>30</v>
      </c>
      <c r="E674" s="37" t="s">
        <v>1154</v>
      </c>
      <c r="F674" s="32"/>
      <c r="G674" s="28"/>
      <c r="H674" s="32" t="s">
        <v>42</v>
      </c>
      <c r="I674" s="33" t="s">
        <v>232</v>
      </c>
      <c r="J674" s="32"/>
      <c r="K674" s="28">
        <f>IFERROR(VLOOKUP(L674,Ingredients!A:B,2,FALSE),"")</f>
        <v>1</v>
      </c>
      <c r="L674" s="38" t="s">
        <v>191</v>
      </c>
      <c r="M674" s="32" t="s">
        <v>87</v>
      </c>
      <c r="N674" s="28" t="str">
        <f>IFERROR(VLOOKUP(O674,Ingredients!$A:$B,2,FALSE),"")</f>
        <v/>
      </c>
      <c r="O674" s="38" t="s">
        <v>320</v>
      </c>
      <c r="P674" s="32" t="s">
        <v>89</v>
      </c>
      <c r="Q674" s="28">
        <f>IFERROR(VLOOKUP(R674,Ingredients!$A:$B,2,FALSE),"")</f>
        <v>1</v>
      </c>
      <c r="R674" s="35" t="s">
        <v>408</v>
      </c>
      <c r="S674" s="32" t="s">
        <v>87</v>
      </c>
      <c r="T674" s="28"/>
      <c r="U674" s="35"/>
      <c r="V674" s="32"/>
      <c r="W674" s="28"/>
      <c r="X674" s="35"/>
      <c r="Y674" s="32"/>
      <c r="Z674" s="28">
        <v>1</v>
      </c>
      <c r="AA674" s="36"/>
    </row>
    <row r="675" spans="1:27" ht="14">
      <c r="A675" s="27" t="s">
        <v>1158</v>
      </c>
      <c r="B675" s="28"/>
      <c r="C675" s="29" t="s">
        <v>30</v>
      </c>
      <c r="D675" s="30" t="s">
        <v>30</v>
      </c>
      <c r="E675" s="37" t="s">
        <v>1154</v>
      </c>
      <c r="F675" s="32"/>
      <c r="G675" s="28"/>
      <c r="H675" s="32" t="s">
        <v>42</v>
      </c>
      <c r="I675" s="33" t="s">
        <v>232</v>
      </c>
      <c r="J675" s="32"/>
      <c r="K675" s="28">
        <f>IFERROR(VLOOKUP(L675,Ingredients!A:B,2,FALSE),"")</f>
        <v>1</v>
      </c>
      <c r="L675" s="38" t="s">
        <v>191</v>
      </c>
      <c r="M675" s="32" t="s">
        <v>87</v>
      </c>
      <c r="N675" s="28" t="str">
        <f>IFERROR(VLOOKUP(O675,Ingredients!$A:$B,2,FALSE),"")</f>
        <v/>
      </c>
      <c r="O675" s="38" t="s">
        <v>321</v>
      </c>
      <c r="P675" s="32" t="s">
        <v>89</v>
      </c>
      <c r="Q675" s="28">
        <f>IFERROR(VLOOKUP(R675,Ingredients!$A:$B,2,FALSE),"")</f>
        <v>1</v>
      </c>
      <c r="R675" s="35" t="s">
        <v>408</v>
      </c>
      <c r="S675" s="32" t="s">
        <v>87</v>
      </c>
      <c r="T675" s="28"/>
      <c r="U675" s="35"/>
      <c r="V675" s="32"/>
      <c r="W675" s="28"/>
      <c r="X675" s="35"/>
      <c r="Y675" s="32"/>
      <c r="Z675" s="28">
        <v>1</v>
      </c>
      <c r="AA675" s="36"/>
    </row>
    <row r="676" spans="1:27" ht="14">
      <c r="A676" s="27" t="s">
        <v>1159</v>
      </c>
      <c r="B676" s="28"/>
      <c r="C676" s="29" t="s">
        <v>30</v>
      </c>
      <c r="D676" s="30" t="s">
        <v>30</v>
      </c>
      <c r="E676" s="37" t="s">
        <v>1160</v>
      </c>
      <c r="F676" s="32"/>
      <c r="G676" s="28"/>
      <c r="H676" s="32" t="s">
        <v>42</v>
      </c>
      <c r="I676" s="33" t="s">
        <v>232</v>
      </c>
      <c r="J676" s="32"/>
      <c r="K676" s="28">
        <f>IFERROR(VLOOKUP(L676,Ingredients!A:B,2,FALSE),"")</f>
        <v>1</v>
      </c>
      <c r="L676" s="38" t="s">
        <v>790</v>
      </c>
      <c r="M676" s="32" t="s">
        <v>89</v>
      </c>
      <c r="N676" s="28">
        <f>IFERROR(VLOOKUP(O676,Ingredients!$A:$B,2,FALSE),"")</f>
        <v>1</v>
      </c>
      <c r="O676" s="34" t="s">
        <v>194</v>
      </c>
      <c r="P676" s="32" t="s">
        <v>87</v>
      </c>
      <c r="Q676" s="28">
        <f>IFERROR(VLOOKUP(R676,Ingredients!$A:$B,2,FALSE),"")</f>
        <v>1</v>
      </c>
      <c r="R676" s="27" t="s">
        <v>194</v>
      </c>
      <c r="S676" s="32" t="s">
        <v>87</v>
      </c>
      <c r="T676" s="28">
        <f>IFERROR(VLOOKUP(U676,Ingredients!$A:$B,2,FALSE),"")</f>
        <v>1</v>
      </c>
      <c r="U676" s="27" t="s">
        <v>194</v>
      </c>
      <c r="V676" s="32" t="s">
        <v>87</v>
      </c>
      <c r="W676" s="28"/>
      <c r="X676" s="35"/>
      <c r="Y676" s="32"/>
      <c r="Z676" s="28">
        <v>1</v>
      </c>
      <c r="AA676" s="36"/>
    </row>
    <row r="677" spans="1:27" ht="14">
      <c r="A677" s="27" t="s">
        <v>1161</v>
      </c>
      <c r="B677" s="28"/>
      <c r="C677" s="29" t="s">
        <v>30</v>
      </c>
      <c r="D677" s="30" t="s">
        <v>30</v>
      </c>
      <c r="E677" s="37" t="s">
        <v>1149</v>
      </c>
      <c r="F677" s="32"/>
      <c r="G677" s="28"/>
      <c r="H677" s="32" t="s">
        <v>42</v>
      </c>
      <c r="I677" s="33" t="s">
        <v>232</v>
      </c>
      <c r="J677" s="32"/>
      <c r="K677" s="28">
        <f>IFERROR(VLOOKUP(L677,Ingredients!A:B,2,FALSE),"")</f>
        <v>1</v>
      </c>
      <c r="L677" s="38" t="s">
        <v>790</v>
      </c>
      <c r="M677" s="32" t="s">
        <v>87</v>
      </c>
      <c r="N677" s="28">
        <f>IFERROR(VLOOKUP(O677,Ingredients!$A:$B,2,FALSE),"")</f>
        <v>4</v>
      </c>
      <c r="O677" s="38" t="s">
        <v>97</v>
      </c>
      <c r="P677" s="32" t="s">
        <v>89</v>
      </c>
      <c r="Q677" s="28"/>
      <c r="R677" s="35"/>
      <c r="S677" s="32"/>
      <c r="T677" s="28"/>
      <c r="U677" s="35"/>
      <c r="V677" s="32"/>
      <c r="W677" s="28"/>
      <c r="X677" s="35"/>
      <c r="Y677" s="32"/>
      <c r="Z677" s="28">
        <v>1</v>
      </c>
      <c r="AA677" s="36"/>
    </row>
    <row r="678" spans="1:27" ht="14">
      <c r="A678" s="27" t="s">
        <v>1161</v>
      </c>
      <c r="B678" s="28"/>
      <c r="C678" s="29" t="s">
        <v>30</v>
      </c>
      <c r="D678" s="30" t="s">
        <v>30</v>
      </c>
      <c r="E678" s="37" t="s">
        <v>1149</v>
      </c>
      <c r="F678" s="32"/>
      <c r="G678" s="28"/>
      <c r="H678" s="32" t="s">
        <v>42</v>
      </c>
      <c r="I678" s="33" t="s">
        <v>232</v>
      </c>
      <c r="J678" s="32"/>
      <c r="K678" s="28">
        <f>IFERROR(VLOOKUP(L678,Ingredients!A:B,2,FALSE),"")</f>
        <v>1</v>
      </c>
      <c r="L678" s="38" t="s">
        <v>790</v>
      </c>
      <c r="M678" s="32" t="s">
        <v>87</v>
      </c>
      <c r="N678" s="28">
        <f>IFERROR(VLOOKUP(O678,Ingredients!$A:$B,2,FALSE),"")</f>
        <v>6</v>
      </c>
      <c r="O678" s="38" t="s">
        <v>100</v>
      </c>
      <c r="P678" s="32" t="s">
        <v>89</v>
      </c>
      <c r="Q678" s="28"/>
      <c r="R678" s="35"/>
      <c r="S678" s="32"/>
      <c r="T678" s="28"/>
      <c r="U678" s="35"/>
      <c r="V678" s="32"/>
      <c r="W678" s="28"/>
      <c r="X678" s="35"/>
      <c r="Y678" s="32"/>
      <c r="Z678" s="28">
        <v>1</v>
      </c>
      <c r="AA678" s="36"/>
    </row>
    <row r="679" spans="1:27" ht="14">
      <c r="A679" s="27" t="s">
        <v>1162</v>
      </c>
      <c r="B679" s="28"/>
      <c r="C679" s="29" t="s">
        <v>30</v>
      </c>
      <c r="D679" s="30" t="s">
        <v>30</v>
      </c>
      <c r="E679" s="37" t="s">
        <v>1163</v>
      </c>
      <c r="F679" s="32"/>
      <c r="G679" s="28"/>
      <c r="H679" s="32" t="s">
        <v>42</v>
      </c>
      <c r="I679" s="33" t="s">
        <v>232</v>
      </c>
      <c r="J679" s="32"/>
      <c r="K679" s="28">
        <f>IFERROR(VLOOKUP(L679,Ingredients!A:B,2,FALSE),"")</f>
        <v>1</v>
      </c>
      <c r="L679" s="38" t="s">
        <v>191</v>
      </c>
      <c r="M679" s="32" t="s">
        <v>87</v>
      </c>
      <c r="N679" s="28">
        <f>IFERROR(VLOOKUP(O679,Ingredients!$A:$B,2,FALSE),"")</f>
        <v>10</v>
      </c>
      <c r="O679" s="38" t="s">
        <v>1164</v>
      </c>
      <c r="P679" s="32" t="s">
        <v>89</v>
      </c>
      <c r="Q679" s="28"/>
      <c r="R679" s="35"/>
      <c r="S679" s="32"/>
      <c r="T679" s="28"/>
      <c r="U679" s="35"/>
      <c r="V679" s="32"/>
      <c r="W679" s="28"/>
      <c r="X679" s="35"/>
      <c r="Y679" s="32"/>
      <c r="Z679" s="28">
        <v>1</v>
      </c>
      <c r="AA679" s="36"/>
    </row>
    <row r="680" spans="1:27" ht="14">
      <c r="A680" s="27" t="s">
        <v>1165</v>
      </c>
      <c r="B680" s="28"/>
      <c r="C680" s="29" t="s">
        <v>30</v>
      </c>
      <c r="D680" s="30" t="s">
        <v>30</v>
      </c>
      <c r="E680" s="37" t="s">
        <v>1166</v>
      </c>
      <c r="F680" s="32"/>
      <c r="G680" s="28"/>
      <c r="H680" s="32" t="s">
        <v>42</v>
      </c>
      <c r="I680" s="33" t="s">
        <v>232</v>
      </c>
      <c r="J680" s="32"/>
      <c r="K680" s="28">
        <f>IFERROR(VLOOKUP(L680,Ingredients!A:B,2,FALSE),"")</f>
        <v>1</v>
      </c>
      <c r="L680" s="38" t="s">
        <v>790</v>
      </c>
      <c r="M680" s="32" t="s">
        <v>87</v>
      </c>
      <c r="N680" s="28">
        <f>IFERROR(VLOOKUP(O680,Ingredients!$A:$B,2,FALSE),"")</f>
        <v>2</v>
      </c>
      <c r="O680" s="38" t="s">
        <v>190</v>
      </c>
      <c r="P680" s="32" t="s">
        <v>89</v>
      </c>
      <c r="Q680" s="28"/>
      <c r="R680" s="35"/>
      <c r="S680" s="32"/>
      <c r="T680" s="28"/>
      <c r="U680" s="35"/>
      <c r="V680" s="32"/>
      <c r="W680" s="28"/>
      <c r="X680" s="35"/>
      <c r="Y680" s="32"/>
      <c r="Z680" s="28">
        <v>1</v>
      </c>
      <c r="AA680" s="36"/>
    </row>
    <row r="681" spans="1:27" ht="14">
      <c r="A681" s="27" t="s">
        <v>1165</v>
      </c>
      <c r="B681" s="28"/>
      <c r="C681" s="29" t="s">
        <v>30</v>
      </c>
      <c r="D681" s="30" t="s">
        <v>30</v>
      </c>
      <c r="E681" s="37" t="s">
        <v>1166</v>
      </c>
      <c r="F681" s="32"/>
      <c r="G681" s="28"/>
      <c r="H681" s="32" t="s">
        <v>42</v>
      </c>
      <c r="I681" s="33" t="s">
        <v>232</v>
      </c>
      <c r="J681" s="32"/>
      <c r="K681" s="28">
        <f>IFERROR(VLOOKUP(L681,Ingredients!A:B,2,FALSE),"")</f>
        <v>1</v>
      </c>
      <c r="L681" s="38" t="s">
        <v>790</v>
      </c>
      <c r="M681" s="32" t="s">
        <v>87</v>
      </c>
      <c r="N681" s="28" t="str">
        <f>IFERROR(VLOOKUP(O681,Ingredients!$A:$B,2,FALSE),"")</f>
        <v/>
      </c>
      <c r="O681" s="38" t="s">
        <v>320</v>
      </c>
      <c r="P681" s="32" t="s">
        <v>89</v>
      </c>
      <c r="Q681" s="28">
        <f>IFERROR(VLOOKUP(R681,Ingredients!$A:$B,2,FALSE),"")</f>
        <v>1</v>
      </c>
      <c r="R681" s="35" t="s">
        <v>408</v>
      </c>
      <c r="S681" s="32" t="s">
        <v>87</v>
      </c>
      <c r="T681" s="28"/>
      <c r="U681" s="35"/>
      <c r="V681" s="32"/>
      <c r="W681" s="28"/>
      <c r="X681" s="35"/>
      <c r="Y681" s="32"/>
      <c r="Z681" s="28">
        <v>1</v>
      </c>
      <c r="AA681" s="36"/>
    </row>
    <row r="682" spans="1:27" ht="14">
      <c r="A682" s="27" t="s">
        <v>1165</v>
      </c>
      <c r="B682" s="28"/>
      <c r="C682" s="29" t="s">
        <v>30</v>
      </c>
      <c r="D682" s="30" t="s">
        <v>30</v>
      </c>
      <c r="E682" s="37" t="s">
        <v>1166</v>
      </c>
      <c r="F682" s="32"/>
      <c r="G682" s="28"/>
      <c r="H682" s="32" t="s">
        <v>42</v>
      </c>
      <c r="I682" s="33" t="s">
        <v>232</v>
      </c>
      <c r="J682" s="32"/>
      <c r="K682" s="28">
        <f>IFERROR(VLOOKUP(L682,Ingredients!A:B,2,FALSE),"")</f>
        <v>1</v>
      </c>
      <c r="L682" s="38" t="s">
        <v>790</v>
      </c>
      <c r="M682" s="32" t="s">
        <v>87</v>
      </c>
      <c r="N682" s="28" t="str">
        <f>IFERROR(VLOOKUP(O682,Ingredients!$A:$B,2,FALSE),"")</f>
        <v/>
      </c>
      <c r="O682" s="38" t="s">
        <v>321</v>
      </c>
      <c r="P682" s="32" t="s">
        <v>89</v>
      </c>
      <c r="Q682" s="28">
        <f>IFERROR(VLOOKUP(R682,Ingredients!$A:$B,2,FALSE),"")</f>
        <v>1</v>
      </c>
      <c r="R682" s="35" t="s">
        <v>408</v>
      </c>
      <c r="S682" s="32" t="s">
        <v>87</v>
      </c>
      <c r="T682" s="28"/>
      <c r="U682" s="35"/>
      <c r="V682" s="32"/>
      <c r="W682" s="28"/>
      <c r="X682" s="35"/>
      <c r="Y682" s="32"/>
      <c r="Z682" s="28">
        <v>1</v>
      </c>
      <c r="AA682" s="36"/>
    </row>
    <row r="683" spans="1:27" ht="14">
      <c r="A683" s="27" t="s">
        <v>1165</v>
      </c>
      <c r="B683" s="28"/>
      <c r="C683" s="29" t="s">
        <v>30</v>
      </c>
      <c r="D683" s="30" t="s">
        <v>30</v>
      </c>
      <c r="E683" s="37" t="s">
        <v>1166</v>
      </c>
      <c r="F683" s="32"/>
      <c r="G683" s="28"/>
      <c r="H683" s="32" t="s">
        <v>42</v>
      </c>
      <c r="I683" s="33" t="s">
        <v>232</v>
      </c>
      <c r="J683" s="32"/>
      <c r="K683" s="28">
        <f>IFERROR(VLOOKUP(L683,Ingredients!A:B,2,FALSE),"")</f>
        <v>1</v>
      </c>
      <c r="L683" s="38" t="s">
        <v>790</v>
      </c>
      <c r="M683" s="32" t="s">
        <v>87</v>
      </c>
      <c r="N683" s="28">
        <f>IFERROR(VLOOKUP(O683,Ingredients!$A:$B,2,FALSE),"")</f>
        <v>1</v>
      </c>
      <c r="O683" s="38" t="s">
        <v>193</v>
      </c>
      <c r="P683" s="32" t="s">
        <v>89</v>
      </c>
      <c r="Q683" s="28"/>
      <c r="R683" s="35"/>
      <c r="S683" s="32"/>
      <c r="T683" s="28"/>
      <c r="U683" s="35"/>
      <c r="V683" s="32"/>
      <c r="W683" s="28"/>
      <c r="X683" s="35"/>
      <c r="Y683" s="32"/>
      <c r="Z683" s="28">
        <v>1</v>
      </c>
      <c r="AA683" s="36"/>
    </row>
    <row r="684" spans="1:27" ht="14">
      <c r="A684" s="27" t="s">
        <v>1167</v>
      </c>
      <c r="B684" s="28"/>
      <c r="C684" s="29" t="s">
        <v>30</v>
      </c>
      <c r="D684" s="30" t="s">
        <v>30</v>
      </c>
      <c r="E684" s="37" t="s">
        <v>1168</v>
      </c>
      <c r="F684" s="32"/>
      <c r="G684" s="28"/>
      <c r="H684" s="32" t="s">
        <v>42</v>
      </c>
      <c r="I684" s="33" t="s">
        <v>232</v>
      </c>
      <c r="J684" s="32"/>
      <c r="K684" s="28">
        <f>IFERROR(VLOOKUP(L684,Ingredients!A:B,2,FALSE),"")</f>
        <v>1</v>
      </c>
      <c r="L684" s="38" t="s">
        <v>790</v>
      </c>
      <c r="M684" s="32" t="s">
        <v>87</v>
      </c>
      <c r="N684" s="28">
        <f>IFERROR(VLOOKUP(O684,Ingredients!$A:$B,2,FALSE),"")</f>
        <v>1</v>
      </c>
      <c r="O684" s="34" t="s">
        <v>194</v>
      </c>
      <c r="P684" s="32" t="s">
        <v>89</v>
      </c>
      <c r="Q684" s="28"/>
      <c r="R684" s="35"/>
      <c r="S684" s="32"/>
      <c r="T684" s="28"/>
      <c r="U684" s="35"/>
      <c r="V684" s="32"/>
      <c r="W684" s="28"/>
      <c r="X684" s="35"/>
      <c r="Y684" s="32"/>
      <c r="Z684" s="28">
        <v>1</v>
      </c>
      <c r="AA684" s="36"/>
    </row>
    <row r="685" spans="1:27" ht="14">
      <c r="A685" s="27" t="s">
        <v>1169</v>
      </c>
      <c r="B685" s="28"/>
      <c r="C685" s="29" t="s">
        <v>30</v>
      </c>
      <c r="D685" s="30" t="s">
        <v>30</v>
      </c>
      <c r="E685" s="37" t="s">
        <v>1170</v>
      </c>
      <c r="F685" s="32"/>
      <c r="G685" s="28"/>
      <c r="H685" s="32" t="s">
        <v>42</v>
      </c>
      <c r="I685" s="33" t="s">
        <v>232</v>
      </c>
      <c r="J685" s="32"/>
      <c r="K685" s="28">
        <f>IFERROR(VLOOKUP(L685,Ingredients!A:B,2,FALSE),"")</f>
        <v>1</v>
      </c>
      <c r="L685" s="38" t="s">
        <v>191</v>
      </c>
      <c r="M685" s="32" t="s">
        <v>87</v>
      </c>
      <c r="N685" s="28">
        <f>IFERROR(VLOOKUP(O685,Ingredients!$A:$B,2,FALSE),"")</f>
        <v>1</v>
      </c>
      <c r="O685" s="34" t="s">
        <v>194</v>
      </c>
      <c r="P685" s="32" t="s">
        <v>89</v>
      </c>
      <c r="Q685" s="28"/>
      <c r="R685" s="35"/>
      <c r="S685" s="32"/>
      <c r="T685" s="28"/>
      <c r="U685" s="35"/>
      <c r="V685" s="32"/>
      <c r="W685" s="28"/>
      <c r="X685" s="35"/>
      <c r="Y685" s="32"/>
      <c r="Z685" s="28">
        <v>1</v>
      </c>
      <c r="AA685" s="36"/>
    </row>
    <row r="686" spans="1:27" ht="14">
      <c r="A686" s="27" t="s">
        <v>1171</v>
      </c>
      <c r="B686" s="28"/>
      <c r="C686" s="29" t="s">
        <v>30</v>
      </c>
      <c r="D686" s="30" t="s">
        <v>30</v>
      </c>
      <c r="E686" s="37" t="s">
        <v>1172</v>
      </c>
      <c r="F686" s="32"/>
      <c r="G686" s="28"/>
      <c r="H686" s="33" t="s">
        <v>42</v>
      </c>
      <c r="I686" s="33" t="s">
        <v>232</v>
      </c>
      <c r="J686" s="32" t="s">
        <v>107</v>
      </c>
      <c r="K686" s="28">
        <f>IFERROR(VLOOKUP(L686,Ingredients!A:B,2,FALSE),"")</f>
        <v>1</v>
      </c>
      <c r="L686" s="38" t="s">
        <v>193</v>
      </c>
      <c r="M686" s="32" t="s">
        <v>89</v>
      </c>
      <c r="N686" s="28"/>
      <c r="O686" s="38" t="s">
        <v>322</v>
      </c>
      <c r="P686" s="32" t="s">
        <v>129</v>
      </c>
      <c r="Q686" s="28"/>
      <c r="R686" s="35"/>
      <c r="S686" s="32"/>
      <c r="T686" s="28"/>
      <c r="U686" s="35"/>
      <c r="V686" s="32"/>
      <c r="W686" s="28"/>
      <c r="X686" s="35"/>
      <c r="Y686" s="32"/>
      <c r="Z686" s="28">
        <v>1</v>
      </c>
      <c r="AA686" s="36"/>
    </row>
    <row r="687" spans="1:27" ht="14">
      <c r="A687" s="27" t="s">
        <v>1171</v>
      </c>
      <c r="B687" s="28"/>
      <c r="C687" s="29" t="s">
        <v>30</v>
      </c>
      <c r="D687" s="30" t="s">
        <v>30</v>
      </c>
      <c r="E687" s="37" t="s">
        <v>1172</v>
      </c>
      <c r="F687" s="32"/>
      <c r="G687" s="28"/>
      <c r="H687" s="32" t="s">
        <v>42</v>
      </c>
      <c r="I687" s="33" t="s">
        <v>232</v>
      </c>
      <c r="J687" s="32"/>
      <c r="K687" s="28">
        <f>IFERROR(VLOOKUP(L687,Ingredients!A:B,2,FALSE),"")</f>
        <v>1</v>
      </c>
      <c r="L687" s="38" t="s">
        <v>193</v>
      </c>
      <c r="M687" s="32" t="s">
        <v>87</v>
      </c>
      <c r="N687" s="28">
        <f>IFERROR(VLOOKUP(O687,Ingredients!$A:$B,2,FALSE),"")</f>
        <v>4</v>
      </c>
      <c r="O687" s="38" t="s">
        <v>97</v>
      </c>
      <c r="P687" s="32" t="s">
        <v>89</v>
      </c>
      <c r="Q687" s="28"/>
      <c r="R687" s="35"/>
      <c r="S687" s="32"/>
      <c r="T687" s="28"/>
      <c r="U687" s="35"/>
      <c r="V687" s="32"/>
      <c r="W687" s="28"/>
      <c r="X687" s="35"/>
      <c r="Y687" s="32"/>
      <c r="Z687" s="28">
        <v>1</v>
      </c>
      <c r="AA687" s="36"/>
    </row>
    <row r="688" spans="1:27" ht="14">
      <c r="A688" s="27" t="s">
        <v>1171</v>
      </c>
      <c r="B688" s="28"/>
      <c r="C688" s="29" t="s">
        <v>30</v>
      </c>
      <c r="D688" s="30" t="s">
        <v>30</v>
      </c>
      <c r="E688" s="37" t="s">
        <v>1172</v>
      </c>
      <c r="F688" s="32"/>
      <c r="G688" s="28"/>
      <c r="H688" s="32" t="s">
        <v>42</v>
      </c>
      <c r="I688" s="33" t="s">
        <v>232</v>
      </c>
      <c r="J688" s="32"/>
      <c r="K688" s="28">
        <f>IFERROR(VLOOKUP(L688,Ingredients!A:B,2,FALSE),"")</f>
        <v>1</v>
      </c>
      <c r="L688" s="38" t="s">
        <v>193</v>
      </c>
      <c r="M688" s="32" t="s">
        <v>87</v>
      </c>
      <c r="N688" s="28">
        <f>IFERROR(VLOOKUP(O688,Ingredients!$A:$B,2,FALSE),"")</f>
        <v>1</v>
      </c>
      <c r="O688" s="38" t="s">
        <v>756</v>
      </c>
      <c r="P688" s="32" t="s">
        <v>89</v>
      </c>
      <c r="Q688" s="28"/>
      <c r="R688" s="35"/>
      <c r="S688" s="32"/>
      <c r="T688" s="28"/>
      <c r="U688" s="35"/>
      <c r="V688" s="32"/>
      <c r="W688" s="28"/>
      <c r="X688" s="35"/>
      <c r="Y688" s="32"/>
      <c r="Z688" s="28">
        <v>1</v>
      </c>
      <c r="AA688" s="36"/>
    </row>
    <row r="689" spans="1:27" ht="14">
      <c r="A689" s="27" t="s">
        <v>1171</v>
      </c>
      <c r="B689" s="28"/>
      <c r="C689" s="29" t="s">
        <v>30</v>
      </c>
      <c r="D689" s="30" t="s">
        <v>30</v>
      </c>
      <c r="E689" s="37" t="s">
        <v>1172</v>
      </c>
      <c r="F689" s="32"/>
      <c r="G689" s="28"/>
      <c r="H689" s="32" t="s">
        <v>42</v>
      </c>
      <c r="I689" s="33" t="s">
        <v>232</v>
      </c>
      <c r="J689" s="32"/>
      <c r="K689" s="28">
        <f>IFERROR(VLOOKUP(L689,Ingredients!A:B,2,FALSE),"")</f>
        <v>1</v>
      </c>
      <c r="L689" s="38" t="s">
        <v>193</v>
      </c>
      <c r="M689" s="32" t="s">
        <v>87</v>
      </c>
      <c r="N689" s="28">
        <f>IFERROR(VLOOKUP(O689,Ingredients!$A:$B,2,FALSE),"")</f>
        <v>6</v>
      </c>
      <c r="O689" s="38" t="s">
        <v>100</v>
      </c>
      <c r="P689" s="32" t="s">
        <v>89</v>
      </c>
      <c r="Q689" s="28"/>
      <c r="R689" s="35"/>
      <c r="S689" s="32"/>
      <c r="T689" s="28"/>
      <c r="U689" s="35"/>
      <c r="V689" s="32"/>
      <c r="W689" s="28"/>
      <c r="X689" s="35"/>
      <c r="Y689" s="32"/>
      <c r="Z689" s="28">
        <v>1</v>
      </c>
      <c r="AA689" s="36"/>
    </row>
    <row r="690" spans="1:27" ht="14">
      <c r="A690" s="27" t="s">
        <v>1173</v>
      </c>
      <c r="B690" s="28"/>
      <c r="C690" s="29" t="s">
        <v>30</v>
      </c>
      <c r="D690" s="30" t="s">
        <v>30</v>
      </c>
      <c r="E690" s="37" t="s">
        <v>1151</v>
      </c>
      <c r="F690" s="32"/>
      <c r="G690" s="28"/>
      <c r="H690" s="32" t="s">
        <v>42</v>
      </c>
      <c r="I690" s="33" t="s">
        <v>232</v>
      </c>
      <c r="J690" s="32"/>
      <c r="K690" s="28">
        <f>IFERROR(VLOOKUP(L690,Ingredients!A:B,2,FALSE),"")</f>
        <v>1</v>
      </c>
      <c r="L690" s="38" t="s">
        <v>191</v>
      </c>
      <c r="M690" s="32" t="s">
        <v>87</v>
      </c>
      <c r="N690" s="28">
        <f>IFERROR(VLOOKUP(O690,Ingredients!$A:$B,2,FALSE),"")</f>
        <v>1</v>
      </c>
      <c r="O690" s="38" t="s">
        <v>790</v>
      </c>
      <c r="P690" s="32" t="s">
        <v>89</v>
      </c>
      <c r="Q690" s="28"/>
      <c r="R690" s="35"/>
      <c r="S690" s="32"/>
      <c r="T690" s="28"/>
      <c r="U690" s="35"/>
      <c r="V690" s="32"/>
      <c r="W690" s="28"/>
      <c r="X690" s="35"/>
      <c r="Y690" s="32"/>
      <c r="Z690" s="28">
        <v>1</v>
      </c>
      <c r="AA690" s="36"/>
    </row>
    <row r="691" spans="1:27" ht="14">
      <c r="A691" s="27" t="s">
        <v>1174</v>
      </c>
      <c r="B691" s="28"/>
      <c r="C691" s="29" t="s">
        <v>30</v>
      </c>
      <c r="D691" s="30" t="s">
        <v>30</v>
      </c>
      <c r="E691" s="37" t="s">
        <v>1175</v>
      </c>
      <c r="F691" s="32"/>
      <c r="G691" s="28"/>
      <c r="H691" s="32" t="s">
        <v>42</v>
      </c>
      <c r="I691" s="33" t="s">
        <v>232</v>
      </c>
      <c r="J691" s="32"/>
      <c r="K691" s="28">
        <f>IFERROR(VLOOKUP(L691,Ingredients!A:B,2,FALSE),"")</f>
        <v>1</v>
      </c>
      <c r="L691" s="38" t="s">
        <v>191</v>
      </c>
      <c r="M691" s="32" t="s">
        <v>87</v>
      </c>
      <c r="N691" s="28">
        <f>IFERROR(VLOOKUP(O691,Ingredients!$A:$B,2,FALSE),"")</f>
        <v>10</v>
      </c>
      <c r="O691" s="38" t="s">
        <v>1147</v>
      </c>
      <c r="P691" s="32" t="s">
        <v>89</v>
      </c>
      <c r="Q691" s="28"/>
      <c r="R691" s="35"/>
      <c r="S691" s="32"/>
      <c r="T691" s="28"/>
      <c r="U691" s="35"/>
      <c r="V691" s="32"/>
      <c r="W691" s="28"/>
      <c r="X691" s="35"/>
      <c r="Y691" s="32"/>
      <c r="Z691" s="28">
        <v>1</v>
      </c>
      <c r="AA691" s="36"/>
    </row>
    <row r="692" spans="1:27" ht="13">
      <c r="A692" s="27"/>
      <c r="B692" s="28"/>
      <c r="C692" s="29"/>
      <c r="D692" s="30"/>
      <c r="E692" s="37"/>
      <c r="F692" s="32"/>
      <c r="G692" s="28"/>
      <c r="H692" s="32"/>
      <c r="I692" s="33"/>
      <c r="J692" s="32"/>
      <c r="K692" s="28"/>
      <c r="L692" s="38"/>
      <c r="M692" s="32"/>
      <c r="N692" s="28"/>
      <c r="O692" s="38"/>
      <c r="P692" s="32"/>
      <c r="Q692" s="28"/>
      <c r="R692" s="35"/>
      <c r="S692" s="32"/>
      <c r="T692" s="28"/>
      <c r="U692" s="35"/>
      <c r="V692" s="32"/>
      <c r="W692" s="28"/>
      <c r="X692" s="35"/>
      <c r="Y692" s="32"/>
      <c r="Z692" s="28"/>
      <c r="AA692" s="36"/>
    </row>
  </sheetData>
  <conditionalFormatting sqref="A2:A691">
    <cfRule type="expression" dxfId="29" priority="1">
      <formula>(C2="")</formula>
    </cfRule>
  </conditionalFormatting>
  <conditionalFormatting sqref="C1:C692">
    <cfRule type="containsBlanks" dxfId="28" priority="2">
      <formula>LEN(TRIM(C1))=0</formula>
    </cfRule>
  </conditionalFormatting>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Z4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75" customHeight="1"/>
  <cols>
    <col min="1" max="1" width="35.1640625" customWidth="1"/>
    <col min="2" max="2" width="42.5" customWidth="1"/>
    <col min="3" max="3" width="42.33203125" customWidth="1"/>
    <col min="4" max="4" width="42.1640625" customWidth="1"/>
    <col min="5" max="5" width="41.33203125" customWidth="1"/>
    <col min="6" max="6" width="42.33203125" customWidth="1"/>
    <col min="7" max="7" width="42.5" customWidth="1"/>
    <col min="8" max="8" width="41.33203125" customWidth="1"/>
    <col min="9" max="9" width="40.5" customWidth="1"/>
    <col min="10" max="10" width="40.33203125" customWidth="1"/>
    <col min="11" max="11" width="42.1640625" customWidth="1"/>
    <col min="12" max="12" width="41" customWidth="1"/>
    <col min="13" max="13" width="40.1640625" customWidth="1"/>
    <col min="14" max="14" width="35" customWidth="1"/>
    <col min="15" max="15" width="36.83203125" customWidth="1"/>
    <col min="16" max="16" width="35.6640625" customWidth="1"/>
    <col min="17" max="17" width="34.83203125" customWidth="1"/>
    <col min="18" max="18" width="37.5" customWidth="1"/>
    <col min="19" max="19" width="39.5" customWidth="1"/>
    <col min="20" max="20" width="38.33203125" customWidth="1"/>
    <col min="21" max="21" width="37.5" customWidth="1"/>
    <col min="22" max="22" width="36.5" customWidth="1"/>
    <col min="23" max="23" width="38.33203125" customWidth="1"/>
    <col min="24" max="24" width="36.1640625" customWidth="1"/>
    <col min="25" max="25" width="36.5" customWidth="1"/>
    <col min="26" max="26" width="34.1640625" customWidth="1"/>
    <col min="27" max="27" width="24.6640625" customWidth="1"/>
    <col min="28" max="29" width="26.33203125" customWidth="1"/>
    <col min="30" max="30" width="25.6640625" customWidth="1"/>
    <col min="31" max="31" width="19.5" customWidth="1"/>
    <col min="32" max="32" width="21.83203125" customWidth="1"/>
    <col min="33" max="33" width="13.6640625" customWidth="1"/>
    <col min="34" max="34" width="28" customWidth="1"/>
    <col min="35" max="35" width="20.5" customWidth="1"/>
    <col min="36" max="36" width="19.5" customWidth="1"/>
    <col min="37" max="37" width="21.5" customWidth="1"/>
    <col min="38" max="38" width="25.33203125" customWidth="1"/>
    <col min="39" max="39" width="21" customWidth="1"/>
    <col min="40" max="40" width="27" customWidth="1"/>
    <col min="41" max="41" width="14.5" customWidth="1"/>
    <col min="42" max="42" width="20.83203125" customWidth="1"/>
    <col min="43" max="43" width="34.1640625" customWidth="1"/>
    <col min="44" max="44" width="31.5" customWidth="1"/>
    <col min="45" max="45" width="25.5" customWidth="1"/>
    <col min="46" max="46" width="22.33203125" customWidth="1"/>
    <col min="47" max="47" width="24.6640625" customWidth="1"/>
    <col min="48" max="48" width="28.5" customWidth="1"/>
    <col min="49" max="49" width="23.6640625" customWidth="1"/>
    <col min="50" max="50" width="29.1640625" customWidth="1"/>
    <col min="51" max="51" width="24.6640625" customWidth="1"/>
    <col min="52" max="52" width="27.6640625" customWidth="1"/>
    <col min="53" max="53" width="23.5" customWidth="1"/>
    <col min="54" max="54" width="24.83203125" customWidth="1"/>
    <col min="55" max="55" width="23.33203125" customWidth="1"/>
    <col min="56" max="56" width="24.5" customWidth="1"/>
    <col min="57" max="57" width="25.5" customWidth="1"/>
    <col min="58" max="59" width="26.33203125" customWidth="1"/>
    <col min="60" max="60" width="17.6640625" customWidth="1"/>
    <col min="61" max="61" width="22.83203125" customWidth="1"/>
    <col min="62" max="62" width="23.33203125" customWidth="1"/>
    <col min="63" max="63" width="31.5" customWidth="1"/>
    <col min="64" max="64" width="27.83203125" customWidth="1"/>
    <col min="65" max="65" width="28.5" customWidth="1"/>
    <col min="66" max="66" width="23.6640625" customWidth="1"/>
    <col min="67" max="67" width="26.6640625" customWidth="1"/>
    <col min="68" max="68" width="18.5" customWidth="1"/>
    <col min="69" max="69" width="22.5" customWidth="1"/>
    <col min="70" max="70" width="22.83203125" customWidth="1"/>
    <col min="71" max="71" width="23.83203125" customWidth="1"/>
    <col min="72" max="72" width="23.6640625" customWidth="1"/>
    <col min="73" max="73" width="21.5" customWidth="1"/>
    <col min="74" max="74" width="26.83203125" customWidth="1"/>
    <col min="75" max="75" width="23.5" customWidth="1"/>
    <col min="76" max="76" width="26.33203125" customWidth="1"/>
    <col min="77" max="77" width="20.5" customWidth="1"/>
    <col min="78" max="78" width="19.83203125" customWidth="1"/>
  </cols>
  <sheetData>
    <row r="1" spans="1:78" ht="15.75" customHeight="1">
      <c r="A1" s="45" t="s">
        <v>1176</v>
      </c>
      <c r="B1" s="45" t="s">
        <v>1177</v>
      </c>
      <c r="C1" s="46"/>
      <c r="D1" s="46"/>
      <c r="E1" s="46"/>
      <c r="F1" s="46"/>
      <c r="G1" s="46"/>
      <c r="H1" s="46"/>
      <c r="I1" s="46"/>
      <c r="J1" s="46"/>
      <c r="K1" s="46"/>
      <c r="L1" s="46"/>
      <c r="M1" s="46"/>
      <c r="N1" s="46"/>
      <c r="O1" s="46"/>
      <c r="P1" s="46"/>
      <c r="Q1" s="46"/>
      <c r="R1" s="46"/>
      <c r="S1" s="46"/>
      <c r="T1" s="46"/>
      <c r="U1" s="46"/>
      <c r="V1" s="46"/>
      <c r="W1" s="46"/>
      <c r="X1" s="46"/>
      <c r="Y1" s="46"/>
      <c r="Z1" s="46"/>
      <c r="AA1" s="46"/>
      <c r="AB1" s="46"/>
      <c r="AC1" s="46"/>
      <c r="AD1" s="46"/>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row>
    <row r="2" spans="1:78" ht="15.75" customHeight="1">
      <c r="A2" s="48" t="str">
        <f ca="1">'.'!A2</f>
        <v>[Air Skillbook]</v>
      </c>
      <c r="B2" s="46" t="str">
        <f t="array" aca="1" ref="B2" ca="1">IF('.'!B2="","",'.'!B2&amp;IF(VLOOKUP('.'!B2,Recipes!$A:$D,4,FALSE)="",""," ["&amp;VLOOKUP('.'!B2,Recipes!$A:$D,4,FALSE)&amp;"]"))</f>
        <v>Blessed Smoke Cloud Skillbook [-500]</v>
      </c>
      <c r="C2" s="46" t="str">
        <f t="array" aca="1" ref="C2" ca="1">IF('.'!C2="","",'.'!C2&amp;IF(VLOOKUP('.'!C2,Recipes!$A:$D,4,FALSE)="",""," ["&amp;VLOOKUP('.'!C2,Recipes!$A:$D,4,FALSE)&amp;"]"))</f>
        <v>Breathing Bubble Skillbook [-50]</v>
      </c>
      <c r="D2" s="46" t="str">
        <f t="array" aca="1" ref="D2" ca="1">IF('.'!D2="","",'.'!D2&amp;IF(VLOOKUP('.'!D2,Recipes!$A:$D,4,FALSE)="",""," ["&amp;VLOOKUP('.'!D2,Recipes!$A:$D,4,FALSE)&amp;"]"))</f>
        <v>Cursed Electric Infusion Skillbook [-500]</v>
      </c>
      <c r="E2" s="46" t="str">
        <f t="array" aca="1" ref="E2" ca="1">IF('.'!E2="","",'.'!E2&amp;IF(VLOOKUP('.'!E2,Recipes!$A:$D,4,FALSE)="",""," ["&amp;VLOOKUP('.'!E2,Recipes!$A:$D,4,FALSE)&amp;"]"))</f>
        <v>Electric Infusion Skillbook [-50]</v>
      </c>
      <c r="F2" s="46" t="str">
        <f t="array" aca="1" ref="F2" ca="1">IF('.'!F2="","",'.'!F2&amp;IF(VLOOKUP('.'!F2,Recipes!$A:$D,4,FALSE)="",""," ["&amp;VLOOKUP('.'!F2,Recipes!$A:$D,4,FALSE)&amp;"]"))</f>
        <v>Jellyfish Skin Skillbook [-500]</v>
      </c>
      <c r="G2" s="46" t="str">
        <f t="array" aca="1" ref="G2" ca="1">IF('.'!G2="","",'.'!G2&amp;IF(VLOOKUP('.'!G2,Recipes!$A:$D,4,FALSE)="",""," ["&amp;VLOOKUP('.'!G2,Recipes!$A:$D,4,FALSE)&amp;"]"))</f>
        <v>Mass Breathing Bubbles Skillbook [-500]</v>
      </c>
      <c r="H2" s="46" t="str">
        <f t="array" aca="1" ref="H2" ca="1">IF('.'!H2="","",'.'!H2&amp;IF(VLOOKUP('.'!H2,Recipes!$A:$D,4,FALSE)="",""," ["&amp;VLOOKUP('.'!H2,Recipes!$A:$D,4,FALSE)&amp;"]"))</f>
        <v>Smoke Cover Skillbook [-50]</v>
      </c>
      <c r="I2" s="46" t="str">
        <f t="array" aca="1" ref="I2" ca="1">IF('.'!I2="","",'.'!I2&amp;IF(VLOOKUP('.'!I2,Recipes!$A:$D,4,FALSE)="",""," ["&amp;VLOOKUP('.'!I2,Recipes!$A:$D,4,FALSE)&amp;"]"))</f>
        <v>Vacuum Aura Skillbook [-500]</v>
      </c>
      <c r="J2" s="46" t="str">
        <f t="array" aca="1" ref="J2" ca="1">IF('.'!J2="","",'.'!J2&amp;IF(VLOOKUP('.'!J2,Recipes!$A:$D,4,FALSE)="",""," ["&amp;VLOOKUP('.'!J2,Recipes!$A:$D,4,FALSE)&amp;"]"))</f>
        <v>Vacuum Touch Skillbook [-50]</v>
      </c>
      <c r="K2" s="46" t="str">
        <f t="array" aca="1" ref="K2" ca="1">IF('.'!K2="","",'.'!K2&amp;IF(VLOOKUP('.'!K2,Recipes!$A:$D,4,FALSE)="",""," ["&amp;VLOOKUP('.'!K2,Recipes!$A:$D,4,FALSE)&amp;"]"))</f>
        <v>Vaporize Skillbook [-50]</v>
      </c>
      <c r="L2" s="46" t="str">
        <f t="array" aca="1" ref="L2" ca="1">IF('.'!L2="","",'.'!L2&amp;IF(VLOOKUP('.'!L2,Recipes!$A:$D,4,FALSE)="",""," ["&amp;VLOOKUP('.'!L2,Recipes!$A:$D,4,FALSE)&amp;"]"))</f>
        <v>Windwalker Skillbook [-50]</v>
      </c>
      <c r="M2" s="46" t="str">
        <f t="array" ref="M2">IF('.'!M2="","",'.'!M2&amp;IF(VLOOKUP('.'!M2,Recipes!$A:$D,4,FALSE)="",""," ["&amp;VLOOKUP('.'!M2,Recipes!$A:$D,4,FALSE)&amp;"]"))</f>
        <v/>
      </c>
      <c r="N2" s="46"/>
      <c r="O2" s="46"/>
      <c r="P2" s="46"/>
      <c r="Q2" s="46"/>
      <c r="R2" s="46"/>
      <c r="S2" s="46"/>
      <c r="T2" s="46"/>
      <c r="U2" s="46"/>
      <c r="V2" s="46"/>
      <c r="W2" s="46"/>
      <c r="X2" s="46"/>
      <c r="Y2" s="46"/>
      <c r="Z2" s="46"/>
      <c r="AA2" s="46"/>
      <c r="AB2" s="46"/>
      <c r="AC2" s="46"/>
      <c r="AD2" s="46"/>
      <c r="AE2" s="47"/>
      <c r="AF2" s="47"/>
      <c r="AG2" s="47"/>
      <c r="AH2" s="47"/>
      <c r="AI2" s="47"/>
      <c r="AJ2" s="47"/>
      <c r="AK2" s="47"/>
      <c r="AL2" s="47"/>
      <c r="AM2" s="47"/>
      <c r="AN2" s="47"/>
      <c r="AO2" s="47"/>
      <c r="AP2" s="47"/>
      <c r="AQ2" s="47"/>
      <c r="AR2" s="47"/>
      <c r="AS2" s="47"/>
      <c r="AT2" s="47"/>
      <c r="AU2" s="47"/>
      <c r="AV2" s="47"/>
      <c r="AW2" s="47"/>
      <c r="AX2" s="47"/>
      <c r="AY2" s="47"/>
      <c r="AZ2" s="47"/>
      <c r="BA2" s="47"/>
      <c r="BB2" s="47"/>
      <c r="BC2" s="47"/>
      <c r="BD2" s="47"/>
      <c r="BE2" s="47"/>
      <c r="BF2" s="47"/>
      <c r="BG2" s="47"/>
      <c r="BH2" s="47"/>
      <c r="BI2" s="47"/>
      <c r="BJ2" s="47"/>
      <c r="BK2" s="47"/>
      <c r="BL2" s="47"/>
      <c r="BM2" s="47"/>
      <c r="BN2" s="47"/>
      <c r="BO2" s="47"/>
      <c r="BP2" s="47"/>
      <c r="BQ2" s="47"/>
      <c r="BR2" s="47"/>
      <c r="BS2" s="47"/>
      <c r="BT2" s="47"/>
      <c r="BU2" s="47"/>
      <c r="BV2" s="47"/>
      <c r="BW2" s="47"/>
      <c r="BX2" s="47"/>
      <c r="BY2" s="47"/>
      <c r="BZ2" s="47"/>
    </row>
    <row r="3" spans="1:78" ht="15.75" customHeight="1">
      <c r="A3" s="48" t="str">
        <f ca="1">'.'!A3</f>
        <v>[Air Source Skillbook]</v>
      </c>
      <c r="B3" s="46" t="str">
        <f t="array" aca="1" ref="B3" ca="1">IF('.'!B3="","",'.'!B3&amp;IF(VLOOKUP('.'!B3,Recipes!$A:$D,4,FALSE)="",""," ["&amp;VLOOKUP('.'!B3,Recipes!$A:$D,4,FALSE)&amp;"]"))</f>
        <v>Blessed Smoke Cloud Skillbook [-500]</v>
      </c>
      <c r="C3" s="46" t="str">
        <f t="array" aca="1" ref="C3" ca="1">IF('.'!C3="","",'.'!C3&amp;IF(VLOOKUP('.'!C3,Recipes!$A:$D,4,FALSE)="",""," ["&amp;VLOOKUP('.'!C3,Recipes!$A:$D,4,FALSE)&amp;"]"))</f>
        <v>Cursed Electric Infusion Skillbook [-500]</v>
      </c>
      <c r="D3" s="46" t="str">
        <f t="array" aca="1" ref="D3" ca="1">IF('.'!D3="","",'.'!D3&amp;IF(VLOOKUP('.'!D3,Recipes!$A:$D,4,FALSE)="",""," ["&amp;VLOOKUP('.'!D3,Recipes!$A:$D,4,FALSE)&amp;"]"))</f>
        <v>Jellyfish Skin Skillbook [-500]</v>
      </c>
      <c r="E3" s="46" t="str">
        <f t="array" aca="1" ref="E3" ca="1">IF('.'!E3="","",'.'!E3&amp;IF(VLOOKUP('.'!E3,Recipes!$A:$D,4,FALSE)="",""," ["&amp;VLOOKUP('.'!E3,Recipes!$A:$D,4,FALSE)&amp;"]"))</f>
        <v>Mass Breathing Bubbles Skillbook [-500]</v>
      </c>
      <c r="F3" s="46" t="str">
        <f t="array" aca="1" ref="F3" ca="1">IF('.'!F3="","",'.'!F3&amp;IF(VLOOKUP('.'!F3,Recipes!$A:$D,4,FALSE)="",""," ["&amp;VLOOKUP('.'!F3,Recipes!$A:$D,4,FALSE)&amp;"]"))</f>
        <v>Uncanny Evasion Skillbook [-810]</v>
      </c>
      <c r="G3" s="46" t="str">
        <f t="array" aca="1" ref="G3" ca="1">IF('.'!G3="","",'.'!G3&amp;IF(VLOOKUP('.'!G3,Recipes!$A:$D,4,FALSE)="",""," ["&amp;VLOOKUP('.'!G3,Recipes!$A:$D,4,FALSE)&amp;"]"))</f>
        <v>Vacuum Aura Skillbook [-500]</v>
      </c>
      <c r="H3" s="46" t="str">
        <f t="array" ref="H3">IF('.'!H3="","",'.'!H3&amp;IF(VLOOKUP('.'!H3,Recipes!$A:$D,4,FALSE)="",""," ["&amp;VLOOKUP('.'!H3,Recipes!$A:$D,4,FALSE)&amp;"]"))</f>
        <v/>
      </c>
      <c r="I3" s="46" t="str">
        <f t="array" ref="I3">IF('.'!I3="","",'.'!I3&amp;IF(VLOOKUP('.'!I3,Recipes!$A:$D,4,FALSE)="",""," ["&amp;VLOOKUP('.'!I3,Recipes!$A:$D,4,FALSE)&amp;"]"))</f>
        <v/>
      </c>
      <c r="J3" s="46" t="str">
        <f t="array" ref="J3">IF('.'!J3="","",'.'!J3&amp;IF(VLOOKUP('.'!J3,Recipes!$A:$D,4,FALSE)="",""," ["&amp;VLOOKUP('.'!J3,Recipes!$A:$D,4,FALSE)&amp;"]"))</f>
        <v/>
      </c>
      <c r="K3" s="46" t="str">
        <f t="array" ref="K3">IF('.'!K3="","",'.'!K3&amp;IF(VLOOKUP('.'!K3,Recipes!$A:$D,4,FALSE)="",""," ["&amp;VLOOKUP('.'!K3,Recipes!$A:$D,4,FALSE)&amp;"]"))</f>
        <v/>
      </c>
      <c r="L3" s="46" t="str">
        <f t="array" ref="L3">IF('.'!L3="","",'.'!L3&amp;IF(VLOOKUP('.'!L3,Recipes!$A:$D,4,FALSE)="",""," ["&amp;VLOOKUP('.'!L3,Recipes!$A:$D,4,FALSE)&amp;"]"))</f>
        <v/>
      </c>
      <c r="M3" s="46" t="str">
        <f t="array" ref="M3">IF('.'!M3="","",'.'!M3&amp;IF(VLOOKUP('.'!M3,Recipes!$A:$D,4,FALSE)="",""," ["&amp;VLOOKUP('.'!M3,Recipes!$A:$D,4,FALSE)&amp;"]"))</f>
        <v/>
      </c>
      <c r="N3" s="46"/>
      <c r="O3" s="46"/>
      <c r="P3" s="46"/>
      <c r="Q3" s="46"/>
      <c r="R3" s="46"/>
      <c r="S3" s="46"/>
      <c r="T3" s="46"/>
      <c r="U3" s="46"/>
      <c r="V3" s="46"/>
      <c r="W3" s="46"/>
      <c r="X3" s="46"/>
      <c r="Y3" s="46"/>
      <c r="Z3" s="46"/>
      <c r="AA3" s="46"/>
      <c r="AB3" s="46"/>
      <c r="AC3" s="46"/>
      <c r="AD3" s="46"/>
      <c r="AE3" s="47"/>
      <c r="AF3" s="47"/>
      <c r="AG3" s="47"/>
      <c r="AH3" s="47"/>
      <c r="AI3" s="47"/>
      <c r="AJ3" s="47"/>
      <c r="AK3" s="47"/>
      <c r="AL3" s="47"/>
      <c r="AM3" s="47"/>
      <c r="AN3" s="47"/>
      <c r="AO3" s="47"/>
      <c r="AP3" s="47"/>
      <c r="AQ3" s="47"/>
      <c r="AR3" s="47"/>
      <c r="AS3" s="47"/>
      <c r="AT3" s="47"/>
      <c r="AU3" s="47"/>
      <c r="AV3" s="47"/>
      <c r="AW3" s="47"/>
      <c r="AX3" s="47"/>
      <c r="AY3" s="47"/>
      <c r="AZ3" s="47"/>
      <c r="BA3" s="47"/>
      <c r="BB3" s="47"/>
      <c r="BC3" s="47"/>
      <c r="BD3" s="47"/>
      <c r="BE3" s="47"/>
      <c r="BF3" s="47"/>
      <c r="BG3" s="47"/>
      <c r="BH3" s="47"/>
      <c r="BI3" s="47"/>
      <c r="BJ3" s="47"/>
      <c r="BK3" s="47"/>
      <c r="BL3" s="47"/>
      <c r="BM3" s="47"/>
      <c r="BN3" s="47"/>
      <c r="BO3" s="47"/>
      <c r="BP3" s="47"/>
      <c r="BQ3" s="47"/>
      <c r="BR3" s="47"/>
      <c r="BS3" s="47"/>
      <c r="BT3" s="47"/>
      <c r="BU3" s="47"/>
      <c r="BV3" s="47"/>
      <c r="BW3" s="47"/>
      <c r="BX3" s="47"/>
      <c r="BY3" s="47"/>
      <c r="BZ3" s="47"/>
    </row>
    <row r="4" spans="1:78" ht="15.75" customHeight="1">
      <c r="A4" s="48" t="str">
        <f ca="1">'.'!A4</f>
        <v>[Earth Skillbook]</v>
      </c>
      <c r="B4" s="46" t="str">
        <f t="array" aca="1" ref="B4" ca="1">IF('.'!B4="","",'.'!B4&amp;IF(VLOOKUP('.'!B4,Recipes!$A:$D,4,FALSE)="",""," ["&amp;VLOOKUP('.'!B4,Recipes!$A:$D,4,FALSE)&amp;"]"))</f>
        <v>Acid Infusion Skillbook [-500]</v>
      </c>
      <c r="C4" s="46" t="str">
        <f t="array" aca="1" ref="C4" ca="1">IF('.'!C4="","",'.'!C4&amp;IF(VLOOKUP('.'!C4,Recipes!$A:$D,4,FALSE)="",""," ["&amp;VLOOKUP('.'!C4,Recipes!$A:$D,4,FALSE)&amp;"]"))</f>
        <v>Corrosive Spray Skillbook [-500]</v>
      </c>
      <c r="D4" s="46" t="str">
        <f t="array" aca="1" ref="D4" ca="1">IF('.'!D4="","",'.'!D4&amp;IF(VLOOKUP('.'!D4,Recipes!$A:$D,4,FALSE)="",""," ["&amp;VLOOKUP('.'!D4,Recipes!$A:$D,4,FALSE)&amp;"]"))</f>
        <v>Dust Blast Skillbook [-500]</v>
      </c>
      <c r="E4" s="46" t="str">
        <f t="array" aca="1" ref="E4" ca="1">IF('.'!E4="","",'.'!E4&amp;IF(VLOOKUP('.'!E4,Recipes!$A:$D,4,FALSE)="",""," ["&amp;VLOOKUP('.'!E4,Recipes!$A:$D,4,FALSE)&amp;"]"))</f>
        <v>Mass Oily Carapace Skillbook [-500]</v>
      </c>
      <c r="F4" s="46" t="str">
        <f t="array" aca="1" ref="F4" ca="1">IF('.'!F4="","",'.'!F4&amp;IF(VLOOKUP('.'!F4,Recipes!$A:$D,4,FALSE)="",""," ["&amp;VLOOKUP('.'!F4,Recipes!$A:$D,4,FALSE)&amp;"]"))</f>
        <v>Oily Carapace Skillbook [-50]</v>
      </c>
      <c r="G4" s="46" t="str">
        <f t="array" aca="1" ref="G4" ca="1">IF('.'!G4="","",'.'!G4&amp;IF(VLOOKUP('.'!G4,Recipes!$A:$D,4,FALSE)="",""," ["&amp;VLOOKUP('.'!G4,Recipes!$A:$D,4,FALSE)&amp;"]"))</f>
        <v>Poison Infusion Skillbook [-50]</v>
      </c>
      <c r="H4" s="46" t="str">
        <f t="array" aca="1" ref="H4" ca="1">IF('.'!H4="","",'.'!H4&amp;IF(VLOOKUP('.'!H4,Recipes!$A:$D,4,FALSE)="",""," ["&amp;VLOOKUP('.'!H4,Recipes!$A:$D,4,FALSE)&amp;"]"))</f>
        <v>Poisonous Skin Skillbook [-500]</v>
      </c>
      <c r="I4" s="46" t="str">
        <f t="array" aca="1" ref="I4" ca="1">IF('.'!I4="","",'.'!I4&amp;IF(VLOOKUP('.'!I4,Recipes!$A:$D,4,FALSE)="",""," ["&amp;VLOOKUP('.'!I4,Recipes!$A:$D,4,FALSE)&amp;"]"))</f>
        <v>Throw Dust Skillbook [-50]</v>
      </c>
      <c r="J4" s="46" t="str">
        <f t="array" aca="1" ref="J4" ca="1">IF('.'!J4="","",'.'!J4&amp;IF(VLOOKUP('.'!J4,Recipes!$A:$D,4,FALSE)="",""," ["&amp;VLOOKUP('.'!J4,Recipes!$A:$D,4,FALSE)&amp;"]"))</f>
        <v>Turn To Oil Skillbook [-50]</v>
      </c>
      <c r="K4" s="46" t="str">
        <f t="array" aca="1" ref="K4" ca="1">IF('.'!K4="","",'.'!K4&amp;IF(VLOOKUP('.'!K4,Recipes!$A:$D,4,FALSE)="",""," ["&amp;VLOOKUP('.'!K4,Recipes!$A:$D,4,FALSE)&amp;"]"))</f>
        <v>Venom Coating Skillbook [-50]</v>
      </c>
      <c r="L4" s="46" t="str">
        <f t="array" aca="1" ref="L4" ca="1">IF('.'!L4="","",'.'!L4&amp;IF(VLOOKUP('.'!L4,Recipes!$A:$D,4,FALSE)="",""," ["&amp;VLOOKUP('.'!L4,Recipes!$A:$D,4,FALSE)&amp;"]"))</f>
        <v>Venomous Aura Skillbook [-500]</v>
      </c>
      <c r="M4" s="46" t="str">
        <f t="array" ref="M4">IF('.'!M4="","",'.'!M4&amp;IF(VLOOKUP('.'!M4,Recipes!$A:$D,4,FALSE)="",""," ["&amp;VLOOKUP('.'!M4,Recipes!$A:$D,4,FALSE)&amp;"]"))</f>
        <v/>
      </c>
      <c r="N4" s="46"/>
      <c r="O4" s="46"/>
      <c r="P4" s="46"/>
      <c r="Q4" s="46"/>
      <c r="R4" s="46"/>
      <c r="S4" s="46"/>
      <c r="T4" s="46"/>
      <c r="U4" s="46"/>
      <c r="V4" s="46"/>
      <c r="W4" s="46"/>
      <c r="X4" s="46"/>
      <c r="Y4" s="46"/>
      <c r="Z4" s="46"/>
      <c r="AA4" s="46"/>
      <c r="AB4" s="46"/>
      <c r="AC4" s="46"/>
      <c r="AD4" s="46"/>
      <c r="AE4" s="47"/>
      <c r="AF4" s="47"/>
      <c r="AG4" s="47"/>
      <c r="AH4" s="47"/>
      <c r="AI4" s="47"/>
      <c r="AJ4" s="47"/>
      <c r="AK4" s="47"/>
      <c r="AL4" s="47"/>
      <c r="AM4" s="47"/>
      <c r="AN4" s="47"/>
      <c r="AO4" s="47"/>
      <c r="AP4" s="47"/>
      <c r="AQ4" s="47"/>
      <c r="AR4" s="47"/>
      <c r="AS4" s="47"/>
      <c r="AT4" s="47"/>
      <c r="AU4" s="47"/>
      <c r="AV4" s="47"/>
      <c r="AW4" s="47"/>
      <c r="AX4" s="47"/>
      <c r="AY4" s="47"/>
      <c r="AZ4" s="47"/>
      <c r="BA4" s="47"/>
      <c r="BB4" s="47"/>
      <c r="BC4" s="47"/>
      <c r="BD4" s="47"/>
      <c r="BE4" s="47"/>
      <c r="BF4" s="47"/>
      <c r="BG4" s="47"/>
      <c r="BH4" s="47"/>
      <c r="BI4" s="47"/>
      <c r="BJ4" s="47"/>
      <c r="BK4" s="47"/>
      <c r="BL4" s="47"/>
      <c r="BM4" s="47"/>
      <c r="BN4" s="47"/>
      <c r="BO4" s="47"/>
      <c r="BP4" s="47"/>
      <c r="BQ4" s="47"/>
      <c r="BR4" s="47"/>
      <c r="BS4" s="47"/>
      <c r="BT4" s="47"/>
      <c r="BU4" s="47"/>
      <c r="BV4" s="47"/>
      <c r="BW4" s="47"/>
      <c r="BX4" s="47"/>
      <c r="BY4" s="47"/>
      <c r="BZ4" s="47"/>
    </row>
    <row r="5" spans="1:78" ht="15.75" customHeight="1">
      <c r="A5" s="48" t="str">
        <f ca="1">'.'!A5</f>
        <v>[Earth Source Skillbook]</v>
      </c>
      <c r="B5" s="46" t="str">
        <f t="array" aca="1" ref="B5" ca="1">IF('.'!B5="","",'.'!B5&amp;IF(VLOOKUP('.'!B5,Recipes!$A:$D,4,FALSE)="",""," ["&amp;VLOOKUP('.'!B5,Recipes!$A:$D,4,FALSE)&amp;"]"))</f>
        <v>Acid Infusion Skillbook [-500]</v>
      </c>
      <c r="C5" s="46" t="str">
        <f t="array" aca="1" ref="C5" ca="1">IF('.'!C5="","",'.'!C5&amp;IF(VLOOKUP('.'!C5,Recipes!$A:$D,4,FALSE)="",""," ["&amp;VLOOKUP('.'!C5,Recipes!$A:$D,4,FALSE)&amp;"]"))</f>
        <v>Corrosive Spray Skillbook [-500]</v>
      </c>
      <c r="D5" s="46" t="str">
        <f t="array" aca="1" ref="D5" ca="1">IF('.'!D5="","",'.'!D5&amp;IF(VLOOKUP('.'!D5,Recipes!$A:$D,4,FALSE)="",""," ["&amp;VLOOKUP('.'!D5,Recipes!$A:$D,4,FALSE)&amp;"]"))</f>
        <v>Dust Blast Skillbook [-500]</v>
      </c>
      <c r="E5" s="46" t="str">
        <f t="array" aca="1" ref="E5" ca="1">IF('.'!E5="","",'.'!E5&amp;IF(VLOOKUP('.'!E5,Recipes!$A:$D,4,FALSE)="",""," ["&amp;VLOOKUP('.'!E5,Recipes!$A:$D,4,FALSE)&amp;"]"))</f>
        <v>Mass Oily Carapace Skillbook [-500]</v>
      </c>
      <c r="F5" s="46" t="str">
        <f t="array" aca="1" ref="F5" ca="1">IF('.'!F5="","",'.'!F5&amp;IF(VLOOKUP('.'!F5,Recipes!$A:$D,4,FALSE)="",""," ["&amp;VLOOKUP('.'!F5,Recipes!$A:$D,4,FALSE)&amp;"]"))</f>
        <v>Poisonous Skin Skillbook [-500]</v>
      </c>
      <c r="G5" s="46" t="str">
        <f t="array" aca="1" ref="G5" ca="1">IF('.'!G5="","",'.'!G5&amp;IF(VLOOKUP('.'!G5,Recipes!$A:$D,4,FALSE)="",""," ["&amp;VLOOKUP('.'!G5,Recipes!$A:$D,4,FALSE)&amp;"]"))</f>
        <v>Venomous Aura Skillbook [-500]</v>
      </c>
      <c r="H5" s="46" t="str">
        <f t="array" ref="H5">IF('.'!H5="","",'.'!H5&amp;IF(VLOOKUP('.'!H5,Recipes!$A:$D,4,FALSE)="",""," ["&amp;VLOOKUP('.'!H5,Recipes!$A:$D,4,FALSE)&amp;"]"))</f>
        <v/>
      </c>
      <c r="I5" s="46" t="str">
        <f t="array" ref="I5">IF('.'!I5="","",'.'!I5&amp;IF(VLOOKUP('.'!I5,Recipes!$A:$D,4,FALSE)="",""," ["&amp;VLOOKUP('.'!I5,Recipes!$A:$D,4,FALSE)&amp;"]"))</f>
        <v/>
      </c>
      <c r="J5" s="46" t="str">
        <f t="array" ref="J5">IF('.'!J5="","",'.'!J5&amp;IF(VLOOKUP('.'!J5,Recipes!$A:$D,4,FALSE)="",""," ["&amp;VLOOKUP('.'!J5,Recipes!$A:$D,4,FALSE)&amp;"]"))</f>
        <v/>
      </c>
      <c r="K5" s="46" t="str">
        <f t="array" ref="K5">IF('.'!K5="","",'.'!K5&amp;IF(VLOOKUP('.'!K5,Recipes!$A:$D,4,FALSE)="",""," ["&amp;VLOOKUP('.'!K5,Recipes!$A:$D,4,FALSE)&amp;"]"))</f>
        <v/>
      </c>
      <c r="L5" s="46" t="str">
        <f t="array" ref="L5">IF('.'!L5="","",'.'!L5&amp;IF(VLOOKUP('.'!L5,Recipes!$A:$D,4,FALSE)="",""," ["&amp;VLOOKUP('.'!L5,Recipes!$A:$D,4,FALSE)&amp;"]"))</f>
        <v/>
      </c>
      <c r="M5" s="46" t="str">
        <f t="array" ref="M5">IF('.'!M5="","",'.'!M5&amp;IF(VLOOKUP('.'!M5,Recipes!$A:$D,4,FALSE)="",""," ["&amp;VLOOKUP('.'!M5,Recipes!$A:$D,4,FALSE)&amp;"]"))</f>
        <v/>
      </c>
      <c r="N5" s="46"/>
      <c r="O5" s="46"/>
      <c r="P5" s="46"/>
      <c r="Q5" s="46"/>
      <c r="R5" s="46"/>
      <c r="S5" s="46"/>
      <c r="T5" s="46"/>
      <c r="U5" s="46"/>
      <c r="V5" s="46"/>
      <c r="W5" s="46"/>
      <c r="X5" s="46"/>
      <c r="Y5" s="46"/>
      <c r="Z5" s="46"/>
      <c r="AA5" s="46"/>
      <c r="AB5" s="46"/>
      <c r="AC5" s="46"/>
      <c r="AD5" s="46"/>
      <c r="AE5" s="47"/>
      <c r="AF5" s="47"/>
      <c r="AG5" s="47"/>
      <c r="AH5" s="47"/>
      <c r="AI5" s="47"/>
      <c r="AJ5" s="47"/>
      <c r="AK5" s="47"/>
      <c r="AL5" s="47"/>
      <c r="AM5" s="47"/>
      <c r="AN5" s="47"/>
      <c r="AO5" s="47"/>
      <c r="AP5" s="47"/>
      <c r="AQ5" s="47"/>
      <c r="AR5" s="47"/>
      <c r="AS5" s="47"/>
      <c r="AT5" s="47"/>
      <c r="AU5" s="47"/>
      <c r="AV5" s="47"/>
      <c r="AW5" s="47"/>
      <c r="AX5" s="47"/>
      <c r="AY5" s="47"/>
      <c r="AZ5" s="47"/>
      <c r="BA5" s="47"/>
      <c r="BB5" s="47"/>
      <c r="BC5" s="47"/>
      <c r="BD5" s="47"/>
      <c r="BE5" s="47"/>
      <c r="BF5" s="47"/>
      <c r="BG5" s="47"/>
      <c r="BH5" s="47"/>
      <c r="BI5" s="47"/>
      <c r="BJ5" s="47"/>
      <c r="BK5" s="47"/>
      <c r="BL5" s="47"/>
      <c r="BM5" s="47"/>
      <c r="BN5" s="47"/>
      <c r="BO5" s="47"/>
      <c r="BP5" s="47"/>
      <c r="BQ5" s="47"/>
      <c r="BR5" s="47"/>
      <c r="BS5" s="47"/>
      <c r="BT5" s="47"/>
      <c r="BU5" s="47"/>
      <c r="BV5" s="47"/>
      <c r="BW5" s="47"/>
      <c r="BX5" s="47"/>
      <c r="BY5" s="47"/>
      <c r="BZ5" s="47"/>
    </row>
    <row r="6" spans="1:78" ht="15.75" customHeight="1">
      <c r="A6" s="48" t="str">
        <f ca="1">'.'!A6</f>
        <v>[Fire Skillbook]</v>
      </c>
      <c r="B6" s="46" t="str">
        <f t="array" aca="1" ref="B6" ca="1">IF('.'!B6="","",'.'!B6&amp;IF(VLOOKUP('.'!B6,Recipes!$A:$D,4,FALSE)="",""," ["&amp;VLOOKUP('.'!B6,Recipes!$A:$D,4,FALSE)&amp;"]"))</f>
        <v>Bleed Fire Skillbook [-60]</v>
      </c>
      <c r="C6" s="46" t="str">
        <f t="array" aca="1" ref="C6" ca="1">IF('.'!C6="","",'.'!C6&amp;IF(VLOOKUP('.'!C6,Recipes!$A:$D,4,FALSE)="",""," ["&amp;VLOOKUP('.'!C6,Recipes!$A:$D,4,FALSE)&amp;"]"))</f>
        <v>Corpse Explosion Skillbook [-50]</v>
      </c>
      <c r="D6" s="46" t="str">
        <f t="array" aca="1" ref="D6" ca="1">IF('.'!D6="","",'.'!D6&amp;IF(VLOOKUP('.'!D6,Recipes!$A:$D,4,FALSE)="",""," ["&amp;VLOOKUP('.'!D6,Recipes!$A:$D,4,FALSE)&amp;"]"))</f>
        <v>Deploy Mass Traps Skillbook [-500]</v>
      </c>
      <c r="E6" s="46" t="str">
        <f t="array" aca="1" ref="E6" ca="1">IF('.'!E6="","",'.'!E6&amp;IF(VLOOKUP('.'!E6,Recipes!$A:$D,4,FALSE)="",""," ["&amp;VLOOKUP('.'!E6,Recipes!$A:$D,4,FALSE)&amp;"]"))</f>
        <v>Explosive Trap Skillbook [-50]</v>
      </c>
      <c r="F6" s="46" t="str">
        <f t="array" aca="1" ref="F6" ca="1">IF('.'!F6="","",'.'!F6&amp;IF(VLOOKUP('.'!F6,Recipes!$A:$D,4,FALSE)="",""," ["&amp;VLOOKUP('.'!F6,Recipes!$A:$D,4,FALSE)&amp;"]"))</f>
        <v>Fire Infusion Skillbook [-50]</v>
      </c>
      <c r="G6" s="46" t="str">
        <f t="array" aca="1" ref="G6" ca="1">IF('.'!G6="","",'.'!G6&amp;IF(VLOOKUP('.'!G6,Recipes!$A:$D,4,FALSE)="",""," ["&amp;VLOOKUP('.'!G6,Recipes!$A:$D,4,FALSE)&amp;"]"))</f>
        <v>Flaming Skin Skillbook [-500]</v>
      </c>
      <c r="H6" s="46" t="str">
        <f t="array" aca="1" ref="H6" ca="1">IF('.'!H6="","",'.'!H6&amp;IF(VLOOKUP('.'!H6,Recipes!$A:$D,4,FALSE)="",""," ["&amp;VLOOKUP('.'!H6,Recipes!$A:$D,4,FALSE)&amp;"]"))</f>
        <v>Mass Corpse Explosion Skillbook [-500]</v>
      </c>
      <c r="I6" s="46" t="str">
        <f t="array" aca="1" ref="I6" ca="1">IF('.'!I6="","",'.'!I6&amp;IF(VLOOKUP('.'!I6,Recipes!$A:$D,4,FALSE)="",""," ["&amp;VLOOKUP('.'!I6,Recipes!$A:$D,4,FALSE)&amp;"]"))</f>
        <v>Mass Sabotage Skillbook [-500]</v>
      </c>
      <c r="J6" s="46" t="str">
        <f t="array" aca="1" ref="J6" ca="1">IF('.'!J6="","",'.'!J6&amp;IF(VLOOKUP('.'!J6,Recipes!$A:$D,4,FALSE)="",""," ["&amp;VLOOKUP('.'!J6,Recipes!$A:$D,4,FALSE)&amp;"]"))</f>
        <v>Master of Sparks Skillbook [-500]</v>
      </c>
      <c r="K6" s="46" t="str">
        <f t="array" aca="1" ref="K6" ca="1">IF('.'!K6="","",'.'!K6&amp;IF(VLOOKUP('.'!K6,Recipes!$A:$D,4,FALSE)="",""," ["&amp;VLOOKUP('.'!K6,Recipes!$A:$D,4,FALSE)&amp;"]"))</f>
        <v>Necrofire Infusion Skillbook [-500]</v>
      </c>
      <c r="L6" s="46" t="str">
        <f t="array" aca="1" ref="L6" ca="1">IF('.'!L6="","",'.'!L6&amp;IF(VLOOKUP('.'!L6,Recipes!$A:$D,4,FALSE)="",""," ["&amp;VLOOKUP('.'!L6,Recipes!$A:$D,4,FALSE)&amp;"]"))</f>
        <v>Sabotage Skillbook [-50]</v>
      </c>
      <c r="M6" s="46" t="str">
        <f t="array" aca="1" ref="M6" ca="1">IF('.'!M6="","",'.'!M6&amp;IF(VLOOKUP('.'!M6,Recipes!$A:$D,4,FALSE)="",""," ["&amp;VLOOKUP('.'!M6,Recipes!$A:$D,4,FALSE)&amp;"]"))</f>
        <v>Sparking Swings Skillbook [-50]</v>
      </c>
      <c r="N6" s="46"/>
      <c r="O6" s="46"/>
      <c r="P6" s="46"/>
      <c r="Q6" s="46"/>
      <c r="R6" s="46"/>
      <c r="S6" s="46"/>
      <c r="T6" s="46"/>
      <c r="U6" s="46"/>
      <c r="V6" s="46"/>
      <c r="W6" s="46"/>
      <c r="X6" s="46"/>
      <c r="Y6" s="46"/>
      <c r="Z6" s="46"/>
      <c r="AA6" s="46"/>
      <c r="AB6" s="46"/>
      <c r="AC6" s="46"/>
      <c r="AD6" s="46"/>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row>
    <row r="7" spans="1:78" ht="15.75" customHeight="1">
      <c r="A7" s="48" t="str">
        <f ca="1">'.'!A7</f>
        <v>[Fire Source Skillbook]</v>
      </c>
      <c r="B7" s="46" t="str">
        <f t="array" aca="1" ref="B7" ca="1">IF('.'!B7="","",'.'!B7&amp;IF(VLOOKUP('.'!B7,Recipes!$A:$D,4,FALSE)="",""," ["&amp;VLOOKUP('.'!B7,Recipes!$A:$D,4,FALSE)&amp;"]"))</f>
        <v>Deploy Mass Traps Skillbook [-500]</v>
      </c>
      <c r="C7" s="46" t="str">
        <f t="array" aca="1" ref="C7" ca="1">IF('.'!C7="","",'.'!C7&amp;IF(VLOOKUP('.'!C7,Recipes!$A:$D,4,FALSE)="",""," ["&amp;VLOOKUP('.'!C7,Recipes!$A:$D,4,FALSE)&amp;"]"))</f>
        <v>Flaming Skin Skillbook [-500]</v>
      </c>
      <c r="D7" s="46" t="str">
        <f t="array" aca="1" ref="D7" ca="1">IF('.'!D7="","",'.'!D7&amp;IF(VLOOKUP('.'!D7,Recipes!$A:$D,4,FALSE)="",""," ["&amp;VLOOKUP('.'!D7,Recipes!$A:$D,4,FALSE)&amp;"]"))</f>
        <v>Mass Corpse Explosion Skillbook [-500]</v>
      </c>
      <c r="E7" s="46" t="str">
        <f t="array" aca="1" ref="E7" ca="1">IF('.'!E7="","",'.'!E7&amp;IF(VLOOKUP('.'!E7,Recipes!$A:$D,4,FALSE)="",""," ["&amp;VLOOKUP('.'!E7,Recipes!$A:$D,4,FALSE)&amp;"]"))</f>
        <v>Mass Sabotage Skillbook [-500]</v>
      </c>
      <c r="F7" s="46" t="str">
        <f t="array" aca="1" ref="F7" ca="1">IF('.'!F7="","",'.'!F7&amp;IF(VLOOKUP('.'!F7,Recipes!$A:$D,4,FALSE)="",""," ["&amp;VLOOKUP('.'!F7,Recipes!$A:$D,4,FALSE)&amp;"]"))</f>
        <v>Master of Sparks Skillbook [-500]</v>
      </c>
      <c r="G7" s="46" t="str">
        <f t="array" aca="1" ref="G7" ca="1">IF('.'!G7="","",'.'!G7&amp;IF(VLOOKUP('.'!G7,Recipes!$A:$D,4,FALSE)="",""," ["&amp;VLOOKUP('.'!G7,Recipes!$A:$D,4,FALSE)&amp;"]"))</f>
        <v>Necrofire Infusion Skillbook [-500]</v>
      </c>
      <c r="H7" s="46" t="str">
        <f t="array" ref="H7">IF('.'!H7="","",'.'!H7&amp;IF(VLOOKUP('.'!H7,Recipes!$A:$D,4,FALSE)="",""," ["&amp;VLOOKUP('.'!H7,Recipes!$A:$D,4,FALSE)&amp;"]"))</f>
        <v/>
      </c>
      <c r="I7" s="46" t="str">
        <f t="array" ref="I7">IF('.'!I7="","",'.'!I7&amp;IF(VLOOKUP('.'!I7,Recipes!$A:$D,4,FALSE)="",""," ["&amp;VLOOKUP('.'!I7,Recipes!$A:$D,4,FALSE)&amp;"]"))</f>
        <v/>
      </c>
      <c r="J7" s="46" t="str">
        <f t="array" ref="J7">IF('.'!J7="","",'.'!J7&amp;IF(VLOOKUP('.'!J7,Recipes!$A:$D,4,FALSE)="",""," ["&amp;VLOOKUP('.'!J7,Recipes!$A:$D,4,FALSE)&amp;"]"))</f>
        <v/>
      </c>
      <c r="K7" s="46" t="str">
        <f t="array" ref="K7">IF('.'!K7="","",'.'!K7&amp;IF(VLOOKUP('.'!K7,Recipes!$A:$D,4,FALSE)="",""," ["&amp;VLOOKUP('.'!K7,Recipes!$A:$D,4,FALSE)&amp;"]"))</f>
        <v/>
      </c>
      <c r="L7" s="46" t="str">
        <f t="array" ref="L7">IF('.'!L7="","",'.'!L7&amp;IF(VLOOKUP('.'!L7,Recipes!$A:$D,4,FALSE)="",""," ["&amp;VLOOKUP('.'!L7,Recipes!$A:$D,4,FALSE)&amp;"]"))</f>
        <v/>
      </c>
      <c r="M7" s="46" t="str">
        <f t="array" ref="M7">IF('.'!M7="","",'.'!M7&amp;IF(VLOOKUP('.'!M7,Recipes!$A:$D,4,FALSE)="",""," ["&amp;VLOOKUP('.'!M7,Recipes!$A:$D,4,FALSE)&amp;"]"))</f>
        <v/>
      </c>
      <c r="N7" s="46"/>
      <c r="O7" s="46"/>
      <c r="P7" s="46"/>
      <c r="Q7" s="46"/>
      <c r="R7" s="46"/>
      <c r="S7" s="46"/>
      <c r="T7" s="46"/>
      <c r="U7" s="46"/>
      <c r="V7" s="46"/>
      <c r="W7" s="46"/>
      <c r="X7" s="46"/>
      <c r="Y7" s="46"/>
      <c r="Z7" s="46"/>
      <c r="AA7" s="46"/>
      <c r="AB7" s="46"/>
      <c r="AC7" s="46"/>
      <c r="AD7" s="46"/>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row>
    <row r="8" spans="1:78" ht="15.75" customHeight="1">
      <c r="A8" s="48" t="str">
        <f ca="1">'.'!A8</f>
        <v>[Huntsman Skillbook]</v>
      </c>
      <c r="B8" s="46" t="str">
        <f t="array" aca="1" ref="B8" ca="1">IF('.'!B8="","",'.'!B8&amp;IF(VLOOKUP('.'!B8,Recipes!$A:$D,4,FALSE)="",""," ["&amp;VLOOKUP('.'!B8,Recipes!$A:$D,4,FALSE)&amp;"]"))</f>
        <v>Cryotherapy Skillbook [-50]</v>
      </c>
      <c r="C8" s="46" t="str">
        <f t="array" aca="1" ref="C8" ca="1">IF('.'!C8="","",'.'!C8&amp;IF(VLOOKUP('.'!C8,Recipes!$A:$D,4,FALSE)="",""," ["&amp;VLOOKUP('.'!C8,Recipes!$A:$D,4,FALSE)&amp;"]"))</f>
        <v>Deploy Mass Traps Skillbook [-500]</v>
      </c>
      <c r="D8" s="46" t="str">
        <f t="array" aca="1" ref="D8" ca="1">IF('.'!D8="","",'.'!D8&amp;IF(VLOOKUP('.'!D8,Recipes!$A:$D,4,FALSE)="",""," ["&amp;VLOOKUP('.'!D8,Recipes!$A:$D,4,FALSE)&amp;"]"))</f>
        <v>Dust Blast Skillbook [-500]</v>
      </c>
      <c r="E8" s="46" t="str">
        <f t="array" aca="1" ref="E8" ca="1">IF('.'!E8="","",'.'!E8&amp;IF(VLOOKUP('.'!E8,Recipes!$A:$D,4,FALSE)="",""," ["&amp;VLOOKUP('.'!E8,Recipes!$A:$D,4,FALSE)&amp;"]"))</f>
        <v>Explosive Trap Skillbook [-50]</v>
      </c>
      <c r="F8" s="46" t="str">
        <f t="array" aca="1" ref="F8" ca="1">IF('.'!F8="","",'.'!F8&amp;IF(VLOOKUP('.'!F8,Recipes!$A:$D,4,FALSE)="",""," ["&amp;VLOOKUP('.'!F8,Recipes!$A:$D,4,FALSE)&amp;"]"))</f>
        <v>Mass Cryotherapy Skillbook [-500]</v>
      </c>
      <c r="G8" s="46" t="str">
        <f t="array" aca="1" ref="G8" ca="1">IF('.'!G8="","",'.'!G8&amp;IF(VLOOKUP('.'!G8,Recipes!$A:$D,4,FALSE)="",""," ["&amp;VLOOKUP('.'!G8,Recipes!$A:$D,4,FALSE)&amp;"]"))</f>
        <v>Throw Dust Skillbook [-50]</v>
      </c>
      <c r="H8" s="46" t="str">
        <f t="array" aca="1" ref="H8" ca="1">IF('.'!H8="","",'.'!H8&amp;IF(VLOOKUP('.'!H8,Recipes!$A:$D,4,FALSE)="",""," ["&amp;VLOOKUP('.'!H8,Recipes!$A:$D,4,FALSE)&amp;"]"))</f>
        <v>Uncanny Evasion Skillbook [-810]</v>
      </c>
      <c r="I8" s="46" t="str">
        <f t="array" aca="1" ref="I8" ca="1">IF('.'!I8="","",'.'!I8&amp;IF(VLOOKUP('.'!I8,Recipes!$A:$D,4,FALSE)="",""," ["&amp;VLOOKUP('.'!I8,Recipes!$A:$D,4,FALSE)&amp;"]"))</f>
        <v>Windwalker Skillbook [-50]</v>
      </c>
      <c r="J8" s="46" t="str">
        <f t="array" ref="J8">IF('.'!J8="","",'.'!J8&amp;IF(VLOOKUP('.'!J8,Recipes!$A:$D,4,FALSE)="",""," ["&amp;VLOOKUP('.'!J8,Recipes!$A:$D,4,FALSE)&amp;"]"))</f>
        <v/>
      </c>
      <c r="K8" s="46" t="str">
        <f t="array" ref="K8">IF('.'!K8="","",'.'!K8&amp;IF(VLOOKUP('.'!K8,Recipes!$A:$D,4,FALSE)="",""," ["&amp;VLOOKUP('.'!K8,Recipes!$A:$D,4,FALSE)&amp;"]"))</f>
        <v/>
      </c>
      <c r="L8" s="46" t="str">
        <f t="array" ref="L8">IF('.'!L8="","",'.'!L8&amp;IF(VLOOKUP('.'!L8,Recipes!$A:$D,4,FALSE)="",""," ["&amp;VLOOKUP('.'!L8,Recipes!$A:$D,4,FALSE)&amp;"]"))</f>
        <v/>
      </c>
      <c r="M8" s="46" t="str">
        <f t="array" ref="M8">IF('.'!M8="","",'.'!M8&amp;IF(VLOOKUP('.'!M8,Recipes!$A:$D,4,FALSE)="",""," ["&amp;VLOOKUP('.'!M8,Recipes!$A:$D,4,FALSE)&amp;"]"))</f>
        <v/>
      </c>
      <c r="N8" s="46"/>
      <c r="O8" s="46"/>
      <c r="P8" s="46"/>
      <c r="Q8" s="46"/>
      <c r="R8" s="46"/>
      <c r="S8" s="46"/>
      <c r="T8" s="46"/>
      <c r="U8" s="46"/>
      <c r="V8" s="46"/>
      <c r="W8" s="46"/>
      <c r="X8" s="46"/>
      <c r="Y8" s="46"/>
      <c r="Z8" s="46"/>
      <c r="AA8" s="46"/>
      <c r="AB8" s="46"/>
      <c r="AC8" s="46"/>
      <c r="AD8" s="46"/>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row>
    <row r="9" spans="1:78" ht="15.75" customHeight="1">
      <c r="A9" s="48" t="str">
        <f ca="1">'.'!A9</f>
        <v>[Huntsman Source Skillbook]</v>
      </c>
      <c r="B9" s="46" t="str">
        <f t="array" aca="1" ref="B9" ca="1">IF('.'!B9="","",'.'!B9&amp;IF(VLOOKUP('.'!B9,Recipes!$A:$D,4,FALSE)="",""," ["&amp;VLOOKUP('.'!B9,Recipes!$A:$D,4,FALSE)&amp;"]"))</f>
        <v>Deploy Mass Traps Skillbook [-500]</v>
      </c>
      <c r="C9" s="46" t="str">
        <f t="array" aca="1" ref="C9" ca="1">IF('.'!C9="","",'.'!C9&amp;IF(VLOOKUP('.'!C9,Recipes!$A:$D,4,FALSE)="",""," ["&amp;VLOOKUP('.'!C9,Recipes!$A:$D,4,FALSE)&amp;"]"))</f>
        <v>Dust Blast Skillbook [-500]</v>
      </c>
      <c r="D9" s="46" t="str">
        <f t="array" aca="1" ref="D9" ca="1">IF('.'!D9="","",'.'!D9&amp;IF(VLOOKUP('.'!D9,Recipes!$A:$D,4,FALSE)="",""," ["&amp;VLOOKUP('.'!D9,Recipes!$A:$D,4,FALSE)&amp;"]"))</f>
        <v>Mass Cryotherapy Skillbook [-500]</v>
      </c>
      <c r="E9" s="46" t="str">
        <f t="array" aca="1" ref="E9" ca="1">IF('.'!E9="","",'.'!E9&amp;IF(VLOOKUP('.'!E9,Recipes!$A:$D,4,FALSE)="",""," ["&amp;VLOOKUP('.'!E9,Recipes!$A:$D,4,FALSE)&amp;"]"))</f>
        <v>Uncanny Evasion Skillbook [-810]</v>
      </c>
      <c r="F9" s="46" t="str">
        <f t="array" ref="F9">IF('.'!F9="","",'.'!F9&amp;IF(VLOOKUP('.'!F9,Recipes!$A:$D,4,FALSE)="",""," ["&amp;VLOOKUP('.'!F9,Recipes!$A:$D,4,FALSE)&amp;"]"))</f>
        <v/>
      </c>
      <c r="G9" s="46" t="str">
        <f t="array" ref="G9">IF('.'!G9="","",'.'!G9&amp;IF(VLOOKUP('.'!G9,Recipes!$A:$D,4,FALSE)="",""," ["&amp;VLOOKUP('.'!G9,Recipes!$A:$D,4,FALSE)&amp;"]"))</f>
        <v/>
      </c>
      <c r="H9" s="46" t="str">
        <f t="array" ref="H9">IF('.'!H9="","",'.'!H9&amp;IF(VLOOKUP('.'!H9,Recipes!$A:$D,4,FALSE)="",""," ["&amp;VLOOKUP('.'!H9,Recipes!$A:$D,4,FALSE)&amp;"]"))</f>
        <v/>
      </c>
      <c r="I9" s="46" t="str">
        <f t="array" ref="I9">IF('.'!I9="","",'.'!I9&amp;IF(VLOOKUP('.'!I9,Recipes!$A:$D,4,FALSE)="",""," ["&amp;VLOOKUP('.'!I9,Recipes!$A:$D,4,FALSE)&amp;"]"))</f>
        <v/>
      </c>
      <c r="J9" s="46" t="str">
        <f t="array" ref="J9">IF('.'!J9="","",'.'!J9&amp;IF(VLOOKUP('.'!J9,Recipes!$A:$D,4,FALSE)="",""," ["&amp;VLOOKUP('.'!J9,Recipes!$A:$D,4,FALSE)&amp;"]"))</f>
        <v/>
      </c>
      <c r="K9" s="46" t="str">
        <f t="array" ref="K9">IF('.'!K9="","",'.'!K9&amp;IF(VLOOKUP('.'!K9,Recipes!$A:$D,4,FALSE)="",""," ["&amp;VLOOKUP('.'!K9,Recipes!$A:$D,4,FALSE)&amp;"]"))</f>
        <v/>
      </c>
      <c r="L9" s="46" t="str">
        <f t="array" ref="L9">IF('.'!L9="","",'.'!L9&amp;IF(VLOOKUP('.'!L9,Recipes!$A:$D,4,FALSE)="",""," ["&amp;VLOOKUP('.'!L9,Recipes!$A:$D,4,FALSE)&amp;"]"))</f>
        <v/>
      </c>
      <c r="M9" s="46" t="str">
        <f t="array" ref="M9">IF('.'!M9="","",'.'!M9&amp;IF(VLOOKUP('.'!M9,Recipes!$A:$D,4,FALSE)="",""," ["&amp;VLOOKUP('.'!M9,Recipes!$A:$D,4,FALSE)&amp;"]"))</f>
        <v/>
      </c>
      <c r="N9" s="46"/>
      <c r="O9" s="46"/>
      <c r="P9" s="46"/>
      <c r="Q9" s="46"/>
      <c r="R9" s="46"/>
      <c r="S9" s="46"/>
      <c r="T9" s="46"/>
      <c r="U9" s="46"/>
      <c r="V9" s="46"/>
      <c r="W9" s="46"/>
      <c r="X9" s="46"/>
      <c r="Y9" s="46"/>
      <c r="Z9" s="46"/>
      <c r="AA9" s="46"/>
      <c r="AB9" s="46"/>
      <c r="AC9" s="46"/>
      <c r="AD9" s="46"/>
      <c r="AE9" s="47"/>
      <c r="AF9" s="47"/>
      <c r="AG9" s="47"/>
      <c r="AH9" s="47"/>
      <c r="AI9" s="47"/>
      <c r="AJ9" s="47"/>
      <c r="AK9" s="47"/>
      <c r="AL9" s="47"/>
      <c r="AM9" s="47"/>
      <c r="AN9" s="47"/>
      <c r="AO9" s="47"/>
      <c r="AP9" s="47"/>
      <c r="AQ9" s="47"/>
      <c r="AR9" s="47"/>
      <c r="AS9" s="47"/>
      <c r="AT9" s="47"/>
      <c r="AU9" s="47"/>
      <c r="AV9" s="47"/>
      <c r="AW9" s="47"/>
      <c r="AX9" s="47"/>
      <c r="AY9" s="47"/>
      <c r="AZ9" s="47"/>
      <c r="BA9" s="47"/>
      <c r="BB9" s="47"/>
      <c r="BC9" s="47"/>
      <c r="BD9" s="47"/>
      <c r="BE9" s="47"/>
      <c r="BF9" s="47"/>
      <c r="BG9" s="47"/>
      <c r="BH9" s="47"/>
      <c r="BI9" s="47"/>
      <c r="BJ9" s="47"/>
      <c r="BK9" s="47"/>
      <c r="BL9" s="47"/>
      <c r="BM9" s="47"/>
      <c r="BN9" s="47"/>
      <c r="BO9" s="47"/>
      <c r="BP9" s="47"/>
      <c r="BQ9" s="47"/>
      <c r="BR9" s="47"/>
      <c r="BS9" s="47"/>
      <c r="BT9" s="47"/>
      <c r="BU9" s="47"/>
      <c r="BV9" s="47"/>
      <c r="BW9" s="47"/>
      <c r="BX9" s="47"/>
      <c r="BY9" s="47"/>
      <c r="BZ9" s="47"/>
    </row>
    <row r="10" spans="1:78" ht="15.75" customHeight="1">
      <c r="A10" s="48" t="str">
        <f ca="1">'.'!A10</f>
        <v>[Necromancy Skillbook]</v>
      </c>
      <c r="B10" s="46" t="str">
        <f t="array" aca="1" ref="B10" ca="1">IF('.'!B10="","",'.'!B10&amp;IF(VLOOKUP('.'!B10,Recipes!$A:$D,4,FALSE)="",""," ["&amp;VLOOKUP('.'!B10,Recipes!$A:$D,4,FALSE)&amp;"]"))</f>
        <v>Blood Storm Skillbook [-500]</v>
      </c>
      <c r="C10" s="46" t="str">
        <f t="array" aca="1" ref="C10" ca="1">IF('.'!C10="","",'.'!C10&amp;IF(VLOOKUP('.'!C10,Recipes!$A:$D,4,FALSE)="",""," ["&amp;VLOOKUP('.'!C10,Recipes!$A:$D,4,FALSE)&amp;"]"))</f>
        <v>Corpse Explosion Skillbook [-50]</v>
      </c>
      <c r="D10" s="46" t="str">
        <f t="array" aca="1" ref="D10" ca="1">IF('.'!D10="","",'.'!D10&amp;IF(VLOOKUP('.'!D10,Recipes!$A:$D,4,FALSE)="",""," ["&amp;VLOOKUP('.'!D10,Recipes!$A:$D,4,FALSE)&amp;"]"))</f>
        <v>Corrosive Spray Skillbook [-500]</v>
      </c>
      <c r="E10" s="46" t="str">
        <f t="array" aca="1" ref="E10" ca="1">IF('.'!E10="","",'.'!E10&amp;IF(VLOOKUP('.'!E10,Recipes!$A:$D,4,FALSE)="",""," ["&amp;VLOOKUP('.'!E10,Recipes!$A:$D,4,FALSE)&amp;"]"))</f>
        <v>Mass Corpse Explosion Skillbook [-500]</v>
      </c>
      <c r="F10" s="46" t="str">
        <f t="array" aca="1" ref="F10" ca="1">IF('.'!F10="","",'.'!F10&amp;IF(VLOOKUP('.'!F10,Recipes!$A:$D,4,FALSE)="",""," ["&amp;VLOOKUP('.'!F10,Recipes!$A:$D,4,FALSE)&amp;"]"))</f>
        <v>Raining Blood Skillbook [-60]</v>
      </c>
      <c r="G10" s="46" t="str">
        <f t="array" aca="1" ref="G10" ca="1">IF('.'!G10="","",'.'!G10&amp;IF(VLOOKUP('.'!G10,Recipes!$A:$D,4,FALSE)="",""," ["&amp;VLOOKUP('.'!G10,Recipes!$A:$D,4,FALSE)&amp;"]"))</f>
        <v>Vacuum Aura Skillbook [-500]</v>
      </c>
      <c r="H10" s="46" t="str">
        <f t="array" aca="1" ref="H10" ca="1">IF('.'!H10="","",'.'!H10&amp;IF(VLOOKUP('.'!H10,Recipes!$A:$D,4,FALSE)="",""," ["&amp;VLOOKUP('.'!H10,Recipes!$A:$D,4,FALSE)&amp;"]"))</f>
        <v>Vacuum Touch Skillbook [-50]</v>
      </c>
      <c r="I10" s="46" t="str">
        <f t="array" ref="I10">IF('.'!I10="","",'.'!I10&amp;IF(VLOOKUP('.'!I10,Recipes!$A:$D,4,FALSE)="",""," ["&amp;VLOOKUP('.'!I10,Recipes!$A:$D,4,FALSE)&amp;"]"))</f>
        <v/>
      </c>
      <c r="J10" s="46" t="str">
        <f t="array" ref="J10">IF('.'!J10="","",'.'!J10&amp;IF(VLOOKUP('.'!J10,Recipes!$A:$D,4,FALSE)="",""," ["&amp;VLOOKUP('.'!J10,Recipes!$A:$D,4,FALSE)&amp;"]"))</f>
        <v/>
      </c>
      <c r="K10" s="46" t="str">
        <f t="array" ref="K10">IF('.'!K10="","",'.'!K10&amp;IF(VLOOKUP('.'!K10,Recipes!$A:$D,4,FALSE)="",""," ["&amp;VLOOKUP('.'!K10,Recipes!$A:$D,4,FALSE)&amp;"]"))</f>
        <v/>
      </c>
      <c r="L10" s="46" t="str">
        <f t="array" ref="L10">IF('.'!L10="","",'.'!L10&amp;IF(VLOOKUP('.'!L10,Recipes!$A:$D,4,FALSE)="",""," ["&amp;VLOOKUP('.'!L10,Recipes!$A:$D,4,FALSE)&amp;"]"))</f>
        <v/>
      </c>
      <c r="M10" s="46" t="str">
        <f t="array" ref="M10">IF('.'!M10="","",'.'!M10&amp;IF(VLOOKUP('.'!M10,Recipes!$A:$D,4,FALSE)="",""," ["&amp;VLOOKUP('.'!M10,Recipes!$A:$D,4,FALSE)&amp;"]"))</f>
        <v/>
      </c>
      <c r="N10" s="46"/>
      <c r="O10" s="46"/>
      <c r="P10" s="46"/>
      <c r="Q10" s="46"/>
      <c r="R10" s="46"/>
      <c r="S10" s="46"/>
      <c r="T10" s="46"/>
      <c r="U10" s="46"/>
      <c r="V10" s="46"/>
      <c r="W10" s="46"/>
      <c r="X10" s="46"/>
      <c r="Y10" s="46"/>
      <c r="Z10" s="46"/>
      <c r="AA10" s="46"/>
      <c r="AB10" s="46"/>
      <c r="AC10" s="46"/>
      <c r="AD10" s="46"/>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c r="BE10" s="47"/>
      <c r="BF10" s="47"/>
      <c r="BG10" s="47"/>
      <c r="BH10" s="47"/>
      <c r="BI10" s="47"/>
      <c r="BJ10" s="47"/>
      <c r="BK10" s="47"/>
      <c r="BL10" s="47"/>
      <c r="BM10" s="47"/>
      <c r="BN10" s="47"/>
      <c r="BO10" s="47"/>
      <c r="BP10" s="47"/>
      <c r="BQ10" s="47"/>
      <c r="BR10" s="47"/>
      <c r="BS10" s="47"/>
      <c r="BT10" s="47"/>
      <c r="BU10" s="47"/>
      <c r="BV10" s="47"/>
      <c r="BW10" s="47"/>
      <c r="BX10" s="47"/>
      <c r="BY10" s="47"/>
      <c r="BZ10" s="47"/>
    </row>
    <row r="11" spans="1:78" ht="15.75" customHeight="1">
      <c r="A11" s="48" t="str">
        <f ca="1">'.'!A11</f>
        <v>[Necromancy Source Skillbook]</v>
      </c>
      <c r="B11" s="46" t="str">
        <f t="array" aca="1" ref="B11" ca="1">IF('.'!B11="","",'.'!B11&amp;IF(VLOOKUP('.'!B11,Recipes!$A:$D,4,FALSE)="",""," ["&amp;VLOOKUP('.'!B11,Recipes!$A:$D,4,FALSE)&amp;"]"))</f>
        <v>Blood Storm Skillbook [-500]</v>
      </c>
      <c r="C11" s="46" t="str">
        <f t="array" aca="1" ref="C11" ca="1">IF('.'!C11="","",'.'!C11&amp;IF(VLOOKUP('.'!C11,Recipes!$A:$D,4,FALSE)="",""," ["&amp;VLOOKUP('.'!C11,Recipes!$A:$D,4,FALSE)&amp;"]"))</f>
        <v>Corrosive Spray Skillbook [-500]</v>
      </c>
      <c r="D11" s="46" t="str">
        <f t="array" aca="1" ref="D11" ca="1">IF('.'!D11="","",'.'!D11&amp;IF(VLOOKUP('.'!D11,Recipes!$A:$D,4,FALSE)="",""," ["&amp;VLOOKUP('.'!D11,Recipes!$A:$D,4,FALSE)&amp;"]"))</f>
        <v>Mass Corpse Explosion Skillbook [-500]</v>
      </c>
      <c r="E11" s="46" t="str">
        <f t="array" aca="1" ref="E11" ca="1">IF('.'!E11="","",'.'!E11&amp;IF(VLOOKUP('.'!E11,Recipes!$A:$D,4,FALSE)="",""," ["&amp;VLOOKUP('.'!E11,Recipes!$A:$D,4,FALSE)&amp;"]"))</f>
        <v>Vacuum Aura Skillbook [-500]</v>
      </c>
      <c r="F11" s="46" t="str">
        <f t="array" ref="F11">IF('.'!F11="","",'.'!F11&amp;IF(VLOOKUP('.'!F11,Recipes!$A:$D,4,FALSE)="",""," ["&amp;VLOOKUP('.'!F11,Recipes!$A:$D,4,FALSE)&amp;"]"))</f>
        <v/>
      </c>
      <c r="G11" s="46" t="str">
        <f t="array" ref="G11">IF('.'!G11="","",'.'!G11&amp;IF(VLOOKUP('.'!G11,Recipes!$A:$D,4,FALSE)="",""," ["&amp;VLOOKUP('.'!G11,Recipes!$A:$D,4,FALSE)&amp;"]"))</f>
        <v/>
      </c>
      <c r="H11" s="46" t="str">
        <f t="array" ref="H11">IF('.'!H11="","",'.'!H11&amp;IF(VLOOKUP('.'!H11,Recipes!$A:$D,4,FALSE)="",""," ["&amp;VLOOKUP('.'!H11,Recipes!$A:$D,4,FALSE)&amp;"]"))</f>
        <v/>
      </c>
      <c r="I11" s="46" t="str">
        <f t="array" ref="I11">IF('.'!I11="","",'.'!I11&amp;IF(VLOOKUP('.'!I11,Recipes!$A:$D,4,FALSE)="",""," ["&amp;VLOOKUP('.'!I11,Recipes!$A:$D,4,FALSE)&amp;"]"))</f>
        <v/>
      </c>
      <c r="J11" s="46" t="str">
        <f t="array" ref="J11">IF('.'!J11="","",'.'!J11&amp;IF(VLOOKUP('.'!J11,Recipes!$A:$D,4,FALSE)="",""," ["&amp;VLOOKUP('.'!J11,Recipes!$A:$D,4,FALSE)&amp;"]"))</f>
        <v/>
      </c>
      <c r="K11" s="46" t="str">
        <f t="array" ref="K11">IF('.'!K11="","",'.'!K11&amp;IF(VLOOKUP('.'!K11,Recipes!$A:$D,4,FALSE)="",""," ["&amp;VLOOKUP('.'!K11,Recipes!$A:$D,4,FALSE)&amp;"]"))</f>
        <v/>
      </c>
      <c r="L11" s="46" t="str">
        <f t="array" ref="L11">IF('.'!L11="","",'.'!L11&amp;IF(VLOOKUP('.'!L11,Recipes!$A:$D,4,FALSE)="",""," ["&amp;VLOOKUP('.'!L11,Recipes!$A:$D,4,FALSE)&amp;"]"))</f>
        <v/>
      </c>
      <c r="M11" s="46" t="str">
        <f t="array" ref="M11">IF('.'!M11="","",'.'!M11&amp;IF(VLOOKUP('.'!M11,Recipes!$A:$D,4,FALSE)="",""," ["&amp;VLOOKUP('.'!M11,Recipes!$A:$D,4,FALSE)&amp;"]"))</f>
        <v/>
      </c>
      <c r="N11" s="46"/>
      <c r="O11" s="46"/>
      <c r="P11" s="46"/>
      <c r="Q11" s="46"/>
      <c r="R11" s="46"/>
      <c r="S11" s="46"/>
      <c r="T11" s="46"/>
      <c r="U11" s="46"/>
      <c r="V11" s="46"/>
      <c r="W11" s="46"/>
      <c r="X11" s="46"/>
      <c r="Y11" s="46"/>
      <c r="Z11" s="46"/>
      <c r="AA11" s="46"/>
      <c r="AB11" s="46"/>
      <c r="AC11" s="46"/>
      <c r="AD11" s="46"/>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47"/>
      <c r="BD11" s="47"/>
      <c r="BE11" s="47"/>
      <c r="BF11" s="47"/>
      <c r="BG11" s="47"/>
      <c r="BH11" s="47"/>
      <c r="BI11" s="47"/>
      <c r="BJ11" s="47"/>
      <c r="BK11" s="47"/>
      <c r="BL11" s="47"/>
      <c r="BM11" s="47"/>
      <c r="BN11" s="47"/>
      <c r="BO11" s="47"/>
      <c r="BP11" s="47"/>
      <c r="BQ11" s="47"/>
      <c r="BR11" s="47"/>
      <c r="BS11" s="47"/>
      <c r="BT11" s="47"/>
      <c r="BU11" s="47"/>
      <c r="BV11" s="47"/>
      <c r="BW11" s="47"/>
      <c r="BX11" s="47"/>
      <c r="BY11" s="47"/>
      <c r="BZ11" s="47"/>
    </row>
    <row r="12" spans="1:78" ht="15.75" customHeight="1">
      <c r="A12" s="48" t="str">
        <f ca="1">'.'!A12</f>
        <v>[Polymorph Skillbook]</v>
      </c>
      <c r="B12" s="46" t="str">
        <f t="array" aca="1" ref="B12" ca="1">IF('.'!B12="","",'.'!B12&amp;IF(VLOOKUP('.'!B12,Recipes!$A:$D,4,FALSE)="",""," ["&amp;VLOOKUP('.'!B12,Recipes!$A:$D,4,FALSE)&amp;"]"))</f>
        <v>Bleed Fire Skillbook [-60]</v>
      </c>
      <c r="C12" s="46" t="str">
        <f t="array" aca="1" ref="C12" ca="1">IF('.'!C12="","",'.'!C12&amp;IF(VLOOKUP('.'!C12,Recipes!$A:$D,4,FALSE)="",""," ["&amp;VLOOKUP('.'!C12,Recipes!$A:$D,4,FALSE)&amp;"]"))</f>
        <v>Flaming Skin Skillbook [-500]</v>
      </c>
      <c r="D12" s="46" t="str">
        <f t="array" aca="1" ref="D12" ca="1">IF('.'!D12="","",'.'!D12&amp;IF(VLOOKUP('.'!D12,Recipes!$A:$D,4,FALSE)="",""," ["&amp;VLOOKUP('.'!D12,Recipes!$A:$D,4,FALSE)&amp;"]"))</f>
        <v>Healing Tears Skillbook [-50]</v>
      </c>
      <c r="E12" s="46" t="str">
        <f t="array" aca="1" ref="E12" ca="1">IF('.'!E12="","",'.'!E12&amp;IF(VLOOKUP('.'!E12,Recipes!$A:$D,4,FALSE)="",""," ["&amp;VLOOKUP('.'!E12,Recipes!$A:$D,4,FALSE)&amp;"]"))</f>
        <v>Icy Skin Skillbook [-500]</v>
      </c>
      <c r="F12" s="46" t="str">
        <f t="array" aca="1" ref="F12" ca="1">IF('.'!F12="","",'.'!F12&amp;IF(VLOOKUP('.'!F12,Recipes!$A:$D,4,FALSE)="",""," ["&amp;VLOOKUP('.'!F12,Recipes!$A:$D,4,FALSE)&amp;"]"))</f>
        <v>Jellyfish Skin Skillbook [-500]</v>
      </c>
      <c r="G12" s="46" t="str">
        <f t="array" aca="1" ref="G12" ca="1">IF('.'!G12="","",'.'!G12&amp;IF(VLOOKUP('.'!G12,Recipes!$A:$D,4,FALSE)="",""," ["&amp;VLOOKUP('.'!G12,Recipes!$A:$D,4,FALSE)&amp;"]"))</f>
        <v>Poisonous Skin Skillbook [-500]</v>
      </c>
      <c r="H12" s="46" t="str">
        <f t="array" aca="1" ref="H12" ca="1">IF('.'!H12="","",'.'!H12&amp;IF(VLOOKUP('.'!H12,Recipes!$A:$D,4,FALSE)="",""," ["&amp;VLOOKUP('.'!H12,Recipes!$A:$D,4,FALSE)&amp;"]"))</f>
        <v>Turn To Oil Skillbook [-50]</v>
      </c>
      <c r="I12" s="46" t="str">
        <f t="array" aca="1" ref="I12" ca="1">IF('.'!I12="","",'.'!I12&amp;IF(VLOOKUP('.'!I12,Recipes!$A:$D,4,FALSE)="",""," ["&amp;VLOOKUP('.'!I12,Recipes!$A:$D,4,FALSE)&amp;"]"))</f>
        <v>Vaporize Skillbook [-50]</v>
      </c>
      <c r="J12" s="46" t="str">
        <f t="array" ref="J12">IF('.'!J12="","",'.'!J12&amp;IF(VLOOKUP('.'!J12,Recipes!$A:$D,4,FALSE)="",""," ["&amp;VLOOKUP('.'!J12,Recipes!$A:$D,4,FALSE)&amp;"]"))</f>
        <v/>
      </c>
      <c r="K12" s="46" t="str">
        <f t="array" ref="K12">IF('.'!K12="","",'.'!K12&amp;IF(VLOOKUP('.'!K12,Recipes!$A:$D,4,FALSE)="",""," ["&amp;VLOOKUP('.'!K12,Recipes!$A:$D,4,FALSE)&amp;"]"))</f>
        <v/>
      </c>
      <c r="L12" s="46" t="str">
        <f t="array" ref="L12">IF('.'!L12="","",'.'!L12&amp;IF(VLOOKUP('.'!L12,Recipes!$A:$D,4,FALSE)="",""," ["&amp;VLOOKUP('.'!L12,Recipes!$A:$D,4,FALSE)&amp;"]"))</f>
        <v/>
      </c>
      <c r="M12" s="46" t="str">
        <f t="array" ref="M12">IF('.'!M12="","",'.'!M12&amp;IF(VLOOKUP('.'!M12,Recipes!$A:$D,4,FALSE)="",""," ["&amp;VLOOKUP('.'!M12,Recipes!$A:$D,4,FALSE)&amp;"]"))</f>
        <v/>
      </c>
      <c r="N12" s="46"/>
      <c r="O12" s="46"/>
      <c r="P12" s="46"/>
      <c r="Q12" s="46"/>
      <c r="R12" s="46"/>
      <c r="S12" s="46"/>
      <c r="T12" s="46"/>
      <c r="U12" s="46"/>
      <c r="V12" s="46"/>
      <c r="W12" s="46"/>
      <c r="X12" s="46"/>
      <c r="Y12" s="46"/>
      <c r="Z12" s="46"/>
      <c r="AA12" s="46"/>
      <c r="AB12" s="46"/>
      <c r="AC12" s="46"/>
      <c r="AD12" s="46"/>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47"/>
      <c r="BD12" s="47"/>
      <c r="BE12" s="47"/>
      <c r="BF12" s="47"/>
      <c r="BG12" s="47"/>
      <c r="BH12" s="47"/>
      <c r="BI12" s="47"/>
      <c r="BJ12" s="47"/>
      <c r="BK12" s="47"/>
      <c r="BL12" s="47"/>
      <c r="BM12" s="47"/>
      <c r="BN12" s="47"/>
      <c r="BO12" s="47"/>
      <c r="BP12" s="47"/>
      <c r="BQ12" s="47"/>
      <c r="BR12" s="47"/>
      <c r="BS12" s="47"/>
      <c r="BT12" s="47"/>
      <c r="BU12" s="47"/>
      <c r="BV12" s="47"/>
      <c r="BW12" s="47"/>
      <c r="BX12" s="47"/>
      <c r="BY12" s="47"/>
      <c r="BZ12" s="47"/>
    </row>
    <row r="13" spans="1:78" ht="15.75" customHeight="1">
      <c r="A13" s="48" t="str">
        <f ca="1">'.'!A13</f>
        <v>[Polymorph Source Skillbook]</v>
      </c>
      <c r="B13" s="46" t="str">
        <f t="array" aca="1" ref="B13" ca="1">IF('.'!B13="","",'.'!B13&amp;IF(VLOOKUP('.'!B13,Recipes!$A:$D,4,FALSE)="",""," ["&amp;VLOOKUP('.'!B13,Recipes!$A:$D,4,FALSE)&amp;"]"))</f>
        <v>Flaming Skin Skillbook [-500]</v>
      </c>
      <c r="C13" s="46" t="str">
        <f t="array" aca="1" ref="C13" ca="1">IF('.'!C13="","",'.'!C13&amp;IF(VLOOKUP('.'!C13,Recipes!$A:$D,4,FALSE)="",""," ["&amp;VLOOKUP('.'!C13,Recipes!$A:$D,4,FALSE)&amp;"]"))</f>
        <v>Icy Skin Skillbook [-500]</v>
      </c>
      <c r="D13" s="46" t="str">
        <f t="array" aca="1" ref="D13" ca="1">IF('.'!D13="","",'.'!D13&amp;IF(VLOOKUP('.'!D13,Recipes!$A:$D,4,FALSE)="",""," ["&amp;VLOOKUP('.'!D13,Recipes!$A:$D,4,FALSE)&amp;"]"))</f>
        <v>Jellyfish Skin Skillbook [-500]</v>
      </c>
      <c r="E13" s="46" t="str">
        <f t="array" aca="1" ref="E13" ca="1">IF('.'!E13="","",'.'!E13&amp;IF(VLOOKUP('.'!E13,Recipes!$A:$D,4,FALSE)="",""," ["&amp;VLOOKUP('.'!E13,Recipes!$A:$D,4,FALSE)&amp;"]"))</f>
        <v>Poisonous Skin Skillbook [-500]</v>
      </c>
      <c r="F13" s="46" t="str">
        <f t="array" ref="F13">IF('.'!F13="","",'.'!F13&amp;IF(VLOOKUP('.'!F13,Recipes!$A:$D,4,FALSE)="",""," ["&amp;VLOOKUP('.'!F13,Recipes!$A:$D,4,FALSE)&amp;"]"))</f>
        <v/>
      </c>
      <c r="G13" s="46" t="str">
        <f t="array" ref="G13">IF('.'!G13="","",'.'!G13&amp;IF(VLOOKUP('.'!G13,Recipes!$A:$D,4,FALSE)="",""," ["&amp;VLOOKUP('.'!G13,Recipes!$A:$D,4,FALSE)&amp;"]"))</f>
        <v/>
      </c>
      <c r="H13" s="46" t="str">
        <f t="array" ref="H13">IF('.'!H13="","",'.'!H13&amp;IF(VLOOKUP('.'!H13,Recipes!$A:$D,4,FALSE)="",""," ["&amp;VLOOKUP('.'!H13,Recipes!$A:$D,4,FALSE)&amp;"]"))</f>
        <v/>
      </c>
      <c r="I13" s="46" t="str">
        <f t="array" ref="I13">IF('.'!I13="","",'.'!I13&amp;IF(VLOOKUP('.'!I13,Recipes!$A:$D,4,FALSE)="",""," ["&amp;VLOOKUP('.'!I13,Recipes!$A:$D,4,FALSE)&amp;"]"))</f>
        <v/>
      </c>
      <c r="J13" s="46" t="str">
        <f t="array" ref="J13">IF('.'!J13="","",'.'!J13&amp;IF(VLOOKUP('.'!J13,Recipes!$A:$D,4,FALSE)="",""," ["&amp;VLOOKUP('.'!J13,Recipes!$A:$D,4,FALSE)&amp;"]"))</f>
        <v/>
      </c>
      <c r="K13" s="46" t="str">
        <f t="array" ref="K13">IF('.'!K13="","",'.'!K13&amp;IF(VLOOKUP('.'!K13,Recipes!$A:$D,4,FALSE)="",""," ["&amp;VLOOKUP('.'!K13,Recipes!$A:$D,4,FALSE)&amp;"]"))</f>
        <v/>
      </c>
      <c r="L13" s="46" t="str">
        <f t="array" ref="L13">IF('.'!L13="","",'.'!L13&amp;IF(VLOOKUP('.'!L13,Recipes!$A:$D,4,FALSE)="",""," ["&amp;VLOOKUP('.'!L13,Recipes!$A:$D,4,FALSE)&amp;"]"))</f>
        <v/>
      </c>
      <c r="M13" s="46" t="str">
        <f t="array" ref="M13">IF('.'!M13="","",'.'!M13&amp;IF(VLOOKUP('.'!M13,Recipes!$A:$D,4,FALSE)="",""," ["&amp;VLOOKUP('.'!M13,Recipes!$A:$D,4,FALSE)&amp;"]"))</f>
        <v/>
      </c>
      <c r="N13" s="46"/>
      <c r="O13" s="46"/>
      <c r="P13" s="46"/>
      <c r="Q13" s="46"/>
      <c r="R13" s="46"/>
      <c r="S13" s="46"/>
      <c r="T13" s="46"/>
      <c r="U13" s="46"/>
      <c r="V13" s="46"/>
      <c r="W13" s="46"/>
      <c r="X13" s="46"/>
      <c r="Y13" s="46"/>
      <c r="Z13" s="46"/>
      <c r="AA13" s="46"/>
      <c r="AB13" s="46"/>
      <c r="AC13" s="46"/>
      <c r="AD13" s="46"/>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7"/>
      <c r="BC13" s="47"/>
      <c r="BD13" s="47"/>
      <c r="BE13" s="47"/>
      <c r="BF13" s="47"/>
      <c r="BG13" s="47"/>
      <c r="BH13" s="47"/>
      <c r="BI13" s="47"/>
      <c r="BJ13" s="47"/>
      <c r="BK13" s="47"/>
      <c r="BL13" s="47"/>
      <c r="BM13" s="47"/>
      <c r="BN13" s="47"/>
      <c r="BO13" s="47"/>
      <c r="BP13" s="47"/>
      <c r="BQ13" s="47"/>
      <c r="BR13" s="47"/>
      <c r="BS13" s="47"/>
      <c r="BT13" s="47"/>
      <c r="BU13" s="47"/>
      <c r="BV13" s="47"/>
      <c r="BW13" s="47"/>
      <c r="BX13" s="47"/>
      <c r="BY13" s="47"/>
      <c r="BZ13" s="47"/>
    </row>
    <row r="14" spans="1:78" ht="15.75" customHeight="1">
      <c r="A14" s="48" t="str">
        <f ca="1">'.'!A14</f>
        <v>[Scoundrel Skillbook]</v>
      </c>
      <c r="B14" s="46" t="str">
        <f t="array" aca="1" ref="B14" ca="1">IF('.'!B14="","",'.'!B14&amp;IF(VLOOKUP('.'!B14,Recipes!$A:$D,4,FALSE)="",""," ["&amp;VLOOKUP('.'!B14,Recipes!$A:$D,4,FALSE)&amp;"]"))</f>
        <v>Blessed Smoke Cloud Skillbook [-500]</v>
      </c>
      <c r="C14" s="46" t="str">
        <f t="array" aca="1" ref="C14" ca="1">IF('.'!C14="","",'.'!C14&amp;IF(VLOOKUP('.'!C14,Recipes!$A:$D,4,FALSE)="",""," ["&amp;VLOOKUP('.'!C14,Recipes!$A:$D,4,FALSE)&amp;"]"))</f>
        <v>Mass Sabotage Skillbook [-500]</v>
      </c>
      <c r="D14" s="46" t="str">
        <f t="array" aca="1" ref="D14" ca="1">IF('.'!D14="","",'.'!D14&amp;IF(VLOOKUP('.'!D14,Recipes!$A:$D,4,FALSE)="",""," ["&amp;VLOOKUP('.'!D14,Recipes!$A:$D,4,FALSE)&amp;"]"))</f>
        <v>Sabotage Skillbook [-50]</v>
      </c>
      <c r="E14" s="46" t="str">
        <f t="array" aca="1" ref="E14" ca="1">IF('.'!E14="","",'.'!E14&amp;IF(VLOOKUP('.'!E14,Recipes!$A:$D,4,FALSE)="",""," ["&amp;VLOOKUP('.'!E14,Recipes!$A:$D,4,FALSE)&amp;"]"))</f>
        <v>Smoke Cover Skillbook [-50]</v>
      </c>
      <c r="F14" s="46" t="str">
        <f t="array" aca="1" ref="F14" ca="1">IF('.'!F14="","",'.'!F14&amp;IF(VLOOKUP('.'!F14,Recipes!$A:$D,4,FALSE)="",""," ["&amp;VLOOKUP('.'!F14,Recipes!$A:$D,4,FALSE)&amp;"]"))</f>
        <v>Vampiric Hunger Aura Skillbook [-500]</v>
      </c>
      <c r="G14" s="46" t="str">
        <f t="array" aca="1" ref="G14" ca="1">IF('.'!G14="","",'.'!G14&amp;IF(VLOOKUP('.'!G14,Recipes!$A:$D,4,FALSE)="",""," ["&amp;VLOOKUP('.'!G14,Recipes!$A:$D,4,FALSE)&amp;"]"))</f>
        <v>Vampiric Hunger Skillbook [-50]</v>
      </c>
      <c r="H14" s="46" t="str">
        <f t="array" aca="1" ref="H14" ca="1">IF('.'!H14="","",'.'!H14&amp;IF(VLOOKUP('.'!H14,Recipes!$A:$D,4,FALSE)="",""," ["&amp;VLOOKUP('.'!H14,Recipes!$A:$D,4,FALSE)&amp;"]"))</f>
        <v>Venom Coating Skillbook [-50]</v>
      </c>
      <c r="I14" s="46" t="str">
        <f t="array" aca="1" ref="I14" ca="1">IF('.'!I14="","",'.'!I14&amp;IF(VLOOKUP('.'!I14,Recipes!$A:$D,4,FALSE)="",""," ["&amp;VLOOKUP('.'!I14,Recipes!$A:$D,4,FALSE)&amp;"]"))</f>
        <v>Venomous Aura Skillbook [-500]</v>
      </c>
      <c r="J14" s="46" t="str">
        <f t="array" ref="J14">IF('.'!J14="","",'.'!J14&amp;IF(VLOOKUP('.'!J14,Recipes!$A:$D,4,FALSE)="",""," ["&amp;VLOOKUP('.'!J14,Recipes!$A:$D,4,FALSE)&amp;"]"))</f>
        <v/>
      </c>
      <c r="K14" s="46" t="str">
        <f t="array" ref="K14">IF('.'!K14="","",'.'!K14&amp;IF(VLOOKUP('.'!K14,Recipes!$A:$D,4,FALSE)="",""," ["&amp;VLOOKUP('.'!K14,Recipes!$A:$D,4,FALSE)&amp;"]"))</f>
        <v/>
      </c>
      <c r="L14" s="46" t="str">
        <f t="array" ref="L14">IF('.'!L14="","",'.'!L14&amp;IF(VLOOKUP('.'!L14,Recipes!$A:$D,4,FALSE)="",""," ["&amp;VLOOKUP('.'!L14,Recipes!$A:$D,4,FALSE)&amp;"]"))</f>
        <v/>
      </c>
      <c r="M14" s="46" t="str">
        <f t="array" ref="M14">IF('.'!M14="","",'.'!M14&amp;IF(VLOOKUP('.'!M14,Recipes!$A:$D,4,FALSE)="",""," ["&amp;VLOOKUP('.'!M14,Recipes!$A:$D,4,FALSE)&amp;"]"))</f>
        <v/>
      </c>
      <c r="N14" s="46"/>
      <c r="O14" s="46"/>
      <c r="P14" s="46"/>
      <c r="Q14" s="46"/>
      <c r="R14" s="46"/>
      <c r="S14" s="46"/>
      <c r="T14" s="46"/>
      <c r="U14" s="46"/>
      <c r="V14" s="46"/>
      <c r="W14" s="46"/>
      <c r="X14" s="46"/>
      <c r="Y14" s="46"/>
      <c r="Z14" s="46"/>
      <c r="AA14" s="46"/>
      <c r="AB14" s="46"/>
      <c r="AC14" s="46"/>
      <c r="AD14" s="46"/>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7"/>
      <c r="BD14" s="47"/>
      <c r="BE14" s="47"/>
      <c r="BF14" s="47"/>
      <c r="BG14" s="47"/>
      <c r="BH14" s="47"/>
      <c r="BI14" s="47"/>
      <c r="BJ14" s="47"/>
      <c r="BK14" s="47"/>
      <c r="BL14" s="47"/>
      <c r="BM14" s="47"/>
      <c r="BN14" s="47"/>
      <c r="BO14" s="47"/>
      <c r="BP14" s="47"/>
      <c r="BQ14" s="47"/>
      <c r="BR14" s="47"/>
      <c r="BS14" s="47"/>
      <c r="BT14" s="47"/>
      <c r="BU14" s="47"/>
      <c r="BV14" s="47"/>
      <c r="BW14" s="47"/>
      <c r="BX14" s="47"/>
      <c r="BY14" s="47"/>
      <c r="BZ14" s="47"/>
    </row>
    <row r="15" spans="1:78" ht="15.75" customHeight="1">
      <c r="A15" s="48" t="str">
        <f ca="1">'.'!A15</f>
        <v>[Scoundrel Source Skillbook]</v>
      </c>
      <c r="B15" s="46" t="str">
        <f t="array" aca="1" ref="B15" ca="1">IF('.'!B15="","",'.'!B15&amp;IF(VLOOKUP('.'!B15,Recipes!$A:$D,4,FALSE)="",""," ["&amp;VLOOKUP('.'!B15,Recipes!$A:$D,4,FALSE)&amp;"]"))</f>
        <v>Blessed Smoke Cloud Skillbook [-500]</v>
      </c>
      <c r="C15" s="46" t="str">
        <f t="array" aca="1" ref="C15" ca="1">IF('.'!C15="","",'.'!C15&amp;IF(VLOOKUP('.'!C15,Recipes!$A:$D,4,FALSE)="",""," ["&amp;VLOOKUP('.'!C15,Recipes!$A:$D,4,FALSE)&amp;"]"))</f>
        <v>Mass Sabotage Skillbook [-500]</v>
      </c>
      <c r="D15" s="46" t="str">
        <f t="array" aca="1" ref="D15" ca="1">IF('.'!D15="","",'.'!D15&amp;IF(VLOOKUP('.'!D15,Recipes!$A:$D,4,FALSE)="",""," ["&amp;VLOOKUP('.'!D15,Recipes!$A:$D,4,FALSE)&amp;"]"))</f>
        <v>Vampiric Hunger Aura Skillbook [-500]</v>
      </c>
      <c r="E15" s="46" t="str">
        <f t="array" aca="1" ref="E15" ca="1">IF('.'!E15="","",'.'!E15&amp;IF(VLOOKUP('.'!E15,Recipes!$A:$D,4,FALSE)="",""," ["&amp;VLOOKUP('.'!E15,Recipes!$A:$D,4,FALSE)&amp;"]"))</f>
        <v>Venomous Aura Skillbook [-500]</v>
      </c>
      <c r="F15" s="46" t="str">
        <f t="array" ref="F15">IF('.'!F15="","",'.'!F15&amp;IF(VLOOKUP('.'!F15,Recipes!$A:$D,4,FALSE)="",""," ["&amp;VLOOKUP('.'!F15,Recipes!$A:$D,4,FALSE)&amp;"]"))</f>
        <v/>
      </c>
      <c r="G15" s="46" t="str">
        <f t="array" ref="G15">IF('.'!G15="","",'.'!G15&amp;IF(VLOOKUP('.'!G15,Recipes!$A:$D,4,FALSE)="",""," ["&amp;VLOOKUP('.'!G15,Recipes!$A:$D,4,FALSE)&amp;"]"))</f>
        <v/>
      </c>
      <c r="H15" s="46" t="str">
        <f t="array" ref="H15">IF('.'!H15="","",'.'!H15&amp;IF(VLOOKUP('.'!H15,Recipes!$A:$D,4,FALSE)="",""," ["&amp;VLOOKUP('.'!H15,Recipes!$A:$D,4,FALSE)&amp;"]"))</f>
        <v/>
      </c>
      <c r="I15" s="46" t="str">
        <f t="array" ref="I15">IF('.'!I15="","",'.'!I15&amp;IF(VLOOKUP('.'!I15,Recipes!$A:$D,4,FALSE)="",""," ["&amp;VLOOKUP('.'!I15,Recipes!$A:$D,4,FALSE)&amp;"]"))</f>
        <v/>
      </c>
      <c r="J15" s="46" t="str">
        <f t="array" ref="J15">IF('.'!J15="","",'.'!J15&amp;IF(VLOOKUP('.'!J15,Recipes!$A:$D,4,FALSE)="",""," ["&amp;VLOOKUP('.'!J15,Recipes!$A:$D,4,FALSE)&amp;"]"))</f>
        <v/>
      </c>
      <c r="K15" s="46" t="str">
        <f t="array" ref="K15">IF('.'!K15="","",'.'!K15&amp;IF(VLOOKUP('.'!K15,Recipes!$A:$D,4,FALSE)="",""," ["&amp;VLOOKUP('.'!K15,Recipes!$A:$D,4,FALSE)&amp;"]"))</f>
        <v/>
      </c>
      <c r="L15" s="46" t="str">
        <f t="array" ref="L15">IF('.'!L15="","",'.'!L15&amp;IF(VLOOKUP('.'!L15,Recipes!$A:$D,4,FALSE)="",""," ["&amp;VLOOKUP('.'!L15,Recipes!$A:$D,4,FALSE)&amp;"]"))</f>
        <v/>
      </c>
      <c r="M15" s="46" t="str">
        <f t="array" ref="M15">IF('.'!M15="","",'.'!M15&amp;IF(VLOOKUP('.'!M15,Recipes!$A:$D,4,FALSE)="",""," ["&amp;VLOOKUP('.'!M15,Recipes!$A:$D,4,FALSE)&amp;"]"))</f>
        <v/>
      </c>
      <c r="N15" s="46"/>
      <c r="O15" s="46"/>
      <c r="P15" s="46"/>
      <c r="Q15" s="46"/>
      <c r="R15" s="46"/>
      <c r="S15" s="46"/>
      <c r="T15" s="46"/>
      <c r="U15" s="46"/>
      <c r="V15" s="46"/>
      <c r="W15" s="46"/>
      <c r="X15" s="46"/>
      <c r="Y15" s="46"/>
      <c r="Z15" s="46"/>
      <c r="AA15" s="46"/>
      <c r="AB15" s="46"/>
      <c r="AC15" s="46"/>
      <c r="AD15" s="46"/>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47"/>
      <c r="BD15" s="47"/>
      <c r="BE15" s="47"/>
      <c r="BF15" s="47"/>
      <c r="BG15" s="47"/>
      <c r="BH15" s="47"/>
      <c r="BI15" s="47"/>
      <c r="BJ15" s="47"/>
      <c r="BK15" s="47"/>
      <c r="BL15" s="47"/>
      <c r="BM15" s="47"/>
      <c r="BN15" s="47"/>
      <c r="BO15" s="47"/>
      <c r="BP15" s="47"/>
      <c r="BQ15" s="47"/>
      <c r="BR15" s="47"/>
      <c r="BS15" s="47"/>
      <c r="BT15" s="47"/>
      <c r="BU15" s="47"/>
      <c r="BV15" s="47"/>
      <c r="BW15" s="47"/>
      <c r="BX15" s="47"/>
      <c r="BY15" s="47"/>
      <c r="BZ15" s="47"/>
    </row>
    <row r="16" spans="1:78" ht="15.75" customHeight="1">
      <c r="A16" s="48" t="str">
        <f ca="1">'.'!A16</f>
        <v>[Summoning Skillbook]</v>
      </c>
      <c r="B16" s="46" t="str">
        <f t="array" aca="1" ref="B16" ca="1">IF('.'!B16="","",'.'!B16&amp;IF(VLOOKUP('.'!B16,Recipes!$A:$D,4,FALSE)="",""," ["&amp;VLOOKUP('.'!B16,Recipes!$A:$D,4,FALSE)&amp;"]"))</f>
        <v>Acid Infusion Skillbook [-500]</v>
      </c>
      <c r="C16" s="46" t="str">
        <f t="array" aca="1" ref="C16" ca="1">IF('.'!C16="","",'.'!C16&amp;IF(VLOOKUP('.'!C16,Recipes!$A:$D,4,FALSE)="",""," ["&amp;VLOOKUP('.'!C16,Recipes!$A:$D,4,FALSE)&amp;"]"))</f>
        <v>Blessed Ice Infusion Skillbook [-500]</v>
      </c>
      <c r="D16" s="46" t="str">
        <f t="array" aca="1" ref="D16" ca="1">IF('.'!D16="","",'.'!D16&amp;IF(VLOOKUP('.'!D16,Recipes!$A:$D,4,FALSE)="",""," ["&amp;VLOOKUP('.'!D16,Recipes!$A:$D,4,FALSE)&amp;"]"))</f>
        <v>Cursed Electric Infusion Skillbook [-500]</v>
      </c>
      <c r="E16" s="46" t="str">
        <f t="array" aca="1" ref="E16" ca="1">IF('.'!E16="","",'.'!E16&amp;IF(VLOOKUP('.'!E16,Recipes!$A:$D,4,FALSE)="",""," ["&amp;VLOOKUP('.'!E16,Recipes!$A:$D,4,FALSE)&amp;"]"))</f>
        <v>Electric Infusion Skillbook [-50]</v>
      </c>
      <c r="F16" s="46" t="str">
        <f t="array" aca="1" ref="F16" ca="1">IF('.'!F16="","",'.'!F16&amp;IF(VLOOKUP('.'!F16,Recipes!$A:$D,4,FALSE)="",""," ["&amp;VLOOKUP('.'!F16,Recipes!$A:$D,4,FALSE)&amp;"]"))</f>
        <v>Fire Infusion Skillbook [-50]</v>
      </c>
      <c r="G16" s="46" t="str">
        <f t="array" aca="1" ref="G16" ca="1">IF('.'!G16="","",'.'!G16&amp;IF(VLOOKUP('.'!G16,Recipes!$A:$D,4,FALSE)="",""," ["&amp;VLOOKUP('.'!G16,Recipes!$A:$D,4,FALSE)&amp;"]"))</f>
        <v>Necrofire Infusion Skillbook [-500]</v>
      </c>
      <c r="H16" s="46" t="str">
        <f t="array" aca="1" ref="H16" ca="1">IF('.'!H16="","",'.'!H16&amp;IF(VLOOKUP('.'!H16,Recipes!$A:$D,4,FALSE)="",""," ["&amp;VLOOKUP('.'!H16,Recipes!$A:$D,4,FALSE)&amp;"]"))</f>
        <v>Poison Infusion Skillbook [-50]</v>
      </c>
      <c r="I16" s="46" t="str">
        <f t="array" aca="1" ref="I16" ca="1">IF('.'!I16="","",'.'!I16&amp;IF(VLOOKUP('.'!I16,Recipes!$A:$D,4,FALSE)="",""," ["&amp;VLOOKUP('.'!I16,Recipes!$A:$D,4,FALSE)&amp;"]"))</f>
        <v>Water Infusion Skillbook [-50]</v>
      </c>
      <c r="J16" s="46" t="str">
        <f t="array" ref="J16">IF('.'!J16="","",'.'!J16&amp;IF(VLOOKUP('.'!J16,Recipes!$A:$D,4,FALSE)="",""," ["&amp;VLOOKUP('.'!J16,Recipes!$A:$D,4,FALSE)&amp;"]"))</f>
        <v/>
      </c>
      <c r="K16" s="46" t="str">
        <f t="array" ref="K16">IF('.'!K16="","",'.'!K16&amp;IF(VLOOKUP('.'!K16,Recipes!$A:$D,4,FALSE)="",""," ["&amp;VLOOKUP('.'!K16,Recipes!$A:$D,4,FALSE)&amp;"]"))</f>
        <v/>
      </c>
      <c r="L16" s="46" t="str">
        <f t="array" ref="L16">IF('.'!L16="","",'.'!L16&amp;IF(VLOOKUP('.'!L16,Recipes!$A:$D,4,FALSE)="",""," ["&amp;VLOOKUP('.'!L16,Recipes!$A:$D,4,FALSE)&amp;"]"))</f>
        <v/>
      </c>
      <c r="M16" s="46" t="str">
        <f t="array" ref="M16">IF('.'!M16="","",'.'!M16&amp;IF(VLOOKUP('.'!M16,Recipes!$A:$D,4,FALSE)="",""," ["&amp;VLOOKUP('.'!M16,Recipes!$A:$D,4,FALSE)&amp;"]"))</f>
        <v/>
      </c>
      <c r="N16" s="46"/>
      <c r="O16" s="46"/>
      <c r="P16" s="46"/>
      <c r="Q16" s="46"/>
      <c r="R16" s="46"/>
      <c r="S16" s="46"/>
      <c r="T16" s="46"/>
      <c r="U16" s="46"/>
      <c r="V16" s="46"/>
      <c r="W16" s="46"/>
      <c r="X16" s="46"/>
      <c r="Y16" s="46"/>
      <c r="Z16" s="46"/>
      <c r="AA16" s="46"/>
      <c r="AB16" s="46"/>
      <c r="AC16" s="46"/>
      <c r="AD16" s="46"/>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7"/>
      <c r="BC16" s="47"/>
      <c r="BD16" s="47"/>
      <c r="BE16" s="47"/>
      <c r="BF16" s="47"/>
      <c r="BG16" s="47"/>
      <c r="BH16" s="47"/>
      <c r="BI16" s="47"/>
      <c r="BJ16" s="47"/>
      <c r="BK16" s="47"/>
      <c r="BL16" s="47"/>
      <c r="BM16" s="47"/>
      <c r="BN16" s="47"/>
      <c r="BO16" s="47"/>
      <c r="BP16" s="47"/>
      <c r="BQ16" s="47"/>
      <c r="BR16" s="47"/>
      <c r="BS16" s="47"/>
      <c r="BT16" s="47"/>
      <c r="BU16" s="47"/>
      <c r="BV16" s="47"/>
      <c r="BW16" s="47"/>
      <c r="BX16" s="47"/>
      <c r="BY16" s="47"/>
      <c r="BZ16" s="47"/>
    </row>
    <row r="17" spans="1:78" ht="15.75" customHeight="1">
      <c r="A17" s="48" t="str">
        <f ca="1">'.'!A17</f>
        <v>[Summoning Source Skillbook]</v>
      </c>
      <c r="B17" s="46" t="str">
        <f t="array" aca="1" ref="B17" ca="1">IF('.'!B17="","",'.'!B17&amp;IF(VLOOKUP('.'!B17,Recipes!$A:$D,4,FALSE)="",""," ["&amp;VLOOKUP('.'!B17,Recipes!$A:$D,4,FALSE)&amp;"]"))</f>
        <v>Acid Infusion Skillbook [-500]</v>
      </c>
      <c r="C17" s="46" t="str">
        <f t="array" aca="1" ref="C17" ca="1">IF('.'!C17="","",'.'!C17&amp;IF(VLOOKUP('.'!C17,Recipes!$A:$D,4,FALSE)="",""," ["&amp;VLOOKUP('.'!C17,Recipes!$A:$D,4,FALSE)&amp;"]"))</f>
        <v>Blessed Ice Infusion Skillbook [-500]</v>
      </c>
      <c r="D17" s="46" t="str">
        <f t="array" aca="1" ref="D17" ca="1">IF('.'!D17="","",'.'!D17&amp;IF(VLOOKUP('.'!D17,Recipes!$A:$D,4,FALSE)="",""," ["&amp;VLOOKUP('.'!D17,Recipes!$A:$D,4,FALSE)&amp;"]"))</f>
        <v>Cursed Electric Infusion Skillbook [-500]</v>
      </c>
      <c r="E17" s="46" t="str">
        <f t="array" aca="1" ref="E17" ca="1">IF('.'!E17="","",'.'!E17&amp;IF(VLOOKUP('.'!E17,Recipes!$A:$D,4,FALSE)="",""," ["&amp;VLOOKUP('.'!E17,Recipes!$A:$D,4,FALSE)&amp;"]"))</f>
        <v>Necrofire Infusion Skillbook [-500]</v>
      </c>
      <c r="F17" s="46" t="str">
        <f t="array" ref="F17">IF('.'!F17="","",'.'!F17&amp;IF(VLOOKUP('.'!F17,Recipes!$A:$D,4,FALSE)="",""," ["&amp;VLOOKUP('.'!F17,Recipes!$A:$D,4,FALSE)&amp;"]"))</f>
        <v/>
      </c>
      <c r="G17" s="46" t="str">
        <f t="array" ref="G17">IF('.'!G17="","",'.'!G17&amp;IF(VLOOKUP('.'!G17,Recipes!$A:$D,4,FALSE)="",""," ["&amp;VLOOKUP('.'!G17,Recipes!$A:$D,4,FALSE)&amp;"]"))</f>
        <v/>
      </c>
      <c r="H17" s="46" t="str">
        <f t="array" ref="H17">IF('.'!H17="","",'.'!H17&amp;IF(VLOOKUP('.'!H17,Recipes!$A:$D,4,FALSE)="",""," ["&amp;VLOOKUP('.'!H17,Recipes!$A:$D,4,FALSE)&amp;"]"))</f>
        <v/>
      </c>
      <c r="I17" s="46" t="str">
        <f t="array" ref="I17">IF('.'!I17="","",'.'!I17&amp;IF(VLOOKUP('.'!I17,Recipes!$A:$D,4,FALSE)="",""," ["&amp;VLOOKUP('.'!I17,Recipes!$A:$D,4,FALSE)&amp;"]"))</f>
        <v/>
      </c>
      <c r="J17" s="46" t="str">
        <f t="array" ref="J17">IF('.'!J17="","",'.'!J17&amp;IF(VLOOKUP('.'!J17,Recipes!$A:$D,4,FALSE)="",""," ["&amp;VLOOKUP('.'!J17,Recipes!$A:$D,4,FALSE)&amp;"]"))</f>
        <v/>
      </c>
      <c r="K17" s="46" t="str">
        <f t="array" ref="K17">IF('.'!K17="","",'.'!K17&amp;IF(VLOOKUP('.'!K17,Recipes!$A:$D,4,FALSE)="",""," ["&amp;VLOOKUP('.'!K17,Recipes!$A:$D,4,FALSE)&amp;"]"))</f>
        <v/>
      </c>
      <c r="L17" s="46" t="str">
        <f t="array" ref="L17">IF('.'!L17="","",'.'!L17&amp;IF(VLOOKUP('.'!L17,Recipes!$A:$D,4,FALSE)="",""," ["&amp;VLOOKUP('.'!L17,Recipes!$A:$D,4,FALSE)&amp;"]"))</f>
        <v/>
      </c>
      <c r="M17" s="46" t="str">
        <f t="array" ref="M17">IF('.'!M17="","",'.'!M17&amp;IF(VLOOKUP('.'!M17,Recipes!$A:$D,4,FALSE)="",""," ["&amp;VLOOKUP('.'!M17,Recipes!$A:$D,4,FALSE)&amp;"]"))</f>
        <v/>
      </c>
      <c r="N17" s="46"/>
      <c r="O17" s="46"/>
      <c r="P17" s="46"/>
      <c r="Q17" s="46"/>
      <c r="R17" s="46"/>
      <c r="S17" s="46"/>
      <c r="T17" s="46"/>
      <c r="U17" s="46"/>
      <c r="V17" s="46"/>
      <c r="W17" s="46"/>
      <c r="X17" s="46"/>
      <c r="Y17" s="46"/>
      <c r="Z17" s="46"/>
      <c r="AA17" s="46"/>
      <c r="AB17" s="46"/>
      <c r="AC17" s="46"/>
      <c r="AD17" s="46"/>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7"/>
      <c r="BC17" s="47"/>
      <c r="BD17" s="47"/>
      <c r="BE17" s="47"/>
      <c r="BF17" s="47"/>
      <c r="BG17" s="47"/>
      <c r="BH17" s="47"/>
      <c r="BI17" s="47"/>
      <c r="BJ17" s="47"/>
      <c r="BK17" s="47"/>
      <c r="BL17" s="47"/>
      <c r="BM17" s="47"/>
      <c r="BN17" s="47"/>
      <c r="BO17" s="47"/>
      <c r="BP17" s="47"/>
      <c r="BQ17" s="47"/>
      <c r="BR17" s="47"/>
      <c r="BS17" s="47"/>
      <c r="BT17" s="47"/>
      <c r="BU17" s="47"/>
      <c r="BV17" s="47"/>
      <c r="BW17" s="47"/>
      <c r="BX17" s="47"/>
      <c r="BY17" s="47"/>
      <c r="BZ17" s="47"/>
    </row>
    <row r="18" spans="1:78" ht="15.75" customHeight="1">
      <c r="A18" s="48" t="str">
        <f ca="1">'.'!A18</f>
        <v>[Warfare Skillbook]</v>
      </c>
      <c r="B18" s="46" t="str">
        <f t="array" aca="1" ref="B18" ca="1">IF('.'!B18="","",'.'!B18&amp;IF(VLOOKUP('.'!B18,Recipes!$A:$D,4,FALSE)="",""," ["&amp;VLOOKUP('.'!B18,Recipes!$A:$D,4,FALSE)&amp;"]"))</f>
        <v>Breathing Bubble Skillbook [-50]</v>
      </c>
      <c r="C18" s="46" t="str">
        <f t="array" aca="1" ref="C18" ca="1">IF('.'!C18="","",'.'!C18&amp;IF(VLOOKUP('.'!C18,Recipes!$A:$D,4,FALSE)="",""," ["&amp;VLOOKUP('.'!C18,Recipes!$A:$D,4,FALSE)&amp;"]"))</f>
        <v>Cleanse Wounds Skillbook [-50]</v>
      </c>
      <c r="D18" s="46" t="str">
        <f t="array" aca="1" ref="D18" ca="1">IF('.'!D18="","",'.'!D18&amp;IF(VLOOKUP('.'!D18,Recipes!$A:$D,4,FALSE)="",""," ["&amp;VLOOKUP('.'!D18,Recipes!$A:$D,4,FALSE)&amp;"]"))</f>
        <v>Mass Breathing Bubbles Skillbook [-500]</v>
      </c>
      <c r="E18" s="46" t="str">
        <f t="array" aca="1" ref="E18" ca="1">IF('.'!E18="","",'.'!E18&amp;IF(VLOOKUP('.'!E18,Recipes!$A:$D,4,FALSE)="",""," ["&amp;VLOOKUP('.'!E18,Recipes!$A:$D,4,FALSE)&amp;"]"))</f>
        <v>Mass Cleanse Wounds Skillbook [-500]</v>
      </c>
      <c r="F18" s="46" t="str">
        <f t="array" aca="1" ref="F18" ca="1">IF('.'!F18="","",'.'!F18&amp;IF(VLOOKUP('.'!F18,Recipes!$A:$D,4,FALSE)="",""," ["&amp;VLOOKUP('.'!F18,Recipes!$A:$D,4,FALSE)&amp;"]"))</f>
        <v>Mass Oily Carapace Skillbook [-500]</v>
      </c>
      <c r="G18" s="46" t="str">
        <f t="array" aca="1" ref="G18" ca="1">IF('.'!G18="","",'.'!G18&amp;IF(VLOOKUP('.'!G18,Recipes!$A:$D,4,FALSE)="",""," ["&amp;VLOOKUP('.'!G18,Recipes!$A:$D,4,FALSE)&amp;"]"))</f>
        <v>Master of Sparks Skillbook [-500]</v>
      </c>
      <c r="H18" s="46" t="str">
        <f t="array" aca="1" ref="H18" ca="1">IF('.'!H18="","",'.'!H18&amp;IF(VLOOKUP('.'!H18,Recipes!$A:$D,4,FALSE)="",""," ["&amp;VLOOKUP('.'!H18,Recipes!$A:$D,4,FALSE)&amp;"]"))</f>
        <v>Oily Carapace Skillbook [-50]</v>
      </c>
      <c r="I18" s="46" t="str">
        <f t="array" aca="1" ref="I18" ca="1">IF('.'!I18="","",'.'!I18&amp;IF(VLOOKUP('.'!I18,Recipes!$A:$D,4,FALSE)="",""," ["&amp;VLOOKUP('.'!I18,Recipes!$A:$D,4,FALSE)&amp;"]"))</f>
        <v>Sparking Swings Skillbook [-50]</v>
      </c>
      <c r="J18" s="46" t="str">
        <f t="array" ref="J18">IF('.'!J18="","",'.'!J18&amp;IF(VLOOKUP('.'!J18,Recipes!$A:$D,4,FALSE)="",""," ["&amp;VLOOKUP('.'!J18,Recipes!$A:$D,4,FALSE)&amp;"]"))</f>
        <v/>
      </c>
      <c r="K18" s="46" t="str">
        <f t="array" ref="K18">IF('.'!K18="","",'.'!K18&amp;IF(VLOOKUP('.'!K18,Recipes!$A:$D,4,FALSE)="",""," ["&amp;VLOOKUP('.'!K18,Recipes!$A:$D,4,FALSE)&amp;"]"))</f>
        <v/>
      </c>
      <c r="L18" s="46" t="str">
        <f t="array" ref="L18">IF('.'!L18="","",'.'!L18&amp;IF(VLOOKUP('.'!L18,Recipes!$A:$D,4,FALSE)="",""," ["&amp;VLOOKUP('.'!L18,Recipes!$A:$D,4,FALSE)&amp;"]"))</f>
        <v/>
      </c>
      <c r="M18" s="46" t="str">
        <f t="array" ref="M18">IF('.'!M18="","",'.'!M18&amp;IF(VLOOKUP('.'!M18,Recipes!$A:$D,4,FALSE)="",""," ["&amp;VLOOKUP('.'!M18,Recipes!$A:$D,4,FALSE)&amp;"]"))</f>
        <v/>
      </c>
      <c r="N18" s="46"/>
      <c r="O18" s="46"/>
      <c r="P18" s="46"/>
      <c r="Q18" s="46"/>
      <c r="R18" s="46"/>
      <c r="S18" s="46"/>
      <c r="T18" s="46"/>
      <c r="U18" s="46"/>
      <c r="V18" s="46"/>
      <c r="W18" s="46"/>
      <c r="X18" s="46"/>
      <c r="Y18" s="46"/>
      <c r="Z18" s="46"/>
      <c r="AA18" s="46"/>
      <c r="AB18" s="46"/>
      <c r="AC18" s="46"/>
      <c r="AD18" s="46"/>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7"/>
      <c r="BI18" s="47"/>
      <c r="BJ18" s="47"/>
      <c r="BK18" s="47"/>
      <c r="BL18" s="47"/>
      <c r="BM18" s="47"/>
      <c r="BN18" s="47"/>
      <c r="BO18" s="47"/>
      <c r="BP18" s="47"/>
      <c r="BQ18" s="47"/>
      <c r="BR18" s="47"/>
      <c r="BS18" s="47"/>
      <c r="BT18" s="47"/>
      <c r="BU18" s="47"/>
      <c r="BV18" s="47"/>
      <c r="BW18" s="47"/>
      <c r="BX18" s="47"/>
      <c r="BY18" s="47"/>
      <c r="BZ18" s="47"/>
    </row>
    <row r="19" spans="1:78" ht="15.75" customHeight="1">
      <c r="A19" s="48" t="str">
        <f ca="1">'.'!A19</f>
        <v>[Warfare Source Skillbook]</v>
      </c>
      <c r="B19" s="46" t="str">
        <f t="array" aca="1" ref="B19" ca="1">IF('.'!B19="","",'.'!B19&amp;IF(VLOOKUP('.'!B19,Recipes!$A:$D,4,FALSE)="",""," ["&amp;VLOOKUP('.'!B19,Recipes!$A:$D,4,FALSE)&amp;"]"))</f>
        <v>Mass Breathing Bubbles Skillbook [-500]</v>
      </c>
      <c r="C19" s="46" t="str">
        <f t="array" aca="1" ref="C19" ca="1">IF('.'!C19="","",'.'!C19&amp;IF(VLOOKUP('.'!C19,Recipes!$A:$D,4,FALSE)="",""," ["&amp;VLOOKUP('.'!C19,Recipes!$A:$D,4,FALSE)&amp;"]"))</f>
        <v>Mass Cleanse Wounds Skillbook [-500]</v>
      </c>
      <c r="D19" s="46" t="str">
        <f t="array" aca="1" ref="D19" ca="1">IF('.'!D19="","",'.'!D19&amp;IF(VLOOKUP('.'!D19,Recipes!$A:$D,4,FALSE)="",""," ["&amp;VLOOKUP('.'!D19,Recipes!$A:$D,4,FALSE)&amp;"]"))</f>
        <v>Mass Oily Carapace Skillbook [-500]</v>
      </c>
      <c r="E19" s="46" t="str">
        <f t="array" aca="1" ref="E19" ca="1">IF('.'!E19="","",'.'!E19&amp;IF(VLOOKUP('.'!E19,Recipes!$A:$D,4,FALSE)="",""," ["&amp;VLOOKUP('.'!E19,Recipes!$A:$D,4,FALSE)&amp;"]"))</f>
        <v>Master of Sparks Skillbook [-500]</v>
      </c>
      <c r="F19" s="46" t="str">
        <f t="array" ref="F19">IF('.'!F19="","",'.'!F19&amp;IF(VLOOKUP('.'!F19,Recipes!$A:$D,4,FALSE)="",""," ["&amp;VLOOKUP('.'!F19,Recipes!$A:$D,4,FALSE)&amp;"]"))</f>
        <v/>
      </c>
      <c r="G19" s="46" t="str">
        <f t="array" ref="G19">IF('.'!G19="","",'.'!G19&amp;IF(VLOOKUP('.'!G19,Recipes!$A:$D,4,FALSE)="",""," ["&amp;VLOOKUP('.'!G19,Recipes!$A:$D,4,FALSE)&amp;"]"))</f>
        <v/>
      </c>
      <c r="H19" s="46" t="str">
        <f t="array" ref="H19">IF('.'!H19="","",'.'!H19&amp;IF(VLOOKUP('.'!H19,Recipes!$A:$D,4,FALSE)="",""," ["&amp;VLOOKUP('.'!H19,Recipes!$A:$D,4,FALSE)&amp;"]"))</f>
        <v/>
      </c>
      <c r="I19" s="46" t="str">
        <f t="array" ref="I19">IF('.'!I19="","",'.'!I19&amp;IF(VLOOKUP('.'!I19,Recipes!$A:$D,4,FALSE)="",""," ["&amp;VLOOKUP('.'!I19,Recipes!$A:$D,4,FALSE)&amp;"]"))</f>
        <v/>
      </c>
      <c r="J19" s="46" t="str">
        <f t="array" ref="J19">IF('.'!J19="","",'.'!J19&amp;IF(VLOOKUP('.'!J19,Recipes!$A:$D,4,FALSE)="",""," ["&amp;VLOOKUP('.'!J19,Recipes!$A:$D,4,FALSE)&amp;"]"))</f>
        <v/>
      </c>
      <c r="K19" s="46" t="str">
        <f t="array" ref="K19">IF('.'!K19="","",'.'!K19&amp;IF(VLOOKUP('.'!K19,Recipes!$A:$D,4,FALSE)="",""," ["&amp;VLOOKUP('.'!K19,Recipes!$A:$D,4,FALSE)&amp;"]"))</f>
        <v/>
      </c>
      <c r="L19" s="46" t="str">
        <f t="array" ref="L19">IF('.'!L19="","",'.'!L19&amp;IF(VLOOKUP('.'!L19,Recipes!$A:$D,4,FALSE)="",""," ["&amp;VLOOKUP('.'!L19,Recipes!$A:$D,4,FALSE)&amp;"]"))</f>
        <v/>
      </c>
      <c r="M19" s="46" t="str">
        <f t="array" ref="M19">IF('.'!M19="","",'.'!M19&amp;IF(VLOOKUP('.'!M19,Recipes!$A:$D,4,FALSE)="",""," ["&amp;VLOOKUP('.'!M19,Recipes!$A:$D,4,FALSE)&amp;"]"))</f>
        <v/>
      </c>
      <c r="N19" s="46"/>
      <c r="O19" s="46"/>
      <c r="P19" s="46"/>
      <c r="Q19" s="46"/>
      <c r="R19" s="46"/>
      <c r="S19" s="46"/>
      <c r="T19" s="46"/>
      <c r="U19" s="46"/>
      <c r="V19" s="46"/>
      <c r="W19" s="46"/>
      <c r="X19" s="46"/>
      <c r="Y19" s="46"/>
      <c r="Z19" s="46"/>
      <c r="AA19" s="46"/>
      <c r="AB19" s="46"/>
      <c r="AC19" s="46"/>
      <c r="AD19" s="46"/>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7"/>
      <c r="BD19" s="47"/>
      <c r="BE19" s="47"/>
      <c r="BF19" s="47"/>
      <c r="BG19" s="47"/>
      <c r="BH19" s="47"/>
      <c r="BI19" s="47"/>
      <c r="BJ19" s="47"/>
      <c r="BK19" s="47"/>
      <c r="BL19" s="47"/>
      <c r="BM19" s="47"/>
      <c r="BN19" s="47"/>
      <c r="BO19" s="47"/>
      <c r="BP19" s="47"/>
      <c r="BQ19" s="47"/>
      <c r="BR19" s="47"/>
      <c r="BS19" s="47"/>
      <c r="BT19" s="47"/>
      <c r="BU19" s="47"/>
      <c r="BV19" s="47"/>
      <c r="BW19" s="47"/>
      <c r="BX19" s="47"/>
      <c r="BY19" s="47"/>
      <c r="BZ19" s="47"/>
    </row>
    <row r="20" spans="1:78" ht="15.75" customHeight="1">
      <c r="A20" s="48" t="str">
        <f ca="1">'.'!A20</f>
        <v>[Water Skillbook]</v>
      </c>
      <c r="B20" s="46" t="str">
        <f t="array" aca="1" ref="B20" ca="1">IF('.'!B20="","",'.'!B20&amp;IF(VLOOKUP('.'!B20,Recipes!$A:$D,4,FALSE)="",""," ["&amp;VLOOKUP('.'!B20,Recipes!$A:$D,4,FALSE)&amp;"]"))</f>
        <v>Blessed Ice Infusion Skillbook [-500]</v>
      </c>
      <c r="C20" s="46" t="str">
        <f t="array" aca="1" ref="C20" ca="1">IF('.'!C20="","",'.'!C20&amp;IF(VLOOKUP('.'!C20,Recipes!$A:$D,4,FALSE)="",""," ["&amp;VLOOKUP('.'!C20,Recipes!$A:$D,4,FALSE)&amp;"]"))</f>
        <v>Blood Storm Skillbook [-500]</v>
      </c>
      <c r="D20" s="46" t="str">
        <f t="array" aca="1" ref="D20" ca="1">IF('.'!D20="","",'.'!D20&amp;IF(VLOOKUP('.'!D20,Recipes!$A:$D,4,FALSE)="",""," ["&amp;VLOOKUP('.'!D20,Recipes!$A:$D,4,FALSE)&amp;"]"))</f>
        <v>Cleanse Wounds Skillbook [-50]</v>
      </c>
      <c r="E20" s="46" t="str">
        <f t="array" aca="1" ref="E20" ca="1">IF('.'!E20="","",'.'!E20&amp;IF(VLOOKUP('.'!E20,Recipes!$A:$D,4,FALSE)="",""," ["&amp;VLOOKUP('.'!E20,Recipes!$A:$D,4,FALSE)&amp;"]"))</f>
        <v>Cryotherapy Skillbook [-50]</v>
      </c>
      <c r="F20" s="46" t="str">
        <f t="array" aca="1" ref="F20" ca="1">IF('.'!F20="","",'.'!F20&amp;IF(VLOOKUP('.'!F20,Recipes!$A:$D,4,FALSE)="",""," ["&amp;VLOOKUP('.'!F20,Recipes!$A:$D,4,FALSE)&amp;"]"))</f>
        <v>Healing Tears Skillbook [-50]</v>
      </c>
      <c r="G20" s="46" t="str">
        <f t="array" aca="1" ref="G20" ca="1">IF('.'!G20="","",'.'!G20&amp;IF(VLOOKUP('.'!G20,Recipes!$A:$D,4,FALSE)="",""," ["&amp;VLOOKUP('.'!G20,Recipes!$A:$D,4,FALSE)&amp;"]"))</f>
        <v>Icy Skin Skillbook [-500]</v>
      </c>
      <c r="H20" s="46" t="str">
        <f t="array" aca="1" ref="H20" ca="1">IF('.'!H20="","",'.'!H20&amp;IF(VLOOKUP('.'!H20,Recipes!$A:$D,4,FALSE)="",""," ["&amp;VLOOKUP('.'!H20,Recipes!$A:$D,4,FALSE)&amp;"]"))</f>
        <v>Mass Cleanse Wounds Skillbook [-500]</v>
      </c>
      <c r="I20" s="46" t="str">
        <f t="array" aca="1" ref="I20" ca="1">IF('.'!I20="","",'.'!I20&amp;IF(VLOOKUP('.'!I20,Recipes!$A:$D,4,FALSE)="",""," ["&amp;VLOOKUP('.'!I20,Recipes!$A:$D,4,FALSE)&amp;"]"))</f>
        <v>Mass Cryotherapy Skillbook [-500]</v>
      </c>
      <c r="J20" s="46" t="str">
        <f t="array" aca="1" ref="J20" ca="1">IF('.'!J20="","",'.'!J20&amp;IF(VLOOKUP('.'!J20,Recipes!$A:$D,4,FALSE)="",""," ["&amp;VLOOKUP('.'!J20,Recipes!$A:$D,4,FALSE)&amp;"]"))</f>
        <v>Raining Blood Skillbook [-60]</v>
      </c>
      <c r="K20" s="46" t="str">
        <f t="array" aca="1" ref="K20" ca="1">IF('.'!K20="","",'.'!K20&amp;IF(VLOOKUP('.'!K20,Recipes!$A:$D,4,FALSE)="",""," ["&amp;VLOOKUP('.'!K20,Recipes!$A:$D,4,FALSE)&amp;"]"))</f>
        <v>Vampiric Hunger Aura Skillbook [-500]</v>
      </c>
      <c r="L20" s="46" t="str">
        <f t="array" aca="1" ref="L20" ca="1">IF('.'!L20="","",'.'!L20&amp;IF(VLOOKUP('.'!L20,Recipes!$A:$D,4,FALSE)="",""," ["&amp;VLOOKUP('.'!L20,Recipes!$A:$D,4,FALSE)&amp;"]"))</f>
        <v>Vampiric Hunger Skillbook [-50]</v>
      </c>
      <c r="M20" s="46" t="str">
        <f t="array" aca="1" ref="M20" ca="1">IF('.'!M20="","",'.'!M20&amp;IF(VLOOKUP('.'!M20,Recipes!$A:$D,4,FALSE)="",""," ["&amp;VLOOKUP('.'!M20,Recipes!$A:$D,4,FALSE)&amp;"]"))</f>
        <v>Water Infusion Skillbook [-50]</v>
      </c>
      <c r="N20" s="46"/>
      <c r="O20" s="46"/>
      <c r="P20" s="46"/>
      <c r="Q20" s="46"/>
      <c r="R20" s="46"/>
      <c r="S20" s="46"/>
      <c r="T20" s="46"/>
      <c r="U20" s="46"/>
      <c r="V20" s="46"/>
      <c r="W20" s="46"/>
      <c r="X20" s="46"/>
      <c r="Y20" s="46"/>
      <c r="Z20" s="46"/>
      <c r="AA20" s="46"/>
      <c r="AB20" s="46"/>
      <c r="AC20" s="46"/>
      <c r="AD20" s="46"/>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7"/>
      <c r="BD20" s="47"/>
      <c r="BE20" s="47"/>
      <c r="BF20" s="47"/>
      <c r="BG20" s="47"/>
      <c r="BH20" s="47"/>
      <c r="BI20" s="47"/>
      <c r="BJ20" s="47"/>
      <c r="BK20" s="47"/>
      <c r="BL20" s="47"/>
      <c r="BM20" s="47"/>
      <c r="BN20" s="47"/>
      <c r="BO20" s="47"/>
      <c r="BP20" s="47"/>
      <c r="BQ20" s="47"/>
      <c r="BR20" s="47"/>
      <c r="BS20" s="47"/>
      <c r="BT20" s="47"/>
      <c r="BU20" s="47"/>
      <c r="BV20" s="47"/>
      <c r="BW20" s="47"/>
      <c r="BX20" s="47"/>
      <c r="BY20" s="47"/>
      <c r="BZ20" s="47"/>
    </row>
    <row r="21" spans="1:78" ht="15.75" customHeight="1">
      <c r="A21" s="48" t="str">
        <f ca="1">'.'!A21</f>
        <v>[Water Source Skillbook]</v>
      </c>
      <c r="B21" s="46" t="str">
        <f t="array" aca="1" ref="B21" ca="1">IF('.'!B21="","",'.'!B21&amp;IF(VLOOKUP('.'!B21,Recipes!$A:$D,4,FALSE)="",""," ["&amp;VLOOKUP('.'!B21,Recipes!$A:$D,4,FALSE)&amp;"]"))</f>
        <v>Blessed Ice Infusion Skillbook [-500]</v>
      </c>
      <c r="C21" s="46" t="str">
        <f t="array" aca="1" ref="C21" ca="1">IF('.'!C21="","",'.'!C21&amp;IF(VLOOKUP('.'!C21,Recipes!$A:$D,4,FALSE)="",""," ["&amp;VLOOKUP('.'!C21,Recipes!$A:$D,4,FALSE)&amp;"]"))</f>
        <v>Blood Storm Skillbook [-500]</v>
      </c>
      <c r="D21" s="46" t="str">
        <f t="array" aca="1" ref="D21" ca="1">IF('.'!D21="","",'.'!D21&amp;IF(VLOOKUP('.'!D21,Recipes!$A:$D,4,FALSE)="",""," ["&amp;VLOOKUP('.'!D21,Recipes!$A:$D,4,FALSE)&amp;"]"))</f>
        <v>Icy Skin Skillbook [-500]</v>
      </c>
      <c r="E21" s="46" t="str">
        <f t="array" aca="1" ref="E21" ca="1">IF('.'!E21="","",'.'!E21&amp;IF(VLOOKUP('.'!E21,Recipes!$A:$D,4,FALSE)="",""," ["&amp;VLOOKUP('.'!E21,Recipes!$A:$D,4,FALSE)&amp;"]"))</f>
        <v>Mass Cleanse Wounds Skillbook [-500]</v>
      </c>
      <c r="F21" s="46" t="str">
        <f t="array" aca="1" ref="F21" ca="1">IF('.'!F21="","",'.'!F21&amp;IF(VLOOKUP('.'!F21,Recipes!$A:$D,4,FALSE)="",""," ["&amp;VLOOKUP('.'!F21,Recipes!$A:$D,4,FALSE)&amp;"]"))</f>
        <v>Mass Cryotherapy Skillbook [-500]</v>
      </c>
      <c r="G21" s="46" t="str">
        <f t="array" aca="1" ref="G21" ca="1">IF('.'!G21="","",'.'!G21&amp;IF(VLOOKUP('.'!G21,Recipes!$A:$D,4,FALSE)="",""," ["&amp;VLOOKUP('.'!G21,Recipes!$A:$D,4,FALSE)&amp;"]"))</f>
        <v>Vampiric Hunger Aura Skillbook [-500]</v>
      </c>
      <c r="H21" s="46" t="str">
        <f t="array" ref="H21">IF('.'!H21="","",'.'!H21&amp;IF(VLOOKUP('.'!H21,Recipes!$A:$D,4,FALSE)="",""," ["&amp;VLOOKUP('.'!H21,Recipes!$A:$D,4,FALSE)&amp;"]"))</f>
        <v/>
      </c>
      <c r="I21" s="46" t="str">
        <f t="array" ref="I21">IF('.'!I21="","",'.'!I21&amp;IF(VLOOKUP('.'!I21,Recipes!$A:$D,4,FALSE)="",""," ["&amp;VLOOKUP('.'!I21,Recipes!$A:$D,4,FALSE)&amp;"]"))</f>
        <v/>
      </c>
      <c r="J21" s="46" t="str">
        <f t="array" ref="J21">IF('.'!J21="","",'.'!J21&amp;IF(VLOOKUP('.'!J21,Recipes!$A:$D,4,FALSE)="",""," ["&amp;VLOOKUP('.'!J21,Recipes!$A:$D,4,FALSE)&amp;"]"))</f>
        <v/>
      </c>
      <c r="K21" s="46" t="str">
        <f t="array" ref="K21">IF('.'!K21="","",'.'!K21&amp;IF(VLOOKUP('.'!K21,Recipes!$A:$D,4,FALSE)="",""," ["&amp;VLOOKUP('.'!K21,Recipes!$A:$D,4,FALSE)&amp;"]"))</f>
        <v/>
      </c>
      <c r="L21" s="46" t="str">
        <f t="array" ref="L21">IF('.'!L21="","",'.'!L21&amp;IF(VLOOKUP('.'!L21,Recipes!$A:$D,4,FALSE)="",""," ["&amp;VLOOKUP('.'!L21,Recipes!$A:$D,4,FALSE)&amp;"]"))</f>
        <v/>
      </c>
      <c r="M21" s="46" t="str">
        <f t="array" ref="M21">IF('.'!M21="","",'.'!M21&amp;IF(VLOOKUP('.'!M21,Recipes!$A:$D,4,FALSE)="",""," ["&amp;VLOOKUP('.'!M21,Recipes!$A:$D,4,FALSE)&amp;"]"))</f>
        <v/>
      </c>
      <c r="N21" s="46"/>
      <c r="O21" s="46"/>
      <c r="P21" s="46"/>
      <c r="Q21" s="46"/>
      <c r="R21" s="46"/>
      <c r="S21" s="46"/>
      <c r="T21" s="46"/>
      <c r="U21" s="46"/>
      <c r="V21" s="46"/>
      <c r="W21" s="46"/>
      <c r="X21" s="46"/>
      <c r="Y21" s="46"/>
      <c r="Z21" s="46"/>
      <c r="AA21" s="46"/>
      <c r="AB21" s="46"/>
      <c r="AC21" s="46"/>
      <c r="AD21" s="46"/>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7"/>
      <c r="BC21" s="47"/>
      <c r="BD21" s="47"/>
      <c r="BE21" s="47"/>
      <c r="BF21" s="47"/>
      <c r="BG21" s="47"/>
      <c r="BH21" s="47"/>
      <c r="BI21" s="47"/>
      <c r="BJ21" s="47"/>
      <c r="BK21" s="47"/>
      <c r="BL21" s="47"/>
      <c r="BM21" s="47"/>
      <c r="BN21" s="47"/>
      <c r="BO21" s="47"/>
      <c r="BP21" s="47"/>
      <c r="BQ21" s="47"/>
      <c r="BR21" s="47"/>
      <c r="BS21" s="47"/>
      <c r="BT21" s="47"/>
      <c r="BU21" s="47"/>
      <c r="BV21" s="47"/>
      <c r="BW21" s="47"/>
      <c r="BX21" s="47"/>
      <c r="BY21" s="47"/>
      <c r="BZ21" s="47"/>
    </row>
    <row r="22" spans="1:78" ht="15.75" customHeight="1">
      <c r="A22" s="48" t="str">
        <f ca="1">'.'!A22</f>
        <v>Acid Spores Scroll</v>
      </c>
      <c r="B22" s="46" t="str">
        <f t="array" aca="1" ref="B22" ca="1">IF('.'!B22="","",'.'!B22&amp;IF(VLOOKUP('.'!B22,Recipes!$A:$D,4,FALSE)="",""," ["&amp;VLOOKUP('.'!B22,Recipes!$A:$D,4,FALSE)&amp;"]"))</f>
        <v>Acid Spores Skillbook [90]</v>
      </c>
      <c r="C22" s="46" t="str">
        <f t="array" ref="C22">IF('.'!C22="","",'.'!C22&amp;IF(VLOOKUP('.'!C22,Recipes!$A:$D,4,FALSE)="",""," ["&amp;VLOOKUP('.'!C22,Recipes!$A:$D,4,FALSE)&amp;"]"))</f>
        <v/>
      </c>
      <c r="D22" s="46" t="str">
        <f t="array" ref="D22">IF('.'!D22="","",'.'!D22&amp;IF(VLOOKUP('.'!D22,Recipes!$A:$D,4,FALSE)="",""," ["&amp;VLOOKUP('.'!D22,Recipes!$A:$D,4,FALSE)&amp;"]"))</f>
        <v/>
      </c>
      <c r="E22" s="46" t="str">
        <f t="array" ref="E22">IF('.'!E22="","",'.'!E22&amp;IF(VLOOKUP('.'!E22,Recipes!$A:$D,4,FALSE)="",""," ["&amp;VLOOKUP('.'!E22,Recipes!$A:$D,4,FALSE)&amp;"]"))</f>
        <v/>
      </c>
      <c r="F22" s="46" t="str">
        <f t="array" ref="F22">IF('.'!F22="","",'.'!F22&amp;IF(VLOOKUP('.'!F22,Recipes!$A:$D,4,FALSE)="",""," ["&amp;VLOOKUP('.'!F22,Recipes!$A:$D,4,FALSE)&amp;"]"))</f>
        <v/>
      </c>
      <c r="G22" s="46" t="str">
        <f t="array" ref="G22">IF('.'!G22="","",'.'!G22&amp;IF(VLOOKUP('.'!G22,Recipes!$A:$D,4,FALSE)="",""," ["&amp;VLOOKUP('.'!G22,Recipes!$A:$D,4,FALSE)&amp;"]"))</f>
        <v/>
      </c>
      <c r="H22" s="46" t="str">
        <f t="array" ref="H22">IF('.'!H22="","",'.'!H22&amp;IF(VLOOKUP('.'!H22,Recipes!$A:$D,4,FALSE)="",""," ["&amp;VLOOKUP('.'!H22,Recipes!$A:$D,4,FALSE)&amp;"]"))</f>
        <v/>
      </c>
      <c r="I22" s="46" t="str">
        <f t="array" ref="I22">IF('.'!I22="","",'.'!I22&amp;IF(VLOOKUP('.'!I22,Recipes!$A:$D,4,FALSE)="",""," ["&amp;VLOOKUP('.'!I22,Recipes!$A:$D,4,FALSE)&amp;"]"))</f>
        <v/>
      </c>
      <c r="J22" s="46" t="str">
        <f t="array" ref="J22">IF('.'!J22="","",'.'!J22&amp;IF(VLOOKUP('.'!J22,Recipes!$A:$D,4,FALSE)="",""," ["&amp;VLOOKUP('.'!J22,Recipes!$A:$D,4,FALSE)&amp;"]"))</f>
        <v/>
      </c>
      <c r="K22" s="46" t="str">
        <f t="array" ref="K22">IF('.'!K22="","",'.'!K22&amp;IF(VLOOKUP('.'!K22,Recipes!$A:$D,4,FALSE)="",""," ["&amp;VLOOKUP('.'!K22,Recipes!$A:$D,4,FALSE)&amp;"]"))</f>
        <v/>
      </c>
      <c r="L22" s="46" t="str">
        <f t="array" ref="L22">IF('.'!L22="","",'.'!L22&amp;IF(VLOOKUP('.'!L22,Recipes!$A:$D,4,FALSE)="",""," ["&amp;VLOOKUP('.'!L22,Recipes!$A:$D,4,FALSE)&amp;"]"))</f>
        <v/>
      </c>
      <c r="M22" s="46" t="str">
        <f t="array" ref="M22">IF('.'!M22="","",'.'!M22&amp;IF(VLOOKUP('.'!M22,Recipes!$A:$D,4,FALSE)="",""," ["&amp;VLOOKUP('.'!M22,Recipes!$A:$D,4,FALSE)&amp;"]"))</f>
        <v/>
      </c>
      <c r="N22" s="46"/>
      <c r="O22" s="46"/>
      <c r="P22" s="46"/>
      <c r="Q22" s="46"/>
      <c r="R22" s="46"/>
      <c r="S22" s="46"/>
      <c r="T22" s="46"/>
      <c r="U22" s="46"/>
      <c r="V22" s="46"/>
      <c r="W22" s="46"/>
      <c r="X22" s="46"/>
      <c r="Y22" s="46"/>
      <c r="Z22" s="46"/>
      <c r="AA22" s="46"/>
      <c r="AB22" s="46"/>
      <c r="AC22" s="46"/>
      <c r="AD22" s="46"/>
      <c r="AE22" s="47"/>
      <c r="AF22" s="47"/>
      <c r="AG22" s="47"/>
      <c r="AH22" s="47"/>
      <c r="AI22" s="47"/>
      <c r="AJ22" s="47"/>
      <c r="AK22" s="47"/>
      <c r="AL22" s="47"/>
      <c r="AM22" s="47"/>
      <c r="AN22" s="47"/>
      <c r="AO22" s="47"/>
      <c r="AP22" s="47"/>
      <c r="AQ22" s="47"/>
      <c r="AR22" s="47"/>
      <c r="AS22" s="47"/>
      <c r="AT22" s="47"/>
      <c r="AU22" s="47"/>
      <c r="AV22" s="47"/>
      <c r="AW22" s="47"/>
      <c r="AX22" s="47"/>
      <c r="AY22" s="47"/>
      <c r="AZ22" s="47"/>
      <c r="BA22" s="47"/>
      <c r="BB22" s="47"/>
      <c r="BC22" s="47"/>
      <c r="BD22" s="47"/>
      <c r="BE22" s="47"/>
      <c r="BF22" s="47"/>
      <c r="BG22" s="47"/>
      <c r="BH22" s="47"/>
      <c r="BI22" s="47"/>
      <c r="BJ22" s="47"/>
      <c r="BK22" s="47"/>
      <c r="BL22" s="47"/>
      <c r="BM22" s="47"/>
      <c r="BN22" s="47"/>
      <c r="BO22" s="47"/>
      <c r="BP22" s="47"/>
      <c r="BQ22" s="47"/>
      <c r="BR22" s="47"/>
      <c r="BS22" s="47"/>
      <c r="BT22" s="47"/>
      <c r="BU22" s="47"/>
      <c r="BV22" s="47"/>
      <c r="BW22" s="47"/>
      <c r="BX22" s="47"/>
      <c r="BY22" s="47"/>
      <c r="BZ22" s="47"/>
    </row>
    <row r="23" spans="1:78" ht="15.75" customHeight="1">
      <c r="A23" s="48" t="str">
        <f ca="1">'.'!A23</f>
        <v>Adult Antler</v>
      </c>
      <c r="B23" s="46" t="str">
        <f t="array" aca="1" ref="B23" ca="1">IF('.'!B23="","",'.'!B23&amp;IF(VLOOKUP('.'!B23,Recipes!$A:$D,4,FALSE)="",""," ["&amp;VLOOKUP('.'!B23,Recipes!$A:$D,4,FALSE)&amp;"]"))</f>
        <v>Knockdown Arrowhead [-20]</v>
      </c>
      <c r="C23" s="46" t="str">
        <f t="array" aca="1" ref="C23" ca="1">IF('.'!C23="","",'.'!C23&amp;IF(VLOOKUP('.'!C23,Recipes!$A:$D,4,FALSE)="",""," ["&amp;VLOOKUP('.'!C23,Recipes!$A:$D,4,FALSE)&amp;"]"))</f>
        <v>Bull Horns Scroll [-75]</v>
      </c>
      <c r="D23" s="46" t="str">
        <f t="array" aca="1" ref="D23" ca="1">IF('.'!D23="","",'.'!D23&amp;IF(VLOOKUP('.'!D23,Recipes!$A:$D,4,FALSE)="",""," ["&amp;VLOOKUP('.'!D23,Recipes!$A:$D,4,FALSE)&amp;"]"))</f>
        <v>Flaming Tongues Scroll [40]</v>
      </c>
      <c r="E23" s="46" t="str">
        <f t="array" ref="E23">IF('.'!E23="","",'.'!E23&amp;IF(VLOOKUP('.'!E23,Recipes!$A:$D,4,FALSE)="",""," ["&amp;VLOOKUP('.'!E23,Recipes!$A:$D,4,FALSE)&amp;"]"))</f>
        <v/>
      </c>
      <c r="F23" s="46" t="str">
        <f t="array" ref="F23">IF('.'!F23="","",'.'!F23&amp;IF(VLOOKUP('.'!F23,Recipes!$A:$D,4,FALSE)="",""," ["&amp;VLOOKUP('.'!F23,Recipes!$A:$D,4,FALSE)&amp;"]"))</f>
        <v/>
      </c>
      <c r="G23" s="46" t="str">
        <f t="array" ref="G23">IF('.'!G23="","",'.'!G23&amp;IF(VLOOKUP('.'!G23,Recipes!$A:$D,4,FALSE)="",""," ["&amp;VLOOKUP('.'!G23,Recipes!$A:$D,4,FALSE)&amp;"]"))</f>
        <v/>
      </c>
      <c r="H23" s="46" t="str">
        <f t="array" ref="H23">IF('.'!H23="","",'.'!H23&amp;IF(VLOOKUP('.'!H23,Recipes!$A:$D,4,FALSE)="",""," ["&amp;VLOOKUP('.'!H23,Recipes!$A:$D,4,FALSE)&amp;"]"))</f>
        <v/>
      </c>
      <c r="I23" s="46" t="str">
        <f t="array" ref="I23">IF('.'!I23="","",'.'!I23&amp;IF(VLOOKUP('.'!I23,Recipes!$A:$D,4,FALSE)="",""," ["&amp;VLOOKUP('.'!I23,Recipes!$A:$D,4,FALSE)&amp;"]"))</f>
        <v/>
      </c>
      <c r="J23" s="46" t="str">
        <f t="array" ref="J23">IF('.'!J23="","",'.'!J23&amp;IF(VLOOKUP('.'!J23,Recipes!$A:$D,4,FALSE)="",""," ["&amp;VLOOKUP('.'!J23,Recipes!$A:$D,4,FALSE)&amp;"]"))</f>
        <v/>
      </c>
      <c r="K23" s="46" t="str">
        <f t="array" ref="K23">IF('.'!K23="","",'.'!K23&amp;IF(VLOOKUP('.'!K23,Recipes!$A:$D,4,FALSE)="",""," ["&amp;VLOOKUP('.'!K23,Recipes!$A:$D,4,FALSE)&amp;"]"))</f>
        <v/>
      </c>
      <c r="L23" s="46" t="str">
        <f t="array" ref="L23">IF('.'!L23="","",'.'!L23&amp;IF(VLOOKUP('.'!L23,Recipes!$A:$D,4,FALSE)="",""," ["&amp;VLOOKUP('.'!L23,Recipes!$A:$D,4,FALSE)&amp;"]"))</f>
        <v/>
      </c>
      <c r="M23" s="46" t="str">
        <f t="array" ref="M23">IF('.'!M23="","",'.'!M23&amp;IF(VLOOKUP('.'!M23,Recipes!$A:$D,4,FALSE)="",""," ["&amp;VLOOKUP('.'!M23,Recipes!$A:$D,4,FALSE)&amp;"]"))</f>
        <v/>
      </c>
      <c r="N23" s="46"/>
      <c r="O23" s="46"/>
      <c r="P23" s="46"/>
      <c r="Q23" s="46"/>
      <c r="R23" s="46"/>
      <c r="S23" s="46"/>
      <c r="T23" s="46"/>
      <c r="U23" s="46"/>
      <c r="V23" s="46"/>
      <c r="W23" s="46"/>
      <c r="X23" s="46"/>
      <c r="Y23" s="46"/>
      <c r="Z23" s="46"/>
      <c r="AA23" s="46"/>
      <c r="AB23" s="46"/>
      <c r="AC23" s="46"/>
      <c r="AD23" s="46"/>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7"/>
      <c r="BD23" s="47"/>
      <c r="BE23" s="47"/>
      <c r="BF23" s="47"/>
      <c r="BG23" s="47"/>
      <c r="BH23" s="47"/>
      <c r="BI23" s="47"/>
      <c r="BJ23" s="47"/>
      <c r="BK23" s="47"/>
      <c r="BL23" s="47"/>
      <c r="BM23" s="47"/>
      <c r="BN23" s="47"/>
      <c r="BO23" s="47"/>
      <c r="BP23" s="47"/>
      <c r="BQ23" s="47"/>
      <c r="BR23" s="47"/>
      <c r="BS23" s="47"/>
      <c r="BT23" s="47"/>
      <c r="BU23" s="47"/>
      <c r="BV23" s="47"/>
      <c r="BW23" s="47"/>
      <c r="BX23" s="47"/>
      <c r="BY23" s="47"/>
      <c r="BZ23" s="47"/>
    </row>
    <row r="24" spans="1:78" ht="15.75" customHeight="1">
      <c r="A24" s="48" t="str">
        <f ca="1">'.'!A24</f>
        <v>Air Essence</v>
      </c>
      <c r="B24" s="46" t="str">
        <f t="array" aca="1" ref="B24" ca="1">IF('.'!B24="","",'.'!B24&amp;IF(VLOOKUP('.'!B24,Recipes!$A:$D,4,FALSE)="",""," ["&amp;VLOOKUP('.'!B24,Recipes!$A:$D,4,FALSE)&amp;"]"))</f>
        <v>Shocking Arrow [19]</v>
      </c>
      <c r="C24" s="46" t="str">
        <f t="array" aca="1" ref="C24" ca="1">IF('.'!C24="","",'.'!C24&amp;IF(VLOOKUP('.'!C24,Recipes!$A:$D,4,FALSE)="",""," ["&amp;VLOOKUP('.'!C24,Recipes!$A:$D,4,FALSE)&amp;"]"))</f>
        <v>Shocking Arrowhead [85]</v>
      </c>
      <c r="D24" s="46" t="str">
        <f t="array" aca="1" ref="D24" ca="1">IF('.'!D24="","",'.'!D24&amp;IF(VLOOKUP('.'!D24,Recipes!$A:$D,4,FALSE)="",""," ["&amp;VLOOKUP('.'!D24,Recipes!$A:$D,4,FALSE)&amp;"]"))</f>
        <v>Thunderbolt Grenade [20]</v>
      </c>
      <c r="E24" s="46" t="e">
        <f t="array" aca="1" ref="E24" ca="1">IF('.'!E24="","",'.'!E24&amp;IF(VLOOKUP('.'!E24,Recipes!$A:$D,4,FALSE)="",""," ["&amp;VLOOKUP('.'!E24,Recipes!$A:$D,4,FALSE)&amp;"]"))</f>
        <v>#VALUE!</v>
      </c>
      <c r="F24" s="46" t="str">
        <f t="array" aca="1" ref="F24" ca="1">IF('.'!F24="","",'.'!F24&amp;IF(VLOOKUP('.'!F24,Recipes!$A:$D,4,FALSE)="",""," ["&amp;VLOOKUP('.'!F24,Recipes!$A:$D,4,FALSE)&amp;"]"))</f>
        <v>Electric Discharge Scroll [-10]</v>
      </c>
      <c r="G24" s="46" t="str">
        <f t="array" aca="1" ref="G24" ca="1">IF('.'!G24="","",'.'!G24&amp;IF(VLOOKUP('.'!G24,Recipes!$A:$D,4,FALSE)="",""," ["&amp;VLOOKUP('.'!G24,Recipes!$A:$D,4,FALSE)&amp;"]"))</f>
        <v>Favourable Wind Scroll [14]</v>
      </c>
      <c r="H24" s="46" t="str">
        <f t="array" aca="1" ref="H24" ca="1">IF('.'!H24="","",'.'!H24&amp;IF(VLOOKUP('.'!H24,Recipes!$A:$D,4,FALSE)="",""," ["&amp;VLOOKUP('.'!H24,Recipes!$A:$D,4,FALSE)&amp;"]"))</f>
        <v>Shocking Touch Scroll [14]</v>
      </c>
      <c r="I24" s="46" t="str">
        <f t="array" aca="1" ref="I24" ca="1">IF('.'!I24="","",'.'!I24&amp;IF(VLOOKUP('.'!I24,Recipes!$A:$D,4,FALSE)="",""," ["&amp;VLOOKUP('.'!I24,Recipes!$A:$D,4,FALSE)&amp;"]"))</f>
        <v>Teleportation Scroll [54]</v>
      </c>
      <c r="J24" s="46" t="str">
        <f t="array" aca="1" ref="J24" ca="1">IF('.'!J24="","",'.'!J24&amp;IF(VLOOKUP('.'!J24,Recipes!$A:$D,4,FALSE)="",""," ["&amp;VLOOKUP('.'!J24,Recipes!$A:$D,4,FALSE)&amp;"]"))</f>
        <v>Potion of Jellyfish Skin [560]</v>
      </c>
      <c r="K24" s="46" t="str">
        <f t="array" ref="K24">IF('.'!K24="","",'.'!K24&amp;IF(VLOOKUP('.'!K24,Recipes!$A:$D,4,FALSE)="",""," ["&amp;VLOOKUP('.'!K24,Recipes!$A:$D,4,FALSE)&amp;"]"))</f>
        <v/>
      </c>
      <c r="L24" s="46" t="str">
        <f t="array" ref="L24">IF('.'!L24="","",'.'!L24&amp;IF(VLOOKUP('.'!L24,Recipes!$A:$D,4,FALSE)="",""," ["&amp;VLOOKUP('.'!L24,Recipes!$A:$D,4,FALSE)&amp;"]"))</f>
        <v/>
      </c>
      <c r="M24" s="46" t="str">
        <f t="array" ref="M24">IF('.'!M24="","",'.'!M24&amp;IF(VLOOKUP('.'!M24,Recipes!$A:$D,4,FALSE)="",""," ["&amp;VLOOKUP('.'!M24,Recipes!$A:$D,4,FALSE)&amp;"]"))</f>
        <v/>
      </c>
      <c r="N24" s="46"/>
      <c r="O24" s="46"/>
      <c r="P24" s="46"/>
      <c r="Q24" s="46"/>
      <c r="R24" s="46"/>
      <c r="S24" s="46"/>
      <c r="T24" s="46"/>
      <c r="U24" s="46"/>
      <c r="V24" s="46"/>
      <c r="W24" s="46"/>
      <c r="X24" s="46"/>
      <c r="Y24" s="46"/>
      <c r="Z24" s="46"/>
      <c r="AA24" s="46"/>
      <c r="AB24" s="46"/>
      <c r="AC24" s="46"/>
      <c r="AD24" s="46"/>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7"/>
      <c r="BC24" s="47"/>
      <c r="BD24" s="47"/>
      <c r="BE24" s="47"/>
      <c r="BF24" s="47"/>
      <c r="BG24" s="47"/>
      <c r="BH24" s="47"/>
      <c r="BI24" s="47"/>
      <c r="BJ24" s="47"/>
      <c r="BK24" s="47"/>
      <c r="BL24" s="47"/>
      <c r="BM24" s="47"/>
      <c r="BN24" s="47"/>
      <c r="BO24" s="47"/>
      <c r="BP24" s="47"/>
      <c r="BQ24" s="47"/>
      <c r="BR24" s="47"/>
      <c r="BS24" s="47"/>
      <c r="BT24" s="47"/>
      <c r="BU24" s="47"/>
      <c r="BV24" s="47"/>
      <c r="BW24" s="47"/>
      <c r="BX24" s="47"/>
      <c r="BY24" s="47"/>
      <c r="BZ24" s="47"/>
    </row>
    <row r="25" spans="1:78" ht="15.75" customHeight="1">
      <c r="A25" s="48" t="str">
        <f ca="1">'.'!A25</f>
        <v>Alertness Herbmix</v>
      </c>
      <c r="B25" s="46" t="str">
        <f t="array" aca="1" ref="B25" ca="1">IF('.'!B25="","",'.'!B25&amp;IF(VLOOKUP('.'!B25,Recipes!$A:$D,4,FALSE)="",""," ["&amp;VLOOKUP('.'!B25,Recipes!$A:$D,4,FALSE)&amp;"]"))</f>
        <v>Potent Alertness Herbmix [39]</v>
      </c>
      <c r="C25" s="46" t="str">
        <f t="array" ref="C25">IF('.'!C25="","",'.'!C25&amp;IF(VLOOKUP('.'!C25,Recipes!$A:$D,4,FALSE)="",""," ["&amp;VLOOKUP('.'!C25,Recipes!$A:$D,4,FALSE)&amp;"]"))</f>
        <v/>
      </c>
      <c r="D25" s="46" t="str">
        <f t="array" ref="D25">IF('.'!D25="","",'.'!D25&amp;IF(VLOOKUP('.'!D25,Recipes!$A:$D,4,FALSE)="",""," ["&amp;VLOOKUP('.'!D25,Recipes!$A:$D,4,FALSE)&amp;"]"))</f>
        <v/>
      </c>
      <c r="E25" s="46" t="str">
        <f t="array" ref="E25">IF('.'!E25="","",'.'!E25&amp;IF(VLOOKUP('.'!E25,Recipes!$A:$D,4,FALSE)="",""," ["&amp;VLOOKUP('.'!E25,Recipes!$A:$D,4,FALSE)&amp;"]"))</f>
        <v/>
      </c>
      <c r="F25" s="46" t="str">
        <f t="array" ref="F25">IF('.'!F25="","",'.'!F25&amp;IF(VLOOKUP('.'!F25,Recipes!$A:$D,4,FALSE)="",""," ["&amp;VLOOKUP('.'!F25,Recipes!$A:$D,4,FALSE)&amp;"]"))</f>
        <v/>
      </c>
      <c r="G25" s="46" t="str">
        <f t="array" ref="G25">IF('.'!G25="","",'.'!G25&amp;IF(VLOOKUP('.'!G25,Recipes!$A:$D,4,FALSE)="",""," ["&amp;VLOOKUP('.'!G25,Recipes!$A:$D,4,FALSE)&amp;"]"))</f>
        <v/>
      </c>
      <c r="H25" s="46" t="str">
        <f t="array" ref="H25">IF('.'!H25="","",'.'!H25&amp;IF(VLOOKUP('.'!H25,Recipes!$A:$D,4,FALSE)="",""," ["&amp;VLOOKUP('.'!H25,Recipes!$A:$D,4,FALSE)&amp;"]"))</f>
        <v/>
      </c>
      <c r="I25" s="46" t="str">
        <f t="array" ref="I25">IF('.'!I25="","",'.'!I25&amp;IF(VLOOKUP('.'!I25,Recipes!$A:$D,4,FALSE)="",""," ["&amp;VLOOKUP('.'!I25,Recipes!$A:$D,4,FALSE)&amp;"]"))</f>
        <v/>
      </c>
      <c r="J25" s="46" t="str">
        <f t="array" ref="J25">IF('.'!J25="","",'.'!J25&amp;IF(VLOOKUP('.'!J25,Recipes!$A:$D,4,FALSE)="",""," ["&amp;VLOOKUP('.'!J25,Recipes!$A:$D,4,FALSE)&amp;"]"))</f>
        <v/>
      </c>
      <c r="K25" s="46" t="str">
        <f t="array" ref="K25">IF('.'!K25="","",'.'!K25&amp;IF(VLOOKUP('.'!K25,Recipes!$A:$D,4,FALSE)="",""," ["&amp;VLOOKUP('.'!K25,Recipes!$A:$D,4,FALSE)&amp;"]"))</f>
        <v/>
      </c>
      <c r="L25" s="46" t="str">
        <f t="array" ref="L25">IF('.'!L25="","",'.'!L25&amp;IF(VLOOKUP('.'!L25,Recipes!$A:$D,4,FALSE)="",""," ["&amp;VLOOKUP('.'!L25,Recipes!$A:$D,4,FALSE)&amp;"]"))</f>
        <v/>
      </c>
      <c r="M25" s="46" t="str">
        <f t="array" ref="M25">IF('.'!M25="","",'.'!M25&amp;IF(VLOOKUP('.'!M25,Recipes!$A:$D,4,FALSE)="",""," ["&amp;VLOOKUP('.'!M25,Recipes!$A:$D,4,FALSE)&amp;"]"))</f>
        <v/>
      </c>
      <c r="N25" s="46"/>
      <c r="O25" s="46"/>
      <c r="P25" s="46"/>
      <c r="Q25" s="46"/>
      <c r="R25" s="46"/>
      <c r="S25" s="46"/>
      <c r="T25" s="46"/>
      <c r="U25" s="46"/>
      <c r="V25" s="46"/>
      <c r="W25" s="46"/>
      <c r="X25" s="46"/>
      <c r="Y25" s="46"/>
      <c r="Z25" s="46"/>
      <c r="AA25" s="46"/>
      <c r="AB25" s="46"/>
      <c r="AC25" s="46"/>
      <c r="AD25" s="46"/>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7"/>
      <c r="BC25" s="47"/>
      <c r="BD25" s="47"/>
      <c r="BE25" s="47"/>
      <c r="BF25" s="47"/>
      <c r="BG25" s="47"/>
      <c r="BH25" s="47"/>
      <c r="BI25" s="47"/>
      <c r="BJ25" s="47"/>
      <c r="BK25" s="47"/>
      <c r="BL25" s="47"/>
      <c r="BM25" s="47"/>
      <c r="BN25" s="47"/>
      <c r="BO25" s="47"/>
      <c r="BP25" s="47"/>
      <c r="BQ25" s="47"/>
      <c r="BR25" s="47"/>
      <c r="BS25" s="47"/>
      <c r="BT25" s="47"/>
      <c r="BU25" s="47"/>
      <c r="BV25" s="47"/>
      <c r="BW25" s="47"/>
      <c r="BX25" s="47"/>
      <c r="BY25" s="47"/>
      <c r="BZ25" s="47"/>
    </row>
    <row r="26" spans="1:78" ht="15.75" customHeight="1">
      <c r="A26" s="48" t="str">
        <f ca="1">'.'!A26</f>
        <v>Alien Air Essence</v>
      </c>
      <c r="B26" s="46" t="str">
        <f t="array" aca="1" ref="B26" ca="1">IF('.'!B26="","",'.'!B26&amp;IF(VLOOKUP('.'!B26,Recipes!$A:$D,4,FALSE)="",""," ["&amp;VLOOKUP('.'!B26,Recipes!$A:$D,4,FALSE)&amp;"]"))</f>
        <v>Superconductor Scroll [-75]</v>
      </c>
      <c r="C26" s="46" t="str">
        <f t="array" aca="1" ref="C26" ca="1">IF('.'!C26="","",'.'!C26&amp;IF(VLOOKUP('.'!C26,Recipes!$A:$D,4,FALSE)="",""," ["&amp;VLOOKUP('.'!C26,Recipes!$A:$D,4,FALSE)&amp;"]"))</f>
        <v>Tornado Scroll [-175]</v>
      </c>
      <c r="D26" s="46" t="str">
        <f t="array" ref="D26">IF('.'!D26="","",'.'!D26&amp;IF(VLOOKUP('.'!D26,Recipes!$A:$D,4,FALSE)="",""," ["&amp;VLOOKUP('.'!D26,Recipes!$A:$D,4,FALSE)&amp;"]"))</f>
        <v/>
      </c>
      <c r="E26" s="46" t="str">
        <f t="array" ref="E26">IF('.'!E26="","",'.'!E26&amp;IF(VLOOKUP('.'!E26,Recipes!$A:$D,4,FALSE)="",""," ["&amp;VLOOKUP('.'!E26,Recipes!$A:$D,4,FALSE)&amp;"]"))</f>
        <v/>
      </c>
      <c r="F26" s="46" t="str">
        <f t="array" ref="F26">IF('.'!F26="","",'.'!F26&amp;IF(VLOOKUP('.'!F26,Recipes!$A:$D,4,FALSE)="",""," ["&amp;VLOOKUP('.'!F26,Recipes!$A:$D,4,FALSE)&amp;"]"))</f>
        <v/>
      </c>
      <c r="G26" s="46" t="str">
        <f t="array" ref="G26">IF('.'!G26="","",'.'!G26&amp;IF(VLOOKUP('.'!G26,Recipes!$A:$D,4,FALSE)="",""," ["&amp;VLOOKUP('.'!G26,Recipes!$A:$D,4,FALSE)&amp;"]"))</f>
        <v/>
      </c>
      <c r="H26" s="46" t="str">
        <f t="array" ref="H26">IF('.'!H26="","",'.'!H26&amp;IF(VLOOKUP('.'!H26,Recipes!$A:$D,4,FALSE)="",""," ["&amp;VLOOKUP('.'!H26,Recipes!$A:$D,4,FALSE)&amp;"]"))</f>
        <v/>
      </c>
      <c r="I26" s="46" t="str">
        <f t="array" ref="I26">IF('.'!I26="","",'.'!I26&amp;IF(VLOOKUP('.'!I26,Recipes!$A:$D,4,FALSE)="",""," ["&amp;VLOOKUP('.'!I26,Recipes!$A:$D,4,FALSE)&amp;"]"))</f>
        <v/>
      </c>
      <c r="J26" s="46" t="str">
        <f t="array" ref="J26">IF('.'!J26="","",'.'!J26&amp;IF(VLOOKUP('.'!J26,Recipes!$A:$D,4,FALSE)="",""," ["&amp;VLOOKUP('.'!J26,Recipes!$A:$D,4,FALSE)&amp;"]"))</f>
        <v/>
      </c>
      <c r="K26" s="46" t="str">
        <f t="array" ref="K26">IF('.'!K26="","",'.'!K26&amp;IF(VLOOKUP('.'!K26,Recipes!$A:$D,4,FALSE)="",""," ["&amp;VLOOKUP('.'!K26,Recipes!$A:$D,4,FALSE)&amp;"]"))</f>
        <v/>
      </c>
      <c r="L26" s="46" t="str">
        <f t="array" ref="L26">IF('.'!L26="","",'.'!L26&amp;IF(VLOOKUP('.'!L26,Recipes!$A:$D,4,FALSE)="",""," ["&amp;VLOOKUP('.'!L26,Recipes!$A:$D,4,FALSE)&amp;"]"))</f>
        <v/>
      </c>
      <c r="M26" s="46" t="str">
        <f t="array" ref="M26">IF('.'!M26="","",'.'!M26&amp;IF(VLOOKUP('.'!M26,Recipes!$A:$D,4,FALSE)="",""," ["&amp;VLOOKUP('.'!M26,Recipes!$A:$D,4,FALSE)&amp;"]"))</f>
        <v/>
      </c>
      <c r="N26" s="46"/>
      <c r="O26" s="46"/>
      <c r="P26" s="46"/>
      <c r="Q26" s="46"/>
      <c r="R26" s="46"/>
      <c r="S26" s="46"/>
      <c r="T26" s="46"/>
      <c r="U26" s="46"/>
      <c r="V26" s="46"/>
      <c r="W26" s="46"/>
      <c r="X26" s="46"/>
      <c r="Y26" s="46"/>
      <c r="Z26" s="46"/>
      <c r="AA26" s="46"/>
      <c r="AB26" s="46"/>
      <c r="AC26" s="46"/>
      <c r="AD26" s="46"/>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7"/>
      <c r="BD26" s="47"/>
      <c r="BE26" s="47"/>
      <c r="BF26" s="47"/>
      <c r="BG26" s="47"/>
      <c r="BH26" s="47"/>
      <c r="BI26" s="47"/>
      <c r="BJ26" s="47"/>
      <c r="BK26" s="47"/>
      <c r="BL26" s="47"/>
      <c r="BM26" s="47"/>
      <c r="BN26" s="47"/>
      <c r="BO26" s="47"/>
      <c r="BP26" s="47"/>
      <c r="BQ26" s="47"/>
      <c r="BR26" s="47"/>
      <c r="BS26" s="47"/>
      <c r="BT26" s="47"/>
      <c r="BU26" s="47"/>
      <c r="BV26" s="47"/>
      <c r="BW26" s="47"/>
      <c r="BX26" s="47"/>
      <c r="BY26" s="47"/>
      <c r="BZ26" s="47"/>
    </row>
    <row r="27" spans="1:78" ht="15.75" customHeight="1">
      <c r="A27" s="48" t="str">
        <f ca="1">'.'!A27</f>
        <v>Alien Earth Essence</v>
      </c>
      <c r="B27" s="46" t="str">
        <f t="array" aca="1" ref="B27" ca="1">IF('.'!B27="","",'.'!B27&amp;IF(VLOOKUP('.'!B27,Recipes!$A:$D,4,FALSE)="",""," ["&amp;VLOOKUP('.'!B27,Recipes!$A:$D,4,FALSE)&amp;"]"))</f>
        <v>Living Wall Scroll [-15]</v>
      </c>
      <c r="C27" s="46" t="str">
        <f t="array" ref="C27">IF('.'!C27="","",'.'!C27&amp;IF(VLOOKUP('.'!C27,Recipes!$A:$D,4,FALSE)="",""," ["&amp;VLOOKUP('.'!C27,Recipes!$A:$D,4,FALSE)&amp;"]"))</f>
        <v/>
      </c>
      <c r="D27" s="46" t="str">
        <f t="array" ref="D27">IF('.'!D27="","",'.'!D27&amp;IF(VLOOKUP('.'!D27,Recipes!$A:$D,4,FALSE)="",""," ["&amp;VLOOKUP('.'!D27,Recipes!$A:$D,4,FALSE)&amp;"]"))</f>
        <v/>
      </c>
      <c r="E27" s="46" t="str">
        <f t="array" ref="E27">IF('.'!E27="","",'.'!E27&amp;IF(VLOOKUP('.'!E27,Recipes!$A:$D,4,FALSE)="",""," ["&amp;VLOOKUP('.'!E27,Recipes!$A:$D,4,FALSE)&amp;"]"))</f>
        <v/>
      </c>
      <c r="F27" s="46" t="str">
        <f t="array" ref="F27">IF('.'!F27="","",'.'!F27&amp;IF(VLOOKUP('.'!F27,Recipes!$A:$D,4,FALSE)="",""," ["&amp;VLOOKUP('.'!F27,Recipes!$A:$D,4,FALSE)&amp;"]"))</f>
        <v/>
      </c>
      <c r="G27" s="46" t="str">
        <f t="array" ref="G27">IF('.'!G27="","",'.'!G27&amp;IF(VLOOKUP('.'!G27,Recipes!$A:$D,4,FALSE)="",""," ["&amp;VLOOKUP('.'!G27,Recipes!$A:$D,4,FALSE)&amp;"]"))</f>
        <v/>
      </c>
      <c r="H27" s="46" t="str">
        <f t="array" ref="H27">IF('.'!H27="","",'.'!H27&amp;IF(VLOOKUP('.'!H27,Recipes!$A:$D,4,FALSE)="",""," ["&amp;VLOOKUP('.'!H27,Recipes!$A:$D,4,FALSE)&amp;"]"))</f>
        <v/>
      </c>
      <c r="I27" s="46" t="str">
        <f t="array" ref="I27">IF('.'!I27="","",'.'!I27&amp;IF(VLOOKUP('.'!I27,Recipes!$A:$D,4,FALSE)="",""," ["&amp;VLOOKUP('.'!I27,Recipes!$A:$D,4,FALSE)&amp;"]"))</f>
        <v/>
      </c>
      <c r="J27" s="46" t="str">
        <f t="array" ref="J27">IF('.'!J27="","",'.'!J27&amp;IF(VLOOKUP('.'!J27,Recipes!$A:$D,4,FALSE)="",""," ["&amp;VLOOKUP('.'!J27,Recipes!$A:$D,4,FALSE)&amp;"]"))</f>
        <v/>
      </c>
      <c r="K27" s="46" t="str">
        <f t="array" ref="K27">IF('.'!K27="","",'.'!K27&amp;IF(VLOOKUP('.'!K27,Recipes!$A:$D,4,FALSE)="",""," ["&amp;VLOOKUP('.'!K27,Recipes!$A:$D,4,FALSE)&amp;"]"))</f>
        <v/>
      </c>
      <c r="L27" s="46" t="str">
        <f t="array" ref="L27">IF('.'!L27="","",'.'!L27&amp;IF(VLOOKUP('.'!L27,Recipes!$A:$D,4,FALSE)="",""," ["&amp;VLOOKUP('.'!L27,Recipes!$A:$D,4,FALSE)&amp;"]"))</f>
        <v/>
      </c>
      <c r="M27" s="46" t="str">
        <f t="array" ref="M27">IF('.'!M27="","",'.'!M27&amp;IF(VLOOKUP('.'!M27,Recipes!$A:$D,4,FALSE)="",""," ["&amp;VLOOKUP('.'!M27,Recipes!$A:$D,4,FALSE)&amp;"]"))</f>
        <v/>
      </c>
      <c r="N27" s="46"/>
      <c r="O27" s="46"/>
      <c r="P27" s="46"/>
      <c r="Q27" s="46"/>
      <c r="R27" s="46"/>
      <c r="S27" s="46"/>
      <c r="T27" s="46"/>
      <c r="U27" s="46"/>
      <c r="V27" s="46"/>
      <c r="W27" s="46"/>
      <c r="X27" s="46"/>
      <c r="Y27" s="46"/>
      <c r="Z27" s="46"/>
      <c r="AA27" s="46"/>
      <c r="AB27" s="46"/>
      <c r="AC27" s="46"/>
      <c r="AD27" s="46"/>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7"/>
      <c r="BD27" s="47"/>
      <c r="BE27" s="47"/>
      <c r="BF27" s="47"/>
      <c r="BG27" s="47"/>
      <c r="BH27" s="47"/>
      <c r="BI27" s="47"/>
      <c r="BJ27" s="47"/>
      <c r="BK27" s="47"/>
      <c r="BL27" s="47"/>
      <c r="BM27" s="47"/>
      <c r="BN27" s="47"/>
      <c r="BO27" s="47"/>
      <c r="BP27" s="47"/>
      <c r="BQ27" s="47"/>
      <c r="BR27" s="47"/>
      <c r="BS27" s="47"/>
      <c r="BT27" s="47"/>
      <c r="BU27" s="47"/>
      <c r="BV27" s="47"/>
      <c r="BW27" s="47"/>
      <c r="BX27" s="47"/>
      <c r="BY27" s="47"/>
      <c r="BZ27" s="47"/>
    </row>
    <row r="28" spans="1:78" ht="15.75" customHeight="1">
      <c r="A28" s="48" t="str">
        <f ca="1">'.'!A28</f>
        <v>Alien Fire Essence</v>
      </c>
      <c r="B28" s="46" t="str">
        <f t="array" aca="1" ref="B28" ca="1">IF('.'!B28="","",'.'!B28&amp;IF(VLOOKUP('.'!B28,Recipes!$A:$D,4,FALSE)="",""," ["&amp;VLOOKUP('.'!B28,Recipes!$A:$D,4,FALSE)&amp;"]"))</f>
        <v>Firebrand Scroll [-55]</v>
      </c>
      <c r="C28" s="46" t="str">
        <f t="array" aca="1" ref="C28" ca="1">IF('.'!C28="","",'.'!C28&amp;IF(VLOOKUP('.'!C28,Recipes!$A:$D,4,FALSE)="",""," ["&amp;VLOOKUP('.'!C28,Recipes!$A:$D,4,FALSE)&amp;"]"))</f>
        <v>Flaming Crescendo Scroll [14]</v>
      </c>
      <c r="D28" s="46" t="str">
        <f t="array" ref="D28">IF('.'!D28="","",'.'!D28&amp;IF(VLOOKUP('.'!D28,Recipes!$A:$D,4,FALSE)="",""," ["&amp;VLOOKUP('.'!D28,Recipes!$A:$D,4,FALSE)&amp;"]"))</f>
        <v/>
      </c>
      <c r="E28" s="46" t="str">
        <f t="array" ref="E28">IF('.'!E28="","",'.'!E28&amp;IF(VLOOKUP('.'!E28,Recipes!$A:$D,4,FALSE)="",""," ["&amp;VLOOKUP('.'!E28,Recipes!$A:$D,4,FALSE)&amp;"]"))</f>
        <v/>
      </c>
      <c r="F28" s="46" t="str">
        <f t="array" ref="F28">IF('.'!F28="","",'.'!F28&amp;IF(VLOOKUP('.'!F28,Recipes!$A:$D,4,FALSE)="",""," ["&amp;VLOOKUP('.'!F28,Recipes!$A:$D,4,FALSE)&amp;"]"))</f>
        <v/>
      </c>
      <c r="G28" s="46" t="str">
        <f t="array" ref="G28">IF('.'!G28="","",'.'!G28&amp;IF(VLOOKUP('.'!G28,Recipes!$A:$D,4,FALSE)="",""," ["&amp;VLOOKUP('.'!G28,Recipes!$A:$D,4,FALSE)&amp;"]"))</f>
        <v/>
      </c>
      <c r="H28" s="46" t="str">
        <f t="array" ref="H28">IF('.'!H28="","",'.'!H28&amp;IF(VLOOKUP('.'!H28,Recipes!$A:$D,4,FALSE)="",""," ["&amp;VLOOKUP('.'!H28,Recipes!$A:$D,4,FALSE)&amp;"]"))</f>
        <v/>
      </c>
      <c r="I28" s="46" t="str">
        <f t="array" ref="I28">IF('.'!I28="","",'.'!I28&amp;IF(VLOOKUP('.'!I28,Recipes!$A:$D,4,FALSE)="",""," ["&amp;VLOOKUP('.'!I28,Recipes!$A:$D,4,FALSE)&amp;"]"))</f>
        <v/>
      </c>
      <c r="J28" s="46" t="str">
        <f t="array" ref="J28">IF('.'!J28="","",'.'!J28&amp;IF(VLOOKUP('.'!J28,Recipes!$A:$D,4,FALSE)="",""," ["&amp;VLOOKUP('.'!J28,Recipes!$A:$D,4,FALSE)&amp;"]"))</f>
        <v/>
      </c>
      <c r="K28" s="46" t="str">
        <f t="array" ref="K28">IF('.'!K28="","",'.'!K28&amp;IF(VLOOKUP('.'!K28,Recipes!$A:$D,4,FALSE)="",""," ["&amp;VLOOKUP('.'!K28,Recipes!$A:$D,4,FALSE)&amp;"]"))</f>
        <v/>
      </c>
      <c r="L28" s="46" t="str">
        <f t="array" ref="L28">IF('.'!L28="","",'.'!L28&amp;IF(VLOOKUP('.'!L28,Recipes!$A:$D,4,FALSE)="",""," ["&amp;VLOOKUP('.'!L28,Recipes!$A:$D,4,FALSE)&amp;"]"))</f>
        <v/>
      </c>
      <c r="M28" s="46" t="str">
        <f t="array" ref="M28">IF('.'!M28="","",'.'!M28&amp;IF(VLOOKUP('.'!M28,Recipes!$A:$D,4,FALSE)="",""," ["&amp;VLOOKUP('.'!M28,Recipes!$A:$D,4,FALSE)&amp;"]"))</f>
        <v/>
      </c>
      <c r="N28" s="46"/>
      <c r="O28" s="46"/>
      <c r="P28" s="46"/>
      <c r="Q28" s="46"/>
      <c r="R28" s="46"/>
      <c r="S28" s="46"/>
      <c r="T28" s="46"/>
      <c r="U28" s="46"/>
      <c r="V28" s="46"/>
      <c r="W28" s="46"/>
      <c r="X28" s="46"/>
      <c r="Y28" s="46"/>
      <c r="Z28" s="46"/>
      <c r="AA28" s="46"/>
      <c r="AB28" s="46"/>
      <c r="AC28" s="46"/>
      <c r="AD28" s="46"/>
      <c r="AE28" s="47"/>
      <c r="AF28" s="47"/>
      <c r="AG28" s="47"/>
      <c r="AH28" s="47"/>
      <c r="AI28" s="47"/>
      <c r="AJ28" s="47"/>
      <c r="AK28" s="47"/>
      <c r="AL28" s="47"/>
      <c r="AM28" s="47"/>
      <c r="AN28" s="47"/>
      <c r="AO28" s="47"/>
      <c r="AP28" s="47"/>
      <c r="AQ28" s="47"/>
      <c r="AR28" s="47"/>
      <c r="AS28" s="47"/>
      <c r="AT28" s="47"/>
      <c r="AU28" s="47"/>
      <c r="AV28" s="47"/>
      <c r="AW28" s="47"/>
      <c r="AX28" s="47"/>
      <c r="AY28" s="47"/>
      <c r="AZ28" s="47"/>
      <c r="BA28" s="47"/>
      <c r="BB28" s="47"/>
      <c r="BC28" s="47"/>
      <c r="BD28" s="47"/>
      <c r="BE28" s="47"/>
      <c r="BF28" s="47"/>
      <c r="BG28" s="47"/>
      <c r="BH28" s="47"/>
      <c r="BI28" s="47"/>
      <c r="BJ28" s="47"/>
      <c r="BK28" s="47"/>
      <c r="BL28" s="47"/>
      <c r="BM28" s="47"/>
      <c r="BN28" s="47"/>
      <c r="BO28" s="47"/>
      <c r="BP28" s="47"/>
      <c r="BQ28" s="47"/>
      <c r="BR28" s="47"/>
      <c r="BS28" s="47"/>
      <c r="BT28" s="47"/>
      <c r="BU28" s="47"/>
      <c r="BV28" s="47"/>
      <c r="BW28" s="47"/>
      <c r="BX28" s="47"/>
      <c r="BY28" s="47"/>
      <c r="BZ28" s="47"/>
    </row>
    <row r="29" spans="1:78" ht="15.75" customHeight="1">
      <c r="A29" s="48" t="str">
        <f ca="1">'.'!A29</f>
        <v>Alien Life Essence</v>
      </c>
      <c r="B29" s="46" t="str">
        <f t="array" aca="1" ref="B29" ca="1">IF('.'!B29="","",'.'!B29&amp;IF(VLOOKUP('.'!B29,Recipes!$A:$D,4,FALSE)="",""," ["&amp;VLOOKUP('.'!B29,Recipes!$A:$D,4,FALSE)&amp;"]"))</f>
        <v>Equalise Scroll [-5]</v>
      </c>
      <c r="C29" s="46" t="str">
        <f t="array" ref="C29">IF('.'!C29="","",'.'!C29&amp;IF(VLOOKUP('.'!C29,Recipes!$A:$D,4,FALSE)="",""," ["&amp;VLOOKUP('.'!C29,Recipes!$A:$D,4,FALSE)&amp;"]"))</f>
        <v/>
      </c>
      <c r="D29" s="46" t="str">
        <f t="array" ref="D29">IF('.'!D29="","",'.'!D29&amp;IF(VLOOKUP('.'!D29,Recipes!$A:$D,4,FALSE)="",""," ["&amp;VLOOKUP('.'!D29,Recipes!$A:$D,4,FALSE)&amp;"]"))</f>
        <v/>
      </c>
      <c r="E29" s="46" t="str">
        <f t="array" ref="E29">IF('.'!E29="","",'.'!E29&amp;IF(VLOOKUP('.'!E29,Recipes!$A:$D,4,FALSE)="",""," ["&amp;VLOOKUP('.'!E29,Recipes!$A:$D,4,FALSE)&amp;"]"))</f>
        <v/>
      </c>
      <c r="F29" s="46" t="str">
        <f t="array" ref="F29">IF('.'!F29="","",'.'!F29&amp;IF(VLOOKUP('.'!F29,Recipes!$A:$D,4,FALSE)="",""," ["&amp;VLOOKUP('.'!F29,Recipes!$A:$D,4,FALSE)&amp;"]"))</f>
        <v/>
      </c>
      <c r="G29" s="46" t="str">
        <f t="array" ref="G29">IF('.'!G29="","",'.'!G29&amp;IF(VLOOKUP('.'!G29,Recipes!$A:$D,4,FALSE)="",""," ["&amp;VLOOKUP('.'!G29,Recipes!$A:$D,4,FALSE)&amp;"]"))</f>
        <v/>
      </c>
      <c r="H29" s="46" t="str">
        <f t="array" ref="H29">IF('.'!H29="","",'.'!H29&amp;IF(VLOOKUP('.'!H29,Recipes!$A:$D,4,FALSE)="",""," ["&amp;VLOOKUP('.'!H29,Recipes!$A:$D,4,FALSE)&amp;"]"))</f>
        <v/>
      </c>
      <c r="I29" s="46" t="str">
        <f t="array" ref="I29">IF('.'!I29="","",'.'!I29&amp;IF(VLOOKUP('.'!I29,Recipes!$A:$D,4,FALSE)="",""," ["&amp;VLOOKUP('.'!I29,Recipes!$A:$D,4,FALSE)&amp;"]"))</f>
        <v/>
      </c>
      <c r="J29" s="46" t="str">
        <f t="array" ref="J29">IF('.'!J29="","",'.'!J29&amp;IF(VLOOKUP('.'!J29,Recipes!$A:$D,4,FALSE)="",""," ["&amp;VLOOKUP('.'!J29,Recipes!$A:$D,4,FALSE)&amp;"]"))</f>
        <v/>
      </c>
      <c r="K29" s="46" t="str">
        <f t="array" ref="K29">IF('.'!K29="","",'.'!K29&amp;IF(VLOOKUP('.'!K29,Recipes!$A:$D,4,FALSE)="",""," ["&amp;VLOOKUP('.'!K29,Recipes!$A:$D,4,FALSE)&amp;"]"))</f>
        <v/>
      </c>
      <c r="L29" s="46" t="str">
        <f t="array" ref="L29">IF('.'!L29="","",'.'!L29&amp;IF(VLOOKUP('.'!L29,Recipes!$A:$D,4,FALSE)="",""," ["&amp;VLOOKUP('.'!L29,Recipes!$A:$D,4,FALSE)&amp;"]"))</f>
        <v/>
      </c>
      <c r="M29" s="46" t="str">
        <f t="array" ref="M29">IF('.'!M29="","",'.'!M29&amp;IF(VLOOKUP('.'!M29,Recipes!$A:$D,4,FALSE)="",""," ["&amp;VLOOKUP('.'!M29,Recipes!$A:$D,4,FALSE)&amp;"]"))</f>
        <v/>
      </c>
      <c r="N29" s="46"/>
      <c r="O29" s="46"/>
      <c r="P29" s="46"/>
      <c r="Q29" s="46"/>
      <c r="R29" s="46"/>
      <c r="S29" s="46"/>
      <c r="T29" s="46"/>
      <c r="U29" s="46"/>
      <c r="V29" s="46"/>
      <c r="W29" s="46"/>
      <c r="X29" s="46"/>
      <c r="Y29" s="46"/>
      <c r="Z29" s="46"/>
      <c r="AA29" s="46"/>
      <c r="AB29" s="46"/>
      <c r="AC29" s="46"/>
      <c r="AD29" s="46"/>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7"/>
      <c r="BC29" s="47"/>
      <c r="BD29" s="47"/>
      <c r="BE29" s="47"/>
      <c r="BF29" s="47"/>
      <c r="BG29" s="47"/>
      <c r="BH29" s="47"/>
      <c r="BI29" s="47"/>
      <c r="BJ29" s="47"/>
      <c r="BK29" s="47"/>
      <c r="BL29" s="47"/>
      <c r="BM29" s="47"/>
      <c r="BN29" s="47"/>
      <c r="BO29" s="47"/>
      <c r="BP29" s="47"/>
      <c r="BQ29" s="47"/>
      <c r="BR29" s="47"/>
      <c r="BS29" s="47"/>
      <c r="BT29" s="47"/>
      <c r="BU29" s="47"/>
      <c r="BV29" s="47"/>
      <c r="BW29" s="47"/>
      <c r="BX29" s="47"/>
      <c r="BY29" s="47"/>
      <c r="BZ29" s="47"/>
    </row>
    <row r="30" spans="1:78" ht="15.75" customHeight="1">
      <c r="A30" s="48" t="str">
        <f ca="1">'.'!A30</f>
        <v>Alien Shadow Essence</v>
      </c>
      <c r="B30" s="46" t="str">
        <f t="array" aca="1" ref="B30" ca="1">IF('.'!B30="","",'.'!B30&amp;IF(VLOOKUP('.'!B30,Recipes!$A:$D,4,FALSE)="",""," ["&amp;VLOOKUP('.'!B30,Recipes!$A:$D,4,FALSE)&amp;"]"))</f>
        <v>Silencing Stare Scroll [-75]</v>
      </c>
      <c r="C30" s="46" t="str">
        <f t="array" ref="C30">IF('.'!C30="","",'.'!C30&amp;IF(VLOOKUP('.'!C30,Recipes!$A:$D,4,FALSE)="",""," ["&amp;VLOOKUP('.'!C30,Recipes!$A:$D,4,FALSE)&amp;"]"))</f>
        <v/>
      </c>
      <c r="D30" s="46" t="str">
        <f t="array" ref="D30">IF('.'!D30="","",'.'!D30&amp;IF(VLOOKUP('.'!D30,Recipes!$A:$D,4,FALSE)="",""," ["&amp;VLOOKUP('.'!D30,Recipes!$A:$D,4,FALSE)&amp;"]"))</f>
        <v/>
      </c>
      <c r="E30" s="46" t="str">
        <f t="array" ref="E30">IF('.'!E30="","",'.'!E30&amp;IF(VLOOKUP('.'!E30,Recipes!$A:$D,4,FALSE)="",""," ["&amp;VLOOKUP('.'!E30,Recipes!$A:$D,4,FALSE)&amp;"]"))</f>
        <v/>
      </c>
      <c r="F30" s="46" t="str">
        <f t="array" ref="F30">IF('.'!F30="","",'.'!F30&amp;IF(VLOOKUP('.'!F30,Recipes!$A:$D,4,FALSE)="",""," ["&amp;VLOOKUP('.'!F30,Recipes!$A:$D,4,FALSE)&amp;"]"))</f>
        <v/>
      </c>
      <c r="G30" s="46" t="str">
        <f t="array" ref="G30">IF('.'!G30="","",'.'!G30&amp;IF(VLOOKUP('.'!G30,Recipes!$A:$D,4,FALSE)="",""," ["&amp;VLOOKUP('.'!G30,Recipes!$A:$D,4,FALSE)&amp;"]"))</f>
        <v/>
      </c>
      <c r="H30" s="46" t="str">
        <f t="array" ref="H30">IF('.'!H30="","",'.'!H30&amp;IF(VLOOKUP('.'!H30,Recipes!$A:$D,4,FALSE)="",""," ["&amp;VLOOKUP('.'!H30,Recipes!$A:$D,4,FALSE)&amp;"]"))</f>
        <v/>
      </c>
      <c r="I30" s="46" t="str">
        <f t="array" ref="I30">IF('.'!I30="","",'.'!I30&amp;IF(VLOOKUP('.'!I30,Recipes!$A:$D,4,FALSE)="",""," ["&amp;VLOOKUP('.'!I30,Recipes!$A:$D,4,FALSE)&amp;"]"))</f>
        <v/>
      </c>
      <c r="J30" s="46" t="str">
        <f t="array" ref="J30">IF('.'!J30="","",'.'!J30&amp;IF(VLOOKUP('.'!J30,Recipes!$A:$D,4,FALSE)="",""," ["&amp;VLOOKUP('.'!J30,Recipes!$A:$D,4,FALSE)&amp;"]"))</f>
        <v/>
      </c>
      <c r="K30" s="46" t="str">
        <f t="array" ref="K30">IF('.'!K30="","",'.'!K30&amp;IF(VLOOKUP('.'!K30,Recipes!$A:$D,4,FALSE)="",""," ["&amp;VLOOKUP('.'!K30,Recipes!$A:$D,4,FALSE)&amp;"]"))</f>
        <v/>
      </c>
      <c r="L30" s="46" t="str">
        <f t="array" ref="L30">IF('.'!L30="","",'.'!L30&amp;IF(VLOOKUP('.'!L30,Recipes!$A:$D,4,FALSE)="",""," ["&amp;VLOOKUP('.'!L30,Recipes!$A:$D,4,FALSE)&amp;"]"))</f>
        <v/>
      </c>
      <c r="M30" s="46" t="str">
        <f t="array" ref="M30">IF('.'!M30="","",'.'!M30&amp;IF(VLOOKUP('.'!M30,Recipes!$A:$D,4,FALSE)="",""," ["&amp;VLOOKUP('.'!M30,Recipes!$A:$D,4,FALSE)&amp;"]"))</f>
        <v/>
      </c>
      <c r="N30" s="46"/>
      <c r="O30" s="46"/>
      <c r="P30" s="46"/>
      <c r="Q30" s="46"/>
      <c r="R30" s="46"/>
      <c r="S30" s="46"/>
      <c r="T30" s="46"/>
      <c r="U30" s="46"/>
      <c r="V30" s="46"/>
      <c r="W30" s="46"/>
      <c r="X30" s="46"/>
      <c r="Y30" s="46"/>
      <c r="Z30" s="46"/>
      <c r="AA30" s="46"/>
      <c r="AB30" s="46"/>
      <c r="AC30" s="46"/>
      <c r="AD30" s="46"/>
      <c r="AE30" s="47"/>
      <c r="AF30" s="47"/>
      <c r="AG30" s="47"/>
      <c r="AH30" s="47"/>
      <c r="AI30" s="47"/>
      <c r="AJ30" s="47"/>
      <c r="AK30" s="47"/>
      <c r="AL30" s="47"/>
      <c r="AM30" s="47"/>
      <c r="AN30" s="47"/>
      <c r="AO30" s="47"/>
      <c r="AP30" s="47"/>
      <c r="AQ30" s="47"/>
      <c r="AR30" s="47"/>
      <c r="AS30" s="47"/>
      <c r="AT30" s="47"/>
      <c r="AU30" s="47"/>
      <c r="AV30" s="47"/>
      <c r="AW30" s="47"/>
      <c r="AX30" s="47"/>
      <c r="AY30" s="47"/>
      <c r="AZ30" s="47"/>
      <c r="BA30" s="47"/>
      <c r="BB30" s="47"/>
      <c r="BC30" s="47"/>
      <c r="BD30" s="47"/>
      <c r="BE30" s="47"/>
      <c r="BF30" s="47"/>
      <c r="BG30" s="47"/>
      <c r="BH30" s="47"/>
      <c r="BI30" s="47"/>
      <c r="BJ30" s="47"/>
      <c r="BK30" s="47"/>
      <c r="BL30" s="47"/>
      <c r="BM30" s="47"/>
      <c r="BN30" s="47"/>
      <c r="BO30" s="47"/>
      <c r="BP30" s="47"/>
      <c r="BQ30" s="47"/>
      <c r="BR30" s="47"/>
      <c r="BS30" s="47"/>
      <c r="BT30" s="47"/>
      <c r="BU30" s="47"/>
      <c r="BV30" s="47"/>
      <c r="BW30" s="47"/>
      <c r="BX30" s="47"/>
      <c r="BY30" s="47"/>
      <c r="BZ30" s="47"/>
    </row>
    <row r="31" spans="1:78" ht="15.75" customHeight="1">
      <c r="A31" s="48" t="str">
        <f ca="1">'.'!A31</f>
        <v>Alien Tormented Soul</v>
      </c>
      <c r="B31" s="46" t="str">
        <f t="array" aca="1" ref="B31" ca="1">IF('.'!B31="","",'.'!B31&amp;IF(VLOOKUP('.'!B31,Recipes!$A:$D,4,FALSE)="",""," ["&amp;VLOOKUP('.'!B31,Recipes!$A:$D,4,FALSE)&amp;"]"))</f>
        <v>Charm Scroll [-297]</v>
      </c>
      <c r="C31" s="46" t="str">
        <f t="array" ref="C31">IF('.'!C31="","",'.'!C31&amp;IF(VLOOKUP('.'!C31,Recipes!$A:$D,4,FALSE)="",""," ["&amp;VLOOKUP('.'!C31,Recipes!$A:$D,4,FALSE)&amp;"]"))</f>
        <v/>
      </c>
      <c r="D31" s="46" t="str">
        <f t="array" ref="D31">IF('.'!D31="","",'.'!D31&amp;IF(VLOOKUP('.'!D31,Recipes!$A:$D,4,FALSE)="",""," ["&amp;VLOOKUP('.'!D31,Recipes!$A:$D,4,FALSE)&amp;"]"))</f>
        <v/>
      </c>
      <c r="E31" s="46" t="str">
        <f t="array" ref="E31">IF('.'!E31="","",'.'!E31&amp;IF(VLOOKUP('.'!E31,Recipes!$A:$D,4,FALSE)="",""," ["&amp;VLOOKUP('.'!E31,Recipes!$A:$D,4,FALSE)&amp;"]"))</f>
        <v/>
      </c>
      <c r="F31" s="46" t="str">
        <f t="array" ref="F31">IF('.'!F31="","",'.'!F31&amp;IF(VLOOKUP('.'!F31,Recipes!$A:$D,4,FALSE)="",""," ["&amp;VLOOKUP('.'!F31,Recipes!$A:$D,4,FALSE)&amp;"]"))</f>
        <v/>
      </c>
      <c r="G31" s="46" t="str">
        <f t="array" ref="G31">IF('.'!G31="","",'.'!G31&amp;IF(VLOOKUP('.'!G31,Recipes!$A:$D,4,FALSE)="",""," ["&amp;VLOOKUP('.'!G31,Recipes!$A:$D,4,FALSE)&amp;"]"))</f>
        <v/>
      </c>
      <c r="H31" s="46" t="str">
        <f t="array" ref="H31">IF('.'!H31="","",'.'!H31&amp;IF(VLOOKUP('.'!H31,Recipes!$A:$D,4,FALSE)="",""," ["&amp;VLOOKUP('.'!H31,Recipes!$A:$D,4,FALSE)&amp;"]"))</f>
        <v/>
      </c>
      <c r="I31" s="46" t="str">
        <f t="array" ref="I31">IF('.'!I31="","",'.'!I31&amp;IF(VLOOKUP('.'!I31,Recipes!$A:$D,4,FALSE)="",""," ["&amp;VLOOKUP('.'!I31,Recipes!$A:$D,4,FALSE)&amp;"]"))</f>
        <v/>
      </c>
      <c r="J31" s="46" t="str">
        <f t="array" ref="J31">IF('.'!J31="","",'.'!J31&amp;IF(VLOOKUP('.'!J31,Recipes!$A:$D,4,FALSE)="",""," ["&amp;VLOOKUP('.'!J31,Recipes!$A:$D,4,FALSE)&amp;"]"))</f>
        <v/>
      </c>
      <c r="K31" s="46" t="str">
        <f t="array" ref="K31">IF('.'!K31="","",'.'!K31&amp;IF(VLOOKUP('.'!K31,Recipes!$A:$D,4,FALSE)="",""," ["&amp;VLOOKUP('.'!K31,Recipes!$A:$D,4,FALSE)&amp;"]"))</f>
        <v/>
      </c>
      <c r="L31" s="46" t="str">
        <f t="array" ref="L31">IF('.'!L31="","",'.'!L31&amp;IF(VLOOKUP('.'!L31,Recipes!$A:$D,4,FALSE)="",""," ["&amp;VLOOKUP('.'!L31,Recipes!$A:$D,4,FALSE)&amp;"]"))</f>
        <v/>
      </c>
      <c r="M31" s="46" t="str">
        <f t="array" ref="M31">IF('.'!M31="","",'.'!M31&amp;IF(VLOOKUP('.'!M31,Recipes!$A:$D,4,FALSE)="",""," ["&amp;VLOOKUP('.'!M31,Recipes!$A:$D,4,FALSE)&amp;"]"))</f>
        <v/>
      </c>
      <c r="N31" s="46"/>
      <c r="O31" s="46"/>
      <c r="P31" s="46"/>
      <c r="Q31" s="46"/>
      <c r="R31" s="46"/>
      <c r="S31" s="46"/>
      <c r="T31" s="46"/>
      <c r="U31" s="46"/>
      <c r="V31" s="46"/>
      <c r="W31" s="46"/>
      <c r="X31" s="46"/>
      <c r="Y31" s="46"/>
      <c r="Z31" s="46"/>
      <c r="AA31" s="46"/>
      <c r="AB31" s="46"/>
      <c r="AC31" s="46"/>
      <c r="AD31" s="46"/>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7"/>
      <c r="BC31" s="47"/>
      <c r="BD31" s="47"/>
      <c r="BE31" s="47"/>
      <c r="BF31" s="47"/>
      <c r="BG31" s="47"/>
      <c r="BH31" s="47"/>
      <c r="BI31" s="47"/>
      <c r="BJ31" s="47"/>
      <c r="BK31" s="47"/>
      <c r="BL31" s="47"/>
      <c r="BM31" s="47"/>
      <c r="BN31" s="47"/>
      <c r="BO31" s="47"/>
      <c r="BP31" s="47"/>
      <c r="BQ31" s="47"/>
      <c r="BR31" s="47"/>
      <c r="BS31" s="47"/>
      <c r="BT31" s="47"/>
      <c r="BU31" s="47"/>
      <c r="BV31" s="47"/>
      <c r="BW31" s="47"/>
      <c r="BX31" s="47"/>
      <c r="BY31" s="47"/>
      <c r="BZ31" s="47"/>
    </row>
    <row r="32" spans="1:78" ht="15.75" customHeight="1">
      <c r="A32" s="48" t="str">
        <f ca="1">'.'!A32</f>
        <v>Alien Water Essence</v>
      </c>
      <c r="B32" s="46" t="str">
        <f t="array" aca="1" ref="B32" ca="1">IF('.'!B32="","",'.'!B32&amp;IF(VLOOKUP('.'!B32,Recipes!$A:$D,4,FALSE)="",""," ["&amp;VLOOKUP('.'!B32,Recipes!$A:$D,4,FALSE)&amp;"]"))</f>
        <v>Deep Freeze Scroll [3]</v>
      </c>
      <c r="C32" s="46" t="str">
        <f t="array" ref="C32">IF('.'!C32="","",'.'!C32&amp;IF(VLOOKUP('.'!C32,Recipes!$A:$D,4,FALSE)="",""," ["&amp;VLOOKUP('.'!C32,Recipes!$A:$D,4,FALSE)&amp;"]"))</f>
        <v/>
      </c>
      <c r="D32" s="46" t="str">
        <f t="array" ref="D32">IF('.'!D32="","",'.'!D32&amp;IF(VLOOKUP('.'!D32,Recipes!$A:$D,4,FALSE)="",""," ["&amp;VLOOKUP('.'!D32,Recipes!$A:$D,4,FALSE)&amp;"]"))</f>
        <v/>
      </c>
      <c r="E32" s="46" t="str">
        <f t="array" ref="E32">IF('.'!E32="","",'.'!E32&amp;IF(VLOOKUP('.'!E32,Recipes!$A:$D,4,FALSE)="",""," ["&amp;VLOOKUP('.'!E32,Recipes!$A:$D,4,FALSE)&amp;"]"))</f>
        <v/>
      </c>
      <c r="F32" s="46" t="str">
        <f t="array" ref="F32">IF('.'!F32="","",'.'!F32&amp;IF(VLOOKUP('.'!F32,Recipes!$A:$D,4,FALSE)="",""," ["&amp;VLOOKUP('.'!F32,Recipes!$A:$D,4,FALSE)&amp;"]"))</f>
        <v/>
      </c>
      <c r="G32" s="46" t="str">
        <f t="array" ref="G32">IF('.'!G32="","",'.'!G32&amp;IF(VLOOKUP('.'!G32,Recipes!$A:$D,4,FALSE)="",""," ["&amp;VLOOKUP('.'!G32,Recipes!$A:$D,4,FALSE)&amp;"]"))</f>
        <v/>
      </c>
      <c r="H32" s="46" t="str">
        <f t="array" ref="H32">IF('.'!H32="","",'.'!H32&amp;IF(VLOOKUP('.'!H32,Recipes!$A:$D,4,FALSE)="",""," ["&amp;VLOOKUP('.'!H32,Recipes!$A:$D,4,FALSE)&amp;"]"))</f>
        <v/>
      </c>
      <c r="I32" s="46" t="str">
        <f t="array" ref="I32">IF('.'!I32="","",'.'!I32&amp;IF(VLOOKUP('.'!I32,Recipes!$A:$D,4,FALSE)="",""," ["&amp;VLOOKUP('.'!I32,Recipes!$A:$D,4,FALSE)&amp;"]"))</f>
        <v/>
      </c>
      <c r="J32" s="46" t="str">
        <f t="array" ref="J32">IF('.'!J32="","",'.'!J32&amp;IF(VLOOKUP('.'!J32,Recipes!$A:$D,4,FALSE)="",""," ["&amp;VLOOKUP('.'!J32,Recipes!$A:$D,4,FALSE)&amp;"]"))</f>
        <v/>
      </c>
      <c r="K32" s="46" t="str">
        <f t="array" ref="K32">IF('.'!K32="","",'.'!K32&amp;IF(VLOOKUP('.'!K32,Recipes!$A:$D,4,FALSE)="",""," ["&amp;VLOOKUP('.'!K32,Recipes!$A:$D,4,FALSE)&amp;"]"))</f>
        <v/>
      </c>
      <c r="L32" s="46" t="str">
        <f t="array" ref="L32">IF('.'!L32="","",'.'!L32&amp;IF(VLOOKUP('.'!L32,Recipes!$A:$D,4,FALSE)="",""," ["&amp;VLOOKUP('.'!L32,Recipes!$A:$D,4,FALSE)&amp;"]"))</f>
        <v/>
      </c>
      <c r="M32" s="46" t="str">
        <f t="array" ref="M32">IF('.'!M32="","",'.'!M32&amp;IF(VLOOKUP('.'!M32,Recipes!$A:$D,4,FALSE)="",""," ["&amp;VLOOKUP('.'!M32,Recipes!$A:$D,4,FALSE)&amp;"]"))</f>
        <v/>
      </c>
      <c r="N32" s="46"/>
      <c r="O32" s="46"/>
      <c r="P32" s="46"/>
      <c r="Q32" s="46"/>
      <c r="R32" s="46"/>
      <c r="S32" s="46"/>
      <c r="T32" s="46"/>
      <c r="U32" s="46"/>
      <c r="V32" s="46"/>
      <c r="W32" s="46"/>
      <c r="X32" s="46"/>
      <c r="Y32" s="46"/>
      <c r="Z32" s="46"/>
      <c r="AA32" s="46"/>
      <c r="AB32" s="46"/>
      <c r="AC32" s="46"/>
      <c r="AD32" s="46"/>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47"/>
      <c r="BQ32" s="47"/>
      <c r="BR32" s="47"/>
      <c r="BS32" s="47"/>
      <c r="BT32" s="47"/>
      <c r="BU32" s="47"/>
      <c r="BV32" s="47"/>
      <c r="BW32" s="47"/>
      <c r="BX32" s="47"/>
      <c r="BY32" s="47"/>
      <c r="BZ32" s="47"/>
    </row>
    <row r="33" spans="1:78" ht="15.75" customHeight="1">
      <c r="A33" s="48" t="str">
        <f ca="1">'.'!A33</f>
        <v>Amadouvier</v>
      </c>
      <c r="B33" s="46" t="str">
        <f t="array" aca="1" ref="B33" ca="1">IF('.'!B33="","",'.'!B33&amp;IF(VLOOKUP('.'!B33,Recipes!$A:$D,4,FALSE)="",""," ["&amp;VLOOKUP('.'!B33,Recipes!$A:$D,4,FALSE)&amp;"]"))</f>
        <v>Physical Armor Potion [-4]</v>
      </c>
      <c r="C33" s="46" t="str">
        <f t="array" ref="C33">IF('.'!C33="","",'.'!C33&amp;IF(VLOOKUP('.'!C33,Recipes!$A:$D,4,FALSE)="",""," ["&amp;VLOOKUP('.'!C33,Recipes!$A:$D,4,FALSE)&amp;"]"))</f>
        <v/>
      </c>
      <c r="D33" s="46" t="str">
        <f t="array" ref="D33">IF('.'!D33="","",'.'!D33&amp;IF(VLOOKUP('.'!D33,Recipes!$A:$D,4,FALSE)="",""," ["&amp;VLOOKUP('.'!D33,Recipes!$A:$D,4,FALSE)&amp;"]"))</f>
        <v/>
      </c>
      <c r="E33" s="46" t="str">
        <f t="array" ref="E33">IF('.'!E33="","",'.'!E33&amp;IF(VLOOKUP('.'!E33,Recipes!$A:$D,4,FALSE)="",""," ["&amp;VLOOKUP('.'!E33,Recipes!$A:$D,4,FALSE)&amp;"]"))</f>
        <v/>
      </c>
      <c r="F33" s="46" t="str">
        <f t="array" ref="F33">IF('.'!F33="","",'.'!F33&amp;IF(VLOOKUP('.'!F33,Recipes!$A:$D,4,FALSE)="",""," ["&amp;VLOOKUP('.'!F33,Recipes!$A:$D,4,FALSE)&amp;"]"))</f>
        <v/>
      </c>
      <c r="G33" s="46" t="str">
        <f t="array" ref="G33">IF('.'!G33="","",'.'!G33&amp;IF(VLOOKUP('.'!G33,Recipes!$A:$D,4,FALSE)="",""," ["&amp;VLOOKUP('.'!G33,Recipes!$A:$D,4,FALSE)&amp;"]"))</f>
        <v/>
      </c>
      <c r="H33" s="46" t="str">
        <f t="array" ref="H33">IF('.'!H33="","",'.'!H33&amp;IF(VLOOKUP('.'!H33,Recipes!$A:$D,4,FALSE)="",""," ["&amp;VLOOKUP('.'!H33,Recipes!$A:$D,4,FALSE)&amp;"]"))</f>
        <v/>
      </c>
      <c r="I33" s="46" t="str">
        <f t="array" ref="I33">IF('.'!I33="","",'.'!I33&amp;IF(VLOOKUP('.'!I33,Recipes!$A:$D,4,FALSE)="",""," ["&amp;VLOOKUP('.'!I33,Recipes!$A:$D,4,FALSE)&amp;"]"))</f>
        <v/>
      </c>
      <c r="J33" s="46" t="str">
        <f t="array" ref="J33">IF('.'!J33="","",'.'!J33&amp;IF(VLOOKUP('.'!J33,Recipes!$A:$D,4,FALSE)="",""," ["&amp;VLOOKUP('.'!J33,Recipes!$A:$D,4,FALSE)&amp;"]"))</f>
        <v/>
      </c>
      <c r="K33" s="46" t="str">
        <f t="array" ref="K33">IF('.'!K33="","",'.'!K33&amp;IF(VLOOKUP('.'!K33,Recipes!$A:$D,4,FALSE)="",""," ["&amp;VLOOKUP('.'!K33,Recipes!$A:$D,4,FALSE)&amp;"]"))</f>
        <v/>
      </c>
      <c r="L33" s="46" t="str">
        <f t="array" ref="L33">IF('.'!L33="","",'.'!L33&amp;IF(VLOOKUP('.'!L33,Recipes!$A:$D,4,FALSE)="",""," ["&amp;VLOOKUP('.'!L33,Recipes!$A:$D,4,FALSE)&amp;"]"))</f>
        <v/>
      </c>
      <c r="M33" s="46" t="str">
        <f t="array" ref="M33">IF('.'!M33="","",'.'!M33&amp;IF(VLOOKUP('.'!M33,Recipes!$A:$D,4,FALSE)="",""," ["&amp;VLOOKUP('.'!M33,Recipes!$A:$D,4,FALSE)&amp;"]"))</f>
        <v/>
      </c>
      <c r="N33" s="46"/>
      <c r="O33" s="46"/>
      <c r="P33" s="46"/>
      <c r="Q33" s="46"/>
      <c r="R33" s="46"/>
      <c r="S33" s="46"/>
      <c r="T33" s="46"/>
      <c r="U33" s="46"/>
      <c r="V33" s="46"/>
      <c r="W33" s="46"/>
      <c r="X33" s="46"/>
      <c r="Y33" s="46"/>
      <c r="Z33" s="46"/>
      <c r="AA33" s="46"/>
      <c r="AB33" s="46"/>
      <c r="AC33" s="46"/>
      <c r="AD33" s="46"/>
      <c r="AE33" s="47"/>
      <c r="AF33" s="47"/>
      <c r="AG33" s="47"/>
      <c r="AH33" s="47"/>
      <c r="AI33" s="47"/>
      <c r="AJ33" s="47"/>
      <c r="AK33" s="47"/>
      <c r="AL33" s="47"/>
      <c r="AM33" s="47"/>
      <c r="AN33" s="47"/>
      <c r="AO33" s="47"/>
      <c r="AP33" s="47"/>
      <c r="AQ33" s="47"/>
      <c r="AR33" s="47"/>
      <c r="AS33" s="47"/>
      <c r="AT33" s="47"/>
      <c r="AU33" s="47"/>
      <c r="AV33" s="47"/>
      <c r="AW33" s="47"/>
      <c r="AX33" s="47"/>
      <c r="AY33" s="47"/>
      <c r="AZ33" s="47"/>
      <c r="BA33" s="47"/>
      <c r="BB33" s="47"/>
      <c r="BC33" s="47"/>
      <c r="BD33" s="47"/>
      <c r="BE33" s="47"/>
      <c r="BF33" s="47"/>
      <c r="BG33" s="47"/>
      <c r="BH33" s="47"/>
      <c r="BI33" s="47"/>
      <c r="BJ33" s="47"/>
      <c r="BK33" s="47"/>
      <c r="BL33" s="47"/>
      <c r="BM33" s="47"/>
      <c r="BN33" s="47"/>
      <c r="BO33" s="47"/>
      <c r="BP33" s="47"/>
      <c r="BQ33" s="47"/>
      <c r="BR33" s="47"/>
      <c r="BS33" s="47"/>
      <c r="BT33" s="47"/>
      <c r="BU33" s="47"/>
      <c r="BV33" s="47"/>
      <c r="BW33" s="47"/>
      <c r="BX33" s="47"/>
      <c r="BY33" s="47"/>
      <c r="BZ33" s="47"/>
    </row>
    <row r="34" spans="1:78" ht="15.75" customHeight="1">
      <c r="A34" s="48" t="str">
        <f ca="1">'.'!A34</f>
        <v>Amethyst Deceiver</v>
      </c>
      <c r="B34" s="46" t="str">
        <f t="array" aca="1" ref="B34" ca="1">IF('.'!B34="","",'.'!B34&amp;IF(VLOOKUP('.'!B34,Recipes!$A:$D,4,FALSE)="",""," ["&amp;VLOOKUP('.'!B34,Recipes!$A:$D,4,FALSE)&amp;"]"))</f>
        <v>Minor Strength Potion [-35]</v>
      </c>
      <c r="C34" s="46" t="str">
        <f t="array" ref="C34">IF('.'!C34="","",'.'!C34&amp;IF(VLOOKUP('.'!C34,Recipes!$A:$D,4,FALSE)="",""," ["&amp;VLOOKUP('.'!C34,Recipes!$A:$D,4,FALSE)&amp;"]"))</f>
        <v/>
      </c>
      <c r="D34" s="46" t="str">
        <f t="array" ref="D34">IF('.'!D34="","",'.'!D34&amp;IF(VLOOKUP('.'!D34,Recipes!$A:$D,4,FALSE)="",""," ["&amp;VLOOKUP('.'!D34,Recipes!$A:$D,4,FALSE)&amp;"]"))</f>
        <v/>
      </c>
      <c r="E34" s="46" t="str">
        <f t="array" ref="E34">IF('.'!E34="","",'.'!E34&amp;IF(VLOOKUP('.'!E34,Recipes!$A:$D,4,FALSE)="",""," ["&amp;VLOOKUP('.'!E34,Recipes!$A:$D,4,FALSE)&amp;"]"))</f>
        <v/>
      </c>
      <c r="F34" s="46" t="str">
        <f t="array" ref="F34">IF('.'!F34="","",'.'!F34&amp;IF(VLOOKUP('.'!F34,Recipes!$A:$D,4,FALSE)="",""," ["&amp;VLOOKUP('.'!F34,Recipes!$A:$D,4,FALSE)&amp;"]"))</f>
        <v/>
      </c>
      <c r="G34" s="46" t="str">
        <f t="array" ref="G34">IF('.'!G34="","",'.'!G34&amp;IF(VLOOKUP('.'!G34,Recipes!$A:$D,4,FALSE)="",""," ["&amp;VLOOKUP('.'!G34,Recipes!$A:$D,4,FALSE)&amp;"]"))</f>
        <v/>
      </c>
      <c r="H34" s="46" t="str">
        <f t="array" ref="H34">IF('.'!H34="","",'.'!H34&amp;IF(VLOOKUP('.'!H34,Recipes!$A:$D,4,FALSE)="",""," ["&amp;VLOOKUP('.'!H34,Recipes!$A:$D,4,FALSE)&amp;"]"))</f>
        <v/>
      </c>
      <c r="I34" s="46" t="str">
        <f t="array" ref="I34">IF('.'!I34="","",'.'!I34&amp;IF(VLOOKUP('.'!I34,Recipes!$A:$D,4,FALSE)="",""," ["&amp;VLOOKUP('.'!I34,Recipes!$A:$D,4,FALSE)&amp;"]"))</f>
        <v/>
      </c>
      <c r="J34" s="46" t="str">
        <f t="array" ref="J34">IF('.'!J34="","",'.'!J34&amp;IF(VLOOKUP('.'!J34,Recipes!$A:$D,4,FALSE)="",""," ["&amp;VLOOKUP('.'!J34,Recipes!$A:$D,4,FALSE)&amp;"]"))</f>
        <v/>
      </c>
      <c r="K34" s="46" t="str">
        <f t="array" ref="K34">IF('.'!K34="","",'.'!K34&amp;IF(VLOOKUP('.'!K34,Recipes!$A:$D,4,FALSE)="",""," ["&amp;VLOOKUP('.'!K34,Recipes!$A:$D,4,FALSE)&amp;"]"))</f>
        <v/>
      </c>
      <c r="L34" s="46" t="str">
        <f t="array" ref="L34">IF('.'!L34="","",'.'!L34&amp;IF(VLOOKUP('.'!L34,Recipes!$A:$D,4,FALSE)="",""," ["&amp;VLOOKUP('.'!L34,Recipes!$A:$D,4,FALSE)&amp;"]"))</f>
        <v/>
      </c>
      <c r="M34" s="46" t="str">
        <f t="array" ref="M34">IF('.'!M34="","",'.'!M34&amp;IF(VLOOKUP('.'!M34,Recipes!$A:$D,4,FALSE)="",""," ["&amp;VLOOKUP('.'!M34,Recipes!$A:$D,4,FALSE)&amp;"]"))</f>
        <v/>
      </c>
      <c r="N34" s="46"/>
      <c r="O34" s="46"/>
      <c r="P34" s="46"/>
      <c r="Q34" s="46"/>
      <c r="R34" s="46"/>
      <c r="S34" s="46"/>
      <c r="T34" s="46"/>
      <c r="U34" s="46"/>
      <c r="V34" s="46"/>
      <c r="W34" s="46"/>
      <c r="X34" s="46"/>
      <c r="Y34" s="46"/>
      <c r="Z34" s="46"/>
      <c r="AA34" s="46"/>
      <c r="AB34" s="46"/>
      <c r="AC34" s="46"/>
      <c r="AD34" s="46"/>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7"/>
      <c r="BC34" s="47"/>
      <c r="BD34" s="47"/>
      <c r="BE34" s="47"/>
      <c r="BF34" s="47"/>
      <c r="BG34" s="47"/>
      <c r="BH34" s="47"/>
      <c r="BI34" s="47"/>
      <c r="BJ34" s="47"/>
      <c r="BK34" s="47"/>
      <c r="BL34" s="47"/>
      <c r="BM34" s="47"/>
      <c r="BN34" s="47"/>
      <c r="BO34" s="47"/>
      <c r="BP34" s="47"/>
      <c r="BQ34" s="47"/>
      <c r="BR34" s="47"/>
      <c r="BS34" s="47"/>
      <c r="BT34" s="47"/>
      <c r="BU34" s="47"/>
      <c r="BV34" s="47"/>
      <c r="BW34" s="47"/>
      <c r="BX34" s="47"/>
      <c r="BY34" s="47"/>
      <c r="BZ34" s="47"/>
    </row>
    <row r="35" spans="1:78" ht="15.75" customHeight="1">
      <c r="A35" s="48" t="str">
        <f ca="1">'.'!A35</f>
        <v>Amulet</v>
      </c>
      <c r="B35" s="46" t="str">
        <f t="array" aca="1" ref="B35" ca="1">IF('.'!B35="","",'.'!B35&amp;IF(VLOOKUP('.'!B35,Recipes!$A:$D,4,FALSE)="",""," ["&amp;VLOOKUP('.'!B35,Recipes!$A:$D,4,FALSE)&amp;"]"))</f>
        <v>Boost Amulet [-700]</v>
      </c>
      <c r="C35" s="46" t="str">
        <f t="array" ref="C35">IF('.'!C35="","",'.'!C35&amp;IF(VLOOKUP('.'!C35,Recipes!$A:$D,4,FALSE)="",""," ["&amp;VLOOKUP('.'!C35,Recipes!$A:$D,4,FALSE)&amp;"]"))</f>
        <v/>
      </c>
      <c r="D35" s="46" t="str">
        <f t="array" ref="D35">IF('.'!D35="","",'.'!D35&amp;IF(VLOOKUP('.'!D35,Recipes!$A:$D,4,FALSE)="",""," ["&amp;VLOOKUP('.'!D35,Recipes!$A:$D,4,FALSE)&amp;"]"))</f>
        <v/>
      </c>
      <c r="E35" s="46" t="str">
        <f t="array" ref="E35">IF('.'!E35="","",'.'!E35&amp;IF(VLOOKUP('.'!E35,Recipes!$A:$D,4,FALSE)="",""," ["&amp;VLOOKUP('.'!E35,Recipes!$A:$D,4,FALSE)&amp;"]"))</f>
        <v/>
      </c>
      <c r="F35" s="46" t="str">
        <f t="array" ref="F35">IF('.'!F35="","",'.'!F35&amp;IF(VLOOKUP('.'!F35,Recipes!$A:$D,4,FALSE)="",""," ["&amp;VLOOKUP('.'!F35,Recipes!$A:$D,4,FALSE)&amp;"]"))</f>
        <v/>
      </c>
      <c r="G35" s="46" t="str">
        <f t="array" ref="G35">IF('.'!G35="","",'.'!G35&amp;IF(VLOOKUP('.'!G35,Recipes!$A:$D,4,FALSE)="",""," ["&amp;VLOOKUP('.'!G35,Recipes!$A:$D,4,FALSE)&amp;"]"))</f>
        <v/>
      </c>
      <c r="H35" s="46" t="str">
        <f t="array" ref="H35">IF('.'!H35="","",'.'!H35&amp;IF(VLOOKUP('.'!H35,Recipes!$A:$D,4,FALSE)="",""," ["&amp;VLOOKUP('.'!H35,Recipes!$A:$D,4,FALSE)&amp;"]"))</f>
        <v/>
      </c>
      <c r="I35" s="46" t="str">
        <f t="array" ref="I35">IF('.'!I35="","",'.'!I35&amp;IF(VLOOKUP('.'!I35,Recipes!$A:$D,4,FALSE)="",""," ["&amp;VLOOKUP('.'!I35,Recipes!$A:$D,4,FALSE)&amp;"]"))</f>
        <v/>
      </c>
      <c r="J35" s="46" t="str">
        <f t="array" ref="J35">IF('.'!J35="","",'.'!J35&amp;IF(VLOOKUP('.'!J35,Recipes!$A:$D,4,FALSE)="",""," ["&amp;VLOOKUP('.'!J35,Recipes!$A:$D,4,FALSE)&amp;"]"))</f>
        <v/>
      </c>
      <c r="K35" s="46" t="str">
        <f t="array" ref="K35">IF('.'!K35="","",'.'!K35&amp;IF(VLOOKUP('.'!K35,Recipes!$A:$D,4,FALSE)="",""," ["&amp;VLOOKUP('.'!K35,Recipes!$A:$D,4,FALSE)&amp;"]"))</f>
        <v/>
      </c>
      <c r="L35" s="46" t="str">
        <f t="array" ref="L35">IF('.'!L35="","",'.'!L35&amp;IF(VLOOKUP('.'!L35,Recipes!$A:$D,4,FALSE)="",""," ["&amp;VLOOKUP('.'!L35,Recipes!$A:$D,4,FALSE)&amp;"]"))</f>
        <v/>
      </c>
      <c r="M35" s="46" t="str">
        <f t="array" ref="M35">IF('.'!M35="","",'.'!M35&amp;IF(VLOOKUP('.'!M35,Recipes!$A:$D,4,FALSE)="",""," ["&amp;VLOOKUP('.'!M35,Recipes!$A:$D,4,FALSE)&amp;"]"))</f>
        <v/>
      </c>
      <c r="N35" s="46"/>
      <c r="O35" s="46"/>
      <c r="P35" s="46"/>
      <c r="Q35" s="46"/>
      <c r="R35" s="46"/>
      <c r="S35" s="46"/>
      <c r="T35" s="46"/>
      <c r="U35" s="46"/>
      <c r="V35" s="46"/>
      <c r="W35" s="46"/>
      <c r="X35" s="46"/>
      <c r="Y35" s="46"/>
      <c r="Z35" s="46"/>
      <c r="AA35" s="46"/>
      <c r="AB35" s="46"/>
      <c r="AC35" s="46"/>
      <c r="AD35" s="46"/>
      <c r="AE35" s="47"/>
      <c r="AF35" s="47"/>
      <c r="AG35" s="47"/>
      <c r="AH35" s="47"/>
      <c r="AI35" s="47"/>
      <c r="AJ35" s="47"/>
      <c r="AK35" s="47"/>
      <c r="AL35" s="47"/>
      <c r="AM35" s="47"/>
      <c r="AN35" s="47"/>
      <c r="AO35" s="47"/>
      <c r="AP35" s="47"/>
      <c r="AQ35" s="47"/>
      <c r="AR35" s="47"/>
      <c r="AS35" s="47"/>
      <c r="AT35" s="47"/>
      <c r="AU35" s="47"/>
      <c r="AV35" s="47"/>
      <c r="AW35" s="47"/>
      <c r="AX35" s="47"/>
      <c r="AY35" s="47"/>
      <c r="AZ35" s="47"/>
      <c r="BA35" s="47"/>
      <c r="BB35" s="47"/>
      <c r="BC35" s="47"/>
      <c r="BD35" s="47"/>
      <c r="BE35" s="47"/>
      <c r="BF35" s="47"/>
      <c r="BG35" s="47"/>
      <c r="BH35" s="47"/>
      <c r="BI35" s="47"/>
      <c r="BJ35" s="47"/>
      <c r="BK35" s="47"/>
      <c r="BL35" s="47"/>
      <c r="BM35" s="47"/>
      <c r="BN35" s="47"/>
      <c r="BO35" s="47"/>
      <c r="BP35" s="47"/>
      <c r="BQ35" s="47"/>
      <c r="BR35" s="47"/>
      <c r="BS35" s="47"/>
      <c r="BT35" s="47"/>
      <c r="BU35" s="47"/>
      <c r="BV35" s="47"/>
      <c r="BW35" s="47"/>
      <c r="BX35" s="47"/>
      <c r="BY35" s="47"/>
      <c r="BZ35" s="47"/>
    </row>
    <row r="36" spans="1:78" ht="15.75" customHeight="1">
      <c r="A36" s="48" t="str">
        <f ca="1">'.'!A36</f>
        <v>Ancient Forge</v>
      </c>
      <c r="B36" s="46" t="str">
        <f t="array" aca="1" ref="B36" ca="1">IF('.'!B36="","",'.'!B36&amp;IF(VLOOKUP('.'!B36,Recipes!$A:$D,4,FALSE)="",""," ["&amp;VLOOKUP('.'!B36,Recipes!$A:$D,4,FALSE)&amp;"]"))</f>
        <v>Silver Lever Shaft [-75]</v>
      </c>
      <c r="C36" s="46" t="str">
        <f t="array" ref="C36">IF('.'!C36="","",'.'!C36&amp;IF(VLOOKUP('.'!C36,Recipes!$A:$D,4,FALSE)="",""," ["&amp;VLOOKUP('.'!C36,Recipes!$A:$D,4,FALSE)&amp;"]"))</f>
        <v/>
      </c>
      <c r="D36" s="46" t="str">
        <f t="array" ref="D36">IF('.'!D36="","",'.'!D36&amp;IF(VLOOKUP('.'!D36,Recipes!$A:$D,4,FALSE)="",""," ["&amp;VLOOKUP('.'!D36,Recipes!$A:$D,4,FALSE)&amp;"]"))</f>
        <v/>
      </c>
      <c r="E36" s="46" t="str">
        <f t="array" ref="E36">IF('.'!E36="","",'.'!E36&amp;IF(VLOOKUP('.'!E36,Recipes!$A:$D,4,FALSE)="",""," ["&amp;VLOOKUP('.'!E36,Recipes!$A:$D,4,FALSE)&amp;"]"))</f>
        <v/>
      </c>
      <c r="F36" s="46" t="str">
        <f t="array" ref="F36">IF('.'!F36="","",'.'!F36&amp;IF(VLOOKUP('.'!F36,Recipes!$A:$D,4,FALSE)="",""," ["&amp;VLOOKUP('.'!F36,Recipes!$A:$D,4,FALSE)&amp;"]"))</f>
        <v/>
      </c>
      <c r="G36" s="46" t="str">
        <f t="array" ref="G36">IF('.'!G36="","",'.'!G36&amp;IF(VLOOKUP('.'!G36,Recipes!$A:$D,4,FALSE)="",""," ["&amp;VLOOKUP('.'!G36,Recipes!$A:$D,4,FALSE)&amp;"]"))</f>
        <v/>
      </c>
      <c r="H36" s="46" t="str">
        <f t="array" ref="H36">IF('.'!H36="","",'.'!H36&amp;IF(VLOOKUP('.'!H36,Recipes!$A:$D,4,FALSE)="",""," ["&amp;VLOOKUP('.'!H36,Recipes!$A:$D,4,FALSE)&amp;"]"))</f>
        <v/>
      </c>
      <c r="I36" s="46" t="str">
        <f t="array" ref="I36">IF('.'!I36="","",'.'!I36&amp;IF(VLOOKUP('.'!I36,Recipes!$A:$D,4,FALSE)="",""," ["&amp;VLOOKUP('.'!I36,Recipes!$A:$D,4,FALSE)&amp;"]"))</f>
        <v/>
      </c>
      <c r="J36" s="46" t="str">
        <f t="array" ref="J36">IF('.'!J36="","",'.'!J36&amp;IF(VLOOKUP('.'!J36,Recipes!$A:$D,4,FALSE)="",""," ["&amp;VLOOKUP('.'!J36,Recipes!$A:$D,4,FALSE)&amp;"]"))</f>
        <v/>
      </c>
      <c r="K36" s="46" t="str">
        <f t="array" ref="K36">IF('.'!K36="","",'.'!K36&amp;IF(VLOOKUP('.'!K36,Recipes!$A:$D,4,FALSE)="",""," ["&amp;VLOOKUP('.'!K36,Recipes!$A:$D,4,FALSE)&amp;"]"))</f>
        <v/>
      </c>
      <c r="L36" s="46" t="str">
        <f t="array" ref="L36">IF('.'!L36="","",'.'!L36&amp;IF(VLOOKUP('.'!L36,Recipes!$A:$D,4,FALSE)="",""," ["&amp;VLOOKUP('.'!L36,Recipes!$A:$D,4,FALSE)&amp;"]"))</f>
        <v/>
      </c>
      <c r="M36" s="46" t="str">
        <f t="array" ref="M36">IF('.'!M36="","",'.'!M36&amp;IF(VLOOKUP('.'!M36,Recipes!$A:$D,4,FALSE)="",""," ["&amp;VLOOKUP('.'!M36,Recipes!$A:$D,4,FALSE)&amp;"]"))</f>
        <v/>
      </c>
      <c r="N36" s="46"/>
      <c r="O36" s="46"/>
      <c r="P36" s="46"/>
      <c r="Q36" s="46"/>
      <c r="R36" s="46"/>
      <c r="S36" s="46"/>
      <c r="T36" s="46"/>
      <c r="U36" s="46"/>
      <c r="V36" s="46"/>
      <c r="W36" s="46"/>
      <c r="X36" s="46"/>
      <c r="Y36" s="46"/>
      <c r="Z36" s="46"/>
      <c r="AA36" s="46"/>
      <c r="AB36" s="46"/>
      <c r="AC36" s="46"/>
      <c r="AD36" s="46"/>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7"/>
      <c r="BD36" s="47"/>
      <c r="BE36" s="47"/>
      <c r="BF36" s="47"/>
      <c r="BG36" s="47"/>
      <c r="BH36" s="47"/>
      <c r="BI36" s="47"/>
      <c r="BJ36" s="47"/>
      <c r="BK36" s="47"/>
      <c r="BL36" s="47"/>
      <c r="BM36" s="47"/>
      <c r="BN36" s="47"/>
      <c r="BO36" s="47"/>
      <c r="BP36" s="47"/>
      <c r="BQ36" s="47"/>
      <c r="BR36" s="47"/>
      <c r="BS36" s="47"/>
      <c r="BT36" s="47"/>
      <c r="BU36" s="47"/>
      <c r="BV36" s="47"/>
      <c r="BW36" s="47"/>
      <c r="BX36" s="47"/>
      <c r="BY36" s="47"/>
      <c r="BZ36" s="47"/>
    </row>
    <row r="37" spans="1:78" ht="15.75" customHeight="1">
      <c r="A37" s="48" t="str">
        <f ca="1">'.'!A37</f>
        <v>Ancient Human Skull</v>
      </c>
      <c r="B37" s="46" t="str">
        <f t="array" aca="1" ref="B37" ca="1">IF('.'!B37="","",'.'!B37&amp;IF(VLOOKUP('.'!B37,Recipes!$A:$D,4,FALSE)="",""," ["&amp;VLOOKUP('.'!B37,Recipes!$A:$D,4,FALSE)&amp;"]"))</f>
        <v>Raise Bone Widow Scroll [60]</v>
      </c>
      <c r="C37" s="46" t="str">
        <f t="array" ref="C37">IF('.'!C37="","",'.'!C37&amp;IF(VLOOKUP('.'!C37,Recipes!$A:$D,4,FALSE)="",""," ["&amp;VLOOKUP('.'!C37,Recipes!$A:$D,4,FALSE)&amp;"]"))</f>
        <v/>
      </c>
      <c r="D37" s="46" t="str">
        <f t="array" ref="D37">IF('.'!D37="","",'.'!D37&amp;IF(VLOOKUP('.'!D37,Recipes!$A:$D,4,FALSE)="",""," ["&amp;VLOOKUP('.'!D37,Recipes!$A:$D,4,FALSE)&amp;"]"))</f>
        <v/>
      </c>
      <c r="E37" s="46" t="str">
        <f t="array" ref="E37">IF('.'!E37="","",'.'!E37&amp;IF(VLOOKUP('.'!E37,Recipes!$A:$D,4,FALSE)="",""," ["&amp;VLOOKUP('.'!E37,Recipes!$A:$D,4,FALSE)&amp;"]"))</f>
        <v/>
      </c>
      <c r="F37" s="46" t="str">
        <f t="array" ref="F37">IF('.'!F37="","",'.'!F37&amp;IF(VLOOKUP('.'!F37,Recipes!$A:$D,4,FALSE)="",""," ["&amp;VLOOKUP('.'!F37,Recipes!$A:$D,4,FALSE)&amp;"]"))</f>
        <v/>
      </c>
      <c r="G37" s="46" t="str">
        <f t="array" ref="G37">IF('.'!G37="","",'.'!G37&amp;IF(VLOOKUP('.'!G37,Recipes!$A:$D,4,FALSE)="",""," ["&amp;VLOOKUP('.'!G37,Recipes!$A:$D,4,FALSE)&amp;"]"))</f>
        <v/>
      </c>
      <c r="H37" s="46" t="str">
        <f t="array" ref="H37">IF('.'!H37="","",'.'!H37&amp;IF(VLOOKUP('.'!H37,Recipes!$A:$D,4,FALSE)="",""," ["&amp;VLOOKUP('.'!H37,Recipes!$A:$D,4,FALSE)&amp;"]"))</f>
        <v/>
      </c>
      <c r="I37" s="46" t="str">
        <f t="array" ref="I37">IF('.'!I37="","",'.'!I37&amp;IF(VLOOKUP('.'!I37,Recipes!$A:$D,4,FALSE)="",""," ["&amp;VLOOKUP('.'!I37,Recipes!$A:$D,4,FALSE)&amp;"]"))</f>
        <v/>
      </c>
      <c r="J37" s="46" t="str">
        <f t="array" ref="J37">IF('.'!J37="","",'.'!J37&amp;IF(VLOOKUP('.'!J37,Recipes!$A:$D,4,FALSE)="",""," ["&amp;VLOOKUP('.'!J37,Recipes!$A:$D,4,FALSE)&amp;"]"))</f>
        <v/>
      </c>
      <c r="K37" s="46" t="str">
        <f t="array" ref="K37">IF('.'!K37="","",'.'!K37&amp;IF(VLOOKUP('.'!K37,Recipes!$A:$D,4,FALSE)="",""," ["&amp;VLOOKUP('.'!K37,Recipes!$A:$D,4,FALSE)&amp;"]"))</f>
        <v/>
      </c>
      <c r="L37" s="46" t="str">
        <f t="array" ref="L37">IF('.'!L37="","",'.'!L37&amp;IF(VLOOKUP('.'!L37,Recipes!$A:$D,4,FALSE)="",""," ["&amp;VLOOKUP('.'!L37,Recipes!$A:$D,4,FALSE)&amp;"]"))</f>
        <v/>
      </c>
      <c r="M37" s="46" t="str">
        <f t="array" ref="M37">IF('.'!M37="","",'.'!M37&amp;IF(VLOOKUP('.'!M37,Recipes!$A:$D,4,FALSE)="",""," ["&amp;VLOOKUP('.'!M37,Recipes!$A:$D,4,FALSE)&amp;"]"))</f>
        <v/>
      </c>
      <c r="N37" s="46"/>
      <c r="O37" s="46"/>
      <c r="P37" s="46"/>
      <c r="Q37" s="46"/>
      <c r="R37" s="46"/>
      <c r="S37" s="46"/>
      <c r="T37" s="46"/>
      <c r="U37" s="46"/>
      <c r="V37" s="46"/>
      <c r="W37" s="46"/>
      <c r="X37" s="46"/>
      <c r="Y37" s="46"/>
      <c r="Z37" s="46"/>
      <c r="AA37" s="46"/>
      <c r="AB37" s="46"/>
      <c r="AC37" s="46"/>
      <c r="AD37" s="46"/>
      <c r="AE37" s="47"/>
      <c r="AF37" s="47"/>
      <c r="AG37" s="47"/>
      <c r="AH37" s="47"/>
      <c r="AI37" s="47"/>
      <c r="AJ37" s="47"/>
      <c r="AK37" s="47"/>
      <c r="AL37" s="47"/>
      <c r="AM37" s="47"/>
      <c r="AN37" s="47"/>
      <c r="AO37" s="47"/>
      <c r="AP37" s="47"/>
      <c r="AQ37" s="47"/>
      <c r="AR37" s="47"/>
      <c r="AS37" s="47"/>
      <c r="AT37" s="47"/>
      <c r="AU37" s="47"/>
      <c r="AV37" s="47"/>
      <c r="AW37" s="47"/>
      <c r="AX37" s="47"/>
      <c r="AY37" s="47"/>
      <c r="AZ37" s="47"/>
      <c r="BA37" s="47"/>
      <c r="BB37" s="47"/>
      <c r="BC37" s="47"/>
      <c r="BD37" s="47"/>
      <c r="BE37" s="47"/>
      <c r="BF37" s="47"/>
      <c r="BG37" s="47"/>
      <c r="BH37" s="47"/>
      <c r="BI37" s="47"/>
      <c r="BJ37" s="47"/>
      <c r="BK37" s="47"/>
      <c r="BL37" s="47"/>
      <c r="BM37" s="47"/>
      <c r="BN37" s="47"/>
      <c r="BO37" s="47"/>
      <c r="BP37" s="47"/>
      <c r="BQ37" s="47"/>
      <c r="BR37" s="47"/>
      <c r="BS37" s="47"/>
      <c r="BT37" s="47"/>
      <c r="BU37" s="47"/>
      <c r="BV37" s="47"/>
      <c r="BW37" s="47"/>
      <c r="BX37" s="47"/>
      <c r="BY37" s="47"/>
      <c r="BZ37" s="47"/>
    </row>
    <row r="38" spans="1:78" ht="15.75" customHeight="1">
      <c r="A38" s="48" t="str">
        <f ca="1">'.'!A38</f>
        <v>Animal Hide</v>
      </c>
      <c r="B38" s="46" t="str">
        <f t="array" aca="1" ref="B38" ca="1">IF('.'!B38="","",'.'!B38&amp;IF(VLOOKUP('.'!B38,Recipes!$A:$D,4,FALSE)="",""," ["&amp;VLOOKUP('.'!B38,Recipes!$A:$D,4,FALSE)&amp;"]"))</f>
        <v>Leather Scraps [-2]</v>
      </c>
      <c r="C38" s="46" t="str">
        <f t="array" ref="C38">IF('.'!C38="","",'.'!C38&amp;IF(VLOOKUP('.'!C38,Recipes!$A:$D,4,FALSE)="",""," ["&amp;VLOOKUP('.'!C38,Recipes!$A:$D,4,FALSE)&amp;"]"))</f>
        <v/>
      </c>
      <c r="D38" s="46" t="str">
        <f t="array" ref="D38">IF('.'!D38="","",'.'!D38&amp;IF(VLOOKUP('.'!D38,Recipes!$A:$D,4,FALSE)="",""," ["&amp;VLOOKUP('.'!D38,Recipes!$A:$D,4,FALSE)&amp;"]"))</f>
        <v/>
      </c>
      <c r="E38" s="46" t="str">
        <f t="array" ref="E38">IF('.'!E38="","",'.'!E38&amp;IF(VLOOKUP('.'!E38,Recipes!$A:$D,4,FALSE)="",""," ["&amp;VLOOKUP('.'!E38,Recipes!$A:$D,4,FALSE)&amp;"]"))</f>
        <v/>
      </c>
      <c r="F38" s="46" t="str">
        <f t="array" ref="F38">IF('.'!F38="","",'.'!F38&amp;IF(VLOOKUP('.'!F38,Recipes!$A:$D,4,FALSE)="",""," ["&amp;VLOOKUP('.'!F38,Recipes!$A:$D,4,FALSE)&amp;"]"))</f>
        <v/>
      </c>
      <c r="G38" s="46" t="str">
        <f t="array" ref="G38">IF('.'!G38="","",'.'!G38&amp;IF(VLOOKUP('.'!G38,Recipes!$A:$D,4,FALSE)="",""," ["&amp;VLOOKUP('.'!G38,Recipes!$A:$D,4,FALSE)&amp;"]"))</f>
        <v/>
      </c>
      <c r="H38" s="46" t="str">
        <f t="array" ref="H38">IF('.'!H38="","",'.'!H38&amp;IF(VLOOKUP('.'!H38,Recipes!$A:$D,4,FALSE)="",""," ["&amp;VLOOKUP('.'!H38,Recipes!$A:$D,4,FALSE)&amp;"]"))</f>
        <v/>
      </c>
      <c r="I38" s="46" t="str">
        <f t="array" ref="I38">IF('.'!I38="","",'.'!I38&amp;IF(VLOOKUP('.'!I38,Recipes!$A:$D,4,FALSE)="",""," ["&amp;VLOOKUP('.'!I38,Recipes!$A:$D,4,FALSE)&amp;"]"))</f>
        <v/>
      </c>
      <c r="J38" s="46" t="str">
        <f t="array" ref="J38">IF('.'!J38="","",'.'!J38&amp;IF(VLOOKUP('.'!J38,Recipes!$A:$D,4,FALSE)="",""," ["&amp;VLOOKUP('.'!J38,Recipes!$A:$D,4,FALSE)&amp;"]"))</f>
        <v/>
      </c>
      <c r="K38" s="46" t="str">
        <f t="array" ref="K38">IF('.'!K38="","",'.'!K38&amp;IF(VLOOKUP('.'!K38,Recipes!$A:$D,4,FALSE)="",""," ["&amp;VLOOKUP('.'!K38,Recipes!$A:$D,4,FALSE)&amp;"]"))</f>
        <v/>
      </c>
      <c r="L38" s="46" t="str">
        <f t="array" ref="L38">IF('.'!L38="","",'.'!L38&amp;IF(VLOOKUP('.'!L38,Recipes!$A:$D,4,FALSE)="",""," ["&amp;VLOOKUP('.'!L38,Recipes!$A:$D,4,FALSE)&amp;"]"))</f>
        <v/>
      </c>
      <c r="M38" s="46" t="str">
        <f t="array" ref="M38">IF('.'!M38="","",'.'!M38&amp;IF(VLOOKUP('.'!M38,Recipes!$A:$D,4,FALSE)="",""," ["&amp;VLOOKUP('.'!M38,Recipes!$A:$D,4,FALSE)&amp;"]"))</f>
        <v/>
      </c>
      <c r="N38" s="46"/>
      <c r="O38" s="46"/>
      <c r="P38" s="46"/>
      <c r="Q38" s="46"/>
      <c r="R38" s="46"/>
      <c r="S38" s="46"/>
      <c r="T38" s="46"/>
      <c r="U38" s="46"/>
      <c r="V38" s="46"/>
      <c r="W38" s="46"/>
      <c r="X38" s="46"/>
      <c r="Y38" s="46"/>
      <c r="Z38" s="46"/>
      <c r="AA38" s="46"/>
      <c r="AB38" s="46"/>
      <c r="AC38" s="46"/>
      <c r="AD38" s="46"/>
      <c r="AE38" s="47"/>
      <c r="AF38" s="47"/>
      <c r="AG38" s="47"/>
      <c r="AH38" s="47"/>
      <c r="AI38" s="47"/>
      <c r="AJ38" s="47"/>
      <c r="AK38" s="47"/>
      <c r="AL38" s="47"/>
      <c r="AM38" s="47"/>
      <c r="AN38" s="47"/>
      <c r="AO38" s="47"/>
      <c r="AP38" s="47"/>
      <c r="AQ38" s="47"/>
      <c r="AR38" s="47"/>
      <c r="AS38" s="47"/>
      <c r="AT38" s="47"/>
      <c r="AU38" s="47"/>
      <c r="AV38" s="47"/>
      <c r="AW38" s="47"/>
      <c r="AX38" s="47"/>
      <c r="AY38" s="47"/>
      <c r="AZ38" s="47"/>
      <c r="BA38" s="47"/>
      <c r="BB38" s="47"/>
      <c r="BC38" s="47"/>
      <c r="BD38" s="47"/>
      <c r="BE38" s="47"/>
      <c r="BF38" s="47"/>
      <c r="BG38" s="47"/>
      <c r="BH38" s="47"/>
      <c r="BI38" s="47"/>
      <c r="BJ38" s="47"/>
      <c r="BK38" s="47"/>
      <c r="BL38" s="47"/>
      <c r="BM38" s="47"/>
      <c r="BN38" s="47"/>
      <c r="BO38" s="47"/>
      <c r="BP38" s="47"/>
      <c r="BQ38" s="47"/>
      <c r="BR38" s="47"/>
      <c r="BS38" s="47"/>
      <c r="BT38" s="47"/>
      <c r="BU38" s="47"/>
      <c r="BV38" s="47"/>
      <c r="BW38" s="47"/>
      <c r="BX38" s="47"/>
      <c r="BY38" s="47"/>
      <c r="BZ38" s="47"/>
    </row>
    <row r="39" spans="1:78" ht="15.75" customHeight="1">
      <c r="A39" s="48" t="str">
        <f ca="1">'.'!A39</f>
        <v>Animal Scales</v>
      </c>
      <c r="B39" s="46" t="str">
        <f t="array" aca="1" ref="B39" ca="1">IF('.'!B39="","",'.'!B39&amp;IF(VLOOKUP('.'!B39,Recipes!$A:$D,4,FALSE)="",""," ["&amp;VLOOKUP('.'!B39,Recipes!$A:$D,4,FALSE)&amp;"]"))</f>
        <v>Skin Graft Scroll [-1360]</v>
      </c>
      <c r="C39" s="46" t="str">
        <f t="array" ref="C39">IF('.'!C39="","",'.'!C39&amp;IF(VLOOKUP('.'!C39,Recipes!$A:$D,4,FALSE)="",""," ["&amp;VLOOKUP('.'!C39,Recipes!$A:$D,4,FALSE)&amp;"]"))</f>
        <v/>
      </c>
      <c r="D39" s="46" t="str">
        <f t="array" ref="D39">IF('.'!D39="","",'.'!D39&amp;IF(VLOOKUP('.'!D39,Recipes!$A:$D,4,FALSE)="",""," ["&amp;VLOOKUP('.'!D39,Recipes!$A:$D,4,FALSE)&amp;"]"))</f>
        <v/>
      </c>
      <c r="E39" s="46" t="str">
        <f t="array" ref="E39">IF('.'!E39="","",'.'!E39&amp;IF(VLOOKUP('.'!E39,Recipes!$A:$D,4,FALSE)="",""," ["&amp;VLOOKUP('.'!E39,Recipes!$A:$D,4,FALSE)&amp;"]"))</f>
        <v/>
      </c>
      <c r="F39" s="46" t="str">
        <f t="array" ref="F39">IF('.'!F39="","",'.'!F39&amp;IF(VLOOKUP('.'!F39,Recipes!$A:$D,4,FALSE)="",""," ["&amp;VLOOKUP('.'!F39,Recipes!$A:$D,4,FALSE)&amp;"]"))</f>
        <v/>
      </c>
      <c r="G39" s="46" t="str">
        <f t="array" ref="G39">IF('.'!G39="","",'.'!G39&amp;IF(VLOOKUP('.'!G39,Recipes!$A:$D,4,FALSE)="",""," ["&amp;VLOOKUP('.'!G39,Recipes!$A:$D,4,FALSE)&amp;"]"))</f>
        <v/>
      </c>
      <c r="H39" s="46" t="str">
        <f t="array" ref="H39">IF('.'!H39="","",'.'!H39&amp;IF(VLOOKUP('.'!H39,Recipes!$A:$D,4,FALSE)="",""," ["&amp;VLOOKUP('.'!H39,Recipes!$A:$D,4,FALSE)&amp;"]"))</f>
        <v/>
      </c>
      <c r="I39" s="46" t="str">
        <f t="array" ref="I39">IF('.'!I39="","",'.'!I39&amp;IF(VLOOKUP('.'!I39,Recipes!$A:$D,4,FALSE)="",""," ["&amp;VLOOKUP('.'!I39,Recipes!$A:$D,4,FALSE)&amp;"]"))</f>
        <v/>
      </c>
      <c r="J39" s="46" t="str">
        <f t="array" ref="J39">IF('.'!J39="","",'.'!J39&amp;IF(VLOOKUP('.'!J39,Recipes!$A:$D,4,FALSE)="",""," ["&amp;VLOOKUP('.'!J39,Recipes!$A:$D,4,FALSE)&amp;"]"))</f>
        <v/>
      </c>
      <c r="K39" s="46" t="str">
        <f t="array" ref="K39">IF('.'!K39="","",'.'!K39&amp;IF(VLOOKUP('.'!K39,Recipes!$A:$D,4,FALSE)="",""," ["&amp;VLOOKUP('.'!K39,Recipes!$A:$D,4,FALSE)&amp;"]"))</f>
        <v/>
      </c>
      <c r="L39" s="46" t="str">
        <f t="array" ref="L39">IF('.'!L39="","",'.'!L39&amp;IF(VLOOKUP('.'!L39,Recipes!$A:$D,4,FALSE)="",""," ["&amp;VLOOKUP('.'!L39,Recipes!$A:$D,4,FALSE)&amp;"]"))</f>
        <v/>
      </c>
      <c r="M39" s="46" t="str">
        <f t="array" ref="M39">IF('.'!M39="","",'.'!M39&amp;IF(VLOOKUP('.'!M39,Recipes!$A:$D,4,FALSE)="",""," ["&amp;VLOOKUP('.'!M39,Recipes!$A:$D,4,FALSE)&amp;"]"))</f>
        <v/>
      </c>
      <c r="N39" s="46"/>
      <c r="O39" s="46"/>
      <c r="P39" s="46"/>
      <c r="Q39" s="46"/>
      <c r="R39" s="46"/>
      <c r="S39" s="46"/>
      <c r="T39" s="46"/>
      <c r="U39" s="46"/>
      <c r="V39" s="46"/>
      <c r="W39" s="46"/>
      <c r="X39" s="46"/>
      <c r="Y39" s="46"/>
      <c r="Z39" s="46"/>
      <c r="AA39" s="46"/>
      <c r="AB39" s="46"/>
      <c r="AC39" s="46"/>
      <c r="AD39" s="46"/>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7"/>
      <c r="BC39" s="47"/>
      <c r="BD39" s="47"/>
      <c r="BE39" s="47"/>
      <c r="BF39" s="47"/>
      <c r="BG39" s="47"/>
      <c r="BH39" s="47"/>
      <c r="BI39" s="47"/>
      <c r="BJ39" s="47"/>
      <c r="BK39" s="47"/>
      <c r="BL39" s="47"/>
      <c r="BM39" s="47"/>
      <c r="BN39" s="47"/>
      <c r="BO39" s="47"/>
      <c r="BP39" s="47"/>
      <c r="BQ39" s="47"/>
      <c r="BR39" s="47"/>
      <c r="BS39" s="47"/>
      <c r="BT39" s="47"/>
      <c r="BU39" s="47"/>
      <c r="BV39" s="47"/>
      <c r="BW39" s="47"/>
      <c r="BX39" s="47"/>
      <c r="BY39" s="47"/>
      <c r="BZ39" s="47"/>
    </row>
    <row r="40" spans="1:78" ht="15.75" customHeight="1">
      <c r="A40" s="48" t="str">
        <f ca="1">'.'!A40</f>
        <v>Antler</v>
      </c>
      <c r="B40" s="46" t="str">
        <f t="array" aca="1" ref="B40" ca="1">IF('.'!B40="","",'.'!B40&amp;IF(VLOOKUP('.'!B40,Recipes!$A:$D,4,FALSE)="",""," ["&amp;VLOOKUP('.'!B40,Recipes!$A:$D,4,FALSE)&amp;"]"))</f>
        <v>Knockdown Arrowhead [-20]</v>
      </c>
      <c r="C40" s="46" t="str">
        <f t="array" aca="1" ref="C40" ca="1">IF('.'!C40="","",'.'!C40&amp;IF(VLOOKUP('.'!C40,Recipes!$A:$D,4,FALSE)="",""," ["&amp;VLOOKUP('.'!C40,Recipes!$A:$D,4,FALSE)&amp;"]"))</f>
        <v>Bull Horns Scroll [-75]</v>
      </c>
      <c r="D40" s="46" t="str">
        <f t="array" aca="1" ref="D40" ca="1">IF('.'!D40="","",'.'!D40&amp;IF(VLOOKUP('.'!D40,Recipes!$A:$D,4,FALSE)="",""," ["&amp;VLOOKUP('.'!D40,Recipes!$A:$D,4,FALSE)&amp;"]"))</f>
        <v>Haste Scroll [-65]</v>
      </c>
      <c r="E40" s="46" t="str">
        <f t="array" ref="E40">IF('.'!E40="","",'.'!E40&amp;IF(VLOOKUP('.'!E40,Recipes!$A:$D,4,FALSE)="",""," ["&amp;VLOOKUP('.'!E40,Recipes!$A:$D,4,FALSE)&amp;"]"))</f>
        <v/>
      </c>
      <c r="F40" s="46" t="str">
        <f t="array" ref="F40">IF('.'!F40="","",'.'!F40&amp;IF(VLOOKUP('.'!F40,Recipes!$A:$D,4,FALSE)="",""," ["&amp;VLOOKUP('.'!F40,Recipes!$A:$D,4,FALSE)&amp;"]"))</f>
        <v/>
      </c>
      <c r="G40" s="46" t="str">
        <f t="array" ref="G40">IF('.'!G40="","",'.'!G40&amp;IF(VLOOKUP('.'!G40,Recipes!$A:$D,4,FALSE)="",""," ["&amp;VLOOKUP('.'!G40,Recipes!$A:$D,4,FALSE)&amp;"]"))</f>
        <v/>
      </c>
      <c r="H40" s="46" t="str">
        <f t="array" ref="H40">IF('.'!H40="","",'.'!H40&amp;IF(VLOOKUP('.'!H40,Recipes!$A:$D,4,FALSE)="",""," ["&amp;VLOOKUP('.'!H40,Recipes!$A:$D,4,FALSE)&amp;"]"))</f>
        <v/>
      </c>
      <c r="I40" s="46" t="str">
        <f t="array" ref="I40">IF('.'!I40="","",'.'!I40&amp;IF(VLOOKUP('.'!I40,Recipes!$A:$D,4,FALSE)="",""," ["&amp;VLOOKUP('.'!I40,Recipes!$A:$D,4,FALSE)&amp;"]"))</f>
        <v/>
      </c>
      <c r="J40" s="46" t="str">
        <f t="array" ref="J40">IF('.'!J40="","",'.'!J40&amp;IF(VLOOKUP('.'!J40,Recipes!$A:$D,4,FALSE)="",""," ["&amp;VLOOKUP('.'!J40,Recipes!$A:$D,4,FALSE)&amp;"]"))</f>
        <v/>
      </c>
      <c r="K40" s="46" t="str">
        <f t="array" ref="K40">IF('.'!K40="","",'.'!K40&amp;IF(VLOOKUP('.'!K40,Recipes!$A:$D,4,FALSE)="",""," ["&amp;VLOOKUP('.'!K40,Recipes!$A:$D,4,FALSE)&amp;"]"))</f>
        <v/>
      </c>
      <c r="L40" s="46" t="str">
        <f t="array" ref="L40">IF('.'!L40="","",'.'!L40&amp;IF(VLOOKUP('.'!L40,Recipes!$A:$D,4,FALSE)="",""," ["&amp;VLOOKUP('.'!L40,Recipes!$A:$D,4,FALSE)&amp;"]"))</f>
        <v/>
      </c>
      <c r="M40" s="46" t="str">
        <f t="array" ref="M40">IF('.'!M40="","",'.'!M40&amp;IF(VLOOKUP('.'!M40,Recipes!$A:$D,4,FALSE)="",""," ["&amp;VLOOKUP('.'!M40,Recipes!$A:$D,4,FALSE)&amp;"]"))</f>
        <v/>
      </c>
      <c r="N40" s="46"/>
      <c r="O40" s="46"/>
      <c r="P40" s="46"/>
      <c r="Q40" s="46"/>
      <c r="R40" s="46"/>
      <c r="S40" s="46"/>
      <c r="T40" s="46"/>
      <c r="U40" s="46"/>
      <c r="V40" s="46"/>
      <c r="W40" s="46"/>
      <c r="X40" s="46"/>
      <c r="Y40" s="46"/>
      <c r="Z40" s="46"/>
      <c r="AA40" s="46"/>
      <c r="AB40" s="46"/>
      <c r="AC40" s="46"/>
      <c r="AD40" s="46"/>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47"/>
      <c r="BT40" s="47"/>
      <c r="BU40" s="47"/>
      <c r="BV40" s="47"/>
      <c r="BW40" s="47"/>
      <c r="BX40" s="47"/>
      <c r="BY40" s="47"/>
      <c r="BZ40" s="47"/>
    </row>
    <row r="41" spans="1:78" ht="15.75" customHeight="1">
      <c r="A41" s="48" t="str">
        <f ca="1">'.'!A41</f>
        <v>Apotheosis Scroll</v>
      </c>
      <c r="B41" s="46" t="str">
        <f t="array" aca="1" ref="B41" ca="1">IF('.'!B41="","",'.'!B41&amp;IF(VLOOKUP('.'!B41,Recipes!$A:$D,4,FALSE)="",""," ["&amp;VLOOKUP('.'!B41,Recipes!$A:$D,4,FALSE)&amp;"]"))</f>
        <v>Apotheosis Skillbook [2600]</v>
      </c>
      <c r="C41" s="46" t="str">
        <f t="array" ref="C41">IF('.'!C41="","",'.'!C41&amp;IF(VLOOKUP('.'!C41,Recipes!$A:$D,4,FALSE)="",""," ["&amp;VLOOKUP('.'!C41,Recipes!$A:$D,4,FALSE)&amp;"]"))</f>
        <v/>
      </c>
      <c r="D41" s="46" t="str">
        <f t="array" ref="D41">IF('.'!D41="","",'.'!D41&amp;IF(VLOOKUP('.'!D41,Recipes!$A:$D,4,FALSE)="",""," ["&amp;VLOOKUP('.'!D41,Recipes!$A:$D,4,FALSE)&amp;"]"))</f>
        <v/>
      </c>
      <c r="E41" s="46" t="str">
        <f t="array" ref="E41">IF('.'!E41="","",'.'!E41&amp;IF(VLOOKUP('.'!E41,Recipes!$A:$D,4,FALSE)="",""," ["&amp;VLOOKUP('.'!E41,Recipes!$A:$D,4,FALSE)&amp;"]"))</f>
        <v/>
      </c>
      <c r="F41" s="46" t="str">
        <f t="array" ref="F41">IF('.'!F41="","",'.'!F41&amp;IF(VLOOKUP('.'!F41,Recipes!$A:$D,4,FALSE)="",""," ["&amp;VLOOKUP('.'!F41,Recipes!$A:$D,4,FALSE)&amp;"]"))</f>
        <v/>
      </c>
      <c r="G41" s="46" t="str">
        <f t="array" ref="G41">IF('.'!G41="","",'.'!G41&amp;IF(VLOOKUP('.'!G41,Recipes!$A:$D,4,FALSE)="",""," ["&amp;VLOOKUP('.'!G41,Recipes!$A:$D,4,FALSE)&amp;"]"))</f>
        <v/>
      </c>
      <c r="H41" s="46" t="str">
        <f t="array" ref="H41">IF('.'!H41="","",'.'!H41&amp;IF(VLOOKUP('.'!H41,Recipes!$A:$D,4,FALSE)="",""," ["&amp;VLOOKUP('.'!H41,Recipes!$A:$D,4,FALSE)&amp;"]"))</f>
        <v/>
      </c>
      <c r="I41" s="46" t="str">
        <f t="array" ref="I41">IF('.'!I41="","",'.'!I41&amp;IF(VLOOKUP('.'!I41,Recipes!$A:$D,4,FALSE)="",""," ["&amp;VLOOKUP('.'!I41,Recipes!$A:$D,4,FALSE)&amp;"]"))</f>
        <v/>
      </c>
      <c r="J41" s="46" t="str">
        <f t="array" ref="J41">IF('.'!J41="","",'.'!J41&amp;IF(VLOOKUP('.'!J41,Recipes!$A:$D,4,FALSE)="",""," ["&amp;VLOOKUP('.'!J41,Recipes!$A:$D,4,FALSE)&amp;"]"))</f>
        <v/>
      </c>
      <c r="K41" s="46" t="str">
        <f t="array" ref="K41">IF('.'!K41="","",'.'!K41&amp;IF(VLOOKUP('.'!K41,Recipes!$A:$D,4,FALSE)="",""," ["&amp;VLOOKUP('.'!K41,Recipes!$A:$D,4,FALSE)&amp;"]"))</f>
        <v/>
      </c>
      <c r="L41" s="46" t="str">
        <f t="array" ref="L41">IF('.'!L41="","",'.'!L41&amp;IF(VLOOKUP('.'!L41,Recipes!$A:$D,4,FALSE)="",""," ["&amp;VLOOKUP('.'!L41,Recipes!$A:$D,4,FALSE)&amp;"]"))</f>
        <v/>
      </c>
      <c r="M41" s="46" t="str">
        <f t="array" ref="M41">IF('.'!M41="","",'.'!M41&amp;IF(VLOOKUP('.'!M41,Recipes!$A:$D,4,FALSE)="",""," ["&amp;VLOOKUP('.'!M41,Recipes!$A:$D,4,FALSE)&amp;"]"))</f>
        <v/>
      </c>
      <c r="N41" s="46"/>
      <c r="O41" s="46"/>
      <c r="P41" s="46"/>
      <c r="Q41" s="46"/>
      <c r="R41" s="46"/>
      <c r="S41" s="46"/>
      <c r="T41" s="46"/>
      <c r="U41" s="46"/>
      <c r="V41" s="46"/>
      <c r="W41" s="46"/>
      <c r="X41" s="46"/>
      <c r="Y41" s="46"/>
      <c r="Z41" s="46"/>
      <c r="AA41" s="46"/>
      <c r="AB41" s="46"/>
      <c r="AC41" s="46"/>
      <c r="AD41" s="46"/>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47"/>
      <c r="BT41" s="47"/>
      <c r="BU41" s="47"/>
      <c r="BV41" s="47"/>
      <c r="BW41" s="47"/>
      <c r="BX41" s="47"/>
      <c r="BY41" s="47"/>
      <c r="BZ41" s="47"/>
    </row>
    <row r="42" spans="1:78" ht="15.75" customHeight="1">
      <c r="A42" s="48" t="str">
        <f ca="1">'.'!A42</f>
        <v>Apple</v>
      </c>
      <c r="B42" s="46" t="str">
        <f t="array" aca="1" ref="B42" ca="1">IF('.'!B42="","",'.'!B42&amp;IF(VLOOKUP('.'!B42,Recipes!$A:$D,4,FALSE)="",""," ["&amp;VLOOKUP('.'!B42,Recipes!$A:$D,4,FALSE)&amp;"]"))</f>
        <v>Apple Juice [1]</v>
      </c>
      <c r="C42" s="46" t="str">
        <f t="array" aca="1" ref="C42" ca="1">IF('.'!C42="","",'.'!C42&amp;IF(VLOOKUP('.'!C42,Recipes!$A:$D,4,FALSE)="",""," ["&amp;VLOOKUP('.'!C42,Recipes!$A:$D,4,FALSE)&amp;"]"))</f>
        <v>Apple Pie Dough [-1]</v>
      </c>
      <c r="D42" s="46" t="str">
        <f t="array" ref="D42">IF('.'!D42="","",'.'!D42&amp;IF(VLOOKUP('.'!D42,Recipes!$A:$D,4,FALSE)="",""," ["&amp;VLOOKUP('.'!D42,Recipes!$A:$D,4,FALSE)&amp;"]"))</f>
        <v/>
      </c>
      <c r="E42" s="46" t="str">
        <f t="array" ref="E42">IF('.'!E42="","",'.'!E42&amp;IF(VLOOKUP('.'!E42,Recipes!$A:$D,4,FALSE)="",""," ["&amp;VLOOKUP('.'!E42,Recipes!$A:$D,4,FALSE)&amp;"]"))</f>
        <v/>
      </c>
      <c r="F42" s="46" t="str">
        <f t="array" ref="F42">IF('.'!F42="","",'.'!F42&amp;IF(VLOOKUP('.'!F42,Recipes!$A:$D,4,FALSE)="",""," ["&amp;VLOOKUP('.'!F42,Recipes!$A:$D,4,FALSE)&amp;"]"))</f>
        <v/>
      </c>
      <c r="G42" s="46" t="str">
        <f t="array" ref="G42">IF('.'!G42="","",'.'!G42&amp;IF(VLOOKUP('.'!G42,Recipes!$A:$D,4,FALSE)="",""," ["&amp;VLOOKUP('.'!G42,Recipes!$A:$D,4,FALSE)&amp;"]"))</f>
        <v/>
      </c>
      <c r="H42" s="46" t="str">
        <f t="array" ref="H42">IF('.'!H42="","",'.'!H42&amp;IF(VLOOKUP('.'!H42,Recipes!$A:$D,4,FALSE)="",""," ["&amp;VLOOKUP('.'!H42,Recipes!$A:$D,4,FALSE)&amp;"]"))</f>
        <v/>
      </c>
      <c r="I42" s="46" t="str">
        <f t="array" ref="I42">IF('.'!I42="","",'.'!I42&amp;IF(VLOOKUP('.'!I42,Recipes!$A:$D,4,FALSE)="",""," ["&amp;VLOOKUP('.'!I42,Recipes!$A:$D,4,FALSE)&amp;"]"))</f>
        <v/>
      </c>
      <c r="J42" s="46" t="str">
        <f t="array" ref="J42">IF('.'!J42="","",'.'!J42&amp;IF(VLOOKUP('.'!J42,Recipes!$A:$D,4,FALSE)="",""," ["&amp;VLOOKUP('.'!J42,Recipes!$A:$D,4,FALSE)&amp;"]"))</f>
        <v/>
      </c>
      <c r="K42" s="46" t="str">
        <f t="array" ref="K42">IF('.'!K42="","",'.'!K42&amp;IF(VLOOKUP('.'!K42,Recipes!$A:$D,4,FALSE)="",""," ["&amp;VLOOKUP('.'!K42,Recipes!$A:$D,4,FALSE)&amp;"]"))</f>
        <v/>
      </c>
      <c r="L42" s="46" t="str">
        <f t="array" ref="L42">IF('.'!L42="","",'.'!L42&amp;IF(VLOOKUP('.'!L42,Recipes!$A:$D,4,FALSE)="",""," ["&amp;VLOOKUP('.'!L42,Recipes!$A:$D,4,FALSE)&amp;"]"))</f>
        <v/>
      </c>
      <c r="M42" s="46" t="str">
        <f t="array" ref="M42">IF('.'!M42="","",'.'!M42&amp;IF(VLOOKUP('.'!M42,Recipes!$A:$D,4,FALSE)="",""," ["&amp;VLOOKUP('.'!M42,Recipes!$A:$D,4,FALSE)&amp;"]"))</f>
        <v/>
      </c>
      <c r="N42" s="46"/>
      <c r="O42" s="46"/>
      <c r="P42" s="46"/>
      <c r="Q42" s="46"/>
      <c r="R42" s="46"/>
      <c r="S42" s="46"/>
      <c r="T42" s="46"/>
      <c r="U42" s="46"/>
      <c r="V42" s="46"/>
      <c r="W42" s="46"/>
      <c r="X42" s="46"/>
      <c r="Y42" s="46"/>
      <c r="Z42" s="46"/>
      <c r="AA42" s="46"/>
      <c r="AB42" s="46"/>
      <c r="AC42" s="46"/>
      <c r="AD42" s="46"/>
      <c r="AE42" s="47"/>
      <c r="AF42" s="47"/>
      <c r="AG42" s="47"/>
      <c r="AH42" s="47"/>
      <c r="AI42" s="47"/>
      <c r="AJ42" s="47"/>
      <c r="AK42" s="47"/>
      <c r="AL42" s="47"/>
      <c r="AM42" s="47"/>
      <c r="AN42" s="47"/>
      <c r="AO42" s="47"/>
      <c r="AP42" s="47"/>
      <c r="AQ42" s="47"/>
      <c r="AR42" s="47"/>
      <c r="AS42" s="47"/>
      <c r="AT42" s="47"/>
      <c r="AU42" s="47"/>
      <c r="AV42" s="47"/>
      <c r="AW42" s="47"/>
      <c r="AX42" s="47"/>
      <c r="AY42" s="47"/>
      <c r="AZ42" s="47"/>
      <c r="BA42" s="47"/>
      <c r="BB42" s="47"/>
      <c r="BC42" s="47"/>
      <c r="BD42" s="47"/>
      <c r="BE42" s="47"/>
      <c r="BF42" s="47"/>
      <c r="BG42" s="47"/>
      <c r="BH42" s="47"/>
      <c r="BI42" s="47"/>
      <c r="BJ42" s="47"/>
      <c r="BK42" s="47"/>
      <c r="BL42" s="47"/>
      <c r="BM42" s="47"/>
      <c r="BN42" s="47"/>
      <c r="BO42" s="47"/>
      <c r="BP42" s="47"/>
      <c r="BQ42" s="47"/>
      <c r="BR42" s="47"/>
      <c r="BS42" s="47"/>
      <c r="BT42" s="47"/>
      <c r="BU42" s="47"/>
      <c r="BV42" s="47"/>
      <c r="BW42" s="47"/>
      <c r="BX42" s="47"/>
      <c r="BY42" s="47"/>
      <c r="BZ42" s="47"/>
    </row>
    <row r="43" spans="1:78" ht="15.75" customHeight="1">
      <c r="A43" s="48" t="str">
        <f ca="1">'.'!A43</f>
        <v>Apple Pie Dough</v>
      </c>
      <c r="B43" s="46" t="str">
        <f t="array" aca="1" ref="B43" ca="1">IF('.'!B43="","",'.'!B43&amp;IF(VLOOKUP('.'!B43,Recipes!$A:$D,4,FALSE)="",""," ["&amp;VLOOKUP('.'!B43,Recipes!$A:$D,4,FALSE)&amp;"]"))</f>
        <v>Apple Pie [6]</v>
      </c>
      <c r="C43" s="46" t="str">
        <f t="array" ref="C43">IF('.'!C43="","",'.'!C43&amp;IF(VLOOKUP('.'!C43,Recipes!$A:$D,4,FALSE)="",""," ["&amp;VLOOKUP('.'!C43,Recipes!$A:$D,4,FALSE)&amp;"]"))</f>
        <v/>
      </c>
      <c r="D43" s="46" t="str">
        <f t="array" ref="D43">IF('.'!D43="","",'.'!D43&amp;IF(VLOOKUP('.'!D43,Recipes!$A:$D,4,FALSE)="",""," ["&amp;VLOOKUP('.'!D43,Recipes!$A:$D,4,FALSE)&amp;"]"))</f>
        <v/>
      </c>
      <c r="E43" s="46" t="str">
        <f t="array" ref="E43">IF('.'!E43="","",'.'!E43&amp;IF(VLOOKUP('.'!E43,Recipes!$A:$D,4,FALSE)="",""," ["&amp;VLOOKUP('.'!E43,Recipes!$A:$D,4,FALSE)&amp;"]"))</f>
        <v/>
      </c>
      <c r="F43" s="46" t="str">
        <f t="array" ref="F43">IF('.'!F43="","",'.'!F43&amp;IF(VLOOKUP('.'!F43,Recipes!$A:$D,4,FALSE)="",""," ["&amp;VLOOKUP('.'!F43,Recipes!$A:$D,4,FALSE)&amp;"]"))</f>
        <v/>
      </c>
      <c r="G43" s="46" t="str">
        <f t="array" ref="G43">IF('.'!G43="","",'.'!G43&amp;IF(VLOOKUP('.'!G43,Recipes!$A:$D,4,FALSE)="",""," ["&amp;VLOOKUP('.'!G43,Recipes!$A:$D,4,FALSE)&amp;"]"))</f>
        <v/>
      </c>
      <c r="H43" s="46" t="str">
        <f t="array" ref="H43">IF('.'!H43="","",'.'!H43&amp;IF(VLOOKUP('.'!H43,Recipes!$A:$D,4,FALSE)="",""," ["&amp;VLOOKUP('.'!H43,Recipes!$A:$D,4,FALSE)&amp;"]"))</f>
        <v/>
      </c>
      <c r="I43" s="46" t="str">
        <f t="array" ref="I43">IF('.'!I43="","",'.'!I43&amp;IF(VLOOKUP('.'!I43,Recipes!$A:$D,4,FALSE)="",""," ["&amp;VLOOKUP('.'!I43,Recipes!$A:$D,4,FALSE)&amp;"]"))</f>
        <v/>
      </c>
      <c r="J43" s="46" t="str">
        <f t="array" ref="J43">IF('.'!J43="","",'.'!J43&amp;IF(VLOOKUP('.'!J43,Recipes!$A:$D,4,FALSE)="",""," ["&amp;VLOOKUP('.'!J43,Recipes!$A:$D,4,FALSE)&amp;"]"))</f>
        <v/>
      </c>
      <c r="K43" s="46" t="str">
        <f t="array" ref="K43">IF('.'!K43="","",'.'!K43&amp;IF(VLOOKUP('.'!K43,Recipes!$A:$D,4,FALSE)="",""," ["&amp;VLOOKUP('.'!K43,Recipes!$A:$D,4,FALSE)&amp;"]"))</f>
        <v/>
      </c>
      <c r="L43" s="46" t="str">
        <f t="array" ref="L43">IF('.'!L43="","",'.'!L43&amp;IF(VLOOKUP('.'!L43,Recipes!$A:$D,4,FALSE)="",""," ["&amp;VLOOKUP('.'!L43,Recipes!$A:$D,4,FALSE)&amp;"]"))</f>
        <v/>
      </c>
      <c r="M43" s="46" t="str">
        <f t="array" ref="M43">IF('.'!M43="","",'.'!M43&amp;IF(VLOOKUP('.'!M43,Recipes!$A:$D,4,FALSE)="",""," ["&amp;VLOOKUP('.'!M43,Recipes!$A:$D,4,FALSE)&amp;"]"))</f>
        <v/>
      </c>
      <c r="N43" s="46"/>
      <c r="O43" s="46"/>
      <c r="P43" s="46"/>
      <c r="Q43" s="46"/>
      <c r="R43" s="46"/>
      <c r="S43" s="46"/>
      <c r="T43" s="46"/>
      <c r="U43" s="46"/>
      <c r="V43" s="46"/>
      <c r="W43" s="46"/>
      <c r="X43" s="46"/>
      <c r="Y43" s="46"/>
      <c r="Z43" s="46"/>
      <c r="AA43" s="46"/>
      <c r="AB43" s="46"/>
      <c r="AC43" s="46"/>
      <c r="AD43" s="46"/>
      <c r="AE43" s="47"/>
      <c r="AF43" s="47"/>
      <c r="AG43" s="47"/>
      <c r="AH43" s="47"/>
      <c r="AI43" s="47"/>
      <c r="AJ43" s="47"/>
      <c r="AK43" s="47"/>
      <c r="AL43" s="47"/>
      <c r="AM43" s="47"/>
      <c r="AN43" s="47"/>
      <c r="AO43" s="47"/>
      <c r="AP43" s="47"/>
      <c r="AQ43" s="47"/>
      <c r="AR43" s="47"/>
      <c r="AS43" s="47"/>
      <c r="AT43" s="47"/>
      <c r="AU43" s="47"/>
      <c r="AV43" s="47"/>
      <c r="AW43" s="47"/>
      <c r="AX43" s="47"/>
      <c r="AY43" s="47"/>
      <c r="AZ43" s="47"/>
      <c r="BA43" s="47"/>
      <c r="BB43" s="47"/>
      <c r="BC43" s="47"/>
      <c r="BD43" s="47"/>
      <c r="BE43" s="47"/>
      <c r="BF43" s="47"/>
      <c r="BG43" s="47"/>
      <c r="BH43" s="47"/>
      <c r="BI43" s="47"/>
      <c r="BJ43" s="47"/>
      <c r="BK43" s="47"/>
      <c r="BL43" s="47"/>
      <c r="BM43" s="47"/>
      <c r="BN43" s="47"/>
      <c r="BO43" s="47"/>
      <c r="BP43" s="47"/>
      <c r="BQ43" s="47"/>
      <c r="BR43" s="47"/>
      <c r="BS43" s="47"/>
      <c r="BT43" s="47"/>
      <c r="BU43" s="47"/>
      <c r="BV43" s="47"/>
      <c r="BW43" s="47"/>
      <c r="BX43" s="47"/>
      <c r="BY43" s="47"/>
      <c r="BZ43" s="47"/>
    </row>
    <row r="44" spans="1:78" ht="15.75" customHeight="1">
      <c r="A44" s="48" t="str">
        <f ca="1">'.'!A44</f>
        <v>Apportation Scroll</v>
      </c>
      <c r="B44" s="46" t="str">
        <f t="array" aca="1" ref="B44" ca="1">IF('.'!B44="","",'.'!B44&amp;IF(VLOOKUP('.'!B44,Recipes!$A:$D,4,FALSE)="",""," ["&amp;VLOOKUP('.'!B44,Recipes!$A:$D,4,FALSE)&amp;"]"))</f>
        <v>Apportation Skillbook [249]</v>
      </c>
      <c r="C44" s="46" t="str">
        <f t="array" ref="C44">IF('.'!C44="","",'.'!C44&amp;IF(VLOOKUP('.'!C44,Recipes!$A:$D,4,FALSE)="",""," ["&amp;VLOOKUP('.'!C44,Recipes!$A:$D,4,FALSE)&amp;"]"))</f>
        <v/>
      </c>
      <c r="D44" s="46" t="str">
        <f t="array" ref="D44">IF('.'!D44="","",'.'!D44&amp;IF(VLOOKUP('.'!D44,Recipes!$A:$D,4,FALSE)="",""," ["&amp;VLOOKUP('.'!D44,Recipes!$A:$D,4,FALSE)&amp;"]"))</f>
        <v/>
      </c>
      <c r="E44" s="46" t="str">
        <f t="array" ref="E44">IF('.'!E44="","",'.'!E44&amp;IF(VLOOKUP('.'!E44,Recipes!$A:$D,4,FALSE)="",""," ["&amp;VLOOKUP('.'!E44,Recipes!$A:$D,4,FALSE)&amp;"]"))</f>
        <v/>
      </c>
      <c r="F44" s="46" t="str">
        <f t="array" ref="F44">IF('.'!F44="","",'.'!F44&amp;IF(VLOOKUP('.'!F44,Recipes!$A:$D,4,FALSE)="",""," ["&amp;VLOOKUP('.'!F44,Recipes!$A:$D,4,FALSE)&amp;"]"))</f>
        <v/>
      </c>
      <c r="G44" s="46" t="str">
        <f t="array" ref="G44">IF('.'!G44="","",'.'!G44&amp;IF(VLOOKUP('.'!G44,Recipes!$A:$D,4,FALSE)="",""," ["&amp;VLOOKUP('.'!G44,Recipes!$A:$D,4,FALSE)&amp;"]"))</f>
        <v/>
      </c>
      <c r="H44" s="46" t="str">
        <f t="array" ref="H44">IF('.'!H44="","",'.'!H44&amp;IF(VLOOKUP('.'!H44,Recipes!$A:$D,4,FALSE)="",""," ["&amp;VLOOKUP('.'!H44,Recipes!$A:$D,4,FALSE)&amp;"]"))</f>
        <v/>
      </c>
      <c r="I44" s="46" t="str">
        <f t="array" ref="I44">IF('.'!I44="","",'.'!I44&amp;IF(VLOOKUP('.'!I44,Recipes!$A:$D,4,FALSE)="",""," ["&amp;VLOOKUP('.'!I44,Recipes!$A:$D,4,FALSE)&amp;"]"))</f>
        <v/>
      </c>
      <c r="J44" s="46" t="str">
        <f t="array" ref="J44">IF('.'!J44="","",'.'!J44&amp;IF(VLOOKUP('.'!J44,Recipes!$A:$D,4,FALSE)="",""," ["&amp;VLOOKUP('.'!J44,Recipes!$A:$D,4,FALSE)&amp;"]"))</f>
        <v/>
      </c>
      <c r="K44" s="46" t="str">
        <f t="array" ref="K44">IF('.'!K44="","",'.'!K44&amp;IF(VLOOKUP('.'!K44,Recipes!$A:$D,4,FALSE)="",""," ["&amp;VLOOKUP('.'!K44,Recipes!$A:$D,4,FALSE)&amp;"]"))</f>
        <v/>
      </c>
      <c r="L44" s="46" t="str">
        <f t="array" ref="L44">IF('.'!L44="","",'.'!L44&amp;IF(VLOOKUP('.'!L44,Recipes!$A:$D,4,FALSE)="",""," ["&amp;VLOOKUP('.'!L44,Recipes!$A:$D,4,FALSE)&amp;"]"))</f>
        <v/>
      </c>
      <c r="M44" s="46" t="str">
        <f t="array" ref="M44">IF('.'!M44="","",'.'!M44&amp;IF(VLOOKUP('.'!M44,Recipes!$A:$D,4,FALSE)="",""," ["&amp;VLOOKUP('.'!M44,Recipes!$A:$D,4,FALSE)&amp;"]"))</f>
        <v/>
      </c>
      <c r="N44" s="46"/>
      <c r="O44" s="46"/>
      <c r="P44" s="46"/>
      <c r="Q44" s="46"/>
      <c r="R44" s="46"/>
      <c r="S44" s="46"/>
      <c r="T44" s="46"/>
      <c r="U44" s="46"/>
      <c r="V44" s="46"/>
      <c r="W44" s="46"/>
      <c r="X44" s="46"/>
      <c r="Y44" s="46"/>
      <c r="Z44" s="46"/>
      <c r="AA44" s="46"/>
      <c r="AB44" s="46"/>
      <c r="AC44" s="46"/>
      <c r="AD44" s="46"/>
      <c r="AE44" s="47"/>
      <c r="AF44" s="47"/>
      <c r="AG44" s="47"/>
      <c r="AH44" s="47"/>
      <c r="AI44" s="47"/>
      <c r="AJ44" s="47"/>
      <c r="AK44" s="47"/>
      <c r="AL44" s="47"/>
      <c r="AM44" s="47"/>
      <c r="AN44" s="47"/>
      <c r="AO44" s="47"/>
      <c r="AP44" s="47"/>
      <c r="AQ44" s="47"/>
      <c r="AR44" s="47"/>
      <c r="AS44" s="47"/>
      <c r="AT44" s="47"/>
      <c r="AU44" s="47"/>
      <c r="AV44" s="47"/>
      <c r="AW44" s="47"/>
      <c r="AX44" s="47"/>
      <c r="AY44" s="47"/>
      <c r="AZ44" s="47"/>
      <c r="BA44" s="47"/>
      <c r="BB44" s="47"/>
      <c r="BC44" s="47"/>
      <c r="BD44" s="47"/>
      <c r="BE44" s="47"/>
      <c r="BF44" s="47"/>
      <c r="BG44" s="47"/>
      <c r="BH44" s="47"/>
      <c r="BI44" s="47"/>
      <c r="BJ44" s="47"/>
      <c r="BK44" s="47"/>
      <c r="BL44" s="47"/>
      <c r="BM44" s="47"/>
      <c r="BN44" s="47"/>
      <c r="BO44" s="47"/>
      <c r="BP44" s="47"/>
      <c r="BQ44" s="47"/>
      <c r="BR44" s="47"/>
      <c r="BS44" s="47"/>
      <c r="BT44" s="47"/>
      <c r="BU44" s="47"/>
      <c r="BV44" s="47"/>
      <c r="BW44" s="47"/>
      <c r="BX44" s="47"/>
      <c r="BY44" s="47"/>
      <c r="BZ44" s="47"/>
    </row>
    <row r="45" spans="1:78" ht="15.75" customHeight="1">
      <c r="A45" s="48" t="str">
        <f ca="1">'.'!A45</f>
        <v>Arcane Stitch Scroll</v>
      </c>
      <c r="B45" s="46" t="str">
        <f t="array" aca="1" ref="B45" ca="1">IF('.'!B45="","",'.'!B45&amp;IF(VLOOKUP('.'!B45,Recipes!$A:$D,4,FALSE)="",""," ["&amp;VLOOKUP('.'!B45,Recipes!$A:$D,4,FALSE)&amp;"]"))</f>
        <v>Arcane Stitch Skillbook [550]</v>
      </c>
      <c r="C45" s="46" t="str">
        <f t="array" ref="C45">IF('.'!C45="","",'.'!C45&amp;IF(VLOOKUP('.'!C45,Recipes!$A:$D,4,FALSE)="",""," ["&amp;VLOOKUP('.'!C45,Recipes!$A:$D,4,FALSE)&amp;"]"))</f>
        <v/>
      </c>
      <c r="D45" s="46" t="str">
        <f t="array" ref="D45">IF('.'!D45="","",'.'!D45&amp;IF(VLOOKUP('.'!D45,Recipes!$A:$D,4,FALSE)="",""," ["&amp;VLOOKUP('.'!D45,Recipes!$A:$D,4,FALSE)&amp;"]"))</f>
        <v/>
      </c>
      <c r="E45" s="46" t="str">
        <f t="array" ref="E45">IF('.'!E45="","",'.'!E45&amp;IF(VLOOKUP('.'!E45,Recipes!$A:$D,4,FALSE)="",""," ["&amp;VLOOKUP('.'!E45,Recipes!$A:$D,4,FALSE)&amp;"]"))</f>
        <v/>
      </c>
      <c r="F45" s="46" t="str">
        <f t="array" ref="F45">IF('.'!F45="","",'.'!F45&amp;IF(VLOOKUP('.'!F45,Recipes!$A:$D,4,FALSE)="",""," ["&amp;VLOOKUP('.'!F45,Recipes!$A:$D,4,FALSE)&amp;"]"))</f>
        <v/>
      </c>
      <c r="G45" s="46" t="str">
        <f t="array" ref="G45">IF('.'!G45="","",'.'!G45&amp;IF(VLOOKUP('.'!G45,Recipes!$A:$D,4,FALSE)="",""," ["&amp;VLOOKUP('.'!G45,Recipes!$A:$D,4,FALSE)&amp;"]"))</f>
        <v/>
      </c>
      <c r="H45" s="46" t="str">
        <f t="array" ref="H45">IF('.'!H45="","",'.'!H45&amp;IF(VLOOKUP('.'!H45,Recipes!$A:$D,4,FALSE)="",""," ["&amp;VLOOKUP('.'!H45,Recipes!$A:$D,4,FALSE)&amp;"]"))</f>
        <v/>
      </c>
      <c r="I45" s="46" t="str">
        <f t="array" ref="I45">IF('.'!I45="","",'.'!I45&amp;IF(VLOOKUP('.'!I45,Recipes!$A:$D,4,FALSE)="",""," ["&amp;VLOOKUP('.'!I45,Recipes!$A:$D,4,FALSE)&amp;"]"))</f>
        <v/>
      </c>
      <c r="J45" s="46" t="str">
        <f t="array" ref="J45">IF('.'!J45="","",'.'!J45&amp;IF(VLOOKUP('.'!J45,Recipes!$A:$D,4,FALSE)="",""," ["&amp;VLOOKUP('.'!J45,Recipes!$A:$D,4,FALSE)&amp;"]"))</f>
        <v/>
      </c>
      <c r="K45" s="46" t="str">
        <f t="array" ref="K45">IF('.'!K45="","",'.'!K45&amp;IF(VLOOKUP('.'!K45,Recipes!$A:$D,4,FALSE)="",""," ["&amp;VLOOKUP('.'!K45,Recipes!$A:$D,4,FALSE)&amp;"]"))</f>
        <v/>
      </c>
      <c r="L45" s="46" t="str">
        <f t="array" ref="L45">IF('.'!L45="","",'.'!L45&amp;IF(VLOOKUP('.'!L45,Recipes!$A:$D,4,FALSE)="",""," ["&amp;VLOOKUP('.'!L45,Recipes!$A:$D,4,FALSE)&amp;"]"))</f>
        <v/>
      </c>
      <c r="M45" s="46" t="str">
        <f t="array" ref="M45">IF('.'!M45="","",'.'!M45&amp;IF(VLOOKUP('.'!M45,Recipes!$A:$D,4,FALSE)="",""," ["&amp;VLOOKUP('.'!M45,Recipes!$A:$D,4,FALSE)&amp;"]"))</f>
        <v/>
      </c>
      <c r="N45" s="46"/>
      <c r="O45" s="46"/>
      <c r="P45" s="46"/>
      <c r="Q45" s="46"/>
      <c r="R45" s="46"/>
      <c r="S45" s="46"/>
      <c r="T45" s="46"/>
      <c r="U45" s="46"/>
      <c r="V45" s="46"/>
      <c r="W45" s="46"/>
      <c r="X45" s="46"/>
      <c r="Y45" s="46"/>
      <c r="Z45" s="46"/>
      <c r="AA45" s="46"/>
      <c r="AB45" s="46"/>
      <c r="AC45" s="46"/>
      <c r="AD45" s="46"/>
      <c r="AE45" s="47"/>
      <c r="AF45" s="47"/>
      <c r="AG45" s="47"/>
      <c r="AH45" s="47"/>
      <c r="AI45" s="47"/>
      <c r="AJ45" s="47"/>
      <c r="AK45" s="47"/>
      <c r="AL45" s="47"/>
      <c r="AM45" s="47"/>
      <c r="AN45" s="47"/>
      <c r="AO45" s="47"/>
      <c r="AP45" s="47"/>
      <c r="AQ45" s="47"/>
      <c r="AR45" s="47"/>
      <c r="AS45" s="47"/>
      <c r="AT45" s="47"/>
      <c r="AU45" s="47"/>
      <c r="AV45" s="47"/>
      <c r="AW45" s="47"/>
      <c r="AX45" s="47"/>
      <c r="AY45" s="47"/>
      <c r="AZ45" s="47"/>
      <c r="BA45" s="47"/>
      <c r="BB45" s="47"/>
      <c r="BC45" s="47"/>
      <c r="BD45" s="47"/>
      <c r="BE45" s="47"/>
      <c r="BF45" s="47"/>
      <c r="BG45" s="47"/>
      <c r="BH45" s="47"/>
      <c r="BI45" s="47"/>
      <c r="BJ45" s="47"/>
      <c r="BK45" s="47"/>
      <c r="BL45" s="47"/>
      <c r="BM45" s="47"/>
      <c r="BN45" s="47"/>
      <c r="BO45" s="47"/>
      <c r="BP45" s="47"/>
      <c r="BQ45" s="47"/>
      <c r="BR45" s="47"/>
      <c r="BS45" s="47"/>
      <c r="BT45" s="47"/>
      <c r="BU45" s="47"/>
      <c r="BV45" s="47"/>
      <c r="BW45" s="47"/>
      <c r="BX45" s="47"/>
      <c r="BY45" s="47"/>
      <c r="BZ45" s="47"/>
    </row>
    <row r="46" spans="1:78" ht="15.75" customHeight="1">
      <c r="A46" s="48" t="str">
        <f ca="1">'.'!A46</f>
        <v>Armour of Frost Scroll</v>
      </c>
      <c r="B46" s="46" t="str">
        <f t="array" aca="1" ref="B46" ca="1">IF('.'!B46="","",'.'!B46&amp;IF(VLOOKUP('.'!B46,Recipes!$A:$D,4,FALSE)="",""," ["&amp;VLOOKUP('.'!B46,Recipes!$A:$D,4,FALSE)&amp;"]"))</f>
        <v>Armour of Frost Skillbook [-190]</v>
      </c>
      <c r="C46" s="46" t="str">
        <f t="array" ref="C46">IF('.'!C46="","",'.'!C46&amp;IF(VLOOKUP('.'!C46,Recipes!$A:$D,4,FALSE)="",""," ["&amp;VLOOKUP('.'!C46,Recipes!$A:$D,4,FALSE)&amp;"]"))</f>
        <v/>
      </c>
      <c r="D46" s="46" t="str">
        <f t="array" ref="D46">IF('.'!D46="","",'.'!D46&amp;IF(VLOOKUP('.'!D46,Recipes!$A:$D,4,FALSE)="",""," ["&amp;VLOOKUP('.'!D46,Recipes!$A:$D,4,FALSE)&amp;"]"))</f>
        <v/>
      </c>
      <c r="E46" s="46" t="str">
        <f t="array" ref="E46">IF('.'!E46="","",'.'!E46&amp;IF(VLOOKUP('.'!E46,Recipes!$A:$D,4,FALSE)="",""," ["&amp;VLOOKUP('.'!E46,Recipes!$A:$D,4,FALSE)&amp;"]"))</f>
        <v/>
      </c>
      <c r="F46" s="46" t="str">
        <f t="array" ref="F46">IF('.'!F46="","",'.'!F46&amp;IF(VLOOKUP('.'!F46,Recipes!$A:$D,4,FALSE)="",""," ["&amp;VLOOKUP('.'!F46,Recipes!$A:$D,4,FALSE)&amp;"]"))</f>
        <v/>
      </c>
      <c r="G46" s="46" t="str">
        <f t="array" ref="G46">IF('.'!G46="","",'.'!G46&amp;IF(VLOOKUP('.'!G46,Recipes!$A:$D,4,FALSE)="",""," ["&amp;VLOOKUP('.'!G46,Recipes!$A:$D,4,FALSE)&amp;"]"))</f>
        <v/>
      </c>
      <c r="H46" s="46" t="str">
        <f t="array" ref="H46">IF('.'!H46="","",'.'!H46&amp;IF(VLOOKUP('.'!H46,Recipes!$A:$D,4,FALSE)="",""," ["&amp;VLOOKUP('.'!H46,Recipes!$A:$D,4,FALSE)&amp;"]"))</f>
        <v/>
      </c>
      <c r="I46" s="46" t="str">
        <f t="array" ref="I46">IF('.'!I46="","",'.'!I46&amp;IF(VLOOKUP('.'!I46,Recipes!$A:$D,4,FALSE)="",""," ["&amp;VLOOKUP('.'!I46,Recipes!$A:$D,4,FALSE)&amp;"]"))</f>
        <v/>
      </c>
      <c r="J46" s="46" t="str">
        <f t="array" ref="J46">IF('.'!J46="","",'.'!J46&amp;IF(VLOOKUP('.'!J46,Recipes!$A:$D,4,FALSE)="",""," ["&amp;VLOOKUP('.'!J46,Recipes!$A:$D,4,FALSE)&amp;"]"))</f>
        <v/>
      </c>
      <c r="K46" s="46" t="str">
        <f t="array" ref="K46">IF('.'!K46="","",'.'!K46&amp;IF(VLOOKUP('.'!K46,Recipes!$A:$D,4,FALSE)="",""," ["&amp;VLOOKUP('.'!K46,Recipes!$A:$D,4,FALSE)&amp;"]"))</f>
        <v/>
      </c>
      <c r="L46" s="46" t="str">
        <f t="array" ref="L46">IF('.'!L46="","",'.'!L46&amp;IF(VLOOKUP('.'!L46,Recipes!$A:$D,4,FALSE)="",""," ["&amp;VLOOKUP('.'!L46,Recipes!$A:$D,4,FALSE)&amp;"]"))</f>
        <v/>
      </c>
      <c r="M46" s="46" t="str">
        <f t="array" ref="M46">IF('.'!M46="","",'.'!M46&amp;IF(VLOOKUP('.'!M46,Recipes!$A:$D,4,FALSE)="",""," ["&amp;VLOOKUP('.'!M46,Recipes!$A:$D,4,FALSE)&amp;"]"))</f>
        <v/>
      </c>
      <c r="N46" s="46"/>
      <c r="O46" s="46"/>
      <c r="P46" s="46"/>
      <c r="Q46" s="46"/>
      <c r="R46" s="46"/>
      <c r="S46" s="46"/>
      <c r="T46" s="46"/>
      <c r="U46" s="46"/>
      <c r="V46" s="46"/>
      <c r="W46" s="46"/>
      <c r="X46" s="46"/>
      <c r="Y46" s="46"/>
      <c r="Z46" s="46"/>
      <c r="AA46" s="46"/>
      <c r="AB46" s="46"/>
      <c r="AC46" s="46"/>
      <c r="AD46" s="46"/>
      <c r="AE46" s="47"/>
      <c r="AF46" s="47"/>
      <c r="AG46" s="47"/>
      <c r="AH46" s="47"/>
      <c r="AI46" s="47"/>
      <c r="AJ46" s="47"/>
      <c r="AK46" s="47"/>
      <c r="AL46" s="47"/>
      <c r="AM46" s="47"/>
      <c r="AN46" s="47"/>
      <c r="AO46" s="47"/>
      <c r="AP46" s="47"/>
      <c r="AQ46" s="47"/>
      <c r="AR46" s="47"/>
      <c r="AS46" s="47"/>
      <c r="AT46" s="47"/>
      <c r="AU46" s="47"/>
      <c r="AV46" s="47"/>
      <c r="AW46" s="47"/>
      <c r="AX46" s="47"/>
      <c r="AY46" s="47"/>
      <c r="AZ46" s="47"/>
      <c r="BA46" s="47"/>
      <c r="BB46" s="47"/>
      <c r="BC46" s="47"/>
      <c r="BD46" s="47"/>
      <c r="BE46" s="47"/>
      <c r="BF46" s="47"/>
      <c r="BG46" s="47"/>
      <c r="BH46" s="47"/>
      <c r="BI46" s="47"/>
      <c r="BJ46" s="47"/>
      <c r="BK46" s="47"/>
      <c r="BL46" s="47"/>
      <c r="BM46" s="47"/>
      <c r="BN46" s="47"/>
      <c r="BO46" s="47"/>
      <c r="BP46" s="47"/>
      <c r="BQ46" s="47"/>
      <c r="BR46" s="47"/>
      <c r="BS46" s="47"/>
      <c r="BT46" s="47"/>
      <c r="BU46" s="47"/>
      <c r="BV46" s="47"/>
      <c r="BW46" s="47"/>
      <c r="BX46" s="47"/>
      <c r="BY46" s="47"/>
      <c r="BZ46" s="47"/>
    </row>
    <row r="47" spans="1:78" ht="15.75" customHeight="1">
      <c r="A47" s="48" t="str">
        <f ca="1">'.'!A47</f>
        <v>Arrow</v>
      </c>
      <c r="B47" s="46" t="str">
        <f t="array" aca="1" ref="B47" ca="1">IF('.'!B47="","",'.'!B47&amp;IF(VLOOKUP('.'!B47,Recipes!$A:$D,4,FALSE)="",""," ["&amp;VLOOKUP('.'!B47,Recipes!$A:$D,4,FALSE)&amp;"]"))</f>
        <v>Charming Arrow [19]</v>
      </c>
      <c r="C47" s="46" t="str">
        <f t="array" aca="1" ref="C47" ca="1">IF('.'!C47="","",'.'!C47&amp;IF(VLOOKUP('.'!C47,Recipes!$A:$D,4,FALSE)="",""," ["&amp;VLOOKUP('.'!C47,Recipes!$A:$D,4,FALSE)&amp;"]"))</f>
        <v>Fire Arrow [14]</v>
      </c>
      <c r="D47" s="46" t="str">
        <f t="array" aca="1" ref="D47" ca="1">IF('.'!D47="","",'.'!D47&amp;IF(VLOOKUP('.'!D47,Recipes!$A:$D,4,FALSE)="",""," ["&amp;VLOOKUP('.'!D47,Recipes!$A:$D,4,FALSE)&amp;"]"))</f>
        <v>Freezing Arrow [19]</v>
      </c>
      <c r="E47" s="46" t="str">
        <f t="array" aca="1" ref="E47" ca="1">IF('.'!E47="","",'.'!E47&amp;IF(VLOOKUP('.'!E47,Recipes!$A:$D,4,FALSE)="",""," ["&amp;VLOOKUP('.'!E47,Recipes!$A:$D,4,FALSE)&amp;"]"))</f>
        <v>Poisoncloud Arrow [39]</v>
      </c>
      <c r="F47" s="46" t="str">
        <f t="array" aca="1" ref="F47" ca="1">IF('.'!F47="","",'.'!F47&amp;IF(VLOOKUP('.'!F47,Recipes!$A:$D,4,FALSE)="",""," ["&amp;VLOOKUP('.'!F47,Recipes!$A:$D,4,FALSE)&amp;"]"))</f>
        <v>Poisoned Arrow [9]</v>
      </c>
      <c r="G47" s="46" t="str">
        <f t="array" aca="1" ref="G47" ca="1">IF('.'!G47="","",'.'!G47&amp;IF(VLOOKUP('.'!G47,Recipes!$A:$D,4,FALSE)="",""," ["&amp;VLOOKUP('.'!G47,Recipes!$A:$D,4,FALSE)&amp;"]"))</f>
        <v>Shocking Arrow [19]</v>
      </c>
      <c r="H47" s="46" t="str">
        <f t="array" aca="1" ref="H47" ca="1">IF('.'!H47="","",'.'!H47&amp;IF(VLOOKUP('.'!H47,Recipes!$A:$D,4,FALSE)="",""," ["&amp;VLOOKUP('.'!H47,Recipes!$A:$D,4,FALSE)&amp;"]"))</f>
        <v>Slowdown Arrow [9]</v>
      </c>
      <c r="I47" s="46" t="str">
        <f t="array" aca="1" ref="I47" ca="1">IF('.'!I47="","",'.'!I47&amp;IF(VLOOKUP('.'!I47,Recipes!$A:$D,4,FALSE)="",""," ["&amp;VLOOKUP('.'!I47,Recipes!$A:$D,4,FALSE)&amp;"]"))</f>
        <v>Water Arrow [4]</v>
      </c>
      <c r="J47" s="46" t="str">
        <f t="array" ref="J47">IF('.'!J47="","",'.'!J47&amp;IF(VLOOKUP('.'!J47,Recipes!$A:$D,4,FALSE)="",""," ["&amp;VLOOKUP('.'!J47,Recipes!$A:$D,4,FALSE)&amp;"]"))</f>
        <v/>
      </c>
      <c r="K47" s="46" t="str">
        <f t="array" ref="K47">IF('.'!K47="","",'.'!K47&amp;IF(VLOOKUP('.'!K47,Recipes!$A:$D,4,FALSE)="",""," ["&amp;VLOOKUP('.'!K47,Recipes!$A:$D,4,FALSE)&amp;"]"))</f>
        <v/>
      </c>
      <c r="L47" s="46" t="str">
        <f t="array" ref="L47">IF('.'!L47="","",'.'!L47&amp;IF(VLOOKUP('.'!L47,Recipes!$A:$D,4,FALSE)="",""," ["&amp;VLOOKUP('.'!L47,Recipes!$A:$D,4,FALSE)&amp;"]"))</f>
        <v/>
      </c>
      <c r="M47" s="46" t="str">
        <f t="array" ref="M47">IF('.'!M47="","",'.'!M47&amp;IF(VLOOKUP('.'!M47,Recipes!$A:$D,4,FALSE)="",""," ["&amp;VLOOKUP('.'!M47,Recipes!$A:$D,4,FALSE)&amp;"]"))</f>
        <v/>
      </c>
      <c r="N47" s="46"/>
      <c r="O47" s="46"/>
      <c r="P47" s="46"/>
      <c r="Q47" s="46"/>
      <c r="R47" s="46"/>
      <c r="S47" s="46"/>
      <c r="T47" s="46"/>
      <c r="U47" s="46"/>
      <c r="V47" s="46"/>
      <c r="W47" s="46"/>
      <c r="X47" s="46"/>
      <c r="Y47" s="46"/>
      <c r="Z47" s="46"/>
      <c r="AA47" s="46"/>
      <c r="AB47" s="46"/>
      <c r="AC47" s="46"/>
      <c r="AD47" s="46"/>
      <c r="AE47" s="47"/>
      <c r="AF47" s="47"/>
      <c r="AG47" s="47"/>
      <c r="AH47" s="47"/>
      <c r="AI47" s="47"/>
      <c r="AJ47" s="47"/>
      <c r="AK47" s="47"/>
      <c r="AL47" s="47"/>
      <c r="AM47" s="47"/>
      <c r="AN47" s="47"/>
      <c r="AO47" s="47"/>
      <c r="AP47" s="47"/>
      <c r="AQ47" s="47"/>
      <c r="AR47" s="47"/>
      <c r="AS47" s="47"/>
      <c r="AT47" s="47"/>
      <c r="AU47" s="47"/>
      <c r="AV47" s="47"/>
      <c r="AW47" s="47"/>
      <c r="AX47" s="47"/>
      <c r="AY47" s="47"/>
      <c r="AZ47" s="47"/>
      <c r="BA47" s="47"/>
      <c r="BB47" s="47"/>
      <c r="BC47" s="47"/>
      <c r="BD47" s="47"/>
      <c r="BE47" s="47"/>
      <c r="BF47" s="47"/>
      <c r="BG47" s="47"/>
      <c r="BH47" s="47"/>
      <c r="BI47" s="47"/>
      <c r="BJ47" s="47"/>
      <c r="BK47" s="47"/>
      <c r="BL47" s="47"/>
      <c r="BM47" s="47"/>
      <c r="BN47" s="47"/>
      <c r="BO47" s="47"/>
      <c r="BP47" s="47"/>
      <c r="BQ47" s="47"/>
      <c r="BR47" s="47"/>
      <c r="BS47" s="47"/>
      <c r="BT47" s="47"/>
      <c r="BU47" s="47"/>
      <c r="BV47" s="47"/>
      <c r="BW47" s="47"/>
      <c r="BX47" s="47"/>
      <c r="BY47" s="47"/>
      <c r="BZ47" s="47"/>
    </row>
    <row r="48" spans="1:78" ht="15.75" customHeight="1">
      <c r="A48" s="48" t="str">
        <f ca="1">'.'!A48</f>
        <v>Arrow Shaft</v>
      </c>
      <c r="B48" s="49" t="s">
        <v>1178</v>
      </c>
      <c r="C48" s="46" t="str">
        <f t="array" aca="1" ref="C48" ca="1">IF('.'!C48="","",'.'!C48&amp;IF(VLOOKUP('.'!C48,Recipes!$A:$D,4,FALSE)="",""," ["&amp;VLOOKUP('.'!C48,Recipes!$A:$D,4,FALSE)&amp;"]"))</f>
        <v>Charming Arrow [19]</v>
      </c>
      <c r="D48" s="46" t="str">
        <f t="array" aca="1" ref="D48" ca="1">IF('.'!D48="","",'.'!D48&amp;IF(VLOOKUP('.'!D48,Recipes!$A:$D,4,FALSE)="",""," ["&amp;VLOOKUP('.'!D48,Recipes!$A:$D,4,FALSE)&amp;"]"))</f>
        <v>Cursed Fire Arrow [-1050]</v>
      </c>
      <c r="E48" s="46" t="str">
        <f t="array" aca="1" ref="E48" ca="1">IF('.'!E48="","",'.'!E48&amp;IF(VLOOKUP('.'!E48,Recipes!$A:$D,4,FALSE)="",""," ["&amp;VLOOKUP('.'!E48,Recipes!$A:$D,4,FALSE)&amp;"]"))</f>
        <v>Explosive Arrow [19]</v>
      </c>
      <c r="F48" s="46" t="str">
        <f t="array" aca="1" ref="F48" ca="1">IF('.'!F48="","",'.'!F48&amp;IF(VLOOKUP('.'!F48,Recipes!$A:$D,4,FALSE)="",""," ["&amp;VLOOKUP('.'!F48,Recipes!$A:$D,4,FALSE)&amp;"]"))</f>
        <v>Fire Arrow [14]</v>
      </c>
      <c r="G48" s="46" t="str">
        <f t="array" aca="1" ref="G48" ca="1">IF('.'!G48="","",'.'!G48&amp;IF(VLOOKUP('.'!G48,Recipes!$A:$D,4,FALSE)="",""," ["&amp;VLOOKUP('.'!G48,Recipes!$A:$D,4,FALSE)&amp;"]"))</f>
        <v>Freezing Arrow [19]</v>
      </c>
      <c r="H48" s="46" t="str">
        <f t="array" aca="1" ref="H48" ca="1">IF('.'!H48="","",'.'!H48&amp;IF(VLOOKUP('.'!H48,Recipes!$A:$D,4,FALSE)="",""," ["&amp;VLOOKUP('.'!H48,Recipes!$A:$D,4,FALSE)&amp;"]"))</f>
        <v>Knockdown Arrow [9]</v>
      </c>
      <c r="I48" s="46" t="str">
        <f t="array" aca="1" ref="I48" ca="1">IF('.'!I48="","",'.'!I48&amp;IF(VLOOKUP('.'!I48,Recipes!$A:$D,4,FALSE)="",""," ["&amp;VLOOKUP('.'!I48,Recipes!$A:$D,4,FALSE)&amp;"]"))</f>
        <v>Poisoncloud Arrow [39]</v>
      </c>
      <c r="J48" s="46" t="str">
        <f t="array" aca="1" ref="J48" ca="1">IF('.'!J48="","",'.'!J48&amp;IF(VLOOKUP('.'!J48,Recipes!$A:$D,4,FALSE)="",""," ["&amp;VLOOKUP('.'!J48,Recipes!$A:$D,4,FALSE)&amp;"]"))</f>
        <v>Poisoned Arrow [9]</v>
      </c>
      <c r="K48" s="46" t="str">
        <f t="array" aca="1" ref="K48" ca="1">IF('.'!K48="","",'.'!K48&amp;IF(VLOOKUP('.'!K48,Recipes!$A:$D,4,FALSE)="",""," ["&amp;VLOOKUP('.'!K48,Recipes!$A:$D,4,FALSE)&amp;"]"))</f>
        <v>Shocking Arrow [19]</v>
      </c>
      <c r="L48" s="46" t="str">
        <f t="array" aca="1" ref="L48" ca="1">IF('.'!L48="","",'.'!L48&amp;IF(VLOOKUP('.'!L48,Recipes!$A:$D,4,FALSE)="",""," ["&amp;VLOOKUP('.'!L48,Recipes!$A:$D,4,FALSE)&amp;"]"))</f>
        <v>Slowdown Arrow [9]</v>
      </c>
      <c r="M48" s="46" t="str">
        <f t="array" aca="1" ref="M48" ca="1">IF('.'!M48="","",'.'!M48&amp;IF(VLOOKUP('.'!M48,Recipes!$A:$D,4,FALSE)="",""," ["&amp;VLOOKUP('.'!M48,Recipes!$A:$D,4,FALSE)&amp;"]"))</f>
        <v>Smokescreen Arrow [39]</v>
      </c>
      <c r="N48" s="46"/>
      <c r="O48" s="46"/>
      <c r="P48" s="46"/>
      <c r="Q48" s="46"/>
      <c r="R48" s="46"/>
      <c r="S48" s="46"/>
      <c r="T48" s="46"/>
      <c r="U48" s="46"/>
      <c r="V48" s="46"/>
      <c r="W48" s="46"/>
      <c r="X48" s="46"/>
      <c r="Y48" s="46"/>
      <c r="Z48" s="46"/>
      <c r="AA48" s="46"/>
      <c r="AB48" s="46"/>
      <c r="AC48" s="46"/>
      <c r="AD48" s="46"/>
      <c r="AE48" s="47"/>
      <c r="AF48" s="47"/>
      <c r="AG48" s="47"/>
      <c r="AH48" s="47"/>
      <c r="AI48" s="47"/>
      <c r="AJ48" s="47"/>
      <c r="AK48" s="47"/>
      <c r="AL48" s="47"/>
      <c r="AM48" s="47"/>
      <c r="AN48" s="47"/>
      <c r="AO48" s="47"/>
      <c r="AP48" s="47"/>
      <c r="AQ48" s="47"/>
      <c r="AR48" s="47"/>
      <c r="AS48" s="47"/>
      <c r="AT48" s="47"/>
      <c r="AU48" s="47"/>
      <c r="AV48" s="47"/>
      <c r="AW48" s="47"/>
      <c r="AX48" s="47"/>
      <c r="AY48" s="47"/>
      <c r="AZ48" s="47"/>
      <c r="BA48" s="47"/>
      <c r="BB48" s="47"/>
      <c r="BC48" s="47"/>
      <c r="BD48" s="47"/>
      <c r="BE48" s="47"/>
      <c r="BF48" s="47"/>
      <c r="BG48" s="47"/>
      <c r="BH48" s="47"/>
      <c r="BI48" s="47"/>
      <c r="BJ48" s="47"/>
      <c r="BK48" s="47"/>
      <c r="BL48" s="47"/>
      <c r="BM48" s="47"/>
      <c r="BN48" s="47"/>
      <c r="BO48" s="47"/>
      <c r="BP48" s="47"/>
      <c r="BQ48" s="47"/>
      <c r="BR48" s="47"/>
      <c r="BS48" s="47"/>
      <c r="BT48" s="47"/>
      <c r="BU48" s="47"/>
      <c r="BV48" s="47"/>
      <c r="BW48" s="47"/>
      <c r="BX48" s="47"/>
      <c r="BY48" s="47"/>
      <c r="BZ48" s="47"/>
    </row>
    <row r="49" spans="1:78" ht="15.75" customHeight="1">
      <c r="A49" s="48" t="str">
        <f ca="1">'.'!A49</f>
        <v>Arrowhead</v>
      </c>
      <c r="B49" s="46" t="str">
        <f t="array" aca="1" ref="B49" ca="1">IF('.'!B49="","",'.'!B49&amp;IF(VLOOKUP('.'!B49,Recipes!$A:$D,4,FALSE)="",""," ["&amp;VLOOKUP('.'!B49,Recipes!$A:$D,4,FALSE)&amp;"]"))</f>
        <v>Arrow [-2]</v>
      </c>
      <c r="C49" s="46" t="str">
        <f t="array" aca="1" ref="C49" ca="1">IF('.'!C49="","",'.'!C49&amp;IF(VLOOKUP('.'!C49,Recipes!$A:$D,4,FALSE)="",""," ["&amp;VLOOKUP('.'!C49,Recipes!$A:$D,4,FALSE)&amp;"]"))</f>
        <v>Charming Arrowhead [123]</v>
      </c>
      <c r="D49" s="46" t="str">
        <f t="array" aca="1" ref="D49" ca="1">IF('.'!D49="","",'.'!D49&amp;IF(VLOOKUP('.'!D49,Recipes!$A:$D,4,FALSE)="",""," ["&amp;VLOOKUP('.'!D49,Recipes!$A:$D,4,FALSE)&amp;"]"))</f>
        <v>Fire Arrowhead [3]</v>
      </c>
      <c r="E49" s="46" t="str">
        <f t="array" aca="1" ref="E49" ca="1">IF('.'!E49="","",'.'!E49&amp;IF(VLOOKUP('.'!E49,Recipes!$A:$D,4,FALSE)="",""," ["&amp;VLOOKUP('.'!E49,Recipes!$A:$D,4,FALSE)&amp;"]"))</f>
        <v>Freezing Arrowhead [88]</v>
      </c>
      <c r="F49" s="46" t="str">
        <f t="array" aca="1" ref="F49" ca="1">IF('.'!F49="","",'.'!F49&amp;IF(VLOOKUP('.'!F49,Recipes!$A:$D,4,FALSE)="",""," ["&amp;VLOOKUP('.'!F49,Recipes!$A:$D,4,FALSE)&amp;"]"))</f>
        <v>Poisoncloud Arrowhead [113]</v>
      </c>
      <c r="G49" s="46" t="str">
        <f t="array" aca="1" ref="G49" ca="1">IF('.'!G49="","",'.'!G49&amp;IF(VLOOKUP('.'!G49,Recipes!$A:$D,4,FALSE)="",""," ["&amp;VLOOKUP('.'!G49,Recipes!$A:$D,4,FALSE)&amp;"]"))</f>
        <v>Poisoned Arrowhead [28]</v>
      </c>
      <c r="H49" s="46" t="str">
        <f t="array" aca="1" ref="H49" ca="1">IF('.'!H49="","",'.'!H49&amp;IF(VLOOKUP('.'!H49,Recipes!$A:$D,4,FALSE)="",""," ["&amp;VLOOKUP('.'!H49,Recipes!$A:$D,4,FALSE)&amp;"]"))</f>
        <v>Shocking Arrowhead [85]</v>
      </c>
      <c r="I49" s="46" t="str">
        <f t="array" aca="1" ref="I49" ca="1">IF('.'!I49="","",'.'!I49&amp;IF(VLOOKUP('.'!I49,Recipes!$A:$D,4,FALSE)="",""," ["&amp;VLOOKUP('.'!I49,Recipes!$A:$D,4,FALSE)&amp;"]"))</f>
        <v>Slowdown Arrowhead [28]</v>
      </c>
      <c r="J49" s="46" t="str">
        <f t="array" aca="1" ref="J49" ca="1">IF('.'!J49="","",'.'!J49&amp;IF(VLOOKUP('.'!J49,Recipes!$A:$D,4,FALSE)="",""," ["&amp;VLOOKUP('.'!J49,Recipes!$A:$D,4,FALSE)&amp;"]"))</f>
        <v>Water Arrowhead [23]</v>
      </c>
      <c r="K49" s="46" t="str">
        <f t="array" aca="1" ref="K49" ca="1">IF('.'!K49="","",'.'!K49&amp;IF(VLOOKUP('.'!K49,Recipes!$A:$D,4,FALSE)="",""," ["&amp;VLOOKUP('.'!K49,Recipes!$A:$D,4,FALSE)&amp;"]"))</f>
        <v>Primitive Harpoon [V]</v>
      </c>
      <c r="L49" s="46" t="str">
        <f t="array" ref="L49">IF('.'!L49="","",'.'!L49&amp;IF(VLOOKUP('.'!L49,Recipes!$A:$D,4,FALSE)="",""," ["&amp;VLOOKUP('.'!L49,Recipes!$A:$D,4,FALSE)&amp;"]"))</f>
        <v/>
      </c>
      <c r="M49" s="46" t="str">
        <f t="array" ref="M49">IF('.'!M49="","",'.'!M49&amp;IF(VLOOKUP('.'!M49,Recipes!$A:$D,4,FALSE)="",""," ["&amp;VLOOKUP('.'!M49,Recipes!$A:$D,4,FALSE)&amp;"]"))</f>
        <v/>
      </c>
      <c r="N49" s="46"/>
      <c r="O49" s="46"/>
      <c r="P49" s="46"/>
      <c r="Q49" s="46"/>
      <c r="R49" s="46"/>
      <c r="S49" s="46"/>
      <c r="T49" s="46"/>
      <c r="U49" s="46"/>
      <c r="V49" s="46"/>
      <c r="W49" s="46"/>
      <c r="X49" s="46"/>
      <c r="Y49" s="46"/>
      <c r="Z49" s="46"/>
      <c r="AA49" s="46"/>
      <c r="AB49" s="46"/>
      <c r="AC49" s="46"/>
      <c r="AD49" s="46"/>
      <c r="AE49" s="47"/>
      <c r="AF49" s="47"/>
      <c r="AG49" s="47"/>
      <c r="AH49" s="47"/>
      <c r="AI49" s="47"/>
      <c r="AJ49" s="47"/>
      <c r="AK49" s="47"/>
      <c r="AL49" s="47"/>
      <c r="AM49" s="47"/>
      <c r="AN49" s="47"/>
      <c r="AO49" s="47"/>
      <c r="AP49" s="47"/>
      <c r="AQ49" s="47"/>
      <c r="AR49" s="47"/>
      <c r="AS49" s="47"/>
      <c r="AT49" s="47"/>
      <c r="AU49" s="47"/>
      <c r="AV49" s="47"/>
      <c r="AW49" s="47"/>
      <c r="AX49" s="47"/>
      <c r="AY49" s="47"/>
      <c r="AZ49" s="47"/>
      <c r="BA49" s="47"/>
      <c r="BB49" s="47"/>
      <c r="BC49" s="47"/>
      <c r="BD49" s="47"/>
      <c r="BE49" s="47"/>
      <c r="BF49" s="47"/>
      <c r="BG49" s="47"/>
      <c r="BH49" s="47"/>
      <c r="BI49" s="47"/>
      <c r="BJ49" s="47"/>
      <c r="BK49" s="47"/>
      <c r="BL49" s="47"/>
      <c r="BM49" s="47"/>
      <c r="BN49" s="47"/>
      <c r="BO49" s="47"/>
      <c r="BP49" s="47"/>
      <c r="BQ49" s="47"/>
      <c r="BR49" s="47"/>
      <c r="BS49" s="47"/>
      <c r="BT49" s="47"/>
      <c r="BU49" s="47"/>
      <c r="BV49" s="47"/>
      <c r="BW49" s="47"/>
      <c r="BX49" s="47"/>
      <c r="BY49" s="47"/>
      <c r="BZ49" s="47"/>
    </row>
    <row r="50" spans="1:78" ht="15.75" customHeight="1">
      <c r="A50" s="48" t="str">
        <f ca="1">'.'!A50</f>
        <v>Arthropod Leg</v>
      </c>
      <c r="B50" s="46" t="str">
        <f t="array" aca="1" ref="B50" ca="1">IF('.'!B50="","",'.'!B50&amp;IF(VLOOKUP('.'!B50,Recipes!$A:$D,4,FALSE)="",""," ["&amp;VLOOKUP('.'!B50,Recipes!$A:$D,4,FALSE)&amp;"]"))</f>
        <v>Spider Legs Scroll [60]</v>
      </c>
      <c r="C50" s="46" t="str">
        <f t="array" ref="C50">IF('.'!C50="","",'.'!C50&amp;IF(VLOOKUP('.'!C50,Recipes!$A:$D,4,FALSE)="",""," ["&amp;VLOOKUP('.'!C50,Recipes!$A:$D,4,FALSE)&amp;"]"))</f>
        <v/>
      </c>
      <c r="D50" s="46" t="str">
        <f t="array" ref="D50">IF('.'!D50="","",'.'!D50&amp;IF(VLOOKUP('.'!D50,Recipes!$A:$D,4,FALSE)="",""," ["&amp;VLOOKUP('.'!D50,Recipes!$A:$D,4,FALSE)&amp;"]"))</f>
        <v/>
      </c>
      <c r="E50" s="46" t="str">
        <f t="array" ref="E50">IF('.'!E50="","",'.'!E50&amp;IF(VLOOKUP('.'!E50,Recipes!$A:$D,4,FALSE)="",""," ["&amp;VLOOKUP('.'!E50,Recipes!$A:$D,4,FALSE)&amp;"]"))</f>
        <v/>
      </c>
      <c r="F50" s="46" t="str">
        <f t="array" ref="F50">IF('.'!F50="","",'.'!F50&amp;IF(VLOOKUP('.'!F50,Recipes!$A:$D,4,FALSE)="",""," ["&amp;VLOOKUP('.'!F50,Recipes!$A:$D,4,FALSE)&amp;"]"))</f>
        <v/>
      </c>
      <c r="G50" s="46" t="str">
        <f t="array" ref="G50">IF('.'!G50="","",'.'!G50&amp;IF(VLOOKUP('.'!G50,Recipes!$A:$D,4,FALSE)="",""," ["&amp;VLOOKUP('.'!G50,Recipes!$A:$D,4,FALSE)&amp;"]"))</f>
        <v/>
      </c>
      <c r="H50" s="46" t="str">
        <f t="array" ref="H50">IF('.'!H50="","",'.'!H50&amp;IF(VLOOKUP('.'!H50,Recipes!$A:$D,4,FALSE)="",""," ["&amp;VLOOKUP('.'!H50,Recipes!$A:$D,4,FALSE)&amp;"]"))</f>
        <v/>
      </c>
      <c r="I50" s="46" t="str">
        <f t="array" ref="I50">IF('.'!I50="","",'.'!I50&amp;IF(VLOOKUP('.'!I50,Recipes!$A:$D,4,FALSE)="",""," ["&amp;VLOOKUP('.'!I50,Recipes!$A:$D,4,FALSE)&amp;"]"))</f>
        <v/>
      </c>
      <c r="J50" s="46" t="str">
        <f t="array" ref="J50">IF('.'!J50="","",'.'!J50&amp;IF(VLOOKUP('.'!J50,Recipes!$A:$D,4,FALSE)="",""," ["&amp;VLOOKUP('.'!J50,Recipes!$A:$D,4,FALSE)&amp;"]"))</f>
        <v/>
      </c>
      <c r="K50" s="46" t="str">
        <f t="array" ref="K50">IF('.'!K50="","",'.'!K50&amp;IF(VLOOKUP('.'!K50,Recipes!$A:$D,4,FALSE)="",""," ["&amp;VLOOKUP('.'!K50,Recipes!$A:$D,4,FALSE)&amp;"]"))</f>
        <v/>
      </c>
      <c r="L50" s="46" t="str">
        <f t="array" ref="L50">IF('.'!L50="","",'.'!L50&amp;IF(VLOOKUP('.'!L50,Recipes!$A:$D,4,FALSE)="",""," ["&amp;VLOOKUP('.'!L50,Recipes!$A:$D,4,FALSE)&amp;"]"))</f>
        <v/>
      </c>
      <c r="M50" s="46" t="str">
        <f t="array" ref="M50">IF('.'!M50="","",'.'!M50&amp;IF(VLOOKUP('.'!M50,Recipes!$A:$D,4,FALSE)="",""," ["&amp;VLOOKUP('.'!M50,Recipes!$A:$D,4,FALSE)&amp;"]"))</f>
        <v/>
      </c>
      <c r="N50" s="46"/>
      <c r="O50" s="46"/>
      <c r="P50" s="46"/>
      <c r="Q50" s="46"/>
      <c r="R50" s="46"/>
      <c r="S50" s="46"/>
      <c r="T50" s="46"/>
      <c r="U50" s="46"/>
      <c r="V50" s="46"/>
      <c r="W50" s="46"/>
      <c r="X50" s="46"/>
      <c r="Y50" s="46"/>
      <c r="Z50" s="46"/>
      <c r="AA50" s="46"/>
      <c r="AB50" s="46"/>
      <c r="AC50" s="46"/>
      <c r="AD50" s="46"/>
      <c r="AE50" s="47"/>
      <c r="AF50" s="47"/>
      <c r="AG50" s="47"/>
      <c r="AH50" s="47"/>
      <c r="AI50" s="47"/>
      <c r="AJ50" s="47"/>
      <c r="AK50" s="47"/>
      <c r="AL50" s="47"/>
      <c r="AM50" s="47"/>
      <c r="AN50" s="47"/>
      <c r="AO50" s="47"/>
      <c r="AP50" s="47"/>
      <c r="AQ50" s="47"/>
      <c r="AR50" s="47"/>
      <c r="AS50" s="47"/>
      <c r="AT50" s="47"/>
      <c r="AU50" s="47"/>
      <c r="AV50" s="47"/>
      <c r="AW50" s="47"/>
      <c r="AX50" s="47"/>
      <c r="AY50" s="47"/>
      <c r="AZ50" s="47"/>
      <c r="BA50" s="47"/>
      <c r="BB50" s="47"/>
      <c r="BC50" s="47"/>
      <c r="BD50" s="47"/>
      <c r="BE50" s="47"/>
      <c r="BF50" s="47"/>
      <c r="BG50" s="47"/>
      <c r="BH50" s="47"/>
      <c r="BI50" s="47"/>
      <c r="BJ50" s="47"/>
      <c r="BK50" s="47"/>
      <c r="BL50" s="47"/>
      <c r="BM50" s="47"/>
      <c r="BN50" s="47"/>
      <c r="BO50" s="47"/>
      <c r="BP50" s="47"/>
      <c r="BQ50" s="47"/>
      <c r="BR50" s="47"/>
      <c r="BS50" s="47"/>
      <c r="BT50" s="47"/>
      <c r="BU50" s="47"/>
      <c r="BV50" s="47"/>
      <c r="BW50" s="47"/>
      <c r="BX50" s="47"/>
      <c r="BY50" s="47"/>
      <c r="BZ50" s="47"/>
    </row>
    <row r="51" spans="1:78" ht="15.75" customHeight="1">
      <c r="A51" s="48" t="str">
        <f ca="1">'.'!A51</f>
        <v>Artillery Plant Scroll</v>
      </c>
      <c r="B51" s="46" t="str">
        <f t="array" aca="1" ref="B51" ca="1">IF('.'!B51="","",'.'!B51&amp;IF(VLOOKUP('.'!B51,Recipes!$A:$D,4,FALSE)="",""," ["&amp;VLOOKUP('.'!B51,Recipes!$A:$D,4,FALSE)&amp;"]"))</f>
        <v>Artillery Plant Skillbook [290]</v>
      </c>
      <c r="C51" s="46" t="str">
        <f t="array" ref="C51">IF('.'!C51="","",'.'!C51&amp;IF(VLOOKUP('.'!C51,Recipes!$A:$D,4,FALSE)="",""," ["&amp;VLOOKUP('.'!C51,Recipes!$A:$D,4,FALSE)&amp;"]"))</f>
        <v/>
      </c>
      <c r="D51" s="46" t="str">
        <f t="array" ref="D51">IF('.'!D51="","",'.'!D51&amp;IF(VLOOKUP('.'!D51,Recipes!$A:$D,4,FALSE)="",""," ["&amp;VLOOKUP('.'!D51,Recipes!$A:$D,4,FALSE)&amp;"]"))</f>
        <v/>
      </c>
      <c r="E51" s="46" t="str">
        <f t="array" ref="E51">IF('.'!E51="","",'.'!E51&amp;IF(VLOOKUP('.'!E51,Recipes!$A:$D,4,FALSE)="",""," ["&amp;VLOOKUP('.'!E51,Recipes!$A:$D,4,FALSE)&amp;"]"))</f>
        <v/>
      </c>
      <c r="F51" s="46" t="str">
        <f t="array" ref="F51">IF('.'!F51="","",'.'!F51&amp;IF(VLOOKUP('.'!F51,Recipes!$A:$D,4,FALSE)="",""," ["&amp;VLOOKUP('.'!F51,Recipes!$A:$D,4,FALSE)&amp;"]"))</f>
        <v/>
      </c>
      <c r="G51" s="46" t="str">
        <f t="array" ref="G51">IF('.'!G51="","",'.'!G51&amp;IF(VLOOKUP('.'!G51,Recipes!$A:$D,4,FALSE)="",""," ["&amp;VLOOKUP('.'!G51,Recipes!$A:$D,4,FALSE)&amp;"]"))</f>
        <v/>
      </c>
      <c r="H51" s="46" t="str">
        <f t="array" ref="H51">IF('.'!H51="","",'.'!H51&amp;IF(VLOOKUP('.'!H51,Recipes!$A:$D,4,FALSE)="",""," ["&amp;VLOOKUP('.'!H51,Recipes!$A:$D,4,FALSE)&amp;"]"))</f>
        <v/>
      </c>
      <c r="I51" s="46" t="str">
        <f t="array" ref="I51">IF('.'!I51="","",'.'!I51&amp;IF(VLOOKUP('.'!I51,Recipes!$A:$D,4,FALSE)="",""," ["&amp;VLOOKUP('.'!I51,Recipes!$A:$D,4,FALSE)&amp;"]"))</f>
        <v/>
      </c>
      <c r="J51" s="46" t="str">
        <f t="array" ref="J51">IF('.'!J51="","",'.'!J51&amp;IF(VLOOKUP('.'!J51,Recipes!$A:$D,4,FALSE)="",""," ["&amp;VLOOKUP('.'!J51,Recipes!$A:$D,4,FALSE)&amp;"]"))</f>
        <v/>
      </c>
      <c r="K51" s="46" t="str">
        <f t="array" ref="K51">IF('.'!K51="","",'.'!K51&amp;IF(VLOOKUP('.'!K51,Recipes!$A:$D,4,FALSE)="",""," ["&amp;VLOOKUP('.'!K51,Recipes!$A:$D,4,FALSE)&amp;"]"))</f>
        <v/>
      </c>
      <c r="L51" s="46" t="str">
        <f t="array" ref="L51">IF('.'!L51="","",'.'!L51&amp;IF(VLOOKUP('.'!L51,Recipes!$A:$D,4,FALSE)="",""," ["&amp;VLOOKUP('.'!L51,Recipes!$A:$D,4,FALSE)&amp;"]"))</f>
        <v/>
      </c>
      <c r="M51" s="46" t="str">
        <f t="array" ref="M51">IF('.'!M51="","",'.'!M51&amp;IF(VLOOKUP('.'!M51,Recipes!$A:$D,4,FALSE)="",""," ["&amp;VLOOKUP('.'!M51,Recipes!$A:$D,4,FALSE)&amp;"]"))</f>
        <v/>
      </c>
      <c r="N51" s="46"/>
      <c r="O51" s="46"/>
      <c r="P51" s="46"/>
      <c r="Q51" s="46"/>
      <c r="R51" s="46"/>
      <c r="S51" s="46"/>
      <c r="T51" s="46"/>
      <c r="U51" s="46"/>
      <c r="V51" s="46"/>
      <c r="W51" s="46"/>
      <c r="X51" s="46"/>
      <c r="Y51" s="46"/>
      <c r="Z51" s="46"/>
      <c r="AA51" s="46"/>
      <c r="AB51" s="46"/>
      <c r="AC51" s="46"/>
      <c r="AD51" s="46"/>
      <c r="AE51" s="47"/>
      <c r="AF51" s="47"/>
      <c r="AG51" s="47"/>
      <c r="AH51" s="47"/>
      <c r="AI51" s="47"/>
      <c r="AJ51" s="47"/>
      <c r="AK51" s="47"/>
      <c r="AL51" s="47"/>
      <c r="AM51" s="47"/>
      <c r="AN51" s="47"/>
      <c r="AO51" s="47"/>
      <c r="AP51" s="47"/>
      <c r="AQ51" s="47"/>
      <c r="AR51" s="47"/>
      <c r="AS51" s="47"/>
      <c r="AT51" s="47"/>
      <c r="AU51" s="47"/>
      <c r="AV51" s="47"/>
      <c r="AW51" s="47"/>
      <c r="AX51" s="47"/>
      <c r="AY51" s="47"/>
      <c r="AZ51" s="47"/>
      <c r="BA51" s="47"/>
      <c r="BB51" s="47"/>
      <c r="BC51" s="47"/>
      <c r="BD51" s="47"/>
      <c r="BE51" s="47"/>
      <c r="BF51" s="47"/>
      <c r="BG51" s="47"/>
      <c r="BH51" s="47"/>
      <c r="BI51" s="47"/>
      <c r="BJ51" s="47"/>
      <c r="BK51" s="47"/>
      <c r="BL51" s="47"/>
      <c r="BM51" s="47"/>
      <c r="BN51" s="47"/>
      <c r="BO51" s="47"/>
      <c r="BP51" s="47"/>
      <c r="BQ51" s="47"/>
      <c r="BR51" s="47"/>
      <c r="BS51" s="47"/>
      <c r="BT51" s="47"/>
      <c r="BU51" s="47"/>
      <c r="BV51" s="47"/>
      <c r="BW51" s="47"/>
      <c r="BX51" s="47"/>
      <c r="BY51" s="47"/>
      <c r="BZ51" s="47"/>
    </row>
    <row r="52" spans="1:78" ht="15.75" customHeight="1">
      <c r="A52" s="48" t="str">
        <f ca="1">'.'!A52</f>
        <v>Ashen Idol of Rebirth</v>
      </c>
      <c r="B52" s="46" t="str">
        <f t="array" aca="1" ref="B52" ca="1">IF('.'!B52="","",'.'!B52&amp;IF(VLOOKUP('.'!B52,Recipes!$A:$D,4,FALSE)="",""," ["&amp;VLOOKUP('.'!B52,Recipes!$A:$D,4,FALSE)&amp;"]"))</f>
        <v>Glowing Idol of Rebirth [-120]</v>
      </c>
      <c r="C52" s="46" t="str">
        <f t="array" ref="C52">IF('.'!C52="","",'.'!C52&amp;IF(VLOOKUP('.'!C52,Recipes!$A:$D,4,FALSE)="",""," ["&amp;VLOOKUP('.'!C52,Recipes!$A:$D,4,FALSE)&amp;"]"))</f>
        <v/>
      </c>
      <c r="D52" s="46" t="str">
        <f t="array" ref="D52">IF('.'!D52="","",'.'!D52&amp;IF(VLOOKUP('.'!D52,Recipes!$A:$D,4,FALSE)="",""," ["&amp;VLOOKUP('.'!D52,Recipes!$A:$D,4,FALSE)&amp;"]"))</f>
        <v/>
      </c>
      <c r="E52" s="46" t="str">
        <f t="array" ref="E52">IF('.'!E52="","",'.'!E52&amp;IF(VLOOKUP('.'!E52,Recipes!$A:$D,4,FALSE)="",""," ["&amp;VLOOKUP('.'!E52,Recipes!$A:$D,4,FALSE)&amp;"]"))</f>
        <v/>
      </c>
      <c r="F52" s="46" t="str">
        <f t="array" ref="F52">IF('.'!F52="","",'.'!F52&amp;IF(VLOOKUP('.'!F52,Recipes!$A:$D,4,FALSE)="",""," ["&amp;VLOOKUP('.'!F52,Recipes!$A:$D,4,FALSE)&amp;"]"))</f>
        <v/>
      </c>
      <c r="G52" s="46" t="str">
        <f t="array" ref="G52">IF('.'!G52="","",'.'!G52&amp;IF(VLOOKUP('.'!G52,Recipes!$A:$D,4,FALSE)="",""," ["&amp;VLOOKUP('.'!G52,Recipes!$A:$D,4,FALSE)&amp;"]"))</f>
        <v/>
      </c>
      <c r="H52" s="46" t="str">
        <f t="array" ref="H52">IF('.'!H52="","",'.'!H52&amp;IF(VLOOKUP('.'!H52,Recipes!$A:$D,4,FALSE)="",""," ["&amp;VLOOKUP('.'!H52,Recipes!$A:$D,4,FALSE)&amp;"]"))</f>
        <v/>
      </c>
      <c r="I52" s="46" t="str">
        <f t="array" ref="I52">IF('.'!I52="","",'.'!I52&amp;IF(VLOOKUP('.'!I52,Recipes!$A:$D,4,FALSE)="",""," ["&amp;VLOOKUP('.'!I52,Recipes!$A:$D,4,FALSE)&amp;"]"))</f>
        <v/>
      </c>
      <c r="J52" s="46" t="str">
        <f t="array" ref="J52">IF('.'!J52="","",'.'!J52&amp;IF(VLOOKUP('.'!J52,Recipes!$A:$D,4,FALSE)="",""," ["&amp;VLOOKUP('.'!J52,Recipes!$A:$D,4,FALSE)&amp;"]"))</f>
        <v/>
      </c>
      <c r="K52" s="46" t="str">
        <f t="array" ref="K52">IF('.'!K52="","",'.'!K52&amp;IF(VLOOKUP('.'!K52,Recipes!$A:$D,4,FALSE)="",""," ["&amp;VLOOKUP('.'!K52,Recipes!$A:$D,4,FALSE)&amp;"]"))</f>
        <v/>
      </c>
      <c r="L52" s="46" t="str">
        <f t="array" ref="L52">IF('.'!L52="","",'.'!L52&amp;IF(VLOOKUP('.'!L52,Recipes!$A:$D,4,FALSE)="",""," ["&amp;VLOOKUP('.'!L52,Recipes!$A:$D,4,FALSE)&amp;"]"))</f>
        <v/>
      </c>
      <c r="M52" s="46" t="str">
        <f t="array" ref="M52">IF('.'!M52="","",'.'!M52&amp;IF(VLOOKUP('.'!M52,Recipes!$A:$D,4,FALSE)="",""," ["&amp;VLOOKUP('.'!M52,Recipes!$A:$D,4,FALSE)&amp;"]"))</f>
        <v/>
      </c>
      <c r="N52" s="46" t="str">
        <f t="array" ref="N52">IF('.'!N52="","",'.'!N52&amp;IF(VLOOKUP('.'!N52,Recipes!$A:$D,4,FALSE)="",""," ["&amp;VLOOKUP('.'!N52,Recipes!$A:$D,4,FALSE)&amp;"]"))</f>
        <v/>
      </c>
      <c r="O52" s="46" t="str">
        <f t="array" ref="O52">IF('.'!O52="","",'.'!O52&amp;IF(VLOOKUP('.'!O52,Recipes!$A:$D,4,FALSE)="",""," ["&amp;VLOOKUP('.'!O52,Recipes!$A:$D,4,FALSE)&amp;"]"))</f>
        <v/>
      </c>
      <c r="P52" s="46" t="str">
        <f t="array" ref="P52">IF('.'!P52="","",'.'!P52&amp;IF(VLOOKUP('.'!P52,Recipes!$A:$D,4,FALSE)="",""," ["&amp;VLOOKUP('.'!P52,Recipes!$A:$D,4,FALSE)&amp;"]"))</f>
        <v/>
      </c>
      <c r="Q52" s="46" t="str">
        <f t="array" ref="Q52">IF('.'!Q52="","",'.'!Q52&amp;IF(VLOOKUP('.'!Q52,Recipes!$A:$D,4,FALSE)="",""," ["&amp;VLOOKUP('.'!Q52,Recipes!$A:$D,4,FALSE)&amp;"]"))</f>
        <v/>
      </c>
      <c r="R52" s="46" t="str">
        <f t="array" ref="R52">IF('.'!R52="","",'.'!R52&amp;IF(VLOOKUP('.'!R52,Recipes!$A:$D,4,FALSE)="",""," ["&amp;VLOOKUP('.'!R52,Recipes!$A:$D,4,FALSE)&amp;"]"))</f>
        <v/>
      </c>
      <c r="S52" s="46" t="str">
        <f t="array" ref="S52">IF('.'!S52="","",'.'!S52&amp;IF(VLOOKUP('.'!S52,Recipes!$A:$D,4,FALSE)="",""," ["&amp;VLOOKUP('.'!S52,Recipes!$A:$D,4,FALSE)&amp;"]"))</f>
        <v/>
      </c>
      <c r="T52" s="46" t="str">
        <f t="array" ref="T52">IF('.'!T52="","",'.'!T52&amp;IF(VLOOKUP('.'!T52,Recipes!$A:$D,4,FALSE)="",""," ["&amp;VLOOKUP('.'!T52,Recipes!$A:$D,4,FALSE)&amp;"]"))</f>
        <v/>
      </c>
      <c r="U52" s="46" t="str">
        <f t="array" ref="U52">IF('.'!U52="","",'.'!U52&amp;IF(VLOOKUP('.'!U52,Recipes!$A:$D,4,FALSE)="",""," ["&amp;VLOOKUP('.'!U52,Recipes!$A:$D,4,FALSE)&amp;"]"))</f>
        <v/>
      </c>
      <c r="V52" s="46" t="str">
        <f t="array" ref="V52">IF('.'!V52="","",'.'!V52&amp;IF(VLOOKUP('.'!V52,Recipes!$A:$D,4,FALSE)="",""," ["&amp;VLOOKUP('.'!V52,Recipes!$A:$D,4,FALSE)&amp;"]"))</f>
        <v/>
      </c>
      <c r="W52" s="46" t="str">
        <f t="array" ref="W52">IF('.'!W52="","",'.'!W52&amp;IF(VLOOKUP('.'!W52,Recipes!$A:$D,4,FALSE)="",""," ["&amp;VLOOKUP('.'!W52,Recipes!$A:$D,4,FALSE)&amp;"]"))</f>
        <v/>
      </c>
      <c r="X52" s="46" t="str">
        <f t="array" ref="X52">IF('.'!X52="","",'.'!X52&amp;IF(VLOOKUP('.'!X52,Recipes!$A:$D,4,FALSE)="",""," ["&amp;VLOOKUP('.'!X52,Recipes!$A:$D,4,FALSE)&amp;"]"))</f>
        <v/>
      </c>
      <c r="Y52" s="46" t="str">
        <f t="array" ref="Y52">IF('.'!Y52="","",'.'!Y52&amp;IF(VLOOKUP('.'!Y52,Recipes!$A:$D,4,FALSE)="",""," ["&amp;VLOOKUP('.'!Y52,Recipes!$A:$D,4,FALSE)&amp;"]"))</f>
        <v/>
      </c>
      <c r="Z52" s="46" t="str">
        <f t="array" ref="Z52">IF('.'!Z52="","",'.'!Z52&amp;IF(VLOOKUP('.'!Z52,Recipes!$A:$D,4,FALSE)="",""," ["&amp;VLOOKUP('.'!Z52,Recipes!$A:$D,4,FALSE)&amp;"]"))</f>
        <v/>
      </c>
      <c r="AA52" s="46" t="str">
        <f t="array" ref="AA52">IF('.'!AA52="","",'.'!AA52&amp;IF(VLOOKUP('.'!AA52,Recipes!$A:$D,4,FALSE)="",""," ["&amp;VLOOKUP('.'!AA52,Recipes!$A:$D,4,FALSE)&amp;"]"))</f>
        <v/>
      </c>
      <c r="AB52" s="46" t="str">
        <f t="array" ref="AB52">IF('.'!AB52="","",'.'!AB52&amp;IF(VLOOKUP('.'!AB52,Recipes!$A:$D,4,FALSE)="",""," ["&amp;VLOOKUP('.'!AB52,Recipes!$A:$D,4,FALSE)&amp;"]"))</f>
        <v/>
      </c>
      <c r="AC52" s="46" t="str">
        <f t="array" ref="AC52">IF('.'!AC52="","",'.'!AC52&amp;IF(VLOOKUP('.'!AC52,Recipes!$A:$D,4,FALSE)="",""," ["&amp;VLOOKUP('.'!AC52,Recipes!$A:$D,4,FALSE)&amp;"]"))</f>
        <v/>
      </c>
      <c r="AD52" s="46" t="str">
        <f t="array" ref="AD52">IF('.'!AD52="","",'.'!AD52&amp;IF(VLOOKUP('.'!AD52,Recipes!$A:$D,4,FALSE)="",""," ["&amp;VLOOKUP('.'!AD52,Recipes!$A:$D,4,FALSE)&amp;"]"))</f>
        <v/>
      </c>
      <c r="AE52" s="47"/>
      <c r="AF52" s="47"/>
      <c r="AG52" s="47"/>
      <c r="AH52" s="47"/>
      <c r="AI52" s="47"/>
      <c r="AJ52" s="47"/>
      <c r="AK52" s="47"/>
      <c r="AL52" s="47"/>
      <c r="AM52" s="47"/>
      <c r="AN52" s="47"/>
      <c r="AO52" s="47"/>
      <c r="AP52" s="47"/>
      <c r="AQ52" s="47"/>
      <c r="AR52" s="47"/>
      <c r="AS52" s="47"/>
      <c r="AT52" s="47"/>
      <c r="AU52" s="47"/>
      <c r="AV52" s="47"/>
      <c r="AW52" s="47"/>
      <c r="AX52" s="47"/>
      <c r="AY52" s="47"/>
      <c r="AZ52" s="47"/>
      <c r="BA52" s="47"/>
      <c r="BB52" s="47"/>
      <c r="BC52" s="47"/>
      <c r="BD52" s="47"/>
      <c r="BE52" s="47"/>
      <c r="BF52" s="47"/>
      <c r="BG52" s="47"/>
      <c r="BH52" s="47"/>
      <c r="BI52" s="47"/>
      <c r="BJ52" s="47"/>
      <c r="BK52" s="47"/>
      <c r="BL52" s="47"/>
      <c r="BM52" s="47"/>
      <c r="BN52" s="47"/>
      <c r="BO52" s="47"/>
      <c r="BP52" s="47"/>
      <c r="BQ52" s="47"/>
      <c r="BR52" s="47"/>
      <c r="BS52" s="47"/>
      <c r="BT52" s="47"/>
      <c r="BU52" s="47"/>
      <c r="BV52" s="47"/>
      <c r="BW52" s="47"/>
      <c r="BX52" s="47"/>
      <c r="BY52" s="47"/>
      <c r="BZ52" s="47"/>
    </row>
    <row r="53" spans="1:78" ht="15.75" customHeight="1">
      <c r="A53" s="48" t="str">
        <f ca="1">'.'!A53</f>
        <v>Augmentor</v>
      </c>
      <c r="B53" s="46" t="str">
        <f t="array" aca="1" ref="B53" ca="1">IF('.'!B53="","",'.'!B53&amp;IF(VLOOKUP('.'!B53,Recipes!$A:$D,4,FALSE)="",""," ["&amp;VLOOKUP('.'!B53,Recipes!$A:$D,4,FALSE)&amp;"]"))</f>
        <v>Living Wall Scroll [-15]</v>
      </c>
      <c r="C53" s="46" t="str">
        <f t="array" aca="1" ref="C53" ca="1">IF('.'!C53="","",'.'!C53&amp;IF(VLOOKUP('.'!C53,Recipes!$A:$D,4,FALSE)="",""," ["&amp;VLOOKUP('.'!C53,Recipes!$A:$D,4,FALSE)&amp;"]"))</f>
        <v>Medium Magic Armor Potion [-10]</v>
      </c>
      <c r="D53" s="46" t="str">
        <f t="array" aca="1" ref="D53" ca="1">IF('.'!D53="","",'.'!D53&amp;IF(VLOOKUP('.'!D53,Recipes!$A:$D,4,FALSE)="",""," ["&amp;VLOOKUP('.'!D53,Recipes!$A:$D,4,FALSE)&amp;"]"))</f>
        <v>Medium Physical Armor Potion [-10]</v>
      </c>
      <c r="E53" s="46" t="str">
        <f t="array" aca="1" ref="E53" ca="1">IF('.'!E53="","",'.'!E53&amp;IF(VLOOKUP('.'!E53,Recipes!$A:$D,4,FALSE)="",""," ["&amp;VLOOKUP('.'!E53,Recipes!$A:$D,4,FALSE)&amp;"]"))</f>
        <v>Healing Potion [Large] [0]</v>
      </c>
      <c r="F53" s="46" t="str">
        <f t="array" aca="1" ref="F53" ca="1">IF('.'!F53="","",'.'!F53&amp;IF(VLOOKUP('.'!F53,Recipes!$A:$D,4,FALSE)="",""," ["&amp;VLOOKUP('.'!F53,Recipes!$A:$D,4,FALSE)&amp;"]"))</f>
        <v>Medium Healing Potion [-40]</v>
      </c>
      <c r="G53" s="46" t="str">
        <f t="array" aca="1" ref="G53" ca="1">IF('.'!G53="","",'.'!G53&amp;IF(VLOOKUP('.'!G53,Recipes!$A:$D,4,FALSE)="",""," ["&amp;VLOOKUP('.'!G53,Recipes!$A:$D,4,FALSE)&amp;"]"))</f>
        <v>Ferocity Herbmix [-150]</v>
      </c>
      <c r="H53" s="46" t="str">
        <f t="array" aca="1" ref="H53" ca="1">IF('.'!H53="","",'.'!H53&amp;IF(VLOOKUP('.'!H53,Recipes!$A:$D,4,FALSE)="",""," ["&amp;VLOOKUP('.'!H53,Recipes!$A:$D,4,FALSE)&amp;"]"))</f>
        <v>Large Poison Bottle [0]</v>
      </c>
      <c r="I53" s="46" t="str">
        <f t="array" aca="1" ref="I53" ca="1">IF('.'!I53="","",'.'!I53&amp;IF(VLOOKUP('.'!I53,Recipes!$A:$D,4,FALSE)="",""," ["&amp;VLOOKUP('.'!I53,Recipes!$A:$D,4,FALSE)&amp;"]"))</f>
        <v>Medium Poison Bottle [-40]</v>
      </c>
      <c r="J53" s="46" t="str">
        <f t="array" aca="1" ref="J53" ca="1">IF('.'!J53="","",'.'!J53&amp;IF(VLOOKUP('.'!J53,Recipes!$A:$D,4,FALSE)="",""," ["&amp;VLOOKUP('.'!J53,Recipes!$A:$D,4,FALSE)&amp;"]"))</f>
        <v>Witch Potion [850]</v>
      </c>
      <c r="K53" s="46" t="str">
        <f t="array" ref="K53">IF('.'!K53="","",'.'!K53&amp;IF(VLOOKUP('.'!K53,Recipes!$A:$D,4,FALSE)="",""," ["&amp;VLOOKUP('.'!K53,Recipes!$A:$D,4,FALSE)&amp;"]"))</f>
        <v/>
      </c>
      <c r="L53" s="46" t="str">
        <f t="array" ref="L53">IF('.'!L53="","",'.'!L53&amp;IF(VLOOKUP('.'!L53,Recipes!$A:$D,4,FALSE)="",""," ["&amp;VLOOKUP('.'!L53,Recipes!$A:$D,4,FALSE)&amp;"]"))</f>
        <v/>
      </c>
      <c r="M53" s="46" t="str">
        <f t="array" ref="M53">IF('.'!M53="","",'.'!M53&amp;IF(VLOOKUP('.'!M53,Recipes!$A:$D,4,FALSE)="",""," ["&amp;VLOOKUP('.'!M53,Recipes!$A:$D,4,FALSE)&amp;"]"))</f>
        <v/>
      </c>
      <c r="N53" s="46" t="str">
        <f t="array" ref="N53">IF('.'!N53="","",'.'!N53&amp;IF(VLOOKUP('.'!N53,Recipes!$A:$D,4,FALSE)="",""," ["&amp;VLOOKUP('.'!N53,Recipes!$A:$D,4,FALSE)&amp;"]"))</f>
        <v/>
      </c>
      <c r="O53" s="46" t="str">
        <f t="array" ref="O53">IF('.'!O53="","",'.'!O53&amp;IF(VLOOKUP('.'!O53,Recipes!$A:$D,4,FALSE)="",""," ["&amp;VLOOKUP('.'!O53,Recipes!$A:$D,4,FALSE)&amp;"]"))</f>
        <v/>
      </c>
      <c r="P53" s="46" t="str">
        <f t="array" ref="P53">IF('.'!P53="","",'.'!P53&amp;IF(VLOOKUP('.'!P53,Recipes!$A:$D,4,FALSE)="",""," ["&amp;VLOOKUP('.'!P53,Recipes!$A:$D,4,FALSE)&amp;"]"))</f>
        <v/>
      </c>
      <c r="Q53" s="46" t="str">
        <f t="array" ref="Q53">IF('.'!Q53="","",'.'!Q53&amp;IF(VLOOKUP('.'!Q53,Recipes!$A:$D,4,FALSE)="",""," ["&amp;VLOOKUP('.'!Q53,Recipes!$A:$D,4,FALSE)&amp;"]"))</f>
        <v/>
      </c>
      <c r="R53" s="46" t="str">
        <f t="array" ref="R53">IF('.'!R53="","",'.'!R53&amp;IF(VLOOKUP('.'!R53,Recipes!$A:$D,4,FALSE)="",""," ["&amp;VLOOKUP('.'!R53,Recipes!$A:$D,4,FALSE)&amp;"]"))</f>
        <v/>
      </c>
      <c r="S53" s="46" t="str">
        <f t="array" ref="S53">IF('.'!S53="","",'.'!S53&amp;IF(VLOOKUP('.'!S53,Recipes!$A:$D,4,FALSE)="",""," ["&amp;VLOOKUP('.'!S53,Recipes!$A:$D,4,FALSE)&amp;"]"))</f>
        <v/>
      </c>
      <c r="T53" s="46" t="str">
        <f t="array" ref="T53">IF('.'!T53="","",'.'!T53&amp;IF(VLOOKUP('.'!T53,Recipes!$A:$D,4,FALSE)="",""," ["&amp;VLOOKUP('.'!T53,Recipes!$A:$D,4,FALSE)&amp;"]"))</f>
        <v/>
      </c>
      <c r="U53" s="46" t="str">
        <f t="array" ref="U53">IF('.'!U53="","",'.'!U53&amp;IF(VLOOKUP('.'!U53,Recipes!$A:$D,4,FALSE)="",""," ["&amp;VLOOKUP('.'!U53,Recipes!$A:$D,4,FALSE)&amp;"]"))</f>
        <v/>
      </c>
      <c r="V53" s="46" t="str">
        <f t="array" ref="V53">IF('.'!V53="","",'.'!V53&amp;IF(VLOOKUP('.'!V53,Recipes!$A:$D,4,FALSE)="",""," ["&amp;VLOOKUP('.'!V53,Recipes!$A:$D,4,FALSE)&amp;"]"))</f>
        <v/>
      </c>
      <c r="W53" s="46" t="str">
        <f t="array" ref="W53">IF('.'!W53="","",'.'!W53&amp;IF(VLOOKUP('.'!W53,Recipes!$A:$D,4,FALSE)="",""," ["&amp;VLOOKUP('.'!W53,Recipes!$A:$D,4,FALSE)&amp;"]"))</f>
        <v/>
      </c>
      <c r="X53" s="46" t="str">
        <f t="array" ref="X53">IF('.'!X53="","",'.'!X53&amp;IF(VLOOKUP('.'!X53,Recipes!$A:$D,4,FALSE)="",""," ["&amp;VLOOKUP('.'!X53,Recipes!$A:$D,4,FALSE)&amp;"]"))</f>
        <v/>
      </c>
      <c r="Y53" s="46" t="str">
        <f t="array" ref="Y53">IF('.'!Y53="","",'.'!Y53&amp;IF(VLOOKUP('.'!Y53,Recipes!$A:$D,4,FALSE)="",""," ["&amp;VLOOKUP('.'!Y53,Recipes!$A:$D,4,FALSE)&amp;"]"))</f>
        <v/>
      </c>
      <c r="Z53" s="46" t="str">
        <f t="array" ref="Z53">IF('.'!Z53="","",'.'!Z53&amp;IF(VLOOKUP('.'!Z53,Recipes!$A:$D,4,FALSE)="",""," ["&amp;VLOOKUP('.'!Z53,Recipes!$A:$D,4,FALSE)&amp;"]"))</f>
        <v/>
      </c>
      <c r="AA53" s="46" t="str">
        <f t="array" ref="AA53">IF('.'!AA53="","",'.'!AA53&amp;IF(VLOOKUP('.'!AA53,Recipes!$A:$D,4,FALSE)="",""," ["&amp;VLOOKUP('.'!AA53,Recipes!$A:$D,4,FALSE)&amp;"]"))</f>
        <v/>
      </c>
      <c r="AB53" s="46" t="str">
        <f t="array" ref="AB53">IF('.'!AB53="","",'.'!AB53&amp;IF(VLOOKUP('.'!AB53,Recipes!$A:$D,4,FALSE)="",""," ["&amp;VLOOKUP('.'!AB53,Recipes!$A:$D,4,FALSE)&amp;"]"))</f>
        <v/>
      </c>
      <c r="AC53" s="46" t="str">
        <f t="array" ref="AC53">IF('.'!AC53="","",'.'!AC53&amp;IF(VLOOKUP('.'!AC53,Recipes!$A:$D,4,FALSE)="",""," ["&amp;VLOOKUP('.'!AC53,Recipes!$A:$D,4,FALSE)&amp;"]"))</f>
        <v/>
      </c>
      <c r="AD53" s="46" t="str">
        <f t="array" ref="AD53">IF('.'!AD53="","",'.'!AD53&amp;IF(VLOOKUP('.'!AD53,Recipes!$A:$D,4,FALSE)="",""," ["&amp;VLOOKUP('.'!AD53,Recipes!$A:$D,4,FALSE)&amp;"]"))</f>
        <v/>
      </c>
      <c r="AE53" s="47"/>
      <c r="AF53" s="47"/>
      <c r="AG53" s="47"/>
      <c r="AH53" s="47"/>
      <c r="AI53" s="47"/>
      <c r="AJ53" s="47"/>
      <c r="AK53" s="47"/>
      <c r="AL53" s="47"/>
      <c r="AM53" s="47"/>
      <c r="AN53" s="47"/>
      <c r="AO53" s="47"/>
      <c r="AP53" s="47"/>
      <c r="AQ53" s="47"/>
      <c r="AR53" s="47"/>
      <c r="AS53" s="47"/>
      <c r="AT53" s="47"/>
      <c r="AU53" s="47"/>
      <c r="AV53" s="47"/>
      <c r="AW53" s="47"/>
      <c r="AX53" s="47"/>
      <c r="AY53" s="47"/>
      <c r="AZ53" s="47"/>
      <c r="BA53" s="47"/>
      <c r="BB53" s="47"/>
      <c r="BC53" s="47"/>
      <c r="BD53" s="47"/>
      <c r="BE53" s="47"/>
      <c r="BF53" s="47"/>
      <c r="BG53" s="47"/>
      <c r="BH53" s="47"/>
      <c r="BI53" s="47"/>
      <c r="BJ53" s="47"/>
      <c r="BK53" s="47"/>
      <c r="BL53" s="47"/>
      <c r="BM53" s="47"/>
      <c r="BN53" s="47"/>
      <c r="BO53" s="47"/>
      <c r="BP53" s="47"/>
      <c r="BQ53" s="47"/>
      <c r="BR53" s="47"/>
      <c r="BS53" s="47"/>
      <c r="BT53" s="47"/>
      <c r="BU53" s="47"/>
      <c r="BV53" s="47"/>
      <c r="BW53" s="47"/>
      <c r="BX53" s="47"/>
      <c r="BY53" s="47"/>
      <c r="BZ53" s="47"/>
    </row>
    <row r="54" spans="1:78" ht="15.75" customHeight="1">
      <c r="A54" s="48" t="str">
        <f ca="1">'.'!A54</f>
        <v>Barrel</v>
      </c>
      <c r="B54" s="46" t="str">
        <f t="array" aca="1" ref="B54" ca="1">IF('.'!B54="","",'.'!B54&amp;IF(VLOOKUP('.'!B54,Recipes!$A:$D,4,FALSE)="",""," ["&amp;VLOOKUP('.'!B54,Recipes!$A:$D,4,FALSE)&amp;"]"))</f>
        <v>Oil Barrel [-1]</v>
      </c>
      <c r="C54" s="46" t="str">
        <f t="array" ref="C54">IF('.'!C54="","",'.'!C54&amp;IF(VLOOKUP('.'!C54,Recipes!$A:$D,4,FALSE)="",""," ["&amp;VLOOKUP('.'!C54,Recipes!$A:$D,4,FALSE)&amp;"]"))</f>
        <v/>
      </c>
      <c r="D54" s="46" t="str">
        <f t="array" ref="D54">IF('.'!D54="","",'.'!D54&amp;IF(VLOOKUP('.'!D54,Recipes!$A:$D,4,FALSE)="",""," ["&amp;VLOOKUP('.'!D54,Recipes!$A:$D,4,FALSE)&amp;"]"))</f>
        <v/>
      </c>
      <c r="E54" s="46" t="str">
        <f t="array" ref="E54">IF('.'!E54="","",'.'!E54&amp;IF(VLOOKUP('.'!E54,Recipes!$A:$D,4,FALSE)="",""," ["&amp;VLOOKUP('.'!E54,Recipes!$A:$D,4,FALSE)&amp;"]"))</f>
        <v/>
      </c>
      <c r="F54" s="46" t="str">
        <f t="array" ref="F54">IF('.'!F54="","",'.'!F54&amp;IF(VLOOKUP('.'!F54,Recipes!$A:$D,4,FALSE)="",""," ["&amp;VLOOKUP('.'!F54,Recipes!$A:$D,4,FALSE)&amp;"]"))</f>
        <v/>
      </c>
      <c r="G54" s="46" t="str">
        <f t="array" ref="G54">IF('.'!G54="","",'.'!G54&amp;IF(VLOOKUP('.'!G54,Recipes!$A:$D,4,FALSE)="",""," ["&amp;VLOOKUP('.'!G54,Recipes!$A:$D,4,FALSE)&amp;"]"))</f>
        <v/>
      </c>
      <c r="H54" s="46" t="str">
        <f t="array" ref="H54">IF('.'!H54="","",'.'!H54&amp;IF(VLOOKUP('.'!H54,Recipes!$A:$D,4,FALSE)="",""," ["&amp;VLOOKUP('.'!H54,Recipes!$A:$D,4,FALSE)&amp;"]"))</f>
        <v/>
      </c>
      <c r="I54" s="46" t="str">
        <f t="array" ref="I54">IF('.'!I54="","",'.'!I54&amp;IF(VLOOKUP('.'!I54,Recipes!$A:$D,4,FALSE)="",""," ["&amp;VLOOKUP('.'!I54,Recipes!$A:$D,4,FALSE)&amp;"]"))</f>
        <v/>
      </c>
      <c r="J54" s="46" t="str">
        <f t="array" ref="J54">IF('.'!J54="","",'.'!J54&amp;IF(VLOOKUP('.'!J54,Recipes!$A:$D,4,FALSE)="",""," ["&amp;VLOOKUP('.'!J54,Recipes!$A:$D,4,FALSE)&amp;"]"))</f>
        <v/>
      </c>
      <c r="K54" s="46" t="str">
        <f t="array" ref="K54">IF('.'!K54="","",'.'!K54&amp;IF(VLOOKUP('.'!K54,Recipes!$A:$D,4,FALSE)="",""," ["&amp;VLOOKUP('.'!K54,Recipes!$A:$D,4,FALSE)&amp;"]"))</f>
        <v/>
      </c>
      <c r="L54" s="46" t="str">
        <f t="array" ref="L54">IF('.'!L54="","",'.'!L54&amp;IF(VLOOKUP('.'!L54,Recipes!$A:$D,4,FALSE)="",""," ["&amp;VLOOKUP('.'!L54,Recipes!$A:$D,4,FALSE)&amp;"]"))</f>
        <v/>
      </c>
      <c r="M54" s="46" t="str">
        <f t="array" ref="M54">IF('.'!M54="","",'.'!M54&amp;IF(VLOOKUP('.'!M54,Recipes!$A:$D,4,FALSE)="",""," ["&amp;VLOOKUP('.'!M54,Recipes!$A:$D,4,FALSE)&amp;"]"))</f>
        <v/>
      </c>
      <c r="N54" s="46" t="str">
        <f t="array" ref="N54">IF('.'!N54="","",'.'!N54&amp;IF(VLOOKUP('.'!N54,Recipes!$A:$D,4,FALSE)="",""," ["&amp;VLOOKUP('.'!N54,Recipes!$A:$D,4,FALSE)&amp;"]"))</f>
        <v/>
      </c>
      <c r="O54" s="46" t="str">
        <f t="array" ref="O54">IF('.'!O54="","",'.'!O54&amp;IF(VLOOKUP('.'!O54,Recipes!$A:$D,4,FALSE)="",""," ["&amp;VLOOKUP('.'!O54,Recipes!$A:$D,4,FALSE)&amp;"]"))</f>
        <v/>
      </c>
      <c r="P54" s="46" t="str">
        <f t="array" ref="P54">IF('.'!P54="","",'.'!P54&amp;IF(VLOOKUP('.'!P54,Recipes!$A:$D,4,FALSE)="",""," ["&amp;VLOOKUP('.'!P54,Recipes!$A:$D,4,FALSE)&amp;"]"))</f>
        <v/>
      </c>
      <c r="Q54" s="46" t="str">
        <f t="array" ref="Q54">IF('.'!Q54="","",'.'!Q54&amp;IF(VLOOKUP('.'!Q54,Recipes!$A:$D,4,FALSE)="",""," ["&amp;VLOOKUP('.'!Q54,Recipes!$A:$D,4,FALSE)&amp;"]"))</f>
        <v/>
      </c>
      <c r="R54" s="46" t="str">
        <f t="array" ref="R54">IF('.'!R54="","",'.'!R54&amp;IF(VLOOKUP('.'!R54,Recipes!$A:$D,4,FALSE)="",""," ["&amp;VLOOKUP('.'!R54,Recipes!$A:$D,4,FALSE)&amp;"]"))</f>
        <v/>
      </c>
      <c r="S54" s="46" t="str">
        <f t="array" ref="S54">IF('.'!S54="","",'.'!S54&amp;IF(VLOOKUP('.'!S54,Recipes!$A:$D,4,FALSE)="",""," ["&amp;VLOOKUP('.'!S54,Recipes!$A:$D,4,FALSE)&amp;"]"))</f>
        <v/>
      </c>
      <c r="T54" s="46" t="str">
        <f t="array" ref="T54">IF('.'!T54="","",'.'!T54&amp;IF(VLOOKUP('.'!T54,Recipes!$A:$D,4,FALSE)="",""," ["&amp;VLOOKUP('.'!T54,Recipes!$A:$D,4,FALSE)&amp;"]"))</f>
        <v/>
      </c>
      <c r="U54" s="46" t="str">
        <f t="array" ref="U54">IF('.'!U54="","",'.'!U54&amp;IF(VLOOKUP('.'!U54,Recipes!$A:$D,4,FALSE)="",""," ["&amp;VLOOKUP('.'!U54,Recipes!$A:$D,4,FALSE)&amp;"]"))</f>
        <v/>
      </c>
      <c r="V54" s="46" t="str">
        <f t="array" ref="V54">IF('.'!V54="","",'.'!V54&amp;IF(VLOOKUP('.'!V54,Recipes!$A:$D,4,FALSE)="",""," ["&amp;VLOOKUP('.'!V54,Recipes!$A:$D,4,FALSE)&amp;"]"))</f>
        <v/>
      </c>
      <c r="W54" s="46" t="str">
        <f t="array" ref="W54">IF('.'!W54="","",'.'!W54&amp;IF(VLOOKUP('.'!W54,Recipes!$A:$D,4,FALSE)="",""," ["&amp;VLOOKUP('.'!W54,Recipes!$A:$D,4,FALSE)&amp;"]"))</f>
        <v/>
      </c>
      <c r="X54" s="46" t="str">
        <f t="array" ref="X54">IF('.'!X54="","",'.'!X54&amp;IF(VLOOKUP('.'!X54,Recipes!$A:$D,4,FALSE)="",""," ["&amp;VLOOKUP('.'!X54,Recipes!$A:$D,4,FALSE)&amp;"]"))</f>
        <v/>
      </c>
      <c r="Y54" s="46" t="str">
        <f t="array" ref="Y54">IF('.'!Y54="","",'.'!Y54&amp;IF(VLOOKUP('.'!Y54,Recipes!$A:$D,4,FALSE)="",""," ["&amp;VLOOKUP('.'!Y54,Recipes!$A:$D,4,FALSE)&amp;"]"))</f>
        <v/>
      </c>
      <c r="Z54" s="46" t="str">
        <f t="array" ref="Z54">IF('.'!Z54="","",'.'!Z54&amp;IF(VLOOKUP('.'!Z54,Recipes!$A:$D,4,FALSE)="",""," ["&amp;VLOOKUP('.'!Z54,Recipes!$A:$D,4,FALSE)&amp;"]"))</f>
        <v/>
      </c>
      <c r="AA54" s="46" t="str">
        <f t="array" ref="AA54">IF('.'!AA54="","",'.'!AA54&amp;IF(VLOOKUP('.'!AA54,Recipes!$A:$D,4,FALSE)="",""," ["&amp;VLOOKUP('.'!AA54,Recipes!$A:$D,4,FALSE)&amp;"]"))</f>
        <v/>
      </c>
      <c r="AB54" s="46" t="str">
        <f t="array" ref="AB54">IF('.'!AB54="","",'.'!AB54&amp;IF(VLOOKUP('.'!AB54,Recipes!$A:$D,4,FALSE)="",""," ["&amp;VLOOKUP('.'!AB54,Recipes!$A:$D,4,FALSE)&amp;"]"))</f>
        <v/>
      </c>
      <c r="AC54" s="46" t="str">
        <f t="array" ref="AC54">IF('.'!AC54="","",'.'!AC54&amp;IF(VLOOKUP('.'!AC54,Recipes!$A:$D,4,FALSE)="",""," ["&amp;VLOOKUP('.'!AC54,Recipes!$A:$D,4,FALSE)&amp;"]"))</f>
        <v/>
      </c>
      <c r="AD54" s="46" t="str">
        <f t="array" ref="AD54">IF('.'!AD54="","",'.'!AD54&amp;IF(VLOOKUP('.'!AD54,Recipes!$A:$D,4,FALSE)="",""," ["&amp;VLOOKUP('.'!AD54,Recipes!$A:$D,4,FALSE)&amp;"]"))</f>
        <v/>
      </c>
      <c r="AE54" s="47"/>
      <c r="AF54" s="47"/>
      <c r="AG54" s="47"/>
      <c r="AH54" s="47"/>
      <c r="AI54" s="47"/>
      <c r="AJ54" s="47"/>
      <c r="AK54" s="47"/>
      <c r="AL54" s="47"/>
      <c r="AM54" s="47"/>
      <c r="AN54" s="47"/>
      <c r="AO54" s="47"/>
      <c r="AP54" s="47"/>
      <c r="AQ54" s="47"/>
      <c r="AR54" s="47"/>
      <c r="AS54" s="47"/>
      <c r="AT54" s="47"/>
      <c r="AU54" s="47"/>
      <c r="AV54" s="47"/>
      <c r="AW54" s="47"/>
      <c r="AX54" s="47"/>
      <c r="AY54" s="47"/>
      <c r="AZ54" s="47"/>
      <c r="BA54" s="47"/>
      <c r="BB54" s="47"/>
      <c r="BC54" s="47"/>
      <c r="BD54" s="47"/>
      <c r="BE54" s="47"/>
      <c r="BF54" s="47"/>
      <c r="BG54" s="47"/>
      <c r="BH54" s="47"/>
      <c r="BI54" s="47"/>
      <c r="BJ54" s="47"/>
      <c r="BK54" s="47"/>
      <c r="BL54" s="47"/>
      <c r="BM54" s="47"/>
      <c r="BN54" s="47"/>
      <c r="BO54" s="47"/>
      <c r="BP54" s="47"/>
      <c r="BQ54" s="47"/>
      <c r="BR54" s="47"/>
      <c r="BS54" s="47"/>
      <c r="BT54" s="47"/>
      <c r="BU54" s="47"/>
      <c r="BV54" s="47"/>
      <c r="BW54" s="47"/>
      <c r="BX54" s="47"/>
      <c r="BY54" s="47"/>
      <c r="BZ54" s="47"/>
    </row>
    <row r="55" spans="1:78" ht="15.75" customHeight="1">
      <c r="A55" s="48" t="str">
        <f ca="1">'.'!A55</f>
        <v>Bed Linen</v>
      </c>
      <c r="B55" s="46" t="str">
        <f t="array" aca="1" ref="B55" ca="1">IF('.'!B55="","",'.'!B55&amp;IF(VLOOKUP('.'!B55,Recipes!$A:$D,4,FALSE)="",""," ["&amp;VLOOKUP('.'!B55,Recipes!$A:$D,4,FALSE)&amp;"]"))</f>
        <v>Cloth Scraps [3]</v>
      </c>
      <c r="C55" s="46" t="str">
        <f t="array" ref="C55">IF('.'!C55="","",'.'!C55&amp;IF(VLOOKUP('.'!C55,Recipes!$A:$D,4,FALSE)="",""," ["&amp;VLOOKUP('.'!C55,Recipes!$A:$D,4,FALSE)&amp;"]"))</f>
        <v/>
      </c>
      <c r="D55" s="46" t="str">
        <f t="array" ref="D55">IF('.'!D55="","",'.'!D55&amp;IF(VLOOKUP('.'!D55,Recipes!$A:$D,4,FALSE)="",""," ["&amp;VLOOKUP('.'!D55,Recipes!$A:$D,4,FALSE)&amp;"]"))</f>
        <v/>
      </c>
      <c r="E55" s="46" t="str">
        <f t="array" ref="E55">IF('.'!E55="","",'.'!E55&amp;IF(VLOOKUP('.'!E55,Recipes!$A:$D,4,FALSE)="",""," ["&amp;VLOOKUP('.'!E55,Recipes!$A:$D,4,FALSE)&amp;"]"))</f>
        <v/>
      </c>
      <c r="F55" s="46" t="str">
        <f t="array" ref="F55">IF('.'!F55="","",'.'!F55&amp;IF(VLOOKUP('.'!F55,Recipes!$A:$D,4,FALSE)="",""," ["&amp;VLOOKUP('.'!F55,Recipes!$A:$D,4,FALSE)&amp;"]"))</f>
        <v/>
      </c>
      <c r="G55" s="46" t="str">
        <f t="array" ref="G55">IF('.'!G55="","",'.'!G55&amp;IF(VLOOKUP('.'!G55,Recipes!$A:$D,4,FALSE)="",""," ["&amp;VLOOKUP('.'!G55,Recipes!$A:$D,4,FALSE)&amp;"]"))</f>
        <v/>
      </c>
      <c r="H55" s="46" t="str">
        <f t="array" ref="H55">IF('.'!H55="","",'.'!H55&amp;IF(VLOOKUP('.'!H55,Recipes!$A:$D,4,FALSE)="",""," ["&amp;VLOOKUP('.'!H55,Recipes!$A:$D,4,FALSE)&amp;"]"))</f>
        <v/>
      </c>
      <c r="I55" s="46" t="str">
        <f t="array" ref="I55">IF('.'!I55="","",'.'!I55&amp;IF(VLOOKUP('.'!I55,Recipes!$A:$D,4,FALSE)="",""," ["&amp;VLOOKUP('.'!I55,Recipes!$A:$D,4,FALSE)&amp;"]"))</f>
        <v/>
      </c>
      <c r="J55" s="46" t="str">
        <f t="array" ref="J55">IF('.'!J55="","",'.'!J55&amp;IF(VLOOKUP('.'!J55,Recipes!$A:$D,4,FALSE)="",""," ["&amp;VLOOKUP('.'!J55,Recipes!$A:$D,4,FALSE)&amp;"]"))</f>
        <v/>
      </c>
      <c r="K55" s="46" t="str">
        <f t="array" ref="K55">IF('.'!K55="","",'.'!K55&amp;IF(VLOOKUP('.'!K55,Recipes!$A:$D,4,FALSE)="",""," ["&amp;VLOOKUP('.'!K55,Recipes!$A:$D,4,FALSE)&amp;"]"))</f>
        <v/>
      </c>
      <c r="L55" s="46" t="str">
        <f t="array" ref="L55">IF('.'!L55="","",'.'!L55&amp;IF(VLOOKUP('.'!L55,Recipes!$A:$D,4,FALSE)="",""," ["&amp;VLOOKUP('.'!L55,Recipes!$A:$D,4,FALSE)&amp;"]"))</f>
        <v/>
      </c>
      <c r="M55" s="46" t="str">
        <f t="array" ref="M55">IF('.'!M55="","",'.'!M55&amp;IF(VLOOKUP('.'!M55,Recipes!$A:$D,4,FALSE)="",""," ["&amp;VLOOKUP('.'!M55,Recipes!$A:$D,4,FALSE)&amp;"]"))</f>
        <v/>
      </c>
      <c r="N55" s="46" t="str">
        <f t="array" ref="N55">IF('.'!N55="","",'.'!N55&amp;IF(VLOOKUP('.'!N55,Recipes!$A:$D,4,FALSE)="",""," ["&amp;VLOOKUP('.'!N55,Recipes!$A:$D,4,FALSE)&amp;"]"))</f>
        <v/>
      </c>
      <c r="O55" s="46" t="str">
        <f t="array" ref="O55">IF('.'!O55="","",'.'!O55&amp;IF(VLOOKUP('.'!O55,Recipes!$A:$D,4,FALSE)="",""," ["&amp;VLOOKUP('.'!O55,Recipes!$A:$D,4,FALSE)&amp;"]"))</f>
        <v/>
      </c>
      <c r="P55" s="46" t="str">
        <f t="array" ref="P55">IF('.'!P55="","",'.'!P55&amp;IF(VLOOKUP('.'!P55,Recipes!$A:$D,4,FALSE)="",""," ["&amp;VLOOKUP('.'!P55,Recipes!$A:$D,4,FALSE)&amp;"]"))</f>
        <v/>
      </c>
      <c r="Q55" s="46" t="str">
        <f t="array" ref="Q55">IF('.'!Q55="","",'.'!Q55&amp;IF(VLOOKUP('.'!Q55,Recipes!$A:$D,4,FALSE)="",""," ["&amp;VLOOKUP('.'!Q55,Recipes!$A:$D,4,FALSE)&amp;"]"))</f>
        <v/>
      </c>
      <c r="R55" s="46" t="str">
        <f t="array" ref="R55">IF('.'!R55="","",'.'!R55&amp;IF(VLOOKUP('.'!R55,Recipes!$A:$D,4,FALSE)="",""," ["&amp;VLOOKUP('.'!R55,Recipes!$A:$D,4,FALSE)&amp;"]"))</f>
        <v/>
      </c>
      <c r="S55" s="46" t="str">
        <f t="array" ref="S55">IF('.'!S55="","",'.'!S55&amp;IF(VLOOKUP('.'!S55,Recipes!$A:$D,4,FALSE)="",""," ["&amp;VLOOKUP('.'!S55,Recipes!$A:$D,4,FALSE)&amp;"]"))</f>
        <v/>
      </c>
      <c r="T55" s="46" t="str">
        <f t="array" ref="T55">IF('.'!T55="","",'.'!T55&amp;IF(VLOOKUP('.'!T55,Recipes!$A:$D,4,FALSE)="",""," ["&amp;VLOOKUP('.'!T55,Recipes!$A:$D,4,FALSE)&amp;"]"))</f>
        <v/>
      </c>
      <c r="U55" s="46" t="str">
        <f t="array" ref="U55">IF('.'!U55="","",'.'!U55&amp;IF(VLOOKUP('.'!U55,Recipes!$A:$D,4,FALSE)="",""," ["&amp;VLOOKUP('.'!U55,Recipes!$A:$D,4,FALSE)&amp;"]"))</f>
        <v/>
      </c>
      <c r="V55" s="46" t="str">
        <f t="array" ref="V55">IF('.'!V55="","",'.'!V55&amp;IF(VLOOKUP('.'!V55,Recipes!$A:$D,4,FALSE)="",""," ["&amp;VLOOKUP('.'!V55,Recipes!$A:$D,4,FALSE)&amp;"]"))</f>
        <v/>
      </c>
      <c r="W55" s="46" t="str">
        <f t="array" ref="W55">IF('.'!W55="","",'.'!W55&amp;IF(VLOOKUP('.'!W55,Recipes!$A:$D,4,FALSE)="",""," ["&amp;VLOOKUP('.'!W55,Recipes!$A:$D,4,FALSE)&amp;"]"))</f>
        <v/>
      </c>
      <c r="X55" s="46" t="str">
        <f t="array" ref="X55">IF('.'!X55="","",'.'!X55&amp;IF(VLOOKUP('.'!X55,Recipes!$A:$D,4,FALSE)="",""," ["&amp;VLOOKUP('.'!X55,Recipes!$A:$D,4,FALSE)&amp;"]"))</f>
        <v/>
      </c>
      <c r="Y55" s="46" t="str">
        <f t="array" ref="Y55">IF('.'!Y55="","",'.'!Y55&amp;IF(VLOOKUP('.'!Y55,Recipes!$A:$D,4,FALSE)="",""," ["&amp;VLOOKUP('.'!Y55,Recipes!$A:$D,4,FALSE)&amp;"]"))</f>
        <v/>
      </c>
      <c r="Z55" s="46" t="str">
        <f t="array" ref="Z55">IF('.'!Z55="","",'.'!Z55&amp;IF(VLOOKUP('.'!Z55,Recipes!$A:$D,4,FALSE)="",""," ["&amp;VLOOKUP('.'!Z55,Recipes!$A:$D,4,FALSE)&amp;"]"))</f>
        <v/>
      </c>
      <c r="AA55" s="46" t="str">
        <f t="array" ref="AA55">IF('.'!AA55="","",'.'!AA55&amp;IF(VLOOKUP('.'!AA55,Recipes!$A:$D,4,FALSE)="",""," ["&amp;VLOOKUP('.'!AA55,Recipes!$A:$D,4,FALSE)&amp;"]"))</f>
        <v/>
      </c>
      <c r="AB55" s="46" t="str">
        <f t="array" ref="AB55">IF('.'!AB55="","",'.'!AB55&amp;IF(VLOOKUP('.'!AB55,Recipes!$A:$D,4,FALSE)="",""," ["&amp;VLOOKUP('.'!AB55,Recipes!$A:$D,4,FALSE)&amp;"]"))</f>
        <v/>
      </c>
      <c r="AC55" s="46" t="str">
        <f t="array" ref="AC55">IF('.'!AC55="","",'.'!AC55&amp;IF(VLOOKUP('.'!AC55,Recipes!$A:$D,4,FALSE)="",""," ["&amp;VLOOKUP('.'!AC55,Recipes!$A:$D,4,FALSE)&amp;"]"))</f>
        <v/>
      </c>
      <c r="AD55" s="46" t="str">
        <f t="array" ref="AD55">IF('.'!AD55="","",'.'!AD55&amp;IF(VLOOKUP('.'!AD55,Recipes!$A:$D,4,FALSE)="",""," ["&amp;VLOOKUP('.'!AD55,Recipes!$A:$D,4,FALSE)&amp;"]"))</f>
        <v/>
      </c>
      <c r="AE55" s="47"/>
      <c r="AF55" s="47"/>
      <c r="AG55" s="47"/>
      <c r="AH55" s="47"/>
      <c r="AI55" s="47"/>
      <c r="AJ55" s="47"/>
      <c r="AK55" s="47"/>
      <c r="AL55" s="47"/>
      <c r="AM55" s="47"/>
      <c r="AN55" s="47"/>
      <c r="AO55" s="47"/>
      <c r="AP55" s="47"/>
      <c r="AQ55" s="47"/>
      <c r="AR55" s="47"/>
      <c r="AS55" s="47"/>
      <c r="AT55" s="47"/>
      <c r="AU55" s="47"/>
      <c r="AV55" s="47"/>
      <c r="AW55" s="47"/>
      <c r="AX55" s="47"/>
      <c r="AY55" s="47"/>
      <c r="AZ55" s="47"/>
      <c r="BA55" s="47"/>
      <c r="BB55" s="47"/>
      <c r="BC55" s="47"/>
      <c r="BD55" s="47"/>
      <c r="BE55" s="47"/>
      <c r="BF55" s="47"/>
      <c r="BG55" s="47"/>
      <c r="BH55" s="47"/>
      <c r="BI55" s="47"/>
      <c r="BJ55" s="47"/>
      <c r="BK55" s="47"/>
      <c r="BL55" s="47"/>
      <c r="BM55" s="47"/>
      <c r="BN55" s="47"/>
      <c r="BO55" s="47"/>
      <c r="BP55" s="47"/>
      <c r="BQ55" s="47"/>
      <c r="BR55" s="47"/>
      <c r="BS55" s="47"/>
      <c r="BT55" s="47"/>
      <c r="BU55" s="47"/>
      <c r="BV55" s="47"/>
      <c r="BW55" s="47"/>
      <c r="BX55" s="47"/>
      <c r="BY55" s="47"/>
      <c r="BZ55" s="47"/>
    </row>
    <row r="56" spans="1:78" ht="15.75" customHeight="1">
      <c r="A56" s="48" t="str">
        <f ca="1">'.'!A56</f>
        <v>Beer</v>
      </c>
      <c r="B56" s="46" t="str">
        <f t="array" aca="1" ref="B56" ca="1">IF('.'!B56="","",'.'!B56&amp;IF(VLOOKUP('.'!B56,Recipes!$A:$D,4,FALSE)="",""," ["&amp;VLOOKUP('.'!B56,Recipes!$A:$D,4,FALSE)&amp;"]"))</f>
        <v>Dwarven Stew [2]</v>
      </c>
      <c r="C56" s="46" t="str">
        <f t="array" aca="1" ref="C56" ca="1">IF('.'!C56="","",'.'!C56&amp;IF(VLOOKUP('.'!C56,Recipes!$A:$D,4,FALSE)="",""," ["&amp;VLOOKUP('.'!C56,Recipes!$A:$D,4,FALSE)&amp;"]"))</f>
        <v>Small Rock Rune [-301]</v>
      </c>
      <c r="D56" s="46" t="str">
        <f t="array" ref="D56">IF('.'!D56="","",'.'!D56&amp;IF(VLOOKUP('.'!D56,Recipes!$A:$D,4,FALSE)="",""," ["&amp;VLOOKUP('.'!D56,Recipes!$A:$D,4,FALSE)&amp;"]"))</f>
        <v/>
      </c>
      <c r="E56" s="46" t="str">
        <f t="array" ref="E56">IF('.'!E56="","",'.'!E56&amp;IF(VLOOKUP('.'!E56,Recipes!$A:$D,4,FALSE)="",""," ["&amp;VLOOKUP('.'!E56,Recipes!$A:$D,4,FALSE)&amp;"]"))</f>
        <v/>
      </c>
      <c r="F56" s="46" t="str">
        <f t="array" ref="F56">IF('.'!F56="","",'.'!F56&amp;IF(VLOOKUP('.'!F56,Recipes!$A:$D,4,FALSE)="",""," ["&amp;VLOOKUP('.'!F56,Recipes!$A:$D,4,FALSE)&amp;"]"))</f>
        <v/>
      </c>
      <c r="G56" s="46" t="str">
        <f t="array" ref="G56">IF('.'!G56="","",'.'!G56&amp;IF(VLOOKUP('.'!G56,Recipes!$A:$D,4,FALSE)="",""," ["&amp;VLOOKUP('.'!G56,Recipes!$A:$D,4,FALSE)&amp;"]"))</f>
        <v/>
      </c>
      <c r="H56" s="46" t="str">
        <f t="array" ref="H56">IF('.'!H56="","",'.'!H56&amp;IF(VLOOKUP('.'!H56,Recipes!$A:$D,4,FALSE)="",""," ["&amp;VLOOKUP('.'!H56,Recipes!$A:$D,4,FALSE)&amp;"]"))</f>
        <v/>
      </c>
      <c r="I56" s="46" t="str">
        <f t="array" ref="I56">IF('.'!I56="","",'.'!I56&amp;IF(VLOOKUP('.'!I56,Recipes!$A:$D,4,FALSE)="",""," ["&amp;VLOOKUP('.'!I56,Recipes!$A:$D,4,FALSE)&amp;"]"))</f>
        <v/>
      </c>
      <c r="J56" s="46" t="str">
        <f t="array" ref="J56">IF('.'!J56="","",'.'!J56&amp;IF(VLOOKUP('.'!J56,Recipes!$A:$D,4,FALSE)="",""," ["&amp;VLOOKUP('.'!J56,Recipes!$A:$D,4,FALSE)&amp;"]"))</f>
        <v/>
      </c>
      <c r="K56" s="46" t="str">
        <f t="array" ref="K56">IF('.'!K56="","",'.'!K56&amp;IF(VLOOKUP('.'!K56,Recipes!$A:$D,4,FALSE)="",""," ["&amp;VLOOKUP('.'!K56,Recipes!$A:$D,4,FALSE)&amp;"]"))</f>
        <v/>
      </c>
      <c r="L56" s="46" t="str">
        <f t="array" ref="L56">IF('.'!L56="","",'.'!L56&amp;IF(VLOOKUP('.'!L56,Recipes!$A:$D,4,FALSE)="",""," ["&amp;VLOOKUP('.'!L56,Recipes!$A:$D,4,FALSE)&amp;"]"))</f>
        <v/>
      </c>
      <c r="M56" s="46" t="str">
        <f t="array" ref="M56">IF('.'!M56="","",'.'!M56&amp;IF(VLOOKUP('.'!M56,Recipes!$A:$D,4,FALSE)="",""," ["&amp;VLOOKUP('.'!M56,Recipes!$A:$D,4,FALSE)&amp;"]"))</f>
        <v/>
      </c>
      <c r="N56" s="46" t="str">
        <f t="array" ref="N56">IF('.'!N56="","",'.'!N56&amp;IF(VLOOKUP('.'!N56,Recipes!$A:$D,4,FALSE)="",""," ["&amp;VLOOKUP('.'!N56,Recipes!$A:$D,4,FALSE)&amp;"]"))</f>
        <v/>
      </c>
      <c r="O56" s="46" t="str">
        <f t="array" ref="O56">IF('.'!O56="","",'.'!O56&amp;IF(VLOOKUP('.'!O56,Recipes!$A:$D,4,FALSE)="",""," ["&amp;VLOOKUP('.'!O56,Recipes!$A:$D,4,FALSE)&amp;"]"))</f>
        <v/>
      </c>
      <c r="P56" s="46" t="str">
        <f t="array" ref="P56">IF('.'!P56="","",'.'!P56&amp;IF(VLOOKUP('.'!P56,Recipes!$A:$D,4,FALSE)="",""," ["&amp;VLOOKUP('.'!P56,Recipes!$A:$D,4,FALSE)&amp;"]"))</f>
        <v/>
      </c>
      <c r="Q56" s="46" t="str">
        <f t="array" ref="Q56">IF('.'!Q56="","",'.'!Q56&amp;IF(VLOOKUP('.'!Q56,Recipes!$A:$D,4,FALSE)="",""," ["&amp;VLOOKUP('.'!Q56,Recipes!$A:$D,4,FALSE)&amp;"]"))</f>
        <v/>
      </c>
      <c r="R56" s="46" t="str">
        <f t="array" ref="R56">IF('.'!R56="","",'.'!R56&amp;IF(VLOOKUP('.'!R56,Recipes!$A:$D,4,FALSE)="",""," ["&amp;VLOOKUP('.'!R56,Recipes!$A:$D,4,FALSE)&amp;"]"))</f>
        <v/>
      </c>
      <c r="S56" s="46" t="str">
        <f t="array" ref="S56">IF('.'!S56="","",'.'!S56&amp;IF(VLOOKUP('.'!S56,Recipes!$A:$D,4,FALSE)="",""," ["&amp;VLOOKUP('.'!S56,Recipes!$A:$D,4,FALSE)&amp;"]"))</f>
        <v/>
      </c>
      <c r="T56" s="46" t="str">
        <f t="array" ref="T56">IF('.'!T56="","",'.'!T56&amp;IF(VLOOKUP('.'!T56,Recipes!$A:$D,4,FALSE)="",""," ["&amp;VLOOKUP('.'!T56,Recipes!$A:$D,4,FALSE)&amp;"]"))</f>
        <v/>
      </c>
      <c r="U56" s="46" t="str">
        <f t="array" ref="U56">IF('.'!U56="","",'.'!U56&amp;IF(VLOOKUP('.'!U56,Recipes!$A:$D,4,FALSE)="",""," ["&amp;VLOOKUP('.'!U56,Recipes!$A:$D,4,FALSE)&amp;"]"))</f>
        <v/>
      </c>
      <c r="V56" s="46" t="str">
        <f t="array" ref="V56">IF('.'!V56="","",'.'!V56&amp;IF(VLOOKUP('.'!V56,Recipes!$A:$D,4,FALSE)="",""," ["&amp;VLOOKUP('.'!V56,Recipes!$A:$D,4,FALSE)&amp;"]"))</f>
        <v/>
      </c>
      <c r="W56" s="46" t="str">
        <f t="array" ref="W56">IF('.'!W56="","",'.'!W56&amp;IF(VLOOKUP('.'!W56,Recipes!$A:$D,4,FALSE)="",""," ["&amp;VLOOKUP('.'!W56,Recipes!$A:$D,4,FALSE)&amp;"]"))</f>
        <v/>
      </c>
      <c r="X56" s="46" t="str">
        <f t="array" ref="X56">IF('.'!X56="","",'.'!X56&amp;IF(VLOOKUP('.'!X56,Recipes!$A:$D,4,FALSE)="",""," ["&amp;VLOOKUP('.'!X56,Recipes!$A:$D,4,FALSE)&amp;"]"))</f>
        <v/>
      </c>
      <c r="Y56" s="46" t="str">
        <f t="array" ref="Y56">IF('.'!Y56="","",'.'!Y56&amp;IF(VLOOKUP('.'!Y56,Recipes!$A:$D,4,FALSE)="",""," ["&amp;VLOOKUP('.'!Y56,Recipes!$A:$D,4,FALSE)&amp;"]"))</f>
        <v/>
      </c>
      <c r="Z56" s="46" t="str">
        <f t="array" ref="Z56">IF('.'!Z56="","",'.'!Z56&amp;IF(VLOOKUP('.'!Z56,Recipes!$A:$D,4,FALSE)="",""," ["&amp;VLOOKUP('.'!Z56,Recipes!$A:$D,4,FALSE)&amp;"]"))</f>
        <v/>
      </c>
      <c r="AA56" s="46" t="str">
        <f t="array" ref="AA56">IF('.'!AA56="","",'.'!AA56&amp;IF(VLOOKUP('.'!AA56,Recipes!$A:$D,4,FALSE)="",""," ["&amp;VLOOKUP('.'!AA56,Recipes!$A:$D,4,FALSE)&amp;"]"))</f>
        <v/>
      </c>
      <c r="AB56" s="46" t="str">
        <f t="array" ref="AB56">IF('.'!AB56="","",'.'!AB56&amp;IF(VLOOKUP('.'!AB56,Recipes!$A:$D,4,FALSE)="",""," ["&amp;VLOOKUP('.'!AB56,Recipes!$A:$D,4,FALSE)&amp;"]"))</f>
        <v/>
      </c>
      <c r="AC56" s="46" t="str">
        <f t="array" ref="AC56">IF('.'!AC56="","",'.'!AC56&amp;IF(VLOOKUP('.'!AC56,Recipes!$A:$D,4,FALSE)="",""," ["&amp;VLOOKUP('.'!AC56,Recipes!$A:$D,4,FALSE)&amp;"]"))</f>
        <v/>
      </c>
      <c r="AD56" s="46" t="str">
        <f t="array" ref="AD56">IF('.'!AD56="","",'.'!AD56&amp;IF(VLOOKUP('.'!AD56,Recipes!$A:$D,4,FALSE)="",""," ["&amp;VLOOKUP('.'!AD56,Recipes!$A:$D,4,FALSE)&amp;"]"))</f>
        <v/>
      </c>
      <c r="AE56" s="47"/>
      <c r="AF56" s="47"/>
      <c r="AG56" s="47"/>
      <c r="AH56" s="47"/>
      <c r="AI56" s="47"/>
      <c r="AJ56" s="47"/>
      <c r="AK56" s="47"/>
      <c r="AL56" s="47"/>
      <c r="AM56" s="47"/>
      <c r="AN56" s="47"/>
      <c r="AO56" s="47"/>
      <c r="AP56" s="47"/>
      <c r="AQ56" s="47"/>
      <c r="AR56" s="47"/>
      <c r="AS56" s="47"/>
      <c r="AT56" s="47"/>
      <c r="AU56" s="47"/>
      <c r="AV56" s="47"/>
      <c r="AW56" s="47"/>
      <c r="AX56" s="47"/>
      <c r="AY56" s="47"/>
      <c r="AZ56" s="47"/>
      <c r="BA56" s="47"/>
      <c r="BB56" s="47"/>
      <c r="BC56" s="47"/>
      <c r="BD56" s="47"/>
      <c r="BE56" s="47"/>
      <c r="BF56" s="47"/>
      <c r="BG56" s="47"/>
      <c r="BH56" s="47"/>
      <c r="BI56" s="47"/>
      <c r="BJ56" s="47"/>
      <c r="BK56" s="47"/>
      <c r="BL56" s="47"/>
      <c r="BM56" s="47"/>
      <c r="BN56" s="47"/>
      <c r="BO56" s="47"/>
      <c r="BP56" s="47"/>
      <c r="BQ56" s="47"/>
      <c r="BR56" s="47"/>
      <c r="BS56" s="47"/>
      <c r="BT56" s="47"/>
      <c r="BU56" s="47"/>
      <c r="BV56" s="47"/>
      <c r="BW56" s="47"/>
      <c r="BX56" s="47"/>
      <c r="BY56" s="47"/>
      <c r="BZ56" s="47"/>
    </row>
    <row r="57" spans="1:78" ht="15.75" customHeight="1">
      <c r="A57" s="48" t="str">
        <f ca="1">'.'!A57</f>
        <v>Beer Barrel</v>
      </c>
      <c r="B57" s="46" t="str">
        <f t="array" aca="1" ref="B57" ca="1">IF('.'!B57="","",'.'!B57&amp;IF(VLOOKUP('.'!B57,Recipes!$A:$D,4,FALSE)="",""," ["&amp;VLOOKUP('.'!B57,Recipes!$A:$D,4,FALSE)&amp;"]"))</f>
        <v>Bottle of Beer [6]</v>
      </c>
      <c r="C57" s="46" t="str">
        <f t="array" aca="1" ref="C57" ca="1">IF('.'!C57="","",'.'!C57&amp;IF(VLOOKUP('.'!C57,Recipes!$A:$D,4,FALSE)="",""," ["&amp;VLOOKUP('.'!C57,Recipes!$A:$D,4,FALSE)&amp;"]"))</f>
        <v>Mug of Beer [1]</v>
      </c>
      <c r="D57" s="46" t="str">
        <f t="array" ref="D57">IF('.'!D57="","",'.'!D57&amp;IF(VLOOKUP('.'!D57,Recipes!$A:$D,4,FALSE)="",""," ["&amp;VLOOKUP('.'!D57,Recipes!$A:$D,4,FALSE)&amp;"]"))</f>
        <v/>
      </c>
      <c r="E57" s="46" t="str">
        <f t="array" ref="E57">IF('.'!E57="","",'.'!E57&amp;IF(VLOOKUP('.'!E57,Recipes!$A:$D,4,FALSE)="",""," ["&amp;VLOOKUP('.'!E57,Recipes!$A:$D,4,FALSE)&amp;"]"))</f>
        <v/>
      </c>
      <c r="F57" s="46" t="str">
        <f t="array" ref="F57">IF('.'!F57="","",'.'!F57&amp;IF(VLOOKUP('.'!F57,Recipes!$A:$D,4,FALSE)="",""," ["&amp;VLOOKUP('.'!F57,Recipes!$A:$D,4,FALSE)&amp;"]"))</f>
        <v/>
      </c>
      <c r="G57" s="46" t="str">
        <f t="array" ref="G57">IF('.'!G57="","",'.'!G57&amp;IF(VLOOKUP('.'!G57,Recipes!$A:$D,4,FALSE)="",""," ["&amp;VLOOKUP('.'!G57,Recipes!$A:$D,4,FALSE)&amp;"]"))</f>
        <v/>
      </c>
      <c r="H57" s="46" t="str">
        <f t="array" ref="H57">IF('.'!H57="","",'.'!H57&amp;IF(VLOOKUP('.'!H57,Recipes!$A:$D,4,FALSE)="",""," ["&amp;VLOOKUP('.'!H57,Recipes!$A:$D,4,FALSE)&amp;"]"))</f>
        <v/>
      </c>
      <c r="I57" s="46" t="str">
        <f t="array" ref="I57">IF('.'!I57="","",'.'!I57&amp;IF(VLOOKUP('.'!I57,Recipes!$A:$D,4,FALSE)="",""," ["&amp;VLOOKUP('.'!I57,Recipes!$A:$D,4,FALSE)&amp;"]"))</f>
        <v/>
      </c>
      <c r="J57" s="46" t="str">
        <f t="array" ref="J57">IF('.'!J57="","",'.'!J57&amp;IF(VLOOKUP('.'!J57,Recipes!$A:$D,4,FALSE)="",""," ["&amp;VLOOKUP('.'!J57,Recipes!$A:$D,4,FALSE)&amp;"]"))</f>
        <v/>
      </c>
      <c r="K57" s="46" t="str">
        <f t="array" ref="K57">IF('.'!K57="","",'.'!K57&amp;IF(VLOOKUP('.'!K57,Recipes!$A:$D,4,FALSE)="",""," ["&amp;VLOOKUP('.'!K57,Recipes!$A:$D,4,FALSE)&amp;"]"))</f>
        <v/>
      </c>
      <c r="L57" s="46" t="str">
        <f t="array" ref="L57">IF('.'!L57="","",'.'!L57&amp;IF(VLOOKUP('.'!L57,Recipes!$A:$D,4,FALSE)="",""," ["&amp;VLOOKUP('.'!L57,Recipes!$A:$D,4,FALSE)&amp;"]"))</f>
        <v/>
      </c>
      <c r="M57" s="46" t="str">
        <f t="array" ref="M57">IF('.'!M57="","",'.'!M57&amp;IF(VLOOKUP('.'!M57,Recipes!$A:$D,4,FALSE)="",""," ["&amp;VLOOKUP('.'!M57,Recipes!$A:$D,4,FALSE)&amp;"]"))</f>
        <v/>
      </c>
      <c r="N57" s="46" t="str">
        <f t="array" ref="N57">IF('.'!N57="","",'.'!N57&amp;IF(VLOOKUP('.'!N57,Recipes!$A:$D,4,FALSE)="",""," ["&amp;VLOOKUP('.'!N57,Recipes!$A:$D,4,FALSE)&amp;"]"))</f>
        <v/>
      </c>
      <c r="O57" s="46" t="str">
        <f t="array" ref="O57">IF('.'!O57="","",'.'!O57&amp;IF(VLOOKUP('.'!O57,Recipes!$A:$D,4,FALSE)="",""," ["&amp;VLOOKUP('.'!O57,Recipes!$A:$D,4,FALSE)&amp;"]"))</f>
        <v/>
      </c>
      <c r="P57" s="46" t="str">
        <f t="array" ref="P57">IF('.'!P57="","",'.'!P57&amp;IF(VLOOKUP('.'!P57,Recipes!$A:$D,4,FALSE)="",""," ["&amp;VLOOKUP('.'!P57,Recipes!$A:$D,4,FALSE)&amp;"]"))</f>
        <v/>
      </c>
      <c r="Q57" s="46" t="str">
        <f t="array" ref="Q57">IF('.'!Q57="","",'.'!Q57&amp;IF(VLOOKUP('.'!Q57,Recipes!$A:$D,4,FALSE)="",""," ["&amp;VLOOKUP('.'!Q57,Recipes!$A:$D,4,FALSE)&amp;"]"))</f>
        <v/>
      </c>
      <c r="R57" s="46" t="str">
        <f t="array" ref="R57">IF('.'!R57="","",'.'!R57&amp;IF(VLOOKUP('.'!R57,Recipes!$A:$D,4,FALSE)="",""," ["&amp;VLOOKUP('.'!R57,Recipes!$A:$D,4,FALSE)&amp;"]"))</f>
        <v/>
      </c>
      <c r="S57" s="46" t="str">
        <f t="array" ref="S57">IF('.'!S57="","",'.'!S57&amp;IF(VLOOKUP('.'!S57,Recipes!$A:$D,4,FALSE)="",""," ["&amp;VLOOKUP('.'!S57,Recipes!$A:$D,4,FALSE)&amp;"]"))</f>
        <v/>
      </c>
      <c r="T57" s="46" t="str">
        <f t="array" ref="T57">IF('.'!T57="","",'.'!T57&amp;IF(VLOOKUP('.'!T57,Recipes!$A:$D,4,FALSE)="",""," ["&amp;VLOOKUP('.'!T57,Recipes!$A:$D,4,FALSE)&amp;"]"))</f>
        <v/>
      </c>
      <c r="U57" s="46" t="str">
        <f t="array" ref="U57">IF('.'!U57="","",'.'!U57&amp;IF(VLOOKUP('.'!U57,Recipes!$A:$D,4,FALSE)="",""," ["&amp;VLOOKUP('.'!U57,Recipes!$A:$D,4,FALSE)&amp;"]"))</f>
        <v/>
      </c>
      <c r="V57" s="46" t="str">
        <f t="array" ref="V57">IF('.'!V57="","",'.'!V57&amp;IF(VLOOKUP('.'!V57,Recipes!$A:$D,4,FALSE)="",""," ["&amp;VLOOKUP('.'!V57,Recipes!$A:$D,4,FALSE)&amp;"]"))</f>
        <v/>
      </c>
      <c r="W57" s="46" t="str">
        <f t="array" ref="W57">IF('.'!W57="","",'.'!W57&amp;IF(VLOOKUP('.'!W57,Recipes!$A:$D,4,FALSE)="",""," ["&amp;VLOOKUP('.'!W57,Recipes!$A:$D,4,FALSE)&amp;"]"))</f>
        <v/>
      </c>
      <c r="X57" s="46" t="str">
        <f t="array" ref="X57">IF('.'!X57="","",'.'!X57&amp;IF(VLOOKUP('.'!X57,Recipes!$A:$D,4,FALSE)="",""," ["&amp;VLOOKUP('.'!X57,Recipes!$A:$D,4,FALSE)&amp;"]"))</f>
        <v/>
      </c>
      <c r="Y57" s="46" t="str">
        <f t="array" ref="Y57">IF('.'!Y57="","",'.'!Y57&amp;IF(VLOOKUP('.'!Y57,Recipes!$A:$D,4,FALSE)="",""," ["&amp;VLOOKUP('.'!Y57,Recipes!$A:$D,4,FALSE)&amp;"]"))</f>
        <v/>
      </c>
      <c r="Z57" s="46" t="str">
        <f t="array" ref="Z57">IF('.'!Z57="","",'.'!Z57&amp;IF(VLOOKUP('.'!Z57,Recipes!$A:$D,4,FALSE)="",""," ["&amp;VLOOKUP('.'!Z57,Recipes!$A:$D,4,FALSE)&amp;"]"))</f>
        <v/>
      </c>
      <c r="AA57" s="46" t="str">
        <f t="array" ref="AA57">IF('.'!AA57="","",'.'!AA57&amp;IF(VLOOKUP('.'!AA57,Recipes!$A:$D,4,FALSE)="",""," ["&amp;VLOOKUP('.'!AA57,Recipes!$A:$D,4,FALSE)&amp;"]"))</f>
        <v/>
      </c>
      <c r="AB57" s="46" t="str">
        <f t="array" ref="AB57">IF('.'!AB57="","",'.'!AB57&amp;IF(VLOOKUP('.'!AB57,Recipes!$A:$D,4,FALSE)="",""," ["&amp;VLOOKUP('.'!AB57,Recipes!$A:$D,4,FALSE)&amp;"]"))</f>
        <v/>
      </c>
      <c r="AC57" s="46" t="str">
        <f t="array" ref="AC57">IF('.'!AC57="","",'.'!AC57&amp;IF(VLOOKUP('.'!AC57,Recipes!$A:$D,4,FALSE)="",""," ["&amp;VLOOKUP('.'!AC57,Recipes!$A:$D,4,FALSE)&amp;"]"))</f>
        <v/>
      </c>
      <c r="AD57" s="46" t="str">
        <f t="array" ref="AD57">IF('.'!AD57="","",'.'!AD57&amp;IF(VLOOKUP('.'!AD57,Recipes!$A:$D,4,FALSE)="",""," ["&amp;VLOOKUP('.'!AD57,Recipes!$A:$D,4,FALSE)&amp;"]"))</f>
        <v/>
      </c>
      <c r="AE57" s="47"/>
      <c r="AF57" s="47"/>
      <c r="AG57" s="47"/>
      <c r="AH57" s="47"/>
      <c r="AI57" s="47"/>
      <c r="AJ57" s="47"/>
      <c r="AK57" s="47"/>
      <c r="AL57" s="47"/>
      <c r="AM57" s="47"/>
      <c r="AN57" s="47"/>
      <c r="AO57" s="47"/>
      <c r="AP57" s="47"/>
      <c r="AQ57" s="47"/>
      <c r="AR57" s="47"/>
      <c r="AS57" s="47"/>
      <c r="AT57" s="47"/>
      <c r="AU57" s="47"/>
      <c r="AV57" s="47"/>
      <c r="AW57" s="47"/>
      <c r="AX57" s="47"/>
      <c r="AY57" s="47"/>
      <c r="AZ57" s="47"/>
      <c r="BA57" s="47"/>
      <c r="BB57" s="47"/>
      <c r="BC57" s="47"/>
      <c r="BD57" s="47"/>
      <c r="BE57" s="47"/>
      <c r="BF57" s="47"/>
      <c r="BG57" s="47"/>
      <c r="BH57" s="47"/>
      <c r="BI57" s="47"/>
      <c r="BJ57" s="47"/>
      <c r="BK57" s="47"/>
      <c r="BL57" s="47"/>
      <c r="BM57" s="47"/>
      <c r="BN57" s="47"/>
      <c r="BO57" s="47"/>
      <c r="BP57" s="47"/>
      <c r="BQ57" s="47"/>
      <c r="BR57" s="47"/>
      <c r="BS57" s="47"/>
      <c r="BT57" s="47"/>
      <c r="BU57" s="47"/>
      <c r="BV57" s="47"/>
      <c r="BW57" s="47"/>
      <c r="BX57" s="47"/>
      <c r="BY57" s="47"/>
      <c r="BZ57" s="47"/>
    </row>
    <row r="58" spans="1:78" ht="13">
      <c r="A58" s="48" t="str">
        <f ca="1">'.'!A58</f>
        <v>Belt</v>
      </c>
      <c r="B58" s="46" t="str">
        <f t="array" aca="1" ref="B58" ca="1">IF('.'!B58="","",'.'!B58&amp;IF(VLOOKUP('.'!B58,Recipes!$A:$D,4,FALSE)="",""," ["&amp;VLOOKUP('.'!B58,Recipes!$A:$D,4,FALSE)&amp;"]"))</f>
        <v>Boost Belt [-700]</v>
      </c>
      <c r="C58" s="46" t="str">
        <f t="array" ref="C58">IF('.'!C58="","",'.'!C58&amp;IF(VLOOKUP('.'!C58,Recipes!$A:$D,4,FALSE)="",""," ["&amp;VLOOKUP('.'!C58,Recipes!$A:$D,4,FALSE)&amp;"]"))</f>
        <v/>
      </c>
      <c r="D58" s="46" t="str">
        <f t="array" ref="D58">IF('.'!D58="","",'.'!D58&amp;IF(VLOOKUP('.'!D58,Recipes!$A:$D,4,FALSE)="",""," ["&amp;VLOOKUP('.'!D58,Recipes!$A:$D,4,FALSE)&amp;"]"))</f>
        <v/>
      </c>
      <c r="E58" s="46" t="str">
        <f t="array" ref="E58">IF('.'!E58="","",'.'!E58&amp;IF(VLOOKUP('.'!E58,Recipes!$A:$D,4,FALSE)="",""," ["&amp;VLOOKUP('.'!E58,Recipes!$A:$D,4,FALSE)&amp;"]"))</f>
        <v/>
      </c>
      <c r="F58" s="46" t="str">
        <f t="array" ref="F58">IF('.'!F58="","",'.'!F58&amp;IF(VLOOKUP('.'!F58,Recipes!$A:$D,4,FALSE)="",""," ["&amp;VLOOKUP('.'!F58,Recipes!$A:$D,4,FALSE)&amp;"]"))</f>
        <v/>
      </c>
      <c r="G58" s="46" t="str">
        <f t="array" ref="G58">IF('.'!G58="","",'.'!G58&amp;IF(VLOOKUP('.'!G58,Recipes!$A:$D,4,FALSE)="",""," ["&amp;VLOOKUP('.'!G58,Recipes!$A:$D,4,FALSE)&amp;"]"))</f>
        <v/>
      </c>
      <c r="H58" s="46" t="str">
        <f t="array" ref="H58">IF('.'!H58="","",'.'!H58&amp;IF(VLOOKUP('.'!H58,Recipes!$A:$D,4,FALSE)="",""," ["&amp;VLOOKUP('.'!H58,Recipes!$A:$D,4,FALSE)&amp;"]"))</f>
        <v/>
      </c>
      <c r="I58" s="46" t="str">
        <f t="array" ref="I58">IF('.'!I58="","",'.'!I58&amp;IF(VLOOKUP('.'!I58,Recipes!$A:$D,4,FALSE)="",""," ["&amp;VLOOKUP('.'!I58,Recipes!$A:$D,4,FALSE)&amp;"]"))</f>
        <v/>
      </c>
      <c r="J58" s="46" t="str">
        <f t="array" ref="J58">IF('.'!J58="","",'.'!J58&amp;IF(VLOOKUP('.'!J58,Recipes!$A:$D,4,FALSE)="",""," ["&amp;VLOOKUP('.'!J58,Recipes!$A:$D,4,FALSE)&amp;"]"))</f>
        <v/>
      </c>
      <c r="K58" s="46" t="str">
        <f t="array" ref="K58">IF('.'!K58="","",'.'!K58&amp;IF(VLOOKUP('.'!K58,Recipes!$A:$D,4,FALSE)="",""," ["&amp;VLOOKUP('.'!K58,Recipes!$A:$D,4,FALSE)&amp;"]"))</f>
        <v/>
      </c>
      <c r="L58" s="46" t="str">
        <f t="array" ref="L58">IF('.'!L58="","",'.'!L58&amp;IF(VLOOKUP('.'!L58,Recipes!$A:$D,4,FALSE)="",""," ["&amp;VLOOKUP('.'!L58,Recipes!$A:$D,4,FALSE)&amp;"]"))</f>
        <v/>
      </c>
      <c r="M58" s="46" t="str">
        <f t="array" ref="M58">IF('.'!M58="","",'.'!M58&amp;IF(VLOOKUP('.'!M58,Recipes!$A:$D,4,FALSE)="",""," ["&amp;VLOOKUP('.'!M58,Recipes!$A:$D,4,FALSE)&amp;"]"))</f>
        <v/>
      </c>
      <c r="N58" s="46" t="str">
        <f t="array" ref="N58">IF('.'!N58="","",'.'!N58&amp;IF(VLOOKUP('.'!N58,Recipes!$A:$D,4,FALSE)="",""," ["&amp;VLOOKUP('.'!N58,Recipes!$A:$D,4,FALSE)&amp;"]"))</f>
        <v/>
      </c>
      <c r="O58" s="46" t="str">
        <f t="array" ref="O58">IF('.'!O58="","",'.'!O58&amp;IF(VLOOKUP('.'!O58,Recipes!$A:$D,4,FALSE)="",""," ["&amp;VLOOKUP('.'!O58,Recipes!$A:$D,4,FALSE)&amp;"]"))</f>
        <v/>
      </c>
      <c r="P58" s="46" t="str">
        <f t="array" ref="P58">IF('.'!P58="","",'.'!P58&amp;IF(VLOOKUP('.'!P58,Recipes!$A:$D,4,FALSE)="",""," ["&amp;VLOOKUP('.'!P58,Recipes!$A:$D,4,FALSE)&amp;"]"))</f>
        <v/>
      </c>
      <c r="Q58" s="46" t="str">
        <f t="array" ref="Q58">IF('.'!Q58="","",'.'!Q58&amp;IF(VLOOKUP('.'!Q58,Recipes!$A:$D,4,FALSE)="",""," ["&amp;VLOOKUP('.'!Q58,Recipes!$A:$D,4,FALSE)&amp;"]"))</f>
        <v/>
      </c>
      <c r="R58" s="46" t="str">
        <f t="array" ref="R58">IF('.'!R58="","",'.'!R58&amp;IF(VLOOKUP('.'!R58,Recipes!$A:$D,4,FALSE)="",""," ["&amp;VLOOKUP('.'!R58,Recipes!$A:$D,4,FALSE)&amp;"]"))</f>
        <v/>
      </c>
      <c r="S58" s="46" t="str">
        <f t="array" ref="S58">IF('.'!S58="","",'.'!S58&amp;IF(VLOOKUP('.'!S58,Recipes!$A:$D,4,FALSE)="",""," ["&amp;VLOOKUP('.'!S58,Recipes!$A:$D,4,FALSE)&amp;"]"))</f>
        <v/>
      </c>
      <c r="T58" s="46" t="str">
        <f t="array" ref="T58">IF('.'!T58="","",'.'!T58&amp;IF(VLOOKUP('.'!T58,Recipes!$A:$D,4,FALSE)="",""," ["&amp;VLOOKUP('.'!T58,Recipes!$A:$D,4,FALSE)&amp;"]"))</f>
        <v/>
      </c>
      <c r="U58" s="46" t="str">
        <f t="array" ref="U58">IF('.'!U58="","",'.'!U58&amp;IF(VLOOKUP('.'!U58,Recipes!$A:$D,4,FALSE)="",""," ["&amp;VLOOKUP('.'!U58,Recipes!$A:$D,4,FALSE)&amp;"]"))</f>
        <v/>
      </c>
      <c r="V58" s="46" t="str">
        <f t="array" ref="V58">IF('.'!V58="","",'.'!V58&amp;IF(VLOOKUP('.'!V58,Recipes!$A:$D,4,FALSE)="",""," ["&amp;VLOOKUP('.'!V58,Recipes!$A:$D,4,FALSE)&amp;"]"))</f>
        <v/>
      </c>
      <c r="W58" s="46" t="str">
        <f t="array" ref="W58">IF('.'!W58="","",'.'!W58&amp;IF(VLOOKUP('.'!W58,Recipes!$A:$D,4,FALSE)="",""," ["&amp;VLOOKUP('.'!W58,Recipes!$A:$D,4,FALSE)&amp;"]"))</f>
        <v/>
      </c>
      <c r="X58" s="46" t="str">
        <f t="array" ref="X58">IF('.'!X58="","",'.'!X58&amp;IF(VLOOKUP('.'!X58,Recipes!$A:$D,4,FALSE)="",""," ["&amp;VLOOKUP('.'!X58,Recipes!$A:$D,4,FALSE)&amp;"]"))</f>
        <v/>
      </c>
      <c r="Y58" s="46" t="str">
        <f t="array" ref="Y58">IF('.'!Y58="","",'.'!Y58&amp;IF(VLOOKUP('.'!Y58,Recipes!$A:$D,4,FALSE)="",""," ["&amp;VLOOKUP('.'!Y58,Recipes!$A:$D,4,FALSE)&amp;"]"))</f>
        <v/>
      </c>
      <c r="Z58" s="46" t="str">
        <f t="array" ref="Z58">IF('.'!Z58="","",'.'!Z58&amp;IF(VLOOKUP('.'!Z58,Recipes!$A:$D,4,FALSE)="",""," ["&amp;VLOOKUP('.'!Z58,Recipes!$A:$D,4,FALSE)&amp;"]"))</f>
        <v/>
      </c>
      <c r="AA58" s="46" t="str">
        <f t="array" ref="AA58">IF('.'!AA58="","",'.'!AA58&amp;IF(VLOOKUP('.'!AA58,Recipes!$A:$D,4,FALSE)="",""," ["&amp;VLOOKUP('.'!AA58,Recipes!$A:$D,4,FALSE)&amp;"]"))</f>
        <v/>
      </c>
      <c r="AB58" s="46" t="str">
        <f t="array" ref="AB58">IF('.'!AB58="","",'.'!AB58&amp;IF(VLOOKUP('.'!AB58,Recipes!$A:$D,4,FALSE)="",""," ["&amp;VLOOKUP('.'!AB58,Recipes!$A:$D,4,FALSE)&amp;"]"))</f>
        <v/>
      </c>
      <c r="AC58" s="46" t="str">
        <f t="array" ref="AC58">IF('.'!AC58="","",'.'!AC58&amp;IF(VLOOKUP('.'!AC58,Recipes!$A:$D,4,FALSE)="",""," ["&amp;VLOOKUP('.'!AC58,Recipes!$A:$D,4,FALSE)&amp;"]"))</f>
        <v/>
      </c>
      <c r="AD58" s="46" t="str">
        <f t="array" ref="AD58">IF('.'!AD58="","",'.'!AD58&amp;IF(VLOOKUP('.'!AD58,Recipes!$A:$D,4,FALSE)="",""," ["&amp;VLOOKUP('.'!AD58,Recipes!$A:$D,4,FALSE)&amp;"]"))</f>
        <v/>
      </c>
      <c r="AE58" s="47"/>
      <c r="AF58" s="47"/>
      <c r="AG58" s="47"/>
      <c r="AH58" s="47"/>
      <c r="AI58" s="47"/>
      <c r="AJ58" s="47"/>
      <c r="AK58" s="47"/>
      <c r="AL58" s="47"/>
      <c r="AM58" s="47"/>
      <c r="AN58" s="47"/>
      <c r="AO58" s="47"/>
      <c r="AP58" s="47"/>
      <c r="AQ58" s="47"/>
      <c r="AR58" s="47"/>
      <c r="AS58" s="47"/>
      <c r="AT58" s="47"/>
      <c r="AU58" s="47"/>
      <c r="AV58" s="47"/>
      <c r="AW58" s="47"/>
      <c r="AX58" s="47"/>
      <c r="AY58" s="47"/>
      <c r="AZ58" s="47"/>
      <c r="BA58" s="47"/>
      <c r="BB58" s="47"/>
      <c r="BC58" s="47"/>
      <c r="BD58" s="47"/>
      <c r="BE58" s="47"/>
      <c r="BF58" s="47"/>
      <c r="BG58" s="47"/>
      <c r="BH58" s="47"/>
      <c r="BI58" s="47"/>
      <c r="BJ58" s="47"/>
      <c r="BK58" s="47"/>
      <c r="BL58" s="47"/>
      <c r="BM58" s="47"/>
      <c r="BN58" s="47"/>
      <c r="BO58" s="47"/>
      <c r="BP58" s="47"/>
      <c r="BQ58" s="47"/>
      <c r="BR58" s="47"/>
      <c r="BS58" s="47"/>
      <c r="BT58" s="47"/>
      <c r="BU58" s="47"/>
      <c r="BV58" s="47"/>
      <c r="BW58" s="47"/>
      <c r="BX58" s="47"/>
      <c r="BY58" s="47"/>
      <c r="BZ58" s="47"/>
    </row>
    <row r="59" spans="1:78" ht="13">
      <c r="A59" s="48" t="str">
        <f ca="1">'.'!A59</f>
        <v>Big Chicken Foot</v>
      </c>
      <c r="B59" s="46" t="str">
        <f t="array" aca="1" ref="B59" ca="1">IF('.'!B59="","",'.'!B59&amp;IF(VLOOKUP('.'!B59,Recipes!$A:$D,4,FALSE)="",""," ["&amp;VLOOKUP('.'!B59,Recipes!$A:$D,4,FALSE)&amp;"]"))</f>
        <v>Chicken Claw Scroll [-10]</v>
      </c>
      <c r="C59" s="46" t="str">
        <f t="array" ref="C59">IF('.'!C59="","",'.'!C59&amp;IF(VLOOKUP('.'!C59,Recipes!$A:$D,4,FALSE)="",""," ["&amp;VLOOKUP('.'!C59,Recipes!$A:$D,4,FALSE)&amp;"]"))</f>
        <v/>
      </c>
      <c r="D59" s="46" t="str">
        <f t="array" ref="D59">IF('.'!D59="","",'.'!D59&amp;IF(VLOOKUP('.'!D59,Recipes!$A:$D,4,FALSE)="",""," ["&amp;VLOOKUP('.'!D59,Recipes!$A:$D,4,FALSE)&amp;"]"))</f>
        <v/>
      </c>
      <c r="E59" s="46" t="str">
        <f t="array" ref="E59">IF('.'!E59="","",'.'!E59&amp;IF(VLOOKUP('.'!E59,Recipes!$A:$D,4,FALSE)="",""," ["&amp;VLOOKUP('.'!E59,Recipes!$A:$D,4,FALSE)&amp;"]"))</f>
        <v/>
      </c>
      <c r="F59" s="46" t="str">
        <f t="array" ref="F59">IF('.'!F59="","",'.'!F59&amp;IF(VLOOKUP('.'!F59,Recipes!$A:$D,4,FALSE)="",""," ["&amp;VLOOKUP('.'!F59,Recipes!$A:$D,4,FALSE)&amp;"]"))</f>
        <v/>
      </c>
      <c r="G59" s="46" t="str">
        <f t="array" ref="G59">IF('.'!G59="","",'.'!G59&amp;IF(VLOOKUP('.'!G59,Recipes!$A:$D,4,FALSE)="",""," ["&amp;VLOOKUP('.'!G59,Recipes!$A:$D,4,FALSE)&amp;"]"))</f>
        <v/>
      </c>
      <c r="H59" s="46" t="str">
        <f t="array" ref="H59">IF('.'!H59="","",'.'!H59&amp;IF(VLOOKUP('.'!H59,Recipes!$A:$D,4,FALSE)="",""," ["&amp;VLOOKUP('.'!H59,Recipes!$A:$D,4,FALSE)&amp;"]"))</f>
        <v/>
      </c>
      <c r="I59" s="46" t="str">
        <f t="array" ref="I59">IF('.'!I59="","",'.'!I59&amp;IF(VLOOKUP('.'!I59,Recipes!$A:$D,4,FALSE)="",""," ["&amp;VLOOKUP('.'!I59,Recipes!$A:$D,4,FALSE)&amp;"]"))</f>
        <v/>
      </c>
      <c r="J59" s="46" t="str">
        <f t="array" ref="J59">IF('.'!J59="","",'.'!J59&amp;IF(VLOOKUP('.'!J59,Recipes!$A:$D,4,FALSE)="",""," ["&amp;VLOOKUP('.'!J59,Recipes!$A:$D,4,FALSE)&amp;"]"))</f>
        <v/>
      </c>
      <c r="K59" s="46" t="str">
        <f t="array" ref="K59">IF('.'!K59="","",'.'!K59&amp;IF(VLOOKUP('.'!K59,Recipes!$A:$D,4,FALSE)="",""," ["&amp;VLOOKUP('.'!K59,Recipes!$A:$D,4,FALSE)&amp;"]"))</f>
        <v/>
      </c>
      <c r="L59" s="46" t="str">
        <f t="array" ref="L59">IF('.'!L59="","",'.'!L59&amp;IF(VLOOKUP('.'!L59,Recipes!$A:$D,4,FALSE)="",""," ["&amp;VLOOKUP('.'!L59,Recipes!$A:$D,4,FALSE)&amp;"]"))</f>
        <v/>
      </c>
      <c r="M59" s="46" t="str">
        <f t="array" ref="M59">IF('.'!M59="","",'.'!M59&amp;IF(VLOOKUP('.'!M59,Recipes!$A:$D,4,FALSE)="",""," ["&amp;VLOOKUP('.'!M59,Recipes!$A:$D,4,FALSE)&amp;"]"))</f>
        <v/>
      </c>
      <c r="N59" s="46" t="str">
        <f t="array" ref="N59">IF('.'!N59="","",'.'!N59&amp;IF(VLOOKUP('.'!N59,Recipes!$A:$D,4,FALSE)="",""," ["&amp;VLOOKUP('.'!N59,Recipes!$A:$D,4,FALSE)&amp;"]"))</f>
        <v/>
      </c>
      <c r="O59" s="46" t="str">
        <f t="array" ref="O59">IF('.'!O59="","",'.'!O59&amp;IF(VLOOKUP('.'!O59,Recipes!$A:$D,4,FALSE)="",""," ["&amp;VLOOKUP('.'!O59,Recipes!$A:$D,4,FALSE)&amp;"]"))</f>
        <v/>
      </c>
      <c r="P59" s="46" t="str">
        <f t="array" ref="P59">IF('.'!P59="","",'.'!P59&amp;IF(VLOOKUP('.'!P59,Recipes!$A:$D,4,FALSE)="",""," ["&amp;VLOOKUP('.'!P59,Recipes!$A:$D,4,FALSE)&amp;"]"))</f>
        <v/>
      </c>
      <c r="Q59" s="46" t="str">
        <f t="array" ref="Q59">IF('.'!Q59="","",'.'!Q59&amp;IF(VLOOKUP('.'!Q59,Recipes!$A:$D,4,FALSE)="",""," ["&amp;VLOOKUP('.'!Q59,Recipes!$A:$D,4,FALSE)&amp;"]"))</f>
        <v/>
      </c>
      <c r="R59" s="46" t="str">
        <f t="array" ref="R59">IF('.'!R59="","",'.'!R59&amp;IF(VLOOKUP('.'!R59,Recipes!$A:$D,4,FALSE)="",""," ["&amp;VLOOKUP('.'!R59,Recipes!$A:$D,4,FALSE)&amp;"]"))</f>
        <v/>
      </c>
      <c r="S59" s="46" t="str">
        <f t="array" ref="S59">IF('.'!S59="","",'.'!S59&amp;IF(VLOOKUP('.'!S59,Recipes!$A:$D,4,FALSE)="",""," ["&amp;VLOOKUP('.'!S59,Recipes!$A:$D,4,FALSE)&amp;"]"))</f>
        <v/>
      </c>
      <c r="T59" s="46" t="str">
        <f t="array" ref="T59">IF('.'!T59="","",'.'!T59&amp;IF(VLOOKUP('.'!T59,Recipes!$A:$D,4,FALSE)="",""," ["&amp;VLOOKUP('.'!T59,Recipes!$A:$D,4,FALSE)&amp;"]"))</f>
        <v/>
      </c>
      <c r="U59" s="46" t="str">
        <f t="array" ref="U59">IF('.'!U59="","",'.'!U59&amp;IF(VLOOKUP('.'!U59,Recipes!$A:$D,4,FALSE)="",""," ["&amp;VLOOKUP('.'!U59,Recipes!$A:$D,4,FALSE)&amp;"]"))</f>
        <v/>
      </c>
      <c r="V59" s="46" t="str">
        <f t="array" ref="V59">IF('.'!V59="","",'.'!V59&amp;IF(VLOOKUP('.'!V59,Recipes!$A:$D,4,FALSE)="",""," ["&amp;VLOOKUP('.'!V59,Recipes!$A:$D,4,FALSE)&amp;"]"))</f>
        <v/>
      </c>
      <c r="W59" s="46" t="str">
        <f t="array" ref="W59">IF('.'!W59="","",'.'!W59&amp;IF(VLOOKUP('.'!W59,Recipes!$A:$D,4,FALSE)="",""," ["&amp;VLOOKUP('.'!W59,Recipes!$A:$D,4,FALSE)&amp;"]"))</f>
        <v/>
      </c>
      <c r="X59" s="46" t="str">
        <f t="array" ref="X59">IF('.'!X59="","",'.'!X59&amp;IF(VLOOKUP('.'!X59,Recipes!$A:$D,4,FALSE)="",""," ["&amp;VLOOKUP('.'!X59,Recipes!$A:$D,4,FALSE)&amp;"]"))</f>
        <v/>
      </c>
      <c r="Y59" s="46" t="str">
        <f t="array" ref="Y59">IF('.'!Y59="","",'.'!Y59&amp;IF(VLOOKUP('.'!Y59,Recipes!$A:$D,4,FALSE)="",""," ["&amp;VLOOKUP('.'!Y59,Recipes!$A:$D,4,FALSE)&amp;"]"))</f>
        <v/>
      </c>
      <c r="Z59" s="46" t="str">
        <f t="array" ref="Z59">IF('.'!Z59="","",'.'!Z59&amp;IF(VLOOKUP('.'!Z59,Recipes!$A:$D,4,FALSE)="",""," ["&amp;VLOOKUP('.'!Z59,Recipes!$A:$D,4,FALSE)&amp;"]"))</f>
        <v/>
      </c>
      <c r="AA59" s="46" t="str">
        <f t="array" ref="AA59">IF('.'!AA59="","",'.'!AA59&amp;IF(VLOOKUP('.'!AA59,Recipes!$A:$D,4,FALSE)="",""," ["&amp;VLOOKUP('.'!AA59,Recipes!$A:$D,4,FALSE)&amp;"]"))</f>
        <v/>
      </c>
      <c r="AB59" s="46" t="str">
        <f t="array" ref="AB59">IF('.'!AB59="","",'.'!AB59&amp;IF(VLOOKUP('.'!AB59,Recipes!$A:$D,4,FALSE)="",""," ["&amp;VLOOKUP('.'!AB59,Recipes!$A:$D,4,FALSE)&amp;"]"))</f>
        <v/>
      </c>
      <c r="AC59" s="46" t="str">
        <f t="array" ref="AC59">IF('.'!AC59="","",'.'!AC59&amp;IF(VLOOKUP('.'!AC59,Recipes!$A:$D,4,FALSE)="",""," ["&amp;VLOOKUP('.'!AC59,Recipes!$A:$D,4,FALSE)&amp;"]"))</f>
        <v/>
      </c>
      <c r="AD59" s="46" t="str">
        <f t="array" ref="AD59">IF('.'!AD59="","",'.'!AD59&amp;IF(VLOOKUP('.'!AD59,Recipes!$A:$D,4,FALSE)="",""," ["&amp;VLOOKUP('.'!AD59,Recipes!$A:$D,4,FALSE)&amp;"]"))</f>
        <v/>
      </c>
      <c r="AE59" s="47"/>
      <c r="AF59" s="47"/>
      <c r="AG59" s="47"/>
      <c r="AH59" s="47"/>
      <c r="AI59" s="47"/>
      <c r="AJ59" s="47"/>
      <c r="AK59" s="47"/>
      <c r="AL59" s="47"/>
      <c r="AM59" s="47"/>
      <c r="AN59" s="47"/>
      <c r="AO59" s="47"/>
      <c r="AP59" s="47"/>
      <c r="AQ59" s="47"/>
      <c r="AR59" s="47"/>
      <c r="AS59" s="47"/>
      <c r="AT59" s="47"/>
      <c r="AU59" s="47"/>
      <c r="AV59" s="47"/>
      <c r="AW59" s="47"/>
      <c r="AX59" s="47"/>
      <c r="AY59" s="47"/>
      <c r="AZ59" s="47"/>
      <c r="BA59" s="47"/>
      <c r="BB59" s="47"/>
      <c r="BC59" s="47"/>
      <c r="BD59" s="47"/>
      <c r="BE59" s="47"/>
      <c r="BF59" s="47"/>
      <c r="BG59" s="47"/>
      <c r="BH59" s="47"/>
      <c r="BI59" s="47"/>
      <c r="BJ59" s="47"/>
      <c r="BK59" s="47"/>
      <c r="BL59" s="47"/>
      <c r="BM59" s="47"/>
      <c r="BN59" s="47"/>
      <c r="BO59" s="47"/>
      <c r="BP59" s="47"/>
      <c r="BQ59" s="47"/>
      <c r="BR59" s="47"/>
      <c r="BS59" s="47"/>
      <c r="BT59" s="47"/>
      <c r="BU59" s="47"/>
      <c r="BV59" s="47"/>
      <c r="BW59" s="47"/>
      <c r="BX59" s="47"/>
      <c r="BY59" s="47"/>
      <c r="BZ59" s="47"/>
    </row>
    <row r="60" spans="1:78" ht="13">
      <c r="A60" s="48" t="str">
        <f ca="1">'.'!A60</f>
        <v>Black Shroud Scroll</v>
      </c>
      <c r="B60" s="46" t="str">
        <f t="array" aca="1" ref="B60" ca="1">IF('.'!B60="","",'.'!B60&amp;IF(VLOOKUP('.'!B60,Recipes!$A:$D,4,FALSE)="",""," ["&amp;VLOOKUP('.'!B60,Recipes!$A:$D,4,FALSE)&amp;"]"))</f>
        <v>Black Shroud Skillbook [290]</v>
      </c>
      <c r="C60" s="46" t="str">
        <f t="array" ref="C60">IF('.'!C60="","",'.'!C60&amp;IF(VLOOKUP('.'!C60,Recipes!$A:$D,4,FALSE)="",""," ["&amp;VLOOKUP('.'!C60,Recipes!$A:$D,4,FALSE)&amp;"]"))</f>
        <v/>
      </c>
      <c r="D60" s="46" t="str">
        <f t="array" ref="D60">IF('.'!D60="","",'.'!D60&amp;IF(VLOOKUP('.'!D60,Recipes!$A:$D,4,FALSE)="",""," ["&amp;VLOOKUP('.'!D60,Recipes!$A:$D,4,FALSE)&amp;"]"))</f>
        <v/>
      </c>
      <c r="E60" s="46" t="str">
        <f t="array" ref="E60">IF('.'!E60="","",'.'!E60&amp;IF(VLOOKUP('.'!E60,Recipes!$A:$D,4,FALSE)="",""," ["&amp;VLOOKUP('.'!E60,Recipes!$A:$D,4,FALSE)&amp;"]"))</f>
        <v/>
      </c>
      <c r="F60" s="46" t="str">
        <f t="array" ref="F60">IF('.'!F60="","",'.'!F60&amp;IF(VLOOKUP('.'!F60,Recipes!$A:$D,4,FALSE)="",""," ["&amp;VLOOKUP('.'!F60,Recipes!$A:$D,4,FALSE)&amp;"]"))</f>
        <v/>
      </c>
      <c r="G60" s="46" t="str">
        <f t="array" ref="G60">IF('.'!G60="","",'.'!G60&amp;IF(VLOOKUP('.'!G60,Recipes!$A:$D,4,FALSE)="",""," ["&amp;VLOOKUP('.'!G60,Recipes!$A:$D,4,FALSE)&amp;"]"))</f>
        <v/>
      </c>
      <c r="H60" s="46" t="str">
        <f t="array" ref="H60">IF('.'!H60="","",'.'!H60&amp;IF(VLOOKUP('.'!H60,Recipes!$A:$D,4,FALSE)="",""," ["&amp;VLOOKUP('.'!H60,Recipes!$A:$D,4,FALSE)&amp;"]"))</f>
        <v/>
      </c>
      <c r="I60" s="46" t="str">
        <f t="array" ref="I60">IF('.'!I60="","",'.'!I60&amp;IF(VLOOKUP('.'!I60,Recipes!$A:$D,4,FALSE)="",""," ["&amp;VLOOKUP('.'!I60,Recipes!$A:$D,4,FALSE)&amp;"]"))</f>
        <v/>
      </c>
      <c r="J60" s="46" t="str">
        <f t="array" ref="J60">IF('.'!J60="","",'.'!J60&amp;IF(VLOOKUP('.'!J60,Recipes!$A:$D,4,FALSE)="",""," ["&amp;VLOOKUP('.'!J60,Recipes!$A:$D,4,FALSE)&amp;"]"))</f>
        <v/>
      </c>
      <c r="K60" s="46" t="str">
        <f t="array" ref="K60">IF('.'!K60="","",'.'!K60&amp;IF(VLOOKUP('.'!K60,Recipes!$A:$D,4,FALSE)="",""," ["&amp;VLOOKUP('.'!K60,Recipes!$A:$D,4,FALSE)&amp;"]"))</f>
        <v/>
      </c>
      <c r="L60" s="46" t="str">
        <f t="array" ref="L60">IF('.'!L60="","",'.'!L60&amp;IF(VLOOKUP('.'!L60,Recipes!$A:$D,4,FALSE)="",""," ["&amp;VLOOKUP('.'!L60,Recipes!$A:$D,4,FALSE)&amp;"]"))</f>
        <v/>
      </c>
      <c r="M60" s="46" t="str">
        <f t="array" ref="M60">IF('.'!M60="","",'.'!M60&amp;IF(VLOOKUP('.'!M60,Recipes!$A:$D,4,FALSE)="",""," ["&amp;VLOOKUP('.'!M60,Recipes!$A:$D,4,FALSE)&amp;"]"))</f>
        <v/>
      </c>
      <c r="N60" s="46" t="str">
        <f t="array" ref="N60">IF('.'!N60="","",'.'!N60&amp;IF(VLOOKUP('.'!N60,Recipes!$A:$D,4,FALSE)="",""," ["&amp;VLOOKUP('.'!N60,Recipes!$A:$D,4,FALSE)&amp;"]"))</f>
        <v/>
      </c>
      <c r="O60" s="46" t="str">
        <f t="array" ref="O60">IF('.'!O60="","",'.'!O60&amp;IF(VLOOKUP('.'!O60,Recipes!$A:$D,4,FALSE)="",""," ["&amp;VLOOKUP('.'!O60,Recipes!$A:$D,4,FALSE)&amp;"]"))</f>
        <v/>
      </c>
      <c r="P60" s="46" t="str">
        <f t="array" ref="P60">IF('.'!P60="","",'.'!P60&amp;IF(VLOOKUP('.'!P60,Recipes!$A:$D,4,FALSE)="",""," ["&amp;VLOOKUP('.'!P60,Recipes!$A:$D,4,FALSE)&amp;"]"))</f>
        <v/>
      </c>
      <c r="Q60" s="46" t="str">
        <f t="array" ref="Q60">IF('.'!Q60="","",'.'!Q60&amp;IF(VLOOKUP('.'!Q60,Recipes!$A:$D,4,FALSE)="",""," ["&amp;VLOOKUP('.'!Q60,Recipes!$A:$D,4,FALSE)&amp;"]"))</f>
        <v/>
      </c>
      <c r="R60" s="46" t="str">
        <f t="array" ref="R60">IF('.'!R60="","",'.'!R60&amp;IF(VLOOKUP('.'!R60,Recipes!$A:$D,4,FALSE)="",""," ["&amp;VLOOKUP('.'!R60,Recipes!$A:$D,4,FALSE)&amp;"]"))</f>
        <v/>
      </c>
      <c r="S60" s="46" t="str">
        <f t="array" ref="S60">IF('.'!S60="","",'.'!S60&amp;IF(VLOOKUP('.'!S60,Recipes!$A:$D,4,FALSE)="",""," ["&amp;VLOOKUP('.'!S60,Recipes!$A:$D,4,FALSE)&amp;"]"))</f>
        <v/>
      </c>
      <c r="T60" s="46" t="str">
        <f t="array" ref="T60">IF('.'!T60="","",'.'!T60&amp;IF(VLOOKUP('.'!T60,Recipes!$A:$D,4,FALSE)="",""," ["&amp;VLOOKUP('.'!T60,Recipes!$A:$D,4,FALSE)&amp;"]"))</f>
        <v/>
      </c>
      <c r="U60" s="46" t="str">
        <f t="array" ref="U60">IF('.'!U60="","",'.'!U60&amp;IF(VLOOKUP('.'!U60,Recipes!$A:$D,4,FALSE)="",""," ["&amp;VLOOKUP('.'!U60,Recipes!$A:$D,4,FALSE)&amp;"]"))</f>
        <v/>
      </c>
      <c r="V60" s="46" t="str">
        <f t="array" ref="V60">IF('.'!V60="","",'.'!V60&amp;IF(VLOOKUP('.'!V60,Recipes!$A:$D,4,FALSE)="",""," ["&amp;VLOOKUP('.'!V60,Recipes!$A:$D,4,FALSE)&amp;"]"))</f>
        <v/>
      </c>
      <c r="W60" s="46" t="str">
        <f t="array" ref="W60">IF('.'!W60="","",'.'!W60&amp;IF(VLOOKUP('.'!W60,Recipes!$A:$D,4,FALSE)="",""," ["&amp;VLOOKUP('.'!W60,Recipes!$A:$D,4,FALSE)&amp;"]"))</f>
        <v/>
      </c>
      <c r="X60" s="46" t="str">
        <f t="array" ref="X60">IF('.'!X60="","",'.'!X60&amp;IF(VLOOKUP('.'!X60,Recipes!$A:$D,4,FALSE)="",""," ["&amp;VLOOKUP('.'!X60,Recipes!$A:$D,4,FALSE)&amp;"]"))</f>
        <v/>
      </c>
      <c r="Y60" s="46" t="str">
        <f t="array" ref="Y60">IF('.'!Y60="","",'.'!Y60&amp;IF(VLOOKUP('.'!Y60,Recipes!$A:$D,4,FALSE)="",""," ["&amp;VLOOKUP('.'!Y60,Recipes!$A:$D,4,FALSE)&amp;"]"))</f>
        <v/>
      </c>
      <c r="Z60" s="46" t="str">
        <f t="array" ref="Z60">IF('.'!Z60="","",'.'!Z60&amp;IF(VLOOKUP('.'!Z60,Recipes!$A:$D,4,FALSE)="",""," ["&amp;VLOOKUP('.'!Z60,Recipes!$A:$D,4,FALSE)&amp;"]"))</f>
        <v/>
      </c>
      <c r="AA60" s="46" t="str">
        <f t="array" ref="AA60">IF('.'!AA60="","",'.'!AA60&amp;IF(VLOOKUP('.'!AA60,Recipes!$A:$D,4,FALSE)="",""," ["&amp;VLOOKUP('.'!AA60,Recipes!$A:$D,4,FALSE)&amp;"]"))</f>
        <v/>
      </c>
      <c r="AB60" s="46" t="str">
        <f t="array" ref="AB60">IF('.'!AB60="","",'.'!AB60&amp;IF(VLOOKUP('.'!AB60,Recipes!$A:$D,4,FALSE)="",""," ["&amp;VLOOKUP('.'!AB60,Recipes!$A:$D,4,FALSE)&amp;"]"))</f>
        <v/>
      </c>
      <c r="AC60" s="46" t="str">
        <f t="array" ref="AC60">IF('.'!AC60="","",'.'!AC60&amp;IF(VLOOKUP('.'!AC60,Recipes!$A:$D,4,FALSE)="",""," ["&amp;VLOOKUP('.'!AC60,Recipes!$A:$D,4,FALSE)&amp;"]"))</f>
        <v/>
      </c>
      <c r="AD60" s="46" t="str">
        <f t="array" ref="AD60">IF('.'!AD60="","",'.'!AD60&amp;IF(VLOOKUP('.'!AD60,Recipes!$A:$D,4,FALSE)="",""," ["&amp;VLOOKUP('.'!AD60,Recipes!$A:$D,4,FALSE)&amp;"]"))</f>
        <v/>
      </c>
      <c r="AE60" s="47"/>
      <c r="AF60" s="47"/>
      <c r="AG60" s="47"/>
      <c r="AH60" s="47"/>
      <c r="AI60" s="47"/>
      <c r="AJ60" s="47"/>
      <c r="AK60" s="47"/>
      <c r="AL60" s="47"/>
      <c r="AM60" s="47"/>
      <c r="AN60" s="47"/>
      <c r="AO60" s="47"/>
      <c r="AP60" s="47"/>
      <c r="AQ60" s="47"/>
      <c r="AR60" s="47"/>
      <c r="AS60" s="47"/>
      <c r="AT60" s="47"/>
      <c r="AU60" s="47"/>
      <c r="AV60" s="47"/>
      <c r="AW60" s="47"/>
      <c r="AX60" s="47"/>
      <c r="AY60" s="47"/>
      <c r="AZ60" s="47"/>
      <c r="BA60" s="47"/>
      <c r="BB60" s="47"/>
      <c r="BC60" s="47"/>
      <c r="BD60" s="47"/>
      <c r="BE60" s="47"/>
      <c r="BF60" s="47"/>
      <c r="BG60" s="47"/>
      <c r="BH60" s="47"/>
      <c r="BI60" s="47"/>
      <c r="BJ60" s="47"/>
      <c r="BK60" s="47"/>
      <c r="BL60" s="47"/>
      <c r="BM60" s="47"/>
      <c r="BN60" s="47"/>
      <c r="BO60" s="47"/>
      <c r="BP60" s="47"/>
      <c r="BQ60" s="47"/>
      <c r="BR60" s="47"/>
      <c r="BS60" s="47"/>
      <c r="BT60" s="47"/>
      <c r="BU60" s="47"/>
      <c r="BV60" s="47"/>
      <c r="BW60" s="47"/>
      <c r="BX60" s="47"/>
      <c r="BY60" s="47"/>
      <c r="BZ60" s="47"/>
    </row>
    <row r="61" spans="1:78" ht="13">
      <c r="A61" s="48" t="str">
        <f ca="1">'.'!A61</f>
        <v>Black Tea Leaves</v>
      </c>
      <c r="B61" s="46" t="str">
        <f t="array" aca="1" ref="B61" ca="1">IF('.'!B61="","",'.'!B61&amp;IF(VLOOKUP('.'!B61,Recipes!$A:$D,4,FALSE)="",""," ["&amp;VLOOKUP('.'!B61,Recipes!$A:$D,4,FALSE)&amp;"]"))</f>
        <v>Black Tea</v>
      </c>
      <c r="C61" s="46" t="str">
        <f t="array" ref="C61">IF('.'!C61="","",'.'!C61&amp;IF(VLOOKUP('.'!C61,Recipes!$A:$D,4,FALSE)="",""," ["&amp;VLOOKUP('.'!C61,Recipes!$A:$D,4,FALSE)&amp;"]"))</f>
        <v/>
      </c>
      <c r="D61" s="46" t="str">
        <f t="array" ref="D61">IF('.'!D61="","",'.'!D61&amp;IF(VLOOKUP('.'!D61,Recipes!$A:$D,4,FALSE)="",""," ["&amp;VLOOKUP('.'!D61,Recipes!$A:$D,4,FALSE)&amp;"]"))</f>
        <v/>
      </c>
      <c r="E61" s="46" t="str">
        <f t="array" ref="E61">IF('.'!E61="","",'.'!E61&amp;IF(VLOOKUP('.'!E61,Recipes!$A:$D,4,FALSE)="",""," ["&amp;VLOOKUP('.'!E61,Recipes!$A:$D,4,FALSE)&amp;"]"))</f>
        <v/>
      </c>
      <c r="F61" s="46" t="str">
        <f t="array" ref="F61">IF('.'!F61="","",'.'!F61&amp;IF(VLOOKUP('.'!F61,Recipes!$A:$D,4,FALSE)="",""," ["&amp;VLOOKUP('.'!F61,Recipes!$A:$D,4,FALSE)&amp;"]"))</f>
        <v/>
      </c>
      <c r="G61" s="46" t="str">
        <f t="array" ref="G61">IF('.'!G61="","",'.'!G61&amp;IF(VLOOKUP('.'!G61,Recipes!$A:$D,4,FALSE)="",""," ["&amp;VLOOKUP('.'!G61,Recipes!$A:$D,4,FALSE)&amp;"]"))</f>
        <v/>
      </c>
      <c r="H61" s="46" t="str">
        <f t="array" ref="H61">IF('.'!H61="","",'.'!H61&amp;IF(VLOOKUP('.'!H61,Recipes!$A:$D,4,FALSE)="",""," ["&amp;VLOOKUP('.'!H61,Recipes!$A:$D,4,FALSE)&amp;"]"))</f>
        <v/>
      </c>
      <c r="I61" s="46" t="str">
        <f t="array" ref="I61">IF('.'!I61="","",'.'!I61&amp;IF(VLOOKUP('.'!I61,Recipes!$A:$D,4,FALSE)="",""," ["&amp;VLOOKUP('.'!I61,Recipes!$A:$D,4,FALSE)&amp;"]"))</f>
        <v/>
      </c>
      <c r="J61" s="46" t="str">
        <f t="array" ref="J61">IF('.'!J61="","",'.'!J61&amp;IF(VLOOKUP('.'!J61,Recipes!$A:$D,4,FALSE)="",""," ["&amp;VLOOKUP('.'!J61,Recipes!$A:$D,4,FALSE)&amp;"]"))</f>
        <v/>
      </c>
      <c r="K61" s="46" t="str">
        <f t="array" ref="K61">IF('.'!K61="","",'.'!K61&amp;IF(VLOOKUP('.'!K61,Recipes!$A:$D,4,FALSE)="",""," ["&amp;VLOOKUP('.'!K61,Recipes!$A:$D,4,FALSE)&amp;"]"))</f>
        <v/>
      </c>
      <c r="L61" s="46" t="str">
        <f t="array" ref="L61">IF('.'!L61="","",'.'!L61&amp;IF(VLOOKUP('.'!L61,Recipes!$A:$D,4,FALSE)="",""," ["&amp;VLOOKUP('.'!L61,Recipes!$A:$D,4,FALSE)&amp;"]"))</f>
        <v/>
      </c>
      <c r="M61" s="46" t="str">
        <f t="array" ref="M61">IF('.'!M61="","",'.'!M61&amp;IF(VLOOKUP('.'!M61,Recipes!$A:$D,4,FALSE)="",""," ["&amp;VLOOKUP('.'!M61,Recipes!$A:$D,4,FALSE)&amp;"]"))</f>
        <v/>
      </c>
      <c r="N61" s="46" t="str">
        <f t="array" ref="N61">IF('.'!N61="","",'.'!N61&amp;IF(VLOOKUP('.'!N61,Recipes!$A:$D,4,FALSE)="",""," ["&amp;VLOOKUP('.'!N61,Recipes!$A:$D,4,FALSE)&amp;"]"))</f>
        <v/>
      </c>
      <c r="O61" s="46" t="str">
        <f t="array" ref="O61">IF('.'!O61="","",'.'!O61&amp;IF(VLOOKUP('.'!O61,Recipes!$A:$D,4,FALSE)="",""," ["&amp;VLOOKUP('.'!O61,Recipes!$A:$D,4,FALSE)&amp;"]"))</f>
        <v/>
      </c>
      <c r="P61" s="46" t="str">
        <f t="array" ref="P61">IF('.'!P61="","",'.'!P61&amp;IF(VLOOKUP('.'!P61,Recipes!$A:$D,4,FALSE)="",""," ["&amp;VLOOKUP('.'!P61,Recipes!$A:$D,4,FALSE)&amp;"]"))</f>
        <v/>
      </c>
      <c r="Q61" s="46" t="str">
        <f t="array" ref="Q61">IF('.'!Q61="","",'.'!Q61&amp;IF(VLOOKUP('.'!Q61,Recipes!$A:$D,4,FALSE)="",""," ["&amp;VLOOKUP('.'!Q61,Recipes!$A:$D,4,FALSE)&amp;"]"))</f>
        <v/>
      </c>
      <c r="R61" s="46" t="str">
        <f t="array" ref="R61">IF('.'!R61="","",'.'!R61&amp;IF(VLOOKUP('.'!R61,Recipes!$A:$D,4,FALSE)="",""," ["&amp;VLOOKUP('.'!R61,Recipes!$A:$D,4,FALSE)&amp;"]"))</f>
        <v/>
      </c>
      <c r="S61" s="46" t="str">
        <f t="array" ref="S61">IF('.'!S61="","",'.'!S61&amp;IF(VLOOKUP('.'!S61,Recipes!$A:$D,4,FALSE)="",""," ["&amp;VLOOKUP('.'!S61,Recipes!$A:$D,4,FALSE)&amp;"]"))</f>
        <v/>
      </c>
      <c r="T61" s="46" t="str">
        <f t="array" ref="T61">IF('.'!T61="","",'.'!T61&amp;IF(VLOOKUP('.'!T61,Recipes!$A:$D,4,FALSE)="",""," ["&amp;VLOOKUP('.'!T61,Recipes!$A:$D,4,FALSE)&amp;"]"))</f>
        <v/>
      </c>
      <c r="U61" s="46" t="str">
        <f t="array" ref="U61">IF('.'!U61="","",'.'!U61&amp;IF(VLOOKUP('.'!U61,Recipes!$A:$D,4,FALSE)="",""," ["&amp;VLOOKUP('.'!U61,Recipes!$A:$D,4,FALSE)&amp;"]"))</f>
        <v/>
      </c>
      <c r="V61" s="46" t="str">
        <f t="array" ref="V61">IF('.'!V61="","",'.'!V61&amp;IF(VLOOKUP('.'!V61,Recipes!$A:$D,4,FALSE)="",""," ["&amp;VLOOKUP('.'!V61,Recipes!$A:$D,4,FALSE)&amp;"]"))</f>
        <v/>
      </c>
      <c r="W61" s="46" t="str">
        <f t="array" ref="W61">IF('.'!W61="","",'.'!W61&amp;IF(VLOOKUP('.'!W61,Recipes!$A:$D,4,FALSE)="",""," ["&amp;VLOOKUP('.'!W61,Recipes!$A:$D,4,FALSE)&amp;"]"))</f>
        <v/>
      </c>
      <c r="X61" s="46" t="str">
        <f t="array" ref="X61">IF('.'!X61="","",'.'!X61&amp;IF(VLOOKUP('.'!X61,Recipes!$A:$D,4,FALSE)="",""," ["&amp;VLOOKUP('.'!X61,Recipes!$A:$D,4,FALSE)&amp;"]"))</f>
        <v/>
      </c>
      <c r="Y61" s="46" t="str">
        <f t="array" ref="Y61">IF('.'!Y61="","",'.'!Y61&amp;IF(VLOOKUP('.'!Y61,Recipes!$A:$D,4,FALSE)="",""," ["&amp;VLOOKUP('.'!Y61,Recipes!$A:$D,4,FALSE)&amp;"]"))</f>
        <v/>
      </c>
      <c r="Z61" s="46" t="str">
        <f t="array" ref="Z61">IF('.'!Z61="","",'.'!Z61&amp;IF(VLOOKUP('.'!Z61,Recipes!$A:$D,4,FALSE)="",""," ["&amp;VLOOKUP('.'!Z61,Recipes!$A:$D,4,FALSE)&amp;"]"))</f>
        <v/>
      </c>
      <c r="AA61" s="46" t="str">
        <f t="array" ref="AA61">IF('.'!AA61="","",'.'!AA61&amp;IF(VLOOKUP('.'!AA61,Recipes!$A:$D,4,FALSE)="",""," ["&amp;VLOOKUP('.'!AA61,Recipes!$A:$D,4,FALSE)&amp;"]"))</f>
        <v/>
      </c>
      <c r="AB61" s="46" t="str">
        <f t="array" ref="AB61">IF('.'!AB61="","",'.'!AB61&amp;IF(VLOOKUP('.'!AB61,Recipes!$A:$D,4,FALSE)="",""," ["&amp;VLOOKUP('.'!AB61,Recipes!$A:$D,4,FALSE)&amp;"]"))</f>
        <v/>
      </c>
      <c r="AC61" s="46" t="str">
        <f t="array" ref="AC61">IF('.'!AC61="","",'.'!AC61&amp;IF(VLOOKUP('.'!AC61,Recipes!$A:$D,4,FALSE)="",""," ["&amp;VLOOKUP('.'!AC61,Recipes!$A:$D,4,FALSE)&amp;"]"))</f>
        <v/>
      </c>
      <c r="AD61" s="46" t="str">
        <f t="array" ref="AD61">IF('.'!AD61="","",'.'!AD61&amp;IF(VLOOKUP('.'!AD61,Recipes!$A:$D,4,FALSE)="",""," ["&amp;VLOOKUP('.'!AD61,Recipes!$A:$D,4,FALSE)&amp;"]"))</f>
        <v/>
      </c>
      <c r="AE61" s="47"/>
      <c r="AF61" s="47"/>
      <c r="AG61" s="47"/>
      <c r="AH61" s="47"/>
      <c r="AI61" s="47"/>
      <c r="AJ61" s="47"/>
      <c r="AK61" s="47"/>
      <c r="AL61" s="47"/>
      <c r="AM61" s="47"/>
      <c r="AN61" s="47"/>
      <c r="AO61" s="47"/>
      <c r="AP61" s="47"/>
      <c r="AQ61" s="47"/>
      <c r="AR61" s="47"/>
      <c r="AS61" s="47"/>
      <c r="AT61" s="47"/>
      <c r="AU61" s="47"/>
      <c r="AV61" s="47"/>
      <c r="AW61" s="47"/>
      <c r="AX61" s="47"/>
      <c r="AY61" s="47"/>
      <c r="AZ61" s="47"/>
      <c r="BA61" s="47"/>
      <c r="BB61" s="47"/>
      <c r="BC61" s="47"/>
      <c r="BD61" s="47"/>
      <c r="BE61" s="47"/>
      <c r="BF61" s="47"/>
      <c r="BG61" s="47"/>
      <c r="BH61" s="47"/>
      <c r="BI61" s="47"/>
      <c r="BJ61" s="47"/>
      <c r="BK61" s="47"/>
      <c r="BL61" s="47"/>
      <c r="BM61" s="47"/>
      <c r="BN61" s="47"/>
      <c r="BO61" s="47"/>
      <c r="BP61" s="47"/>
      <c r="BQ61" s="47"/>
      <c r="BR61" s="47"/>
      <c r="BS61" s="47"/>
      <c r="BT61" s="47"/>
      <c r="BU61" s="47"/>
      <c r="BV61" s="47"/>
      <c r="BW61" s="47"/>
      <c r="BX61" s="47"/>
      <c r="BY61" s="47"/>
      <c r="BZ61" s="47"/>
    </row>
    <row r="62" spans="1:78" ht="13">
      <c r="A62" s="48" t="str">
        <f ca="1">'.'!A62</f>
        <v>Blackroot</v>
      </c>
      <c r="B62" s="46" t="e">
        <f t="array" aca="1" ref="B62" ca="1">IF('.'!B62="","",'.'!B62&amp;IF(VLOOKUP('.'!B62,Recipes!$A:$D,4,FALSE)="",""," ["&amp;VLOOKUP('.'!B62,Recipes!$A:$D,4,FALSE)&amp;"]"))</f>
        <v>#VALUE!</v>
      </c>
      <c r="C62" s="46" t="e">
        <f t="array" aca="1" ref="C62" ca="1">IF('.'!C62="","",'.'!C62&amp;IF(VLOOKUP('.'!C62,Recipes!$A:$D,4,FALSE)="",""," ["&amp;VLOOKUP('.'!C62,Recipes!$A:$D,4,FALSE)&amp;"]"))</f>
        <v>#VALUE!</v>
      </c>
      <c r="D62" s="46" t="str">
        <f t="array" ref="D62">IF('.'!D62="","",'.'!D62&amp;IF(VLOOKUP('.'!D62,Recipes!$A:$D,4,FALSE)="",""," ["&amp;VLOOKUP('.'!D62,Recipes!$A:$D,4,FALSE)&amp;"]"))</f>
        <v/>
      </c>
      <c r="E62" s="46" t="str">
        <f t="array" ref="E62">IF('.'!E62="","",'.'!E62&amp;IF(VLOOKUP('.'!E62,Recipes!$A:$D,4,FALSE)="",""," ["&amp;VLOOKUP('.'!E62,Recipes!$A:$D,4,FALSE)&amp;"]"))</f>
        <v/>
      </c>
      <c r="F62" s="46" t="str">
        <f t="array" ref="F62">IF('.'!F62="","",'.'!F62&amp;IF(VLOOKUP('.'!F62,Recipes!$A:$D,4,FALSE)="",""," ["&amp;VLOOKUP('.'!F62,Recipes!$A:$D,4,FALSE)&amp;"]"))</f>
        <v/>
      </c>
      <c r="G62" s="46" t="str">
        <f t="array" ref="G62">IF('.'!G62="","",'.'!G62&amp;IF(VLOOKUP('.'!G62,Recipes!$A:$D,4,FALSE)="",""," ["&amp;VLOOKUP('.'!G62,Recipes!$A:$D,4,FALSE)&amp;"]"))</f>
        <v/>
      </c>
      <c r="H62" s="46" t="str">
        <f t="array" ref="H62">IF('.'!H62="","",'.'!H62&amp;IF(VLOOKUP('.'!H62,Recipes!$A:$D,4,FALSE)="",""," ["&amp;VLOOKUP('.'!H62,Recipes!$A:$D,4,FALSE)&amp;"]"))</f>
        <v/>
      </c>
      <c r="I62" s="46" t="str">
        <f t="array" ref="I62">IF('.'!I62="","",'.'!I62&amp;IF(VLOOKUP('.'!I62,Recipes!$A:$D,4,FALSE)="",""," ["&amp;VLOOKUP('.'!I62,Recipes!$A:$D,4,FALSE)&amp;"]"))</f>
        <v/>
      </c>
      <c r="J62" s="46" t="str">
        <f t="array" ref="J62">IF('.'!J62="","",'.'!J62&amp;IF(VLOOKUP('.'!J62,Recipes!$A:$D,4,FALSE)="",""," ["&amp;VLOOKUP('.'!J62,Recipes!$A:$D,4,FALSE)&amp;"]"))</f>
        <v/>
      </c>
      <c r="K62" s="46" t="str">
        <f t="array" ref="K62">IF('.'!K62="","",'.'!K62&amp;IF(VLOOKUP('.'!K62,Recipes!$A:$D,4,FALSE)="",""," ["&amp;VLOOKUP('.'!K62,Recipes!$A:$D,4,FALSE)&amp;"]"))</f>
        <v/>
      </c>
      <c r="L62" s="46" t="str">
        <f t="array" ref="L62">IF('.'!L62="","",'.'!L62&amp;IF(VLOOKUP('.'!L62,Recipes!$A:$D,4,FALSE)="",""," ["&amp;VLOOKUP('.'!L62,Recipes!$A:$D,4,FALSE)&amp;"]"))</f>
        <v/>
      </c>
      <c r="M62" s="46" t="str">
        <f t="array" ref="M62">IF('.'!M62="","",'.'!M62&amp;IF(VLOOKUP('.'!M62,Recipes!$A:$D,4,FALSE)="",""," ["&amp;VLOOKUP('.'!M62,Recipes!$A:$D,4,FALSE)&amp;"]"))</f>
        <v/>
      </c>
      <c r="N62" s="46" t="str">
        <f t="array" ref="N62">IF('.'!N62="","",'.'!N62&amp;IF(VLOOKUP('.'!N62,Recipes!$A:$D,4,FALSE)="",""," ["&amp;VLOOKUP('.'!N62,Recipes!$A:$D,4,FALSE)&amp;"]"))</f>
        <v/>
      </c>
      <c r="O62" s="46" t="str">
        <f t="array" ref="O62">IF('.'!O62="","",'.'!O62&amp;IF(VLOOKUP('.'!O62,Recipes!$A:$D,4,FALSE)="",""," ["&amp;VLOOKUP('.'!O62,Recipes!$A:$D,4,FALSE)&amp;"]"))</f>
        <v/>
      </c>
      <c r="P62" s="46" t="str">
        <f t="array" ref="P62">IF('.'!P62="","",'.'!P62&amp;IF(VLOOKUP('.'!P62,Recipes!$A:$D,4,FALSE)="",""," ["&amp;VLOOKUP('.'!P62,Recipes!$A:$D,4,FALSE)&amp;"]"))</f>
        <v/>
      </c>
      <c r="Q62" s="46" t="str">
        <f t="array" ref="Q62">IF('.'!Q62="","",'.'!Q62&amp;IF(VLOOKUP('.'!Q62,Recipes!$A:$D,4,FALSE)="",""," ["&amp;VLOOKUP('.'!Q62,Recipes!$A:$D,4,FALSE)&amp;"]"))</f>
        <v/>
      </c>
      <c r="R62" s="46" t="str">
        <f t="array" ref="R62">IF('.'!R62="","",'.'!R62&amp;IF(VLOOKUP('.'!R62,Recipes!$A:$D,4,FALSE)="",""," ["&amp;VLOOKUP('.'!R62,Recipes!$A:$D,4,FALSE)&amp;"]"))</f>
        <v/>
      </c>
      <c r="S62" s="46" t="str">
        <f t="array" ref="S62">IF('.'!S62="","",'.'!S62&amp;IF(VLOOKUP('.'!S62,Recipes!$A:$D,4,FALSE)="",""," ["&amp;VLOOKUP('.'!S62,Recipes!$A:$D,4,FALSE)&amp;"]"))</f>
        <v/>
      </c>
      <c r="T62" s="46" t="str">
        <f t="array" ref="T62">IF('.'!T62="","",'.'!T62&amp;IF(VLOOKUP('.'!T62,Recipes!$A:$D,4,FALSE)="",""," ["&amp;VLOOKUP('.'!T62,Recipes!$A:$D,4,FALSE)&amp;"]"))</f>
        <v/>
      </c>
      <c r="U62" s="46" t="str">
        <f t="array" ref="U62">IF('.'!U62="","",'.'!U62&amp;IF(VLOOKUP('.'!U62,Recipes!$A:$D,4,FALSE)="",""," ["&amp;VLOOKUP('.'!U62,Recipes!$A:$D,4,FALSE)&amp;"]"))</f>
        <v/>
      </c>
      <c r="V62" s="46" t="str">
        <f t="array" ref="V62">IF('.'!V62="","",'.'!V62&amp;IF(VLOOKUP('.'!V62,Recipes!$A:$D,4,FALSE)="",""," ["&amp;VLOOKUP('.'!V62,Recipes!$A:$D,4,FALSE)&amp;"]"))</f>
        <v/>
      </c>
      <c r="W62" s="46" t="str">
        <f t="array" ref="W62">IF('.'!W62="","",'.'!W62&amp;IF(VLOOKUP('.'!W62,Recipes!$A:$D,4,FALSE)="",""," ["&amp;VLOOKUP('.'!W62,Recipes!$A:$D,4,FALSE)&amp;"]"))</f>
        <v/>
      </c>
      <c r="X62" s="46" t="str">
        <f t="array" ref="X62">IF('.'!X62="","",'.'!X62&amp;IF(VLOOKUP('.'!X62,Recipes!$A:$D,4,FALSE)="",""," ["&amp;VLOOKUP('.'!X62,Recipes!$A:$D,4,FALSE)&amp;"]"))</f>
        <v/>
      </c>
      <c r="Y62" s="46" t="str">
        <f t="array" ref="Y62">IF('.'!Y62="","",'.'!Y62&amp;IF(VLOOKUP('.'!Y62,Recipes!$A:$D,4,FALSE)="",""," ["&amp;VLOOKUP('.'!Y62,Recipes!$A:$D,4,FALSE)&amp;"]"))</f>
        <v/>
      </c>
      <c r="Z62" s="46" t="str">
        <f t="array" ref="Z62">IF('.'!Z62="","",'.'!Z62&amp;IF(VLOOKUP('.'!Z62,Recipes!$A:$D,4,FALSE)="",""," ["&amp;VLOOKUP('.'!Z62,Recipes!$A:$D,4,FALSE)&amp;"]"))</f>
        <v/>
      </c>
      <c r="AA62" s="46" t="str">
        <f t="array" ref="AA62">IF('.'!AA62="","",'.'!AA62&amp;IF(VLOOKUP('.'!AA62,Recipes!$A:$D,4,FALSE)="",""," ["&amp;VLOOKUP('.'!AA62,Recipes!$A:$D,4,FALSE)&amp;"]"))</f>
        <v/>
      </c>
      <c r="AB62" s="46" t="str">
        <f t="array" ref="AB62">IF('.'!AB62="","",'.'!AB62&amp;IF(VLOOKUP('.'!AB62,Recipes!$A:$D,4,FALSE)="",""," ["&amp;VLOOKUP('.'!AB62,Recipes!$A:$D,4,FALSE)&amp;"]"))</f>
        <v/>
      </c>
      <c r="AC62" s="46" t="str">
        <f t="array" ref="AC62">IF('.'!AC62="","",'.'!AC62&amp;IF(VLOOKUP('.'!AC62,Recipes!$A:$D,4,FALSE)="",""," ["&amp;VLOOKUP('.'!AC62,Recipes!$A:$D,4,FALSE)&amp;"]"))</f>
        <v/>
      </c>
      <c r="AD62" s="46" t="str">
        <f t="array" ref="AD62">IF('.'!AD62="","",'.'!AD62&amp;IF(VLOOKUP('.'!AD62,Recipes!$A:$D,4,FALSE)="",""," ["&amp;VLOOKUP('.'!AD62,Recipes!$A:$D,4,FALSE)&amp;"]"))</f>
        <v/>
      </c>
      <c r="AE62" s="47"/>
      <c r="AF62" s="47"/>
      <c r="AG62" s="47"/>
      <c r="AH62" s="47"/>
      <c r="AI62" s="47"/>
      <c r="AJ62" s="47"/>
      <c r="AK62" s="47"/>
      <c r="AL62" s="47"/>
      <c r="AM62" s="47"/>
      <c r="AN62" s="47"/>
      <c r="AO62" s="47"/>
      <c r="AP62" s="47"/>
      <c r="AQ62" s="47"/>
      <c r="AR62" s="47"/>
      <c r="AS62" s="47"/>
      <c r="AT62" s="47"/>
      <c r="AU62" s="47"/>
      <c r="AV62" s="47"/>
      <c r="AW62" s="47"/>
      <c r="AX62" s="47"/>
      <c r="AY62" s="47"/>
      <c r="AZ62" s="47"/>
      <c r="BA62" s="47"/>
      <c r="BB62" s="47"/>
      <c r="BC62" s="47"/>
      <c r="BD62" s="47"/>
      <c r="BE62" s="47"/>
      <c r="BF62" s="47"/>
      <c r="BG62" s="47"/>
      <c r="BH62" s="47"/>
      <c r="BI62" s="47"/>
      <c r="BJ62" s="47"/>
      <c r="BK62" s="47"/>
      <c r="BL62" s="47"/>
      <c r="BM62" s="47"/>
      <c r="BN62" s="47"/>
      <c r="BO62" s="47"/>
      <c r="BP62" s="47"/>
      <c r="BQ62" s="47"/>
      <c r="BR62" s="47"/>
      <c r="BS62" s="47"/>
      <c r="BT62" s="47"/>
      <c r="BU62" s="47"/>
      <c r="BV62" s="47"/>
      <c r="BW62" s="47"/>
      <c r="BX62" s="47"/>
      <c r="BY62" s="47"/>
      <c r="BZ62" s="47"/>
    </row>
    <row r="63" spans="1:78" ht="13">
      <c r="A63" s="48" t="str">
        <f ca="1">'.'!A63</f>
        <v>Blade of the Promise Breaker</v>
      </c>
      <c r="B63" s="46" t="e">
        <f t="array" aca="1" ref="B63" ca="1">IF('.'!B63="","",'.'!B63&amp;IF(VLOOKUP('.'!B63,Recipes!$A:$D,4,FALSE)="",""," ["&amp;VLOOKUP('.'!B63,Recipes!$A:$D,4,FALSE)&amp;"]"))</f>
        <v>#VALUE!</v>
      </c>
      <c r="C63" s="46" t="str">
        <f t="array" ref="C63">IF('.'!C63="","",'.'!C63&amp;IF(VLOOKUP('.'!C63,Recipes!$A:$D,4,FALSE)="",""," ["&amp;VLOOKUP('.'!C63,Recipes!$A:$D,4,FALSE)&amp;"]"))</f>
        <v/>
      </c>
      <c r="D63" s="46" t="str">
        <f t="array" ref="D63">IF('.'!D63="","",'.'!D63&amp;IF(VLOOKUP('.'!D63,Recipes!$A:$D,4,FALSE)="",""," ["&amp;VLOOKUP('.'!D63,Recipes!$A:$D,4,FALSE)&amp;"]"))</f>
        <v/>
      </c>
      <c r="E63" s="46" t="str">
        <f t="array" ref="E63">IF('.'!E63="","",'.'!E63&amp;IF(VLOOKUP('.'!E63,Recipes!$A:$D,4,FALSE)="",""," ["&amp;VLOOKUP('.'!E63,Recipes!$A:$D,4,FALSE)&amp;"]"))</f>
        <v/>
      </c>
      <c r="F63" s="46" t="str">
        <f t="array" ref="F63">IF('.'!F63="","",'.'!F63&amp;IF(VLOOKUP('.'!F63,Recipes!$A:$D,4,FALSE)="",""," ["&amp;VLOOKUP('.'!F63,Recipes!$A:$D,4,FALSE)&amp;"]"))</f>
        <v/>
      </c>
      <c r="G63" s="46" t="str">
        <f t="array" ref="G63">IF('.'!G63="","",'.'!G63&amp;IF(VLOOKUP('.'!G63,Recipes!$A:$D,4,FALSE)="",""," ["&amp;VLOOKUP('.'!G63,Recipes!$A:$D,4,FALSE)&amp;"]"))</f>
        <v/>
      </c>
      <c r="H63" s="46" t="str">
        <f t="array" ref="H63">IF('.'!H63="","",'.'!H63&amp;IF(VLOOKUP('.'!H63,Recipes!$A:$D,4,FALSE)="",""," ["&amp;VLOOKUP('.'!H63,Recipes!$A:$D,4,FALSE)&amp;"]"))</f>
        <v/>
      </c>
      <c r="I63" s="46" t="str">
        <f t="array" ref="I63">IF('.'!I63="","",'.'!I63&amp;IF(VLOOKUP('.'!I63,Recipes!$A:$D,4,FALSE)="",""," ["&amp;VLOOKUP('.'!I63,Recipes!$A:$D,4,FALSE)&amp;"]"))</f>
        <v/>
      </c>
      <c r="J63" s="46" t="str">
        <f t="array" ref="J63">IF('.'!J63="","",'.'!J63&amp;IF(VLOOKUP('.'!J63,Recipes!$A:$D,4,FALSE)="",""," ["&amp;VLOOKUP('.'!J63,Recipes!$A:$D,4,FALSE)&amp;"]"))</f>
        <v/>
      </c>
      <c r="K63" s="46" t="str">
        <f t="array" ref="K63">IF('.'!K63="","",'.'!K63&amp;IF(VLOOKUP('.'!K63,Recipes!$A:$D,4,FALSE)="",""," ["&amp;VLOOKUP('.'!K63,Recipes!$A:$D,4,FALSE)&amp;"]"))</f>
        <v/>
      </c>
      <c r="L63" s="46" t="str">
        <f t="array" ref="L63">IF('.'!L63="","",'.'!L63&amp;IF(VLOOKUP('.'!L63,Recipes!$A:$D,4,FALSE)="",""," ["&amp;VLOOKUP('.'!L63,Recipes!$A:$D,4,FALSE)&amp;"]"))</f>
        <v/>
      </c>
      <c r="M63" s="46" t="str">
        <f t="array" ref="M63">IF('.'!M63="","",'.'!M63&amp;IF(VLOOKUP('.'!M63,Recipes!$A:$D,4,FALSE)="",""," ["&amp;VLOOKUP('.'!M63,Recipes!$A:$D,4,FALSE)&amp;"]"))</f>
        <v/>
      </c>
      <c r="N63" s="46" t="str">
        <f t="array" ref="N63">IF('.'!N63="","",'.'!N63&amp;IF(VLOOKUP('.'!N63,Recipes!$A:$D,4,FALSE)="",""," ["&amp;VLOOKUP('.'!N63,Recipes!$A:$D,4,FALSE)&amp;"]"))</f>
        <v/>
      </c>
      <c r="O63" s="46" t="str">
        <f t="array" ref="O63">IF('.'!O63="","",'.'!O63&amp;IF(VLOOKUP('.'!O63,Recipes!$A:$D,4,FALSE)="",""," ["&amp;VLOOKUP('.'!O63,Recipes!$A:$D,4,FALSE)&amp;"]"))</f>
        <v/>
      </c>
      <c r="P63" s="46" t="str">
        <f t="array" ref="P63">IF('.'!P63="","",'.'!P63&amp;IF(VLOOKUP('.'!P63,Recipes!$A:$D,4,FALSE)="",""," ["&amp;VLOOKUP('.'!P63,Recipes!$A:$D,4,FALSE)&amp;"]"))</f>
        <v/>
      </c>
      <c r="Q63" s="46" t="str">
        <f t="array" ref="Q63">IF('.'!Q63="","",'.'!Q63&amp;IF(VLOOKUP('.'!Q63,Recipes!$A:$D,4,FALSE)="",""," ["&amp;VLOOKUP('.'!Q63,Recipes!$A:$D,4,FALSE)&amp;"]"))</f>
        <v/>
      </c>
      <c r="R63" s="46" t="str">
        <f t="array" ref="R63">IF('.'!R63="","",'.'!R63&amp;IF(VLOOKUP('.'!R63,Recipes!$A:$D,4,FALSE)="",""," ["&amp;VLOOKUP('.'!R63,Recipes!$A:$D,4,FALSE)&amp;"]"))</f>
        <v/>
      </c>
      <c r="S63" s="46" t="str">
        <f t="array" ref="S63">IF('.'!S63="","",'.'!S63&amp;IF(VLOOKUP('.'!S63,Recipes!$A:$D,4,FALSE)="",""," ["&amp;VLOOKUP('.'!S63,Recipes!$A:$D,4,FALSE)&amp;"]"))</f>
        <v/>
      </c>
      <c r="T63" s="46" t="str">
        <f t="array" ref="T63">IF('.'!T63="","",'.'!T63&amp;IF(VLOOKUP('.'!T63,Recipes!$A:$D,4,FALSE)="",""," ["&amp;VLOOKUP('.'!T63,Recipes!$A:$D,4,FALSE)&amp;"]"))</f>
        <v/>
      </c>
      <c r="U63" s="46" t="str">
        <f t="array" ref="U63">IF('.'!U63="","",'.'!U63&amp;IF(VLOOKUP('.'!U63,Recipes!$A:$D,4,FALSE)="",""," ["&amp;VLOOKUP('.'!U63,Recipes!$A:$D,4,FALSE)&amp;"]"))</f>
        <v/>
      </c>
      <c r="V63" s="46" t="str">
        <f t="array" ref="V63">IF('.'!V63="","",'.'!V63&amp;IF(VLOOKUP('.'!V63,Recipes!$A:$D,4,FALSE)="",""," ["&amp;VLOOKUP('.'!V63,Recipes!$A:$D,4,FALSE)&amp;"]"))</f>
        <v/>
      </c>
      <c r="W63" s="46" t="str">
        <f t="array" ref="W63">IF('.'!W63="","",'.'!W63&amp;IF(VLOOKUP('.'!W63,Recipes!$A:$D,4,FALSE)="",""," ["&amp;VLOOKUP('.'!W63,Recipes!$A:$D,4,FALSE)&amp;"]"))</f>
        <v/>
      </c>
      <c r="X63" s="46" t="str">
        <f t="array" ref="X63">IF('.'!X63="","",'.'!X63&amp;IF(VLOOKUP('.'!X63,Recipes!$A:$D,4,FALSE)="",""," ["&amp;VLOOKUP('.'!X63,Recipes!$A:$D,4,FALSE)&amp;"]"))</f>
        <v/>
      </c>
      <c r="Y63" s="46" t="str">
        <f t="array" ref="Y63">IF('.'!Y63="","",'.'!Y63&amp;IF(VLOOKUP('.'!Y63,Recipes!$A:$D,4,FALSE)="",""," ["&amp;VLOOKUP('.'!Y63,Recipes!$A:$D,4,FALSE)&amp;"]"))</f>
        <v/>
      </c>
      <c r="Z63" s="46" t="str">
        <f t="array" ref="Z63">IF('.'!Z63="","",'.'!Z63&amp;IF(VLOOKUP('.'!Z63,Recipes!$A:$D,4,FALSE)="",""," ["&amp;VLOOKUP('.'!Z63,Recipes!$A:$D,4,FALSE)&amp;"]"))</f>
        <v/>
      </c>
      <c r="AA63" s="46" t="str">
        <f t="array" ref="AA63">IF('.'!AA63="","",'.'!AA63&amp;IF(VLOOKUP('.'!AA63,Recipes!$A:$D,4,FALSE)="",""," ["&amp;VLOOKUP('.'!AA63,Recipes!$A:$D,4,FALSE)&amp;"]"))</f>
        <v/>
      </c>
      <c r="AB63" s="46" t="str">
        <f t="array" ref="AB63">IF('.'!AB63="","",'.'!AB63&amp;IF(VLOOKUP('.'!AB63,Recipes!$A:$D,4,FALSE)="",""," ["&amp;VLOOKUP('.'!AB63,Recipes!$A:$D,4,FALSE)&amp;"]"))</f>
        <v/>
      </c>
      <c r="AC63" s="46" t="str">
        <f t="array" ref="AC63">IF('.'!AC63="","",'.'!AC63&amp;IF(VLOOKUP('.'!AC63,Recipes!$A:$D,4,FALSE)="",""," ["&amp;VLOOKUP('.'!AC63,Recipes!$A:$D,4,FALSE)&amp;"]"))</f>
        <v/>
      </c>
      <c r="AD63" s="46" t="str">
        <f t="array" ref="AD63">IF('.'!AD63="","",'.'!AD63&amp;IF(VLOOKUP('.'!AD63,Recipes!$A:$D,4,FALSE)="",""," ["&amp;VLOOKUP('.'!AD63,Recipes!$A:$D,4,FALSE)&amp;"]"))</f>
        <v/>
      </c>
      <c r="AE63" s="47"/>
      <c r="AF63" s="47"/>
      <c r="AG63" s="47"/>
      <c r="AH63" s="47"/>
      <c r="AI63" s="47"/>
      <c r="AJ63" s="47"/>
      <c r="AK63" s="47"/>
      <c r="AL63" s="47"/>
      <c r="AM63" s="47"/>
      <c r="AN63" s="47"/>
      <c r="AO63" s="47"/>
      <c r="AP63" s="47"/>
      <c r="AQ63" s="47"/>
      <c r="AR63" s="47"/>
      <c r="AS63" s="47"/>
      <c r="AT63" s="47"/>
      <c r="AU63" s="47"/>
      <c r="AV63" s="47"/>
      <c r="AW63" s="47"/>
      <c r="AX63" s="47"/>
      <c r="AY63" s="47"/>
      <c r="AZ63" s="47"/>
      <c r="BA63" s="47"/>
      <c r="BB63" s="47"/>
      <c r="BC63" s="47"/>
      <c r="BD63" s="47"/>
      <c r="BE63" s="47"/>
      <c r="BF63" s="47"/>
      <c r="BG63" s="47"/>
      <c r="BH63" s="47"/>
      <c r="BI63" s="47"/>
      <c r="BJ63" s="47"/>
      <c r="BK63" s="47"/>
      <c r="BL63" s="47"/>
      <c r="BM63" s="47"/>
      <c r="BN63" s="47"/>
      <c r="BO63" s="47"/>
      <c r="BP63" s="47"/>
      <c r="BQ63" s="47"/>
      <c r="BR63" s="47"/>
      <c r="BS63" s="47"/>
      <c r="BT63" s="47"/>
      <c r="BU63" s="47"/>
      <c r="BV63" s="47"/>
      <c r="BW63" s="47"/>
      <c r="BX63" s="47"/>
      <c r="BY63" s="47"/>
      <c r="BZ63" s="47"/>
    </row>
    <row r="64" spans="1:78" ht="13">
      <c r="A64" s="48" t="str">
        <f ca="1">'.'!A64</f>
        <v>Blank Skillbook Air</v>
      </c>
      <c r="B64" s="46" t="str">
        <f t="array" aca="1" ref="B64" ca="1">IF('.'!B64="","",'.'!B64&amp;IF(VLOOKUP('.'!B64,Recipes!$A:$D,4,FALSE)="",""," ["&amp;VLOOKUP('.'!B64,Recipes!$A:$D,4,FALSE)&amp;"]"))</f>
        <v>Apportation Skillbook [249]</v>
      </c>
      <c r="C64" s="46" t="str">
        <f t="array" aca="1" ref="C64" ca="1">IF('.'!C64="","",'.'!C64&amp;IF(VLOOKUP('.'!C64,Recipes!$A:$D,4,FALSE)="",""," ["&amp;VLOOKUP('.'!C64,Recipes!$A:$D,4,FALSE)&amp;"]"))</f>
        <v>Dazing Bolt Skillbook [-60]</v>
      </c>
      <c r="D64" s="46" t="str">
        <f t="array" aca="1" ref="D64" ca="1">IF('.'!D64="","",'.'!D64&amp;IF(VLOOKUP('.'!D64,Recipes!$A:$D,4,FALSE)="",""," ["&amp;VLOOKUP('.'!D64,Recipes!$A:$D,4,FALSE)&amp;"]"))</f>
        <v>Electric Discharge Skillbook [-200]</v>
      </c>
      <c r="E64" s="46" t="str">
        <f t="array" aca="1" ref="E64" ca="1">IF('.'!E64="","",'.'!E64&amp;IF(VLOOKUP('.'!E64,Recipes!$A:$D,4,FALSE)="",""," ["&amp;VLOOKUP('.'!E64,Recipes!$A:$D,4,FALSE)&amp;"]"))</f>
        <v>Favourable Wind Skillbook [-190]</v>
      </c>
      <c r="F64" s="46" t="str">
        <f t="array" aca="1" ref="F64" ca="1">IF('.'!F64="","",'.'!F64&amp;IF(VLOOKUP('.'!F64,Recipes!$A:$D,4,FALSE)="",""," ["&amp;VLOOKUP('.'!F64,Recipes!$A:$D,4,FALSE)&amp;"]"))</f>
        <v>Pressure Spike Skillbook [-10]</v>
      </c>
      <c r="G64" s="46" t="str">
        <f t="array" aca="1" ref="G64" ca="1">IF('.'!G64="","",'.'!G64&amp;IF(VLOOKUP('.'!G64,Recipes!$A:$D,4,FALSE)="",""," ["&amp;VLOOKUP('.'!G64,Recipes!$A:$D,4,FALSE)&amp;"]"))</f>
        <v>Shocking Touch Skillbook [-190]</v>
      </c>
      <c r="H64" s="46" t="str">
        <f t="array" aca="1" ref="H64" ca="1">IF('.'!H64="","",'.'!H64&amp;IF(VLOOKUP('.'!H64,Recipes!$A:$D,4,FALSE)="",""," ["&amp;VLOOKUP('.'!H64,Recipes!$A:$D,4,FALSE)&amp;"]"))</f>
        <v>Teleportation Skillbook [-100]</v>
      </c>
      <c r="I64" s="46" t="str">
        <f t="array" aca="1" ref="I64" ca="1">IF('.'!I64="","",'.'!I64&amp;IF(VLOOKUP('.'!I64,Recipes!$A:$D,4,FALSE)="",""," ["&amp;VLOOKUP('.'!I64,Recipes!$A:$D,4,FALSE)&amp;"]"))</f>
        <v>Uncanny Evasion Skillbook [-810]</v>
      </c>
      <c r="J64" s="46" t="str">
        <f t="array" ref="J64">IF('.'!J64="","",'.'!J64&amp;IF(VLOOKUP('.'!J64,Recipes!$A:$D,4,FALSE)="",""," ["&amp;VLOOKUP('.'!J64,Recipes!$A:$D,4,FALSE)&amp;"]"))</f>
        <v/>
      </c>
      <c r="K64" s="46" t="str">
        <f t="array" ref="K64">IF('.'!K64="","",'.'!K64&amp;IF(VLOOKUP('.'!K64,Recipes!$A:$D,4,FALSE)="",""," ["&amp;VLOOKUP('.'!K64,Recipes!$A:$D,4,FALSE)&amp;"]"))</f>
        <v/>
      </c>
      <c r="L64" s="46" t="str">
        <f t="array" ref="L64">IF('.'!L64="","",'.'!L64&amp;IF(VLOOKUP('.'!L64,Recipes!$A:$D,4,FALSE)="",""," ["&amp;VLOOKUP('.'!L64,Recipes!$A:$D,4,FALSE)&amp;"]"))</f>
        <v/>
      </c>
      <c r="M64" s="46" t="str">
        <f t="array" ref="M64">IF('.'!M64="","",'.'!M64&amp;IF(VLOOKUP('.'!M64,Recipes!$A:$D,4,FALSE)="",""," ["&amp;VLOOKUP('.'!M64,Recipes!$A:$D,4,FALSE)&amp;"]"))</f>
        <v/>
      </c>
      <c r="N64" s="46" t="str">
        <f t="array" ref="N64">IF('.'!N64="","",'.'!N64&amp;IF(VLOOKUP('.'!N64,Recipes!$A:$D,4,FALSE)="",""," ["&amp;VLOOKUP('.'!N64,Recipes!$A:$D,4,FALSE)&amp;"]"))</f>
        <v/>
      </c>
      <c r="O64" s="46" t="str">
        <f t="array" ref="O64">IF('.'!O64="","",'.'!O64&amp;IF(VLOOKUP('.'!O64,Recipes!$A:$D,4,FALSE)="",""," ["&amp;VLOOKUP('.'!O64,Recipes!$A:$D,4,FALSE)&amp;"]"))</f>
        <v/>
      </c>
      <c r="P64" s="46" t="str">
        <f t="array" ref="P64">IF('.'!P64="","",'.'!P64&amp;IF(VLOOKUP('.'!P64,Recipes!$A:$D,4,FALSE)="",""," ["&amp;VLOOKUP('.'!P64,Recipes!$A:$D,4,FALSE)&amp;"]"))</f>
        <v/>
      </c>
      <c r="Q64" s="46" t="str">
        <f t="array" ref="Q64">IF('.'!Q64="","",'.'!Q64&amp;IF(VLOOKUP('.'!Q64,Recipes!$A:$D,4,FALSE)="",""," ["&amp;VLOOKUP('.'!Q64,Recipes!$A:$D,4,FALSE)&amp;"]"))</f>
        <v/>
      </c>
      <c r="R64" s="46" t="str">
        <f t="array" ref="R64">IF('.'!R64="","",'.'!R64&amp;IF(VLOOKUP('.'!R64,Recipes!$A:$D,4,FALSE)="",""," ["&amp;VLOOKUP('.'!R64,Recipes!$A:$D,4,FALSE)&amp;"]"))</f>
        <v/>
      </c>
      <c r="S64" s="46" t="str">
        <f t="array" ref="S64">IF('.'!S64="","",'.'!S64&amp;IF(VLOOKUP('.'!S64,Recipes!$A:$D,4,FALSE)="",""," ["&amp;VLOOKUP('.'!S64,Recipes!$A:$D,4,FALSE)&amp;"]"))</f>
        <v/>
      </c>
      <c r="T64" s="46" t="str">
        <f t="array" ref="T64">IF('.'!T64="","",'.'!T64&amp;IF(VLOOKUP('.'!T64,Recipes!$A:$D,4,FALSE)="",""," ["&amp;VLOOKUP('.'!T64,Recipes!$A:$D,4,FALSE)&amp;"]"))</f>
        <v/>
      </c>
      <c r="U64" s="46" t="str">
        <f t="array" ref="U64">IF('.'!U64="","",'.'!U64&amp;IF(VLOOKUP('.'!U64,Recipes!$A:$D,4,FALSE)="",""," ["&amp;VLOOKUP('.'!U64,Recipes!$A:$D,4,FALSE)&amp;"]"))</f>
        <v/>
      </c>
      <c r="V64" s="46" t="str">
        <f t="array" ref="V64">IF('.'!V64="","",'.'!V64&amp;IF(VLOOKUP('.'!V64,Recipes!$A:$D,4,FALSE)="",""," ["&amp;VLOOKUP('.'!V64,Recipes!$A:$D,4,FALSE)&amp;"]"))</f>
        <v/>
      </c>
      <c r="W64" s="46" t="str">
        <f t="array" ref="W64">IF('.'!W64="","",'.'!W64&amp;IF(VLOOKUP('.'!W64,Recipes!$A:$D,4,FALSE)="",""," ["&amp;VLOOKUP('.'!W64,Recipes!$A:$D,4,FALSE)&amp;"]"))</f>
        <v/>
      </c>
      <c r="X64" s="46" t="str">
        <f t="array" ref="X64">IF('.'!X64="","",'.'!X64&amp;IF(VLOOKUP('.'!X64,Recipes!$A:$D,4,FALSE)="",""," ["&amp;VLOOKUP('.'!X64,Recipes!$A:$D,4,FALSE)&amp;"]"))</f>
        <v/>
      </c>
      <c r="Y64" s="46" t="str">
        <f t="array" ref="Y64">IF('.'!Y64="","",'.'!Y64&amp;IF(VLOOKUP('.'!Y64,Recipes!$A:$D,4,FALSE)="",""," ["&amp;VLOOKUP('.'!Y64,Recipes!$A:$D,4,FALSE)&amp;"]"))</f>
        <v/>
      </c>
      <c r="Z64" s="46" t="str">
        <f t="array" ref="Z64">IF('.'!Z64="","",'.'!Z64&amp;IF(VLOOKUP('.'!Z64,Recipes!$A:$D,4,FALSE)="",""," ["&amp;VLOOKUP('.'!Z64,Recipes!$A:$D,4,FALSE)&amp;"]"))</f>
        <v/>
      </c>
      <c r="AA64" s="46" t="str">
        <f t="array" ref="AA64">IF('.'!AA64="","",'.'!AA64&amp;IF(VLOOKUP('.'!AA64,Recipes!$A:$D,4,FALSE)="",""," ["&amp;VLOOKUP('.'!AA64,Recipes!$A:$D,4,FALSE)&amp;"]"))</f>
        <v/>
      </c>
      <c r="AB64" s="46" t="str">
        <f t="array" ref="AB64">IF('.'!AB64="","",'.'!AB64&amp;IF(VLOOKUP('.'!AB64,Recipes!$A:$D,4,FALSE)="",""," ["&amp;VLOOKUP('.'!AB64,Recipes!$A:$D,4,FALSE)&amp;"]"))</f>
        <v/>
      </c>
      <c r="AC64" s="46" t="str">
        <f t="array" ref="AC64">IF('.'!AC64="","",'.'!AC64&amp;IF(VLOOKUP('.'!AC64,Recipes!$A:$D,4,FALSE)="",""," ["&amp;VLOOKUP('.'!AC64,Recipes!$A:$D,4,FALSE)&amp;"]"))</f>
        <v/>
      </c>
      <c r="AD64" s="46" t="str">
        <f t="array" ref="AD64">IF('.'!AD64="","",'.'!AD64&amp;IF(VLOOKUP('.'!AD64,Recipes!$A:$D,4,FALSE)="",""," ["&amp;VLOOKUP('.'!AD64,Recipes!$A:$D,4,FALSE)&amp;"]"))</f>
        <v/>
      </c>
      <c r="AE64" s="47"/>
      <c r="AF64" s="47"/>
      <c r="AG64" s="47"/>
      <c r="AH64" s="47"/>
      <c r="AI64" s="47"/>
      <c r="AJ64" s="47"/>
      <c r="AK64" s="47"/>
      <c r="AL64" s="47"/>
      <c r="AM64" s="47"/>
      <c r="AN64" s="47"/>
      <c r="AO64" s="47"/>
      <c r="AP64" s="47"/>
      <c r="AQ64" s="47"/>
      <c r="AR64" s="47"/>
      <c r="AS64" s="47"/>
      <c r="AT64" s="47"/>
      <c r="AU64" s="47"/>
      <c r="AV64" s="47"/>
      <c r="AW64" s="47"/>
      <c r="AX64" s="47"/>
      <c r="AY64" s="47"/>
      <c r="AZ64" s="47"/>
      <c r="BA64" s="47"/>
      <c r="BB64" s="47"/>
      <c r="BC64" s="47"/>
      <c r="BD64" s="47"/>
      <c r="BE64" s="47"/>
      <c r="BF64" s="47"/>
      <c r="BG64" s="47"/>
      <c r="BH64" s="47"/>
      <c r="BI64" s="47"/>
      <c r="BJ64" s="47"/>
      <c r="BK64" s="47"/>
      <c r="BL64" s="47"/>
      <c r="BM64" s="47"/>
      <c r="BN64" s="47"/>
      <c r="BO64" s="47"/>
      <c r="BP64" s="47"/>
      <c r="BQ64" s="47"/>
      <c r="BR64" s="47"/>
      <c r="BS64" s="47"/>
      <c r="BT64" s="47"/>
      <c r="BU64" s="47"/>
      <c r="BV64" s="47"/>
      <c r="BW64" s="47"/>
      <c r="BX64" s="47"/>
      <c r="BY64" s="47"/>
      <c r="BZ64" s="47"/>
    </row>
    <row r="65" spans="1:78" ht="13">
      <c r="A65" s="48" t="str">
        <f ca="1">'.'!A65</f>
        <v>Blank Skillbook Earth</v>
      </c>
      <c r="B65" s="46" t="str">
        <f t="array" aca="1" ref="B65" ca="1">IF('.'!B65="","",'.'!B65&amp;IF(VLOOKUP('.'!B65,Recipes!$A:$D,4,FALSE)="",""," ["&amp;VLOOKUP('.'!B65,Recipes!$A:$D,4,FALSE)&amp;"]"))</f>
        <v>Artillery Plant Skillbook [290]</v>
      </c>
      <c r="C65" s="46" t="str">
        <f t="array" aca="1" ref="C65" ca="1">IF('.'!C65="","",'.'!C65&amp;IF(VLOOKUP('.'!C65,Recipes!$A:$D,4,FALSE)="",""," ["&amp;VLOOKUP('.'!C65,Recipes!$A:$D,4,FALSE)&amp;"]"))</f>
        <v>Contamination Skillbook [-190]</v>
      </c>
      <c r="D65" s="46" t="str">
        <f t="array" aca="1" ref="D65" ca="1">IF('.'!D65="","",'.'!D65&amp;IF(VLOOKUP('.'!D65,Recipes!$A:$D,4,FALSE)="",""," ["&amp;VLOOKUP('.'!D65,Recipes!$A:$D,4,FALSE)&amp;"]"))</f>
        <v>Earthquake Skillbook [-10]</v>
      </c>
      <c r="E65" s="46" t="str">
        <f t="array" aca="1" ref="E65" ca="1">IF('.'!E65="","",'.'!E65&amp;IF(VLOOKUP('.'!E65,Recipes!$A:$D,4,FALSE)="",""," ["&amp;VLOOKUP('.'!E65,Recipes!$A:$D,4,FALSE)&amp;"]"))</f>
        <v>Fortify Skillbook [-180]</v>
      </c>
      <c r="F65" s="46" t="str">
        <f t="array" aca="1" ref="F65" ca="1">IF('.'!F65="","",'.'!F65&amp;IF(VLOOKUP('.'!F65,Recipes!$A:$D,4,FALSE)="",""," ["&amp;VLOOKUP('.'!F65,Recipes!$A:$D,4,FALSE)&amp;"]"))</f>
        <v>Fossil Strike Skillbook [-200]</v>
      </c>
      <c r="G65" s="46" t="str">
        <f t="array" aca="1" ref="G65" ca="1">IF('.'!G65="","",'.'!G65&amp;IF(VLOOKUP('.'!G65,Recipes!$A:$D,4,FALSE)="",""," ["&amp;VLOOKUP('.'!G65,Recipes!$A:$D,4,FALSE)&amp;"]"))</f>
        <v>Impalement Skillbook [-160]</v>
      </c>
      <c r="H65" s="46" t="str">
        <f t="array" aca="1" ref="H65" ca="1">IF('.'!H65="","",'.'!H65&amp;IF(VLOOKUP('.'!H65,Recipes!$A:$D,4,FALSE)="",""," ["&amp;VLOOKUP('.'!H65,Recipes!$A:$D,4,FALSE)&amp;"]"))</f>
        <v>Mend Metal Skillbook [-160]</v>
      </c>
      <c r="I65" s="46" t="str">
        <f t="array" aca="1" ref="I65" ca="1">IF('.'!I65="","",'.'!I65&amp;IF(VLOOKUP('.'!I65,Recipes!$A:$D,4,FALSE)="",""," ["&amp;VLOOKUP('.'!I65,Recipes!$A:$D,4,FALSE)&amp;"]"))</f>
        <v>Poison Dart Skillbook [-200]</v>
      </c>
      <c r="J65" s="46" t="str">
        <f t="array" aca="1" ref="J65" ca="1">IF('.'!J65="","",'.'!J65&amp;IF(VLOOKUP('.'!J65,Recipes!$A:$D,4,FALSE)="",""," ["&amp;VLOOKUP('.'!J65,Recipes!$A:$D,4,FALSE)&amp;"]"))</f>
        <v>Poison Wave Skillbook [-10]</v>
      </c>
      <c r="K65" s="46" t="str">
        <f t="array" aca="1" ref="K65" ca="1">IF('.'!K65="","",'.'!K65&amp;IF(VLOOKUP('.'!K65,Recipes!$A:$D,4,FALSE)="",""," ["&amp;VLOOKUP('.'!K65,Recipes!$A:$D,4,FALSE)&amp;"]"))</f>
        <v>Reactive Armor Skillbook [-10]</v>
      </c>
      <c r="L65" s="46" t="str">
        <f t="array" aca="1" ref="L65" ca="1">IF('.'!L65="","",'.'!L65&amp;IF(VLOOKUP('.'!L65,Recipes!$A:$D,4,FALSE)="",""," ["&amp;VLOOKUP('.'!L65,Recipes!$A:$D,4,FALSE)&amp;"]"))</f>
        <v>Worm Tremor Skillbook [-60]</v>
      </c>
      <c r="M65" s="46" t="str">
        <f t="array" ref="M65">IF('.'!M65="","",'.'!M65&amp;IF(VLOOKUP('.'!M65,Recipes!$A:$D,4,FALSE)="",""," ["&amp;VLOOKUP('.'!M65,Recipes!$A:$D,4,FALSE)&amp;"]"))</f>
        <v/>
      </c>
      <c r="N65" s="46" t="str">
        <f t="array" ref="N65">IF('.'!N65="","",'.'!N65&amp;IF(VLOOKUP('.'!N65,Recipes!$A:$D,4,FALSE)="",""," ["&amp;VLOOKUP('.'!N65,Recipes!$A:$D,4,FALSE)&amp;"]"))</f>
        <v/>
      </c>
      <c r="O65" s="46" t="str">
        <f t="array" ref="O65">IF('.'!O65="","",'.'!O65&amp;IF(VLOOKUP('.'!O65,Recipes!$A:$D,4,FALSE)="",""," ["&amp;VLOOKUP('.'!O65,Recipes!$A:$D,4,FALSE)&amp;"]"))</f>
        <v/>
      </c>
      <c r="P65" s="46" t="str">
        <f t="array" ref="P65">IF('.'!P65="","",'.'!P65&amp;IF(VLOOKUP('.'!P65,Recipes!$A:$D,4,FALSE)="",""," ["&amp;VLOOKUP('.'!P65,Recipes!$A:$D,4,FALSE)&amp;"]"))</f>
        <v/>
      </c>
      <c r="Q65" s="46" t="str">
        <f t="array" ref="Q65">IF('.'!Q65="","",'.'!Q65&amp;IF(VLOOKUP('.'!Q65,Recipes!$A:$D,4,FALSE)="",""," ["&amp;VLOOKUP('.'!Q65,Recipes!$A:$D,4,FALSE)&amp;"]"))</f>
        <v/>
      </c>
      <c r="R65" s="46" t="str">
        <f t="array" ref="R65">IF('.'!R65="","",'.'!R65&amp;IF(VLOOKUP('.'!R65,Recipes!$A:$D,4,FALSE)="",""," ["&amp;VLOOKUP('.'!R65,Recipes!$A:$D,4,FALSE)&amp;"]"))</f>
        <v/>
      </c>
      <c r="S65" s="46" t="str">
        <f t="array" ref="S65">IF('.'!S65="","",'.'!S65&amp;IF(VLOOKUP('.'!S65,Recipes!$A:$D,4,FALSE)="",""," ["&amp;VLOOKUP('.'!S65,Recipes!$A:$D,4,FALSE)&amp;"]"))</f>
        <v/>
      </c>
      <c r="T65" s="46" t="str">
        <f t="array" ref="T65">IF('.'!T65="","",'.'!T65&amp;IF(VLOOKUP('.'!T65,Recipes!$A:$D,4,FALSE)="",""," ["&amp;VLOOKUP('.'!T65,Recipes!$A:$D,4,FALSE)&amp;"]"))</f>
        <v/>
      </c>
      <c r="U65" s="46" t="str">
        <f t="array" ref="U65">IF('.'!U65="","",'.'!U65&amp;IF(VLOOKUP('.'!U65,Recipes!$A:$D,4,FALSE)="",""," ["&amp;VLOOKUP('.'!U65,Recipes!$A:$D,4,FALSE)&amp;"]"))</f>
        <v/>
      </c>
      <c r="V65" s="46" t="str">
        <f t="array" ref="V65">IF('.'!V65="","",'.'!V65&amp;IF(VLOOKUP('.'!V65,Recipes!$A:$D,4,FALSE)="",""," ["&amp;VLOOKUP('.'!V65,Recipes!$A:$D,4,FALSE)&amp;"]"))</f>
        <v/>
      </c>
      <c r="W65" s="46" t="str">
        <f t="array" ref="W65">IF('.'!W65="","",'.'!W65&amp;IF(VLOOKUP('.'!W65,Recipes!$A:$D,4,FALSE)="",""," ["&amp;VLOOKUP('.'!W65,Recipes!$A:$D,4,FALSE)&amp;"]"))</f>
        <v/>
      </c>
      <c r="X65" s="46" t="str">
        <f t="array" ref="X65">IF('.'!X65="","",'.'!X65&amp;IF(VLOOKUP('.'!X65,Recipes!$A:$D,4,FALSE)="",""," ["&amp;VLOOKUP('.'!X65,Recipes!$A:$D,4,FALSE)&amp;"]"))</f>
        <v/>
      </c>
      <c r="Y65" s="46" t="str">
        <f t="array" ref="Y65">IF('.'!Y65="","",'.'!Y65&amp;IF(VLOOKUP('.'!Y65,Recipes!$A:$D,4,FALSE)="",""," ["&amp;VLOOKUP('.'!Y65,Recipes!$A:$D,4,FALSE)&amp;"]"))</f>
        <v/>
      </c>
      <c r="Z65" s="46" t="str">
        <f t="array" ref="Z65">IF('.'!Z65="","",'.'!Z65&amp;IF(VLOOKUP('.'!Z65,Recipes!$A:$D,4,FALSE)="",""," ["&amp;VLOOKUP('.'!Z65,Recipes!$A:$D,4,FALSE)&amp;"]"))</f>
        <v/>
      </c>
      <c r="AA65" s="46" t="str">
        <f t="array" ref="AA65">IF('.'!AA65="","",'.'!AA65&amp;IF(VLOOKUP('.'!AA65,Recipes!$A:$D,4,FALSE)="",""," ["&amp;VLOOKUP('.'!AA65,Recipes!$A:$D,4,FALSE)&amp;"]"))</f>
        <v/>
      </c>
      <c r="AB65" s="46" t="str">
        <f t="array" ref="AB65">IF('.'!AB65="","",'.'!AB65&amp;IF(VLOOKUP('.'!AB65,Recipes!$A:$D,4,FALSE)="",""," ["&amp;VLOOKUP('.'!AB65,Recipes!$A:$D,4,FALSE)&amp;"]"))</f>
        <v/>
      </c>
      <c r="AC65" s="46" t="str">
        <f t="array" ref="AC65">IF('.'!AC65="","",'.'!AC65&amp;IF(VLOOKUP('.'!AC65,Recipes!$A:$D,4,FALSE)="",""," ["&amp;VLOOKUP('.'!AC65,Recipes!$A:$D,4,FALSE)&amp;"]"))</f>
        <v/>
      </c>
      <c r="AD65" s="46" t="str">
        <f t="array" ref="AD65">IF('.'!AD65="","",'.'!AD65&amp;IF(VLOOKUP('.'!AD65,Recipes!$A:$D,4,FALSE)="",""," ["&amp;VLOOKUP('.'!AD65,Recipes!$A:$D,4,FALSE)&amp;"]"))</f>
        <v/>
      </c>
      <c r="AE65" s="47"/>
      <c r="AF65" s="47"/>
      <c r="AG65" s="47"/>
      <c r="AH65" s="47"/>
      <c r="AI65" s="47"/>
      <c r="AJ65" s="47"/>
      <c r="AK65" s="47"/>
      <c r="AL65" s="47"/>
      <c r="AM65" s="47"/>
      <c r="AN65" s="47"/>
      <c r="AO65" s="47"/>
      <c r="AP65" s="47"/>
      <c r="AQ65" s="47"/>
      <c r="AR65" s="47"/>
      <c r="AS65" s="47"/>
      <c r="AT65" s="47"/>
      <c r="AU65" s="47"/>
      <c r="AV65" s="47"/>
      <c r="AW65" s="47"/>
      <c r="AX65" s="47"/>
      <c r="AY65" s="47"/>
      <c r="AZ65" s="47"/>
      <c r="BA65" s="47"/>
      <c r="BB65" s="47"/>
      <c r="BC65" s="47"/>
      <c r="BD65" s="47"/>
      <c r="BE65" s="47"/>
      <c r="BF65" s="47"/>
      <c r="BG65" s="47"/>
      <c r="BH65" s="47"/>
      <c r="BI65" s="47"/>
      <c r="BJ65" s="47"/>
      <c r="BK65" s="47"/>
      <c r="BL65" s="47"/>
      <c r="BM65" s="47"/>
      <c r="BN65" s="47"/>
      <c r="BO65" s="47"/>
      <c r="BP65" s="47"/>
      <c r="BQ65" s="47"/>
      <c r="BR65" s="47"/>
      <c r="BS65" s="47"/>
      <c r="BT65" s="47"/>
      <c r="BU65" s="47"/>
      <c r="BV65" s="47"/>
      <c r="BW65" s="47"/>
      <c r="BX65" s="47"/>
      <c r="BY65" s="47"/>
      <c r="BZ65" s="47"/>
    </row>
    <row r="66" spans="1:78" ht="13">
      <c r="A66" s="48" t="str">
        <f ca="1">'.'!A66</f>
        <v>Blank Skillbook Fire</v>
      </c>
      <c r="B66" s="46" t="str">
        <f t="array" aca="1" ref="B66" ca="1">IF('.'!B66="","",'.'!B66&amp;IF(VLOOKUP('.'!B66,Recipes!$A:$D,4,FALSE)="",""," ["&amp;VLOOKUP('.'!B66,Recipes!$A:$D,4,FALSE)&amp;"]"))</f>
        <v>Bleed Fire Skillbook [-60]</v>
      </c>
      <c r="C66" s="46" t="str">
        <f t="array" aca="1" ref="C66" ca="1">IF('.'!C66="","",'.'!C66&amp;IF(VLOOKUP('.'!C66,Recipes!$A:$D,4,FALSE)="",""," ["&amp;VLOOKUP('.'!C66,Recipes!$A:$D,4,FALSE)&amp;"]"))</f>
        <v>Fire Whip Skillbook [-10]</v>
      </c>
      <c r="D66" s="46" t="str">
        <f t="array" aca="1" ref="D66" ca="1">IF('.'!D66="","",'.'!D66&amp;IF(VLOOKUP('.'!D66,Recipes!$A:$D,4,FALSE)="",""," ["&amp;VLOOKUP('.'!D66,Recipes!$A:$D,4,FALSE)&amp;"]"))</f>
        <v>Fireball Skillbook [-160]</v>
      </c>
      <c r="E66" s="46" t="str">
        <f t="array" aca="1" ref="E66" ca="1">IF('.'!E66="","",'.'!E66&amp;IF(VLOOKUP('.'!E66,Recipes!$A:$D,4,FALSE)="",""," ["&amp;VLOOKUP('.'!E66,Recipes!$A:$D,4,FALSE)&amp;"]"))</f>
        <v>Flaming Tongues Skillbook [-10]</v>
      </c>
      <c r="F66" s="46" t="str">
        <f t="array" aca="1" ref="F66" ca="1">IF('.'!F66="","",'.'!F66&amp;IF(VLOOKUP('.'!F66,Recipes!$A:$D,4,FALSE)="",""," ["&amp;VLOOKUP('.'!F66,Recipes!$A:$D,4,FALSE)&amp;"]"))</f>
        <v>Haste Skillbook [-180]</v>
      </c>
      <c r="G66" s="46" t="str">
        <f t="array" aca="1" ref="G66" ca="1">IF('.'!G66="","",'.'!G66&amp;IF(VLOOKUP('.'!G66,Recipes!$A:$D,4,FALSE)="",""," ["&amp;VLOOKUP('.'!G66,Recipes!$A:$D,4,FALSE)&amp;"]"))</f>
        <v>Ignition Skillbook [-190]</v>
      </c>
      <c r="H66" s="46" t="str">
        <f t="array" aca="1" ref="H66" ca="1">IF('.'!H66="","",'.'!H66&amp;IF(VLOOKUP('.'!H66,Recipes!$A:$D,4,FALSE)="",""," ["&amp;VLOOKUP('.'!H66,Recipes!$A:$D,4,FALSE)&amp;"]"))</f>
        <v>Laser Ray Skillbook [-10]</v>
      </c>
      <c r="I66" s="46" t="str">
        <f t="array" aca="1" ref="I66" ca="1">IF('.'!I66="","",'.'!I66&amp;IF(VLOOKUP('.'!I66,Recipes!$A:$D,4,FALSE)="",""," ["&amp;VLOOKUP('.'!I66,Recipes!$A:$D,4,FALSE)&amp;"]"))</f>
        <v>Peace of Mind Skillbook [-190]</v>
      </c>
      <c r="J66" s="46" t="str">
        <f t="array" aca="1" ref="J66" ca="1">IF('.'!J66="","",'.'!J66&amp;IF(VLOOKUP('.'!J66,Recipes!$A:$D,4,FALSE)="",""," ["&amp;VLOOKUP('.'!J66,Recipes!$A:$D,4,FALSE)&amp;"]"))</f>
        <v>Searing Daggers Skillbook [-200]</v>
      </c>
      <c r="K66" s="46" t="str">
        <f t="array" aca="1" ref="K66" ca="1">IF('.'!K66="","",'.'!K66&amp;IF(VLOOKUP('.'!K66,Recipes!$A:$D,4,FALSE)="",""," ["&amp;VLOOKUP('.'!K66,Recipes!$A:$D,4,FALSE)&amp;"]"))</f>
        <v>Spontaneous Combustion Skillbook [-60]</v>
      </c>
      <c r="L66" s="46" t="str">
        <f t="array" aca="1" ref="L66" ca="1">IF('.'!L66="","",'.'!L66&amp;IF(VLOOKUP('.'!L66,Recipes!$A:$D,4,FALSE)="",""," ["&amp;VLOOKUP('.'!L66,Recipes!$A:$D,4,FALSE)&amp;"]"))</f>
        <v>Summon Fire Slug Skillbook [550]</v>
      </c>
      <c r="M66" s="46" t="str">
        <f t="array" aca="1" ref="M66" ca="1">IF('.'!M66="","",'.'!M66&amp;IF(VLOOKUP('.'!M66,Recipes!$A:$D,4,FALSE)="",""," ["&amp;VLOOKUP('.'!M66,Recipes!$A:$D,4,FALSE)&amp;"]"))</f>
        <v>Supernova Skillbook [-160]</v>
      </c>
      <c r="N66" s="46" t="str">
        <f t="array" ref="N66">IF('.'!N66="","",'.'!N66&amp;IF(VLOOKUP('.'!N66,Recipes!$A:$D,4,FALSE)="",""," ["&amp;VLOOKUP('.'!N66,Recipes!$A:$D,4,FALSE)&amp;"]"))</f>
        <v/>
      </c>
      <c r="O66" s="46" t="str">
        <f t="array" ref="O66">IF('.'!O66="","",'.'!O66&amp;IF(VLOOKUP('.'!O66,Recipes!$A:$D,4,FALSE)="",""," ["&amp;VLOOKUP('.'!O66,Recipes!$A:$D,4,FALSE)&amp;"]"))</f>
        <v/>
      </c>
      <c r="P66" s="46" t="str">
        <f t="array" ref="P66">IF('.'!P66="","",'.'!P66&amp;IF(VLOOKUP('.'!P66,Recipes!$A:$D,4,FALSE)="",""," ["&amp;VLOOKUP('.'!P66,Recipes!$A:$D,4,FALSE)&amp;"]"))</f>
        <v/>
      </c>
      <c r="Q66" s="46" t="str">
        <f t="array" ref="Q66">IF('.'!Q66="","",'.'!Q66&amp;IF(VLOOKUP('.'!Q66,Recipes!$A:$D,4,FALSE)="",""," ["&amp;VLOOKUP('.'!Q66,Recipes!$A:$D,4,FALSE)&amp;"]"))</f>
        <v/>
      </c>
      <c r="R66" s="46" t="str">
        <f t="array" ref="R66">IF('.'!R66="","",'.'!R66&amp;IF(VLOOKUP('.'!R66,Recipes!$A:$D,4,FALSE)="",""," ["&amp;VLOOKUP('.'!R66,Recipes!$A:$D,4,FALSE)&amp;"]"))</f>
        <v/>
      </c>
      <c r="S66" s="46" t="str">
        <f t="array" ref="S66">IF('.'!S66="","",'.'!S66&amp;IF(VLOOKUP('.'!S66,Recipes!$A:$D,4,FALSE)="",""," ["&amp;VLOOKUP('.'!S66,Recipes!$A:$D,4,FALSE)&amp;"]"))</f>
        <v/>
      </c>
      <c r="T66" s="46" t="str">
        <f t="array" ref="T66">IF('.'!T66="","",'.'!T66&amp;IF(VLOOKUP('.'!T66,Recipes!$A:$D,4,FALSE)="",""," ["&amp;VLOOKUP('.'!T66,Recipes!$A:$D,4,FALSE)&amp;"]"))</f>
        <v/>
      </c>
      <c r="U66" s="46" t="str">
        <f t="array" ref="U66">IF('.'!U66="","",'.'!U66&amp;IF(VLOOKUP('.'!U66,Recipes!$A:$D,4,FALSE)="",""," ["&amp;VLOOKUP('.'!U66,Recipes!$A:$D,4,FALSE)&amp;"]"))</f>
        <v/>
      </c>
      <c r="V66" s="46" t="str">
        <f t="array" ref="V66">IF('.'!V66="","",'.'!V66&amp;IF(VLOOKUP('.'!V66,Recipes!$A:$D,4,FALSE)="",""," ["&amp;VLOOKUP('.'!V66,Recipes!$A:$D,4,FALSE)&amp;"]"))</f>
        <v/>
      </c>
      <c r="W66" s="46" t="str">
        <f t="array" ref="W66">IF('.'!W66="","",'.'!W66&amp;IF(VLOOKUP('.'!W66,Recipes!$A:$D,4,FALSE)="",""," ["&amp;VLOOKUP('.'!W66,Recipes!$A:$D,4,FALSE)&amp;"]"))</f>
        <v/>
      </c>
      <c r="X66" s="46" t="str">
        <f t="array" ref="X66">IF('.'!X66="","",'.'!X66&amp;IF(VLOOKUP('.'!X66,Recipes!$A:$D,4,FALSE)="",""," ["&amp;VLOOKUP('.'!X66,Recipes!$A:$D,4,FALSE)&amp;"]"))</f>
        <v/>
      </c>
      <c r="Y66" s="46" t="str">
        <f t="array" ref="Y66">IF('.'!Y66="","",'.'!Y66&amp;IF(VLOOKUP('.'!Y66,Recipes!$A:$D,4,FALSE)="",""," ["&amp;VLOOKUP('.'!Y66,Recipes!$A:$D,4,FALSE)&amp;"]"))</f>
        <v/>
      </c>
      <c r="Z66" s="46" t="str">
        <f t="array" ref="Z66">IF('.'!Z66="","",'.'!Z66&amp;IF(VLOOKUP('.'!Z66,Recipes!$A:$D,4,FALSE)="",""," ["&amp;VLOOKUP('.'!Z66,Recipes!$A:$D,4,FALSE)&amp;"]"))</f>
        <v/>
      </c>
      <c r="AA66" s="46" t="str">
        <f t="array" ref="AA66">IF('.'!AA66="","",'.'!AA66&amp;IF(VLOOKUP('.'!AA66,Recipes!$A:$D,4,FALSE)="",""," ["&amp;VLOOKUP('.'!AA66,Recipes!$A:$D,4,FALSE)&amp;"]"))</f>
        <v/>
      </c>
      <c r="AB66" s="46" t="str">
        <f t="array" ref="AB66">IF('.'!AB66="","",'.'!AB66&amp;IF(VLOOKUP('.'!AB66,Recipes!$A:$D,4,FALSE)="",""," ["&amp;VLOOKUP('.'!AB66,Recipes!$A:$D,4,FALSE)&amp;"]"))</f>
        <v/>
      </c>
      <c r="AC66" s="46" t="str">
        <f t="array" ref="AC66">IF('.'!AC66="","",'.'!AC66&amp;IF(VLOOKUP('.'!AC66,Recipes!$A:$D,4,FALSE)="",""," ["&amp;VLOOKUP('.'!AC66,Recipes!$A:$D,4,FALSE)&amp;"]"))</f>
        <v/>
      </c>
      <c r="AD66" s="46" t="str">
        <f t="array" ref="AD66">IF('.'!AD66="","",'.'!AD66&amp;IF(VLOOKUP('.'!AD66,Recipes!$A:$D,4,FALSE)="",""," ["&amp;VLOOKUP('.'!AD66,Recipes!$A:$D,4,FALSE)&amp;"]"))</f>
        <v/>
      </c>
      <c r="AE66" s="47"/>
      <c r="AF66" s="47"/>
      <c r="AG66" s="47"/>
      <c r="AH66" s="47"/>
      <c r="AI66" s="47"/>
      <c r="AJ66" s="47"/>
      <c r="AK66" s="47"/>
      <c r="AL66" s="47"/>
      <c r="AM66" s="47"/>
      <c r="AN66" s="47"/>
      <c r="AO66" s="47"/>
      <c r="AP66" s="47"/>
      <c r="AQ66" s="47"/>
      <c r="AR66" s="47"/>
      <c r="AS66" s="47"/>
      <c r="AT66" s="47"/>
      <c r="AU66" s="47"/>
      <c r="AV66" s="47"/>
      <c r="AW66" s="47"/>
      <c r="AX66" s="47"/>
      <c r="AY66" s="47"/>
      <c r="AZ66" s="47"/>
      <c r="BA66" s="47"/>
      <c r="BB66" s="47"/>
      <c r="BC66" s="47"/>
      <c r="BD66" s="47"/>
      <c r="BE66" s="47"/>
      <c r="BF66" s="47"/>
      <c r="BG66" s="47"/>
      <c r="BH66" s="47"/>
      <c r="BI66" s="47"/>
      <c r="BJ66" s="47"/>
      <c r="BK66" s="47"/>
      <c r="BL66" s="47"/>
      <c r="BM66" s="47"/>
      <c r="BN66" s="47"/>
      <c r="BO66" s="47"/>
      <c r="BP66" s="47"/>
      <c r="BQ66" s="47"/>
      <c r="BR66" s="47"/>
      <c r="BS66" s="47"/>
      <c r="BT66" s="47"/>
      <c r="BU66" s="47"/>
      <c r="BV66" s="47"/>
      <c r="BW66" s="47"/>
      <c r="BX66" s="47"/>
      <c r="BY66" s="47"/>
      <c r="BZ66" s="47"/>
    </row>
    <row r="67" spans="1:78" ht="13">
      <c r="A67" s="48" t="str">
        <f ca="1">'.'!A67</f>
        <v>Blank Skillbook Necromancy</v>
      </c>
      <c r="B67" s="46" t="str">
        <f t="array" aca="1" ref="B67" ca="1">IF('.'!B67="","",'.'!B67&amp;IF(VLOOKUP('.'!B67,Recipes!$A:$D,4,FALSE)="",""," ["&amp;VLOOKUP('.'!B67,Recipes!$A:$D,4,FALSE)&amp;"]"))</f>
        <v>Black Shroud Skillbook [290]</v>
      </c>
      <c r="C67" s="46" t="str">
        <f t="array" aca="1" ref="C67" ca="1">IF('.'!C67="","",'.'!C67&amp;IF(VLOOKUP('.'!C67,Recipes!$A:$D,4,FALSE)="",""," ["&amp;VLOOKUP('.'!C67,Recipes!$A:$D,4,FALSE)&amp;"]"))</f>
        <v>Blood Sucker Skillbook [-190]</v>
      </c>
      <c r="D67" s="46" t="str">
        <f t="array" aca="1" ref="D67" ca="1">IF('.'!D67="","",'.'!D67&amp;IF(VLOOKUP('.'!D67,Recipes!$A:$D,4,FALSE)="",""," ["&amp;VLOOKUP('.'!D67,Recipes!$A:$D,4,FALSE)&amp;"]"))</f>
        <v>Bone Cage Skillbook [-10]</v>
      </c>
      <c r="E67" s="46" t="str">
        <f t="array" aca="1" ref="E67" ca="1">IF('.'!E67="","",'.'!E67&amp;IF(VLOOKUP('.'!E67,Recipes!$A:$D,4,FALSE)="",""," ["&amp;VLOOKUP('.'!E67,Recipes!$A:$D,4,FALSE)&amp;"]"))</f>
        <v>Death Wish Skillbook [-60]</v>
      </c>
      <c r="F67" s="46" t="str">
        <f t="array" aca="1" ref="F67" ca="1">IF('.'!F67="","",'.'!F67&amp;IF(VLOOKUP('.'!F67,Recipes!$A:$D,4,FALSE)="",""," ["&amp;VLOOKUP('.'!F67,Recipes!$A:$D,4,FALSE)&amp;"]"))</f>
        <v>Decaying Touch Skillbook [-190]</v>
      </c>
      <c r="G67" s="46" t="str">
        <f t="array" aca="1" ref="G67" ca="1">IF('.'!G67="","",'.'!G67&amp;IF(VLOOKUP('.'!G67,Recipes!$A:$D,4,FALSE)="",""," ["&amp;VLOOKUP('.'!G67,Recipes!$A:$D,4,FALSE)&amp;"]"))</f>
        <v>Infect Skillbook [-160]</v>
      </c>
      <c r="H67" s="46" t="str">
        <f t="array" aca="1" ref="H67" ca="1">IF('.'!H67="","",'.'!H67&amp;IF(VLOOKUP('.'!H67,Recipes!$A:$D,4,FALSE)="",""," ["&amp;VLOOKUP('.'!H67,Recipes!$A:$D,4,FALSE)&amp;"]"))</f>
        <v>Living on the Edge Skillbook [-10]</v>
      </c>
      <c r="I67" s="46" t="str">
        <f t="array" aca="1" ref="I67" ca="1">IF('.'!I67="","",'.'!I67&amp;IF(VLOOKUP('.'!I67,Recipes!$A:$D,4,FALSE)="",""," ["&amp;VLOOKUP('.'!I67,Recipes!$A:$D,4,FALSE)&amp;"]"))</f>
        <v>Mosquito Swarm Skillbook [-130]</v>
      </c>
      <c r="J67" s="46" t="str">
        <f t="array" aca="1" ref="J67" ca="1">IF('.'!J67="","",'.'!J67&amp;IF(VLOOKUP('.'!J67,Recipes!$A:$D,4,FALSE)="",""," ["&amp;VLOOKUP('.'!J67,Recipes!$A:$D,4,FALSE)&amp;"]"))</f>
        <v>Raining Blood Skillbook [-60]</v>
      </c>
      <c r="K67" s="46" t="str">
        <f t="array" aca="1" ref="K67" ca="1">IF('.'!K67="","",'.'!K67&amp;IF(VLOOKUP('.'!K67,Recipes!$A:$D,4,FALSE)="",""," ["&amp;VLOOKUP('.'!K67,Recipes!$A:$D,4,FALSE)&amp;"]"))</f>
        <v>Raise Bloated Corpse Skillbook [-190]</v>
      </c>
      <c r="L67" s="46" t="str">
        <f t="array" aca="1" ref="L67" ca="1">IF('.'!L67="","",'.'!L67&amp;IF(VLOOKUP('.'!L67,Recipes!$A:$D,4,FALSE)="",""," ["&amp;VLOOKUP('.'!L67,Recipes!$A:$D,4,FALSE)&amp;"]"))</f>
        <v>Raise Bone Widow Skillbook [-10]</v>
      </c>
      <c r="M67" s="46" t="str">
        <f t="array" aca="1" ref="M67" ca="1">IF('.'!M67="","",'.'!M67&amp;IF(VLOOKUP('.'!M67,Recipes!$A:$D,4,FALSE)="",""," ["&amp;VLOOKUP('.'!M67,Recipes!$A:$D,4,FALSE)&amp;"]"))</f>
        <v>Shackles of Pain Skillbook [-160]</v>
      </c>
      <c r="N67" s="46" t="str">
        <f t="array" ref="N67">IF('.'!N67="","",'.'!N67&amp;IF(VLOOKUP('.'!N67,Recipes!$A:$D,4,FALSE)="",""," ["&amp;VLOOKUP('.'!N67,Recipes!$A:$D,4,FALSE)&amp;"]"))</f>
        <v/>
      </c>
      <c r="O67" s="46" t="str">
        <f t="array" ref="O67">IF('.'!O67="","",'.'!O67&amp;IF(VLOOKUP('.'!O67,Recipes!$A:$D,4,FALSE)="",""," ["&amp;VLOOKUP('.'!O67,Recipes!$A:$D,4,FALSE)&amp;"]"))</f>
        <v/>
      </c>
      <c r="P67" s="46" t="str">
        <f t="array" ref="P67">IF('.'!P67="","",'.'!P67&amp;IF(VLOOKUP('.'!P67,Recipes!$A:$D,4,FALSE)="",""," ["&amp;VLOOKUP('.'!P67,Recipes!$A:$D,4,FALSE)&amp;"]"))</f>
        <v/>
      </c>
      <c r="Q67" s="46" t="str">
        <f t="array" ref="Q67">IF('.'!Q67="","",'.'!Q67&amp;IF(VLOOKUP('.'!Q67,Recipes!$A:$D,4,FALSE)="",""," ["&amp;VLOOKUP('.'!Q67,Recipes!$A:$D,4,FALSE)&amp;"]"))</f>
        <v/>
      </c>
      <c r="R67" s="46" t="str">
        <f t="array" ref="R67">IF('.'!R67="","",'.'!R67&amp;IF(VLOOKUP('.'!R67,Recipes!$A:$D,4,FALSE)="",""," ["&amp;VLOOKUP('.'!R67,Recipes!$A:$D,4,FALSE)&amp;"]"))</f>
        <v/>
      </c>
      <c r="S67" s="46" t="str">
        <f t="array" ref="S67">IF('.'!S67="","",'.'!S67&amp;IF(VLOOKUP('.'!S67,Recipes!$A:$D,4,FALSE)="",""," ["&amp;VLOOKUP('.'!S67,Recipes!$A:$D,4,FALSE)&amp;"]"))</f>
        <v/>
      </c>
      <c r="T67" s="46" t="str">
        <f t="array" ref="T67">IF('.'!T67="","",'.'!T67&amp;IF(VLOOKUP('.'!T67,Recipes!$A:$D,4,FALSE)="",""," ["&amp;VLOOKUP('.'!T67,Recipes!$A:$D,4,FALSE)&amp;"]"))</f>
        <v/>
      </c>
      <c r="U67" s="46" t="str">
        <f t="array" ref="U67">IF('.'!U67="","",'.'!U67&amp;IF(VLOOKUP('.'!U67,Recipes!$A:$D,4,FALSE)="",""," ["&amp;VLOOKUP('.'!U67,Recipes!$A:$D,4,FALSE)&amp;"]"))</f>
        <v/>
      </c>
      <c r="V67" s="46" t="str">
        <f t="array" ref="V67">IF('.'!V67="","",'.'!V67&amp;IF(VLOOKUP('.'!V67,Recipes!$A:$D,4,FALSE)="",""," ["&amp;VLOOKUP('.'!V67,Recipes!$A:$D,4,FALSE)&amp;"]"))</f>
        <v/>
      </c>
      <c r="W67" s="46" t="str">
        <f t="array" ref="W67">IF('.'!W67="","",'.'!W67&amp;IF(VLOOKUP('.'!W67,Recipes!$A:$D,4,FALSE)="",""," ["&amp;VLOOKUP('.'!W67,Recipes!$A:$D,4,FALSE)&amp;"]"))</f>
        <v/>
      </c>
      <c r="X67" s="46" t="str">
        <f t="array" ref="X67">IF('.'!X67="","",'.'!X67&amp;IF(VLOOKUP('.'!X67,Recipes!$A:$D,4,FALSE)="",""," ["&amp;VLOOKUP('.'!X67,Recipes!$A:$D,4,FALSE)&amp;"]"))</f>
        <v/>
      </c>
      <c r="Y67" s="46" t="str">
        <f t="array" ref="Y67">IF('.'!Y67="","",'.'!Y67&amp;IF(VLOOKUP('.'!Y67,Recipes!$A:$D,4,FALSE)="",""," ["&amp;VLOOKUP('.'!Y67,Recipes!$A:$D,4,FALSE)&amp;"]"))</f>
        <v/>
      </c>
      <c r="Z67" s="46" t="str">
        <f t="array" ref="Z67">IF('.'!Z67="","",'.'!Z67&amp;IF(VLOOKUP('.'!Z67,Recipes!$A:$D,4,FALSE)="",""," ["&amp;VLOOKUP('.'!Z67,Recipes!$A:$D,4,FALSE)&amp;"]"))</f>
        <v/>
      </c>
      <c r="AA67" s="46" t="str">
        <f t="array" ref="AA67">IF('.'!AA67="","",'.'!AA67&amp;IF(VLOOKUP('.'!AA67,Recipes!$A:$D,4,FALSE)="",""," ["&amp;VLOOKUP('.'!AA67,Recipes!$A:$D,4,FALSE)&amp;"]"))</f>
        <v/>
      </c>
      <c r="AB67" s="46" t="str">
        <f t="array" ref="AB67">IF('.'!AB67="","",'.'!AB67&amp;IF(VLOOKUP('.'!AB67,Recipes!$A:$D,4,FALSE)="",""," ["&amp;VLOOKUP('.'!AB67,Recipes!$A:$D,4,FALSE)&amp;"]"))</f>
        <v/>
      </c>
      <c r="AC67" s="46" t="str">
        <f t="array" ref="AC67">IF('.'!AC67="","",'.'!AC67&amp;IF(VLOOKUP('.'!AC67,Recipes!$A:$D,4,FALSE)="",""," ["&amp;VLOOKUP('.'!AC67,Recipes!$A:$D,4,FALSE)&amp;"]"))</f>
        <v/>
      </c>
      <c r="AD67" s="46" t="str">
        <f t="array" ref="AD67">IF('.'!AD67="","",'.'!AD67&amp;IF(VLOOKUP('.'!AD67,Recipes!$A:$D,4,FALSE)="",""," ["&amp;VLOOKUP('.'!AD67,Recipes!$A:$D,4,FALSE)&amp;"]"))</f>
        <v/>
      </c>
      <c r="AE67" s="47"/>
      <c r="AF67" s="47"/>
      <c r="AG67" s="47"/>
      <c r="AH67" s="47"/>
      <c r="AI67" s="47"/>
      <c r="AJ67" s="47"/>
      <c r="AK67" s="47"/>
      <c r="AL67" s="47"/>
      <c r="AM67" s="47"/>
      <c r="AN67" s="47"/>
      <c r="AO67" s="47"/>
      <c r="AP67" s="47"/>
      <c r="AQ67" s="47"/>
      <c r="AR67" s="47"/>
      <c r="AS67" s="47"/>
      <c r="AT67" s="47"/>
      <c r="AU67" s="47"/>
      <c r="AV67" s="47"/>
      <c r="AW67" s="47"/>
      <c r="AX67" s="47"/>
      <c r="AY67" s="47"/>
      <c r="AZ67" s="47"/>
      <c r="BA67" s="47"/>
      <c r="BB67" s="47"/>
      <c r="BC67" s="47"/>
      <c r="BD67" s="47"/>
      <c r="BE67" s="47"/>
      <c r="BF67" s="47"/>
      <c r="BG67" s="47"/>
      <c r="BH67" s="47"/>
      <c r="BI67" s="47"/>
      <c r="BJ67" s="47"/>
      <c r="BK67" s="47"/>
      <c r="BL67" s="47"/>
      <c r="BM67" s="47"/>
      <c r="BN67" s="47"/>
      <c r="BO67" s="47"/>
      <c r="BP67" s="47"/>
      <c r="BQ67" s="47"/>
      <c r="BR67" s="47"/>
      <c r="BS67" s="47"/>
      <c r="BT67" s="47"/>
      <c r="BU67" s="47"/>
      <c r="BV67" s="47"/>
      <c r="BW67" s="47"/>
      <c r="BX67" s="47"/>
      <c r="BY67" s="47"/>
      <c r="BZ67" s="47"/>
    </row>
    <row r="68" spans="1:78" ht="13">
      <c r="A68" s="48" t="str">
        <f ca="1">'.'!A68</f>
        <v>Blank Skillbook Polymorph</v>
      </c>
      <c r="B68" s="46" t="str">
        <f t="array" aca="1" ref="B68" ca="1">IF('.'!B68="","",'.'!B68&amp;IF(VLOOKUP('.'!B68,Recipes!$A:$D,4,FALSE)="",""," ["&amp;VLOOKUP('.'!B68,Recipes!$A:$D,4,FALSE)&amp;"]"))</f>
        <v>Bull Horns Skillbook [-200]</v>
      </c>
      <c r="C68" s="46" t="str">
        <f t="array" aca="1" ref="C68" ca="1">IF('.'!C68="","",'.'!C68&amp;IF(VLOOKUP('.'!C68,Recipes!$A:$D,4,FALSE)="",""," ["&amp;VLOOKUP('.'!C68,Recipes!$A:$D,4,FALSE)&amp;"]"))</f>
        <v>Chameleon Cloak Skillbook [-230]</v>
      </c>
      <c r="D68" s="46" t="str">
        <f t="array" aca="1" ref="D68" ca="1">IF('.'!D68="","",'.'!D68&amp;IF(VLOOKUP('.'!D68,Recipes!$A:$D,4,FALSE)="",""," ["&amp;VLOOKUP('.'!D68,Recipes!$A:$D,4,FALSE)&amp;"]"))</f>
        <v>Chicken Claw Skillbook [-200]</v>
      </c>
      <c r="E68" s="46" t="str">
        <f t="array" aca="1" ref="E68" ca="1">IF('.'!E68="","",'.'!E68&amp;IF(VLOOKUP('.'!E68,Recipes!$A:$D,4,FALSE)="",""," ["&amp;VLOOKUP('.'!E68,Recipes!$A:$D,4,FALSE)&amp;"]"))</f>
        <v>Heart of Steel Skillbook [-120]</v>
      </c>
      <c r="F68" s="46" t="str">
        <f t="array" aca="1" ref="F68" ca="1">IF('.'!F68="","",'.'!F68&amp;IF(VLOOKUP('.'!F68,Recipes!$A:$D,4,FALSE)="",""," ["&amp;VLOOKUP('.'!F68,Recipes!$A:$D,4,FALSE)&amp;"]"))</f>
        <v>Medusa Head Skillbook [-60]</v>
      </c>
      <c r="G68" s="46" t="str">
        <f t="array" aca="1" ref="G68" ca="1">IF('.'!G68="","",'.'!G68&amp;IF(VLOOKUP('.'!G68,Recipes!$A:$D,4,FALSE)="",""," ["&amp;VLOOKUP('.'!G68,Recipes!$A:$D,4,FALSE)&amp;"]"))</f>
        <v>Netherswap Skillbook [-160]</v>
      </c>
      <c r="H68" s="46" t="str">
        <f t="array" aca="1" ref="H68" ca="1">IF('.'!H68="","",'.'!H68&amp;IF(VLOOKUP('.'!H68,Recipes!$A:$D,4,FALSE)="",""," ["&amp;VLOOKUP('.'!H68,Recipes!$A:$D,4,FALSE)&amp;"]"))</f>
        <v>Skin Graft Skillbook [450]</v>
      </c>
      <c r="I68" s="46" t="str">
        <f t="array" aca="1" ref="I68" ca="1">IF('.'!I68="","",'.'!I68&amp;IF(VLOOKUP('.'!I68,Recipes!$A:$D,4,FALSE)="",""," ["&amp;VLOOKUP('.'!I68,Recipes!$A:$D,4,FALSE)&amp;"]"))</f>
        <v>Spider Legs Skillbook [-10]</v>
      </c>
      <c r="J68" s="46" t="str">
        <f t="array" aca="1" ref="J68" ca="1">IF('.'!J68="","",'.'!J68&amp;IF(VLOOKUP('.'!J68,Recipes!$A:$D,4,FALSE)="",""," ["&amp;VLOOKUP('.'!J68,Recipes!$A:$D,4,FALSE)&amp;"]"))</f>
        <v>Spread Your Wings Skillbook [-120]</v>
      </c>
      <c r="K68" s="46" t="str">
        <f t="array" aca="1" ref="K68" ca="1">IF('.'!K68="","",'.'!K68&amp;IF(VLOOKUP('.'!K68,Recipes!$A:$D,4,FALSE)="",""," ["&amp;VLOOKUP('.'!K68,Recipes!$A:$D,4,FALSE)&amp;"]"))</f>
        <v>Summon Oily Blob Skillbook [-10]</v>
      </c>
      <c r="L68" s="46" t="str">
        <f t="array" aca="1" ref="L68" ca="1">IF('.'!L68="","",'.'!L68&amp;IF(VLOOKUP('.'!L68,Recipes!$A:$D,4,FALSE)="",""," ["&amp;VLOOKUP('.'!L68,Recipes!$A:$D,4,FALSE)&amp;"]"))</f>
        <v>Tentacle Lash Skillbook [-200]</v>
      </c>
      <c r="M68" s="46" t="str">
        <f t="array" ref="M68">IF('.'!M68="","",'.'!M68&amp;IF(VLOOKUP('.'!M68,Recipes!$A:$D,4,FALSE)="",""," ["&amp;VLOOKUP('.'!M68,Recipes!$A:$D,4,FALSE)&amp;"]"))</f>
        <v/>
      </c>
      <c r="N68" s="46" t="str">
        <f t="array" ref="N68">IF('.'!N68="","",'.'!N68&amp;IF(VLOOKUP('.'!N68,Recipes!$A:$D,4,FALSE)="",""," ["&amp;VLOOKUP('.'!N68,Recipes!$A:$D,4,FALSE)&amp;"]"))</f>
        <v/>
      </c>
      <c r="O68" s="46" t="str">
        <f t="array" ref="O68">IF('.'!O68="","",'.'!O68&amp;IF(VLOOKUP('.'!O68,Recipes!$A:$D,4,FALSE)="",""," ["&amp;VLOOKUP('.'!O68,Recipes!$A:$D,4,FALSE)&amp;"]"))</f>
        <v/>
      </c>
      <c r="P68" s="46" t="str">
        <f t="array" ref="P68">IF('.'!P68="","",'.'!P68&amp;IF(VLOOKUP('.'!P68,Recipes!$A:$D,4,FALSE)="",""," ["&amp;VLOOKUP('.'!P68,Recipes!$A:$D,4,FALSE)&amp;"]"))</f>
        <v/>
      </c>
      <c r="Q68" s="46" t="str">
        <f t="array" ref="Q68">IF('.'!Q68="","",'.'!Q68&amp;IF(VLOOKUP('.'!Q68,Recipes!$A:$D,4,FALSE)="",""," ["&amp;VLOOKUP('.'!Q68,Recipes!$A:$D,4,FALSE)&amp;"]"))</f>
        <v/>
      </c>
      <c r="R68" s="46" t="str">
        <f t="array" ref="R68">IF('.'!R68="","",'.'!R68&amp;IF(VLOOKUP('.'!R68,Recipes!$A:$D,4,FALSE)="",""," ["&amp;VLOOKUP('.'!R68,Recipes!$A:$D,4,FALSE)&amp;"]"))</f>
        <v/>
      </c>
      <c r="S68" s="46" t="str">
        <f t="array" ref="S68">IF('.'!S68="","",'.'!S68&amp;IF(VLOOKUP('.'!S68,Recipes!$A:$D,4,FALSE)="",""," ["&amp;VLOOKUP('.'!S68,Recipes!$A:$D,4,FALSE)&amp;"]"))</f>
        <v/>
      </c>
      <c r="T68" s="46" t="str">
        <f t="array" ref="T68">IF('.'!T68="","",'.'!T68&amp;IF(VLOOKUP('.'!T68,Recipes!$A:$D,4,FALSE)="",""," ["&amp;VLOOKUP('.'!T68,Recipes!$A:$D,4,FALSE)&amp;"]"))</f>
        <v/>
      </c>
      <c r="U68" s="46" t="str">
        <f t="array" ref="U68">IF('.'!U68="","",'.'!U68&amp;IF(VLOOKUP('.'!U68,Recipes!$A:$D,4,FALSE)="",""," ["&amp;VLOOKUP('.'!U68,Recipes!$A:$D,4,FALSE)&amp;"]"))</f>
        <v/>
      </c>
      <c r="V68" s="46" t="str">
        <f t="array" ref="V68">IF('.'!V68="","",'.'!V68&amp;IF(VLOOKUP('.'!V68,Recipes!$A:$D,4,FALSE)="",""," ["&amp;VLOOKUP('.'!V68,Recipes!$A:$D,4,FALSE)&amp;"]"))</f>
        <v/>
      </c>
      <c r="W68" s="46" t="str">
        <f t="array" ref="W68">IF('.'!W68="","",'.'!W68&amp;IF(VLOOKUP('.'!W68,Recipes!$A:$D,4,FALSE)="",""," ["&amp;VLOOKUP('.'!W68,Recipes!$A:$D,4,FALSE)&amp;"]"))</f>
        <v/>
      </c>
      <c r="X68" s="46" t="str">
        <f t="array" ref="X68">IF('.'!X68="","",'.'!X68&amp;IF(VLOOKUP('.'!X68,Recipes!$A:$D,4,FALSE)="",""," ["&amp;VLOOKUP('.'!X68,Recipes!$A:$D,4,FALSE)&amp;"]"))</f>
        <v/>
      </c>
      <c r="Y68" s="46" t="str">
        <f t="array" ref="Y68">IF('.'!Y68="","",'.'!Y68&amp;IF(VLOOKUP('.'!Y68,Recipes!$A:$D,4,FALSE)="",""," ["&amp;VLOOKUP('.'!Y68,Recipes!$A:$D,4,FALSE)&amp;"]"))</f>
        <v/>
      </c>
      <c r="Z68" s="46" t="str">
        <f t="array" ref="Z68">IF('.'!Z68="","",'.'!Z68&amp;IF(VLOOKUP('.'!Z68,Recipes!$A:$D,4,FALSE)="",""," ["&amp;VLOOKUP('.'!Z68,Recipes!$A:$D,4,FALSE)&amp;"]"))</f>
        <v/>
      </c>
      <c r="AA68" s="46" t="str">
        <f t="array" ref="AA68">IF('.'!AA68="","",'.'!AA68&amp;IF(VLOOKUP('.'!AA68,Recipes!$A:$D,4,FALSE)="",""," ["&amp;VLOOKUP('.'!AA68,Recipes!$A:$D,4,FALSE)&amp;"]"))</f>
        <v/>
      </c>
      <c r="AB68" s="46" t="str">
        <f t="array" ref="AB68">IF('.'!AB68="","",'.'!AB68&amp;IF(VLOOKUP('.'!AB68,Recipes!$A:$D,4,FALSE)="",""," ["&amp;VLOOKUP('.'!AB68,Recipes!$A:$D,4,FALSE)&amp;"]"))</f>
        <v/>
      </c>
      <c r="AC68" s="46" t="str">
        <f t="array" ref="AC68">IF('.'!AC68="","",'.'!AC68&amp;IF(VLOOKUP('.'!AC68,Recipes!$A:$D,4,FALSE)="",""," ["&amp;VLOOKUP('.'!AC68,Recipes!$A:$D,4,FALSE)&amp;"]"))</f>
        <v/>
      </c>
      <c r="AD68" s="46" t="str">
        <f t="array" ref="AD68">IF('.'!AD68="","",'.'!AD68&amp;IF(VLOOKUP('.'!AD68,Recipes!$A:$D,4,FALSE)="",""," ["&amp;VLOOKUP('.'!AD68,Recipes!$A:$D,4,FALSE)&amp;"]"))</f>
        <v/>
      </c>
      <c r="AE68" s="47"/>
      <c r="AF68" s="47"/>
      <c r="AG68" s="47"/>
      <c r="AH68" s="47"/>
      <c r="AI68" s="47"/>
      <c r="AJ68" s="47"/>
      <c r="AK68" s="47"/>
      <c r="AL68" s="47"/>
      <c r="AM68" s="47"/>
      <c r="AN68" s="47"/>
      <c r="AO68" s="47"/>
      <c r="AP68" s="47"/>
      <c r="AQ68" s="47"/>
      <c r="AR68" s="47"/>
      <c r="AS68" s="47"/>
      <c r="AT68" s="47"/>
      <c r="AU68" s="47"/>
      <c r="AV68" s="47"/>
      <c r="AW68" s="47"/>
      <c r="AX68" s="47"/>
      <c r="AY68" s="47"/>
      <c r="AZ68" s="47"/>
      <c r="BA68" s="47"/>
      <c r="BB68" s="47"/>
      <c r="BC68" s="47"/>
      <c r="BD68" s="47"/>
      <c r="BE68" s="47"/>
      <c r="BF68" s="47"/>
      <c r="BG68" s="47"/>
      <c r="BH68" s="47"/>
      <c r="BI68" s="47"/>
      <c r="BJ68" s="47"/>
      <c r="BK68" s="47"/>
      <c r="BL68" s="47"/>
      <c r="BM68" s="47"/>
      <c r="BN68" s="47"/>
      <c r="BO68" s="47"/>
      <c r="BP68" s="47"/>
      <c r="BQ68" s="47"/>
      <c r="BR68" s="47"/>
      <c r="BS68" s="47"/>
      <c r="BT68" s="47"/>
      <c r="BU68" s="47"/>
      <c r="BV68" s="47"/>
      <c r="BW68" s="47"/>
      <c r="BX68" s="47"/>
      <c r="BY68" s="47"/>
      <c r="BZ68" s="47"/>
    </row>
    <row r="69" spans="1:78" ht="13">
      <c r="A69" s="48" t="str">
        <f ca="1">'.'!A69</f>
        <v>Blank Skillbook Summoning</v>
      </c>
      <c r="B69" s="46" t="str">
        <f t="array" aca="1" ref="B69" ca="1">IF('.'!B69="","",'.'!B69&amp;IF(VLOOKUP('.'!B69,Recipes!$A:$D,4,FALSE)="",""," ["&amp;VLOOKUP('.'!B69,Recipes!$A:$D,4,FALSE)&amp;"]"))</f>
        <v>Conjure Incarnate Skillbook [-130]</v>
      </c>
      <c r="C69" s="46" t="str">
        <f t="array" aca="1" ref="C69" ca="1">IF('.'!C69="","",'.'!C69&amp;IF(VLOOKUP('.'!C69,Recipes!$A:$D,4,FALSE)="",""," ["&amp;VLOOKUP('.'!C69,Recipes!$A:$D,4,FALSE)&amp;"]"))</f>
        <v>Dimensional Bolt Skillbook [-200]</v>
      </c>
      <c r="D69" s="46" t="str">
        <f t="array" aca="1" ref="D69" ca="1">IF('.'!D69="","",'.'!D69&amp;IF(VLOOKUP('.'!D69,Recipes!$A:$D,4,FALSE)="",""," ["&amp;VLOOKUP('.'!D69,Recipes!$A:$D,4,FALSE)&amp;"]"))</f>
        <v>Dominate Mind Skillbook [200]</v>
      </c>
      <c r="E69" s="46" t="str">
        <f t="array" aca="1" ref="E69" ca="1">IF('.'!E69="","",'.'!E69&amp;IF(VLOOKUP('.'!E69,Recipes!$A:$D,4,FALSE)="",""," ["&amp;VLOOKUP('.'!E69,Recipes!$A:$D,4,FALSE)&amp;"]"))</f>
        <v>Elemental Totem Skillbook [-190]</v>
      </c>
      <c r="F69" s="46" t="str">
        <f t="array" aca="1" ref="F69" ca="1">IF('.'!F69="","",'.'!F69&amp;IF(VLOOKUP('.'!F69,Recipes!$A:$D,4,FALSE)="",""," ["&amp;VLOOKUP('.'!F69,Recipes!$A:$D,4,FALSE)&amp;"]"))</f>
        <v>Farsight Infusion Skillbook [-130]</v>
      </c>
      <c r="G69" s="46" t="str">
        <f t="array" aca="1" ref="G69" ca="1">IF('.'!G69="","",'.'!G69&amp;IF(VLOOKUP('.'!G69,Recipes!$A:$D,4,FALSE)="",""," ["&amp;VLOOKUP('.'!G69,Recipes!$A:$D,4,FALSE)&amp;"]"))</f>
        <v>Planar Gateway Skillbook [240]</v>
      </c>
      <c r="H69" s="46" t="str">
        <f t="array" aca="1" ref="H69" ca="1">IF('.'!H69="","",'.'!H69&amp;IF(VLOOKUP('.'!H69,Recipes!$A:$D,4,FALSE)="",""," ["&amp;VLOOKUP('.'!H69,Recipes!$A:$D,4,FALSE)&amp;"]"))</f>
        <v>Power Infusion Skillbook [-60]</v>
      </c>
      <c r="I69" s="46" t="str">
        <f t="array" aca="1" ref="I69" ca="1">IF('.'!I69="","",'.'!I69&amp;IF(VLOOKUP('.'!I69,Recipes!$A:$D,4,FALSE)="",""," ["&amp;VLOOKUP('.'!I69,Recipes!$A:$D,4,FALSE)&amp;"]"))</f>
        <v>Rallying Cry Skillbook [-100]</v>
      </c>
      <c r="J69" s="46" t="str">
        <f t="array" aca="1" ref="J69" ca="1">IF('.'!J69="","",'.'!J69&amp;IF(VLOOKUP('.'!J69,Recipes!$A:$D,4,FALSE)="",""," ["&amp;VLOOKUP('.'!J69,Recipes!$A:$D,4,FALSE)&amp;"]"))</f>
        <v>Shadow Infusion Skillbook [250]</v>
      </c>
      <c r="K69" s="46" t="str">
        <f t="array" aca="1" ref="K69" ca="1">IF('.'!K69="","",'.'!K69&amp;IF(VLOOKUP('.'!K69,Recipes!$A:$D,4,FALSE)="",""," ["&amp;VLOOKUP('.'!K69,Recipes!$A:$D,4,FALSE)&amp;"]"))</f>
        <v>Soul Mate Skillbook [-10]</v>
      </c>
      <c r="L69" s="46" t="str">
        <f t="array" aca="1" ref="L69" ca="1">IF('.'!L69="","",'.'!L69&amp;IF(VLOOKUP('.'!L69,Recipes!$A:$D,4,FALSE)="",""," ["&amp;VLOOKUP('.'!L69,Recipes!$A:$D,4,FALSE)&amp;"]"))</f>
        <v>Supercharger Skillbook [-60]</v>
      </c>
      <c r="M69" s="46" t="str">
        <f t="array" ref="M69">IF('.'!M69="","",'.'!M69&amp;IF(VLOOKUP('.'!M69,Recipes!$A:$D,4,FALSE)="",""," ["&amp;VLOOKUP('.'!M69,Recipes!$A:$D,4,FALSE)&amp;"]"))</f>
        <v/>
      </c>
      <c r="N69" s="46" t="str">
        <f t="array" ref="N69">IF('.'!N69="","",'.'!N69&amp;IF(VLOOKUP('.'!N69,Recipes!$A:$D,4,FALSE)="",""," ["&amp;VLOOKUP('.'!N69,Recipes!$A:$D,4,FALSE)&amp;"]"))</f>
        <v/>
      </c>
      <c r="O69" s="46" t="str">
        <f t="array" ref="O69">IF('.'!O69="","",'.'!O69&amp;IF(VLOOKUP('.'!O69,Recipes!$A:$D,4,FALSE)="",""," ["&amp;VLOOKUP('.'!O69,Recipes!$A:$D,4,FALSE)&amp;"]"))</f>
        <v/>
      </c>
      <c r="P69" s="46" t="str">
        <f t="array" ref="P69">IF('.'!P69="","",'.'!P69&amp;IF(VLOOKUP('.'!P69,Recipes!$A:$D,4,FALSE)="",""," ["&amp;VLOOKUP('.'!P69,Recipes!$A:$D,4,FALSE)&amp;"]"))</f>
        <v/>
      </c>
      <c r="Q69" s="46" t="str">
        <f t="array" ref="Q69">IF('.'!Q69="","",'.'!Q69&amp;IF(VLOOKUP('.'!Q69,Recipes!$A:$D,4,FALSE)="",""," ["&amp;VLOOKUP('.'!Q69,Recipes!$A:$D,4,FALSE)&amp;"]"))</f>
        <v/>
      </c>
      <c r="R69" s="46" t="str">
        <f t="array" ref="R69">IF('.'!R69="","",'.'!R69&amp;IF(VLOOKUP('.'!R69,Recipes!$A:$D,4,FALSE)="",""," ["&amp;VLOOKUP('.'!R69,Recipes!$A:$D,4,FALSE)&amp;"]"))</f>
        <v/>
      </c>
      <c r="S69" s="46" t="str">
        <f t="array" ref="S69">IF('.'!S69="","",'.'!S69&amp;IF(VLOOKUP('.'!S69,Recipes!$A:$D,4,FALSE)="",""," ["&amp;VLOOKUP('.'!S69,Recipes!$A:$D,4,FALSE)&amp;"]"))</f>
        <v/>
      </c>
      <c r="T69" s="46" t="str">
        <f t="array" ref="T69">IF('.'!T69="","",'.'!T69&amp;IF(VLOOKUP('.'!T69,Recipes!$A:$D,4,FALSE)="",""," ["&amp;VLOOKUP('.'!T69,Recipes!$A:$D,4,FALSE)&amp;"]"))</f>
        <v/>
      </c>
      <c r="U69" s="46" t="str">
        <f t="array" ref="U69">IF('.'!U69="","",'.'!U69&amp;IF(VLOOKUP('.'!U69,Recipes!$A:$D,4,FALSE)="",""," ["&amp;VLOOKUP('.'!U69,Recipes!$A:$D,4,FALSE)&amp;"]"))</f>
        <v/>
      </c>
      <c r="V69" s="46" t="str">
        <f t="array" ref="V69">IF('.'!V69="","",'.'!V69&amp;IF(VLOOKUP('.'!V69,Recipes!$A:$D,4,FALSE)="",""," ["&amp;VLOOKUP('.'!V69,Recipes!$A:$D,4,FALSE)&amp;"]"))</f>
        <v/>
      </c>
      <c r="W69" s="46" t="str">
        <f t="array" ref="W69">IF('.'!W69="","",'.'!W69&amp;IF(VLOOKUP('.'!W69,Recipes!$A:$D,4,FALSE)="",""," ["&amp;VLOOKUP('.'!W69,Recipes!$A:$D,4,FALSE)&amp;"]"))</f>
        <v/>
      </c>
      <c r="X69" s="46" t="str">
        <f t="array" ref="X69">IF('.'!X69="","",'.'!X69&amp;IF(VLOOKUP('.'!X69,Recipes!$A:$D,4,FALSE)="",""," ["&amp;VLOOKUP('.'!X69,Recipes!$A:$D,4,FALSE)&amp;"]"))</f>
        <v/>
      </c>
      <c r="Y69" s="46" t="str">
        <f t="array" ref="Y69">IF('.'!Y69="","",'.'!Y69&amp;IF(VLOOKUP('.'!Y69,Recipes!$A:$D,4,FALSE)="",""," ["&amp;VLOOKUP('.'!Y69,Recipes!$A:$D,4,FALSE)&amp;"]"))</f>
        <v/>
      </c>
      <c r="Z69" s="46" t="str">
        <f t="array" ref="Z69">IF('.'!Z69="","",'.'!Z69&amp;IF(VLOOKUP('.'!Z69,Recipes!$A:$D,4,FALSE)="",""," ["&amp;VLOOKUP('.'!Z69,Recipes!$A:$D,4,FALSE)&amp;"]"))</f>
        <v/>
      </c>
      <c r="AA69" s="46" t="str">
        <f t="array" ref="AA69">IF('.'!AA69="","",'.'!AA69&amp;IF(VLOOKUP('.'!AA69,Recipes!$A:$D,4,FALSE)="",""," ["&amp;VLOOKUP('.'!AA69,Recipes!$A:$D,4,FALSE)&amp;"]"))</f>
        <v/>
      </c>
      <c r="AB69" s="46" t="str">
        <f t="array" ref="AB69">IF('.'!AB69="","",'.'!AB69&amp;IF(VLOOKUP('.'!AB69,Recipes!$A:$D,4,FALSE)="",""," ["&amp;VLOOKUP('.'!AB69,Recipes!$A:$D,4,FALSE)&amp;"]"))</f>
        <v/>
      </c>
      <c r="AC69" s="46" t="str">
        <f t="array" ref="AC69">IF('.'!AC69="","",'.'!AC69&amp;IF(VLOOKUP('.'!AC69,Recipes!$A:$D,4,FALSE)="",""," ["&amp;VLOOKUP('.'!AC69,Recipes!$A:$D,4,FALSE)&amp;"]"))</f>
        <v/>
      </c>
      <c r="AD69" s="46" t="str">
        <f t="array" ref="AD69">IF('.'!AD69="","",'.'!AD69&amp;IF(VLOOKUP('.'!AD69,Recipes!$A:$D,4,FALSE)="",""," ["&amp;VLOOKUP('.'!AD69,Recipes!$A:$D,4,FALSE)&amp;"]"))</f>
        <v/>
      </c>
      <c r="AE69" s="47"/>
      <c r="AF69" s="47"/>
      <c r="AG69" s="47"/>
      <c r="AH69" s="47"/>
      <c r="AI69" s="47"/>
      <c r="AJ69" s="47"/>
      <c r="AK69" s="47"/>
      <c r="AL69" s="47"/>
      <c r="AM69" s="47"/>
      <c r="AN69" s="47"/>
      <c r="AO69" s="47"/>
      <c r="AP69" s="47"/>
      <c r="AQ69" s="47"/>
      <c r="AR69" s="47"/>
      <c r="AS69" s="47"/>
      <c r="AT69" s="47"/>
      <c r="AU69" s="47"/>
      <c r="AV69" s="47"/>
      <c r="AW69" s="47"/>
      <c r="AX69" s="47"/>
      <c r="AY69" s="47"/>
      <c r="AZ69" s="47"/>
      <c r="BA69" s="47"/>
      <c r="BB69" s="47"/>
      <c r="BC69" s="47"/>
      <c r="BD69" s="47"/>
      <c r="BE69" s="47"/>
      <c r="BF69" s="47"/>
      <c r="BG69" s="47"/>
      <c r="BH69" s="47"/>
      <c r="BI69" s="47"/>
      <c r="BJ69" s="47"/>
      <c r="BK69" s="47"/>
      <c r="BL69" s="47"/>
      <c r="BM69" s="47"/>
      <c r="BN69" s="47"/>
      <c r="BO69" s="47"/>
      <c r="BP69" s="47"/>
      <c r="BQ69" s="47"/>
      <c r="BR69" s="47"/>
      <c r="BS69" s="47"/>
      <c r="BT69" s="47"/>
      <c r="BU69" s="47"/>
      <c r="BV69" s="47"/>
      <c r="BW69" s="47"/>
      <c r="BX69" s="47"/>
      <c r="BY69" s="47"/>
      <c r="BZ69" s="47"/>
    </row>
    <row r="70" spans="1:78" ht="13">
      <c r="A70" s="48" t="str">
        <f ca="1">'.'!A70</f>
        <v>Blank Skillbook Water</v>
      </c>
      <c r="B70" s="46" t="str">
        <f t="array" aca="1" ref="B70" ca="1">IF('.'!B70="","",'.'!B70&amp;IF(VLOOKUP('.'!B70,Recipes!$A:$D,4,FALSE)="",""," ["&amp;VLOOKUP('.'!B70,Recipes!$A:$D,4,FALSE)&amp;"]"))</f>
        <v>Arcane Stitch Skillbook [550]</v>
      </c>
      <c r="C70" s="46" t="str">
        <f t="array" aca="1" ref="C70" ca="1">IF('.'!C70="","",'.'!C70&amp;IF(VLOOKUP('.'!C70,Recipes!$A:$D,4,FALSE)="",""," ["&amp;VLOOKUP('.'!C70,Recipes!$A:$D,4,FALSE)&amp;"]"))</f>
        <v>Armour of Frost Skillbook [-190]</v>
      </c>
      <c r="D70" s="46" t="str">
        <f t="array" aca="1" ref="D70" ca="1">IF('.'!D70="","",'.'!D70&amp;IF(VLOOKUP('.'!D70,Recipes!$A:$D,4,FALSE)="",""," ["&amp;VLOOKUP('.'!D70,Recipes!$A:$D,4,FALSE)&amp;"]"))</f>
        <v>Cryogenic Stasis Skillbook [250]</v>
      </c>
      <c r="E70" s="46" t="str">
        <f t="array" aca="1" ref="E70" ca="1">IF('.'!E70="","",'.'!E70&amp;IF(VLOOKUP('.'!E70,Recipes!$A:$D,4,FALSE)="",""," ["&amp;VLOOKUP('.'!E70,Recipes!$A:$D,4,FALSE)&amp;"]"))</f>
        <v>Hail Strike Skillbook [-390]</v>
      </c>
      <c r="F70" s="46" t="str">
        <f t="array" aca="1" ref="F70" ca="1">IF('.'!F70="","",'.'!F70&amp;IF(VLOOKUP('.'!F70,Recipes!$A:$D,4,FALSE)="",""," ["&amp;VLOOKUP('.'!F70,Recipes!$A:$D,4,FALSE)&amp;"]"))</f>
        <v>Ice Fan Skillbook [-160]</v>
      </c>
      <c r="G70" s="46" t="str">
        <f t="array" aca="1" ref="G70" ca="1">IF('.'!G70="","",'.'!G70&amp;IF(VLOOKUP('.'!G70,Recipes!$A:$D,4,FALSE)="",""," ["&amp;VLOOKUP('.'!G70,Recipes!$A:$D,4,FALSE)&amp;"]"))</f>
        <v>Rain Skillbook [-170]</v>
      </c>
      <c r="H70" s="46" t="str">
        <f t="array" aca="1" ref="H70" ca="1">IF('.'!H70="","",'.'!H70&amp;IF(VLOOKUP('.'!H70,Recipes!$A:$D,4,FALSE)="",""," ["&amp;VLOOKUP('.'!H70,Recipes!$A:$D,4,FALSE)&amp;"]"))</f>
        <v>Restoration Skillbook [-180]</v>
      </c>
      <c r="I70" s="46" t="str">
        <f t="array" aca="1" ref="I70" ca="1">IF('.'!I70="","",'.'!I70&amp;IF(VLOOKUP('.'!I70,Recipes!$A:$D,4,FALSE)="",""," ["&amp;VLOOKUP('.'!I70,Recipes!$A:$D,4,FALSE)&amp;"]"))</f>
        <v>Soothing Cold Skillbook [-160]</v>
      </c>
      <c r="J70" s="46" t="str">
        <f t="array" aca="1" ref="J70" ca="1">IF('.'!J70="","",'.'!J70&amp;IF(VLOOKUP('.'!J70,Recipes!$A:$D,4,FALSE)="",""," ["&amp;VLOOKUP('.'!J70,Recipes!$A:$D,4,FALSE)&amp;"]"))</f>
        <v>Winter Blast Skillbook [-160]</v>
      </c>
      <c r="K70" s="46" t="str">
        <f t="array" ref="K70">IF('.'!K70="","",'.'!K70&amp;IF(VLOOKUP('.'!K70,Recipes!$A:$D,4,FALSE)="",""," ["&amp;VLOOKUP('.'!K70,Recipes!$A:$D,4,FALSE)&amp;"]"))</f>
        <v/>
      </c>
      <c r="L70" s="46" t="str">
        <f t="array" ref="L70">IF('.'!L70="","",'.'!L70&amp;IF(VLOOKUP('.'!L70,Recipes!$A:$D,4,FALSE)="",""," ["&amp;VLOOKUP('.'!L70,Recipes!$A:$D,4,FALSE)&amp;"]"))</f>
        <v/>
      </c>
      <c r="M70" s="46" t="str">
        <f t="array" ref="M70">IF('.'!M70="","",'.'!M70&amp;IF(VLOOKUP('.'!M70,Recipes!$A:$D,4,FALSE)="",""," ["&amp;VLOOKUP('.'!M70,Recipes!$A:$D,4,FALSE)&amp;"]"))</f>
        <v/>
      </c>
      <c r="N70" s="46" t="str">
        <f t="array" ref="N70">IF('.'!N70="","",'.'!N70&amp;IF(VLOOKUP('.'!N70,Recipes!$A:$D,4,FALSE)="",""," ["&amp;VLOOKUP('.'!N70,Recipes!$A:$D,4,FALSE)&amp;"]"))</f>
        <v/>
      </c>
      <c r="O70" s="46" t="str">
        <f t="array" ref="O70">IF('.'!O70="","",'.'!O70&amp;IF(VLOOKUP('.'!O70,Recipes!$A:$D,4,FALSE)="",""," ["&amp;VLOOKUP('.'!O70,Recipes!$A:$D,4,FALSE)&amp;"]"))</f>
        <v/>
      </c>
      <c r="P70" s="46" t="str">
        <f t="array" ref="P70">IF('.'!P70="","",'.'!P70&amp;IF(VLOOKUP('.'!P70,Recipes!$A:$D,4,FALSE)="",""," ["&amp;VLOOKUP('.'!P70,Recipes!$A:$D,4,FALSE)&amp;"]"))</f>
        <v/>
      </c>
      <c r="Q70" s="46" t="str">
        <f t="array" ref="Q70">IF('.'!Q70="","",'.'!Q70&amp;IF(VLOOKUP('.'!Q70,Recipes!$A:$D,4,FALSE)="",""," ["&amp;VLOOKUP('.'!Q70,Recipes!$A:$D,4,FALSE)&amp;"]"))</f>
        <v/>
      </c>
      <c r="R70" s="46" t="str">
        <f t="array" ref="R70">IF('.'!R70="","",'.'!R70&amp;IF(VLOOKUP('.'!R70,Recipes!$A:$D,4,FALSE)="",""," ["&amp;VLOOKUP('.'!R70,Recipes!$A:$D,4,FALSE)&amp;"]"))</f>
        <v/>
      </c>
      <c r="S70" s="46" t="str">
        <f t="array" ref="S70">IF('.'!S70="","",'.'!S70&amp;IF(VLOOKUP('.'!S70,Recipes!$A:$D,4,FALSE)="",""," ["&amp;VLOOKUP('.'!S70,Recipes!$A:$D,4,FALSE)&amp;"]"))</f>
        <v/>
      </c>
      <c r="T70" s="46" t="str">
        <f t="array" ref="T70">IF('.'!T70="","",'.'!T70&amp;IF(VLOOKUP('.'!T70,Recipes!$A:$D,4,FALSE)="",""," ["&amp;VLOOKUP('.'!T70,Recipes!$A:$D,4,FALSE)&amp;"]"))</f>
        <v/>
      </c>
      <c r="U70" s="46" t="str">
        <f t="array" ref="U70">IF('.'!U70="","",'.'!U70&amp;IF(VLOOKUP('.'!U70,Recipes!$A:$D,4,FALSE)="",""," ["&amp;VLOOKUP('.'!U70,Recipes!$A:$D,4,FALSE)&amp;"]"))</f>
        <v/>
      </c>
      <c r="V70" s="46" t="str">
        <f t="array" ref="V70">IF('.'!V70="","",'.'!V70&amp;IF(VLOOKUP('.'!V70,Recipes!$A:$D,4,FALSE)="",""," ["&amp;VLOOKUP('.'!V70,Recipes!$A:$D,4,FALSE)&amp;"]"))</f>
        <v/>
      </c>
      <c r="W70" s="46" t="str">
        <f t="array" ref="W70">IF('.'!W70="","",'.'!W70&amp;IF(VLOOKUP('.'!W70,Recipes!$A:$D,4,FALSE)="",""," ["&amp;VLOOKUP('.'!W70,Recipes!$A:$D,4,FALSE)&amp;"]"))</f>
        <v/>
      </c>
      <c r="X70" s="46" t="str">
        <f t="array" ref="X70">IF('.'!X70="","",'.'!X70&amp;IF(VLOOKUP('.'!X70,Recipes!$A:$D,4,FALSE)="",""," ["&amp;VLOOKUP('.'!X70,Recipes!$A:$D,4,FALSE)&amp;"]"))</f>
        <v/>
      </c>
      <c r="Y70" s="46" t="str">
        <f t="array" ref="Y70">IF('.'!Y70="","",'.'!Y70&amp;IF(VLOOKUP('.'!Y70,Recipes!$A:$D,4,FALSE)="",""," ["&amp;VLOOKUP('.'!Y70,Recipes!$A:$D,4,FALSE)&amp;"]"))</f>
        <v/>
      </c>
      <c r="Z70" s="46" t="str">
        <f t="array" ref="Z70">IF('.'!Z70="","",'.'!Z70&amp;IF(VLOOKUP('.'!Z70,Recipes!$A:$D,4,FALSE)="",""," ["&amp;VLOOKUP('.'!Z70,Recipes!$A:$D,4,FALSE)&amp;"]"))</f>
        <v/>
      </c>
      <c r="AA70" s="46" t="str">
        <f t="array" ref="AA70">IF('.'!AA70="","",'.'!AA70&amp;IF(VLOOKUP('.'!AA70,Recipes!$A:$D,4,FALSE)="",""," ["&amp;VLOOKUP('.'!AA70,Recipes!$A:$D,4,FALSE)&amp;"]"))</f>
        <v/>
      </c>
      <c r="AB70" s="46" t="str">
        <f t="array" ref="AB70">IF('.'!AB70="","",'.'!AB70&amp;IF(VLOOKUP('.'!AB70,Recipes!$A:$D,4,FALSE)="",""," ["&amp;VLOOKUP('.'!AB70,Recipes!$A:$D,4,FALSE)&amp;"]"))</f>
        <v/>
      </c>
      <c r="AC70" s="46" t="str">
        <f t="array" ref="AC70">IF('.'!AC70="","",'.'!AC70&amp;IF(VLOOKUP('.'!AC70,Recipes!$A:$D,4,FALSE)="",""," ["&amp;VLOOKUP('.'!AC70,Recipes!$A:$D,4,FALSE)&amp;"]"))</f>
        <v/>
      </c>
      <c r="AD70" s="46" t="str">
        <f t="array" ref="AD70">IF('.'!AD70="","",'.'!AD70&amp;IF(VLOOKUP('.'!AD70,Recipes!$A:$D,4,FALSE)="",""," ["&amp;VLOOKUP('.'!AD70,Recipes!$A:$D,4,FALSE)&amp;"]"))</f>
        <v/>
      </c>
      <c r="AE70" s="47"/>
      <c r="AF70" s="47"/>
      <c r="AG70" s="47"/>
      <c r="AH70" s="47"/>
      <c r="AI70" s="47"/>
      <c r="AJ70" s="47"/>
      <c r="AK70" s="47"/>
      <c r="AL70" s="47"/>
      <c r="AM70" s="47"/>
      <c r="AN70" s="47"/>
      <c r="AO70" s="47"/>
      <c r="AP70" s="47"/>
      <c r="AQ70" s="47"/>
      <c r="AR70" s="47"/>
      <c r="AS70" s="47"/>
      <c r="AT70" s="47"/>
      <c r="AU70" s="47"/>
      <c r="AV70" s="47"/>
      <c r="AW70" s="47"/>
      <c r="AX70" s="47"/>
      <c r="AY70" s="47"/>
      <c r="AZ70" s="47"/>
      <c r="BA70" s="47"/>
      <c r="BB70" s="47"/>
      <c r="BC70" s="47"/>
      <c r="BD70" s="47"/>
      <c r="BE70" s="47"/>
      <c r="BF70" s="47"/>
      <c r="BG70" s="47"/>
      <c r="BH70" s="47"/>
      <c r="BI70" s="47"/>
      <c r="BJ70" s="47"/>
      <c r="BK70" s="47"/>
      <c r="BL70" s="47"/>
      <c r="BM70" s="47"/>
      <c r="BN70" s="47"/>
      <c r="BO70" s="47"/>
      <c r="BP70" s="47"/>
      <c r="BQ70" s="47"/>
      <c r="BR70" s="47"/>
      <c r="BS70" s="47"/>
      <c r="BT70" s="47"/>
      <c r="BU70" s="47"/>
      <c r="BV70" s="47"/>
      <c r="BW70" s="47"/>
      <c r="BX70" s="47"/>
      <c r="BY70" s="47"/>
      <c r="BZ70" s="47"/>
    </row>
    <row r="71" spans="1:78" ht="13">
      <c r="A71" s="48" t="str">
        <f ca="1">'.'!A71</f>
        <v>Bleed Fire Scroll</v>
      </c>
      <c r="B71" s="46" t="str">
        <f t="array" aca="1" ref="B71" ca="1">IF('.'!B71="","",'.'!B71&amp;IF(VLOOKUP('.'!B71,Recipes!$A:$D,4,FALSE)="",""," ["&amp;VLOOKUP('.'!B71,Recipes!$A:$D,4,FALSE)&amp;"]"))</f>
        <v>Bleed Fire Skillbook [-60]</v>
      </c>
      <c r="C71" s="46" t="str">
        <f t="array" ref="C71">IF('.'!C71="","",'.'!C71&amp;IF(VLOOKUP('.'!C71,Recipes!$A:$D,4,FALSE)="",""," ["&amp;VLOOKUP('.'!C71,Recipes!$A:$D,4,FALSE)&amp;"]"))</f>
        <v/>
      </c>
      <c r="D71" s="46" t="str">
        <f t="array" ref="D71">IF('.'!D71="","",'.'!D71&amp;IF(VLOOKUP('.'!D71,Recipes!$A:$D,4,FALSE)="",""," ["&amp;VLOOKUP('.'!D71,Recipes!$A:$D,4,FALSE)&amp;"]"))</f>
        <v/>
      </c>
      <c r="E71" s="46" t="str">
        <f t="array" ref="E71">IF('.'!E71="","",'.'!E71&amp;IF(VLOOKUP('.'!E71,Recipes!$A:$D,4,FALSE)="",""," ["&amp;VLOOKUP('.'!E71,Recipes!$A:$D,4,FALSE)&amp;"]"))</f>
        <v/>
      </c>
      <c r="F71" s="46" t="str">
        <f t="array" ref="F71">IF('.'!F71="","",'.'!F71&amp;IF(VLOOKUP('.'!F71,Recipes!$A:$D,4,FALSE)="",""," ["&amp;VLOOKUP('.'!F71,Recipes!$A:$D,4,FALSE)&amp;"]"))</f>
        <v/>
      </c>
      <c r="G71" s="46" t="str">
        <f t="array" ref="G71">IF('.'!G71="","",'.'!G71&amp;IF(VLOOKUP('.'!G71,Recipes!$A:$D,4,FALSE)="",""," ["&amp;VLOOKUP('.'!G71,Recipes!$A:$D,4,FALSE)&amp;"]"))</f>
        <v/>
      </c>
      <c r="H71" s="46" t="str">
        <f t="array" ref="H71">IF('.'!H71="","",'.'!H71&amp;IF(VLOOKUP('.'!H71,Recipes!$A:$D,4,FALSE)="",""," ["&amp;VLOOKUP('.'!H71,Recipes!$A:$D,4,FALSE)&amp;"]"))</f>
        <v/>
      </c>
      <c r="I71" s="46" t="str">
        <f t="array" ref="I71">IF('.'!I71="","",'.'!I71&amp;IF(VLOOKUP('.'!I71,Recipes!$A:$D,4,FALSE)="",""," ["&amp;VLOOKUP('.'!I71,Recipes!$A:$D,4,FALSE)&amp;"]"))</f>
        <v/>
      </c>
      <c r="J71" s="46" t="str">
        <f t="array" ref="J71">IF('.'!J71="","",'.'!J71&amp;IF(VLOOKUP('.'!J71,Recipes!$A:$D,4,FALSE)="",""," ["&amp;VLOOKUP('.'!J71,Recipes!$A:$D,4,FALSE)&amp;"]"))</f>
        <v/>
      </c>
      <c r="K71" s="46" t="str">
        <f t="array" ref="K71">IF('.'!K71="","",'.'!K71&amp;IF(VLOOKUP('.'!K71,Recipes!$A:$D,4,FALSE)="",""," ["&amp;VLOOKUP('.'!K71,Recipes!$A:$D,4,FALSE)&amp;"]"))</f>
        <v/>
      </c>
      <c r="L71" s="46" t="str">
        <f t="array" ref="L71">IF('.'!L71="","",'.'!L71&amp;IF(VLOOKUP('.'!L71,Recipes!$A:$D,4,FALSE)="",""," ["&amp;VLOOKUP('.'!L71,Recipes!$A:$D,4,FALSE)&amp;"]"))</f>
        <v/>
      </c>
      <c r="M71" s="46" t="str">
        <f t="array" ref="M71">IF('.'!M71="","",'.'!M71&amp;IF(VLOOKUP('.'!M71,Recipes!$A:$D,4,FALSE)="",""," ["&amp;VLOOKUP('.'!M71,Recipes!$A:$D,4,FALSE)&amp;"]"))</f>
        <v/>
      </c>
      <c r="N71" s="46" t="str">
        <f t="array" ref="N71">IF('.'!N71="","",'.'!N71&amp;IF(VLOOKUP('.'!N71,Recipes!$A:$D,4,FALSE)="",""," ["&amp;VLOOKUP('.'!N71,Recipes!$A:$D,4,FALSE)&amp;"]"))</f>
        <v/>
      </c>
      <c r="O71" s="46" t="str">
        <f t="array" ref="O71">IF('.'!O71="","",'.'!O71&amp;IF(VLOOKUP('.'!O71,Recipes!$A:$D,4,FALSE)="",""," ["&amp;VLOOKUP('.'!O71,Recipes!$A:$D,4,FALSE)&amp;"]"))</f>
        <v/>
      </c>
      <c r="P71" s="46" t="str">
        <f t="array" ref="P71">IF('.'!P71="","",'.'!P71&amp;IF(VLOOKUP('.'!P71,Recipes!$A:$D,4,FALSE)="",""," ["&amp;VLOOKUP('.'!P71,Recipes!$A:$D,4,FALSE)&amp;"]"))</f>
        <v/>
      </c>
      <c r="Q71" s="46" t="str">
        <f t="array" ref="Q71">IF('.'!Q71="","",'.'!Q71&amp;IF(VLOOKUP('.'!Q71,Recipes!$A:$D,4,FALSE)="",""," ["&amp;VLOOKUP('.'!Q71,Recipes!$A:$D,4,FALSE)&amp;"]"))</f>
        <v/>
      </c>
      <c r="R71" s="46" t="str">
        <f t="array" ref="R71">IF('.'!R71="","",'.'!R71&amp;IF(VLOOKUP('.'!R71,Recipes!$A:$D,4,FALSE)="",""," ["&amp;VLOOKUP('.'!R71,Recipes!$A:$D,4,FALSE)&amp;"]"))</f>
        <v/>
      </c>
      <c r="S71" s="46" t="str">
        <f t="array" ref="S71">IF('.'!S71="","",'.'!S71&amp;IF(VLOOKUP('.'!S71,Recipes!$A:$D,4,FALSE)="",""," ["&amp;VLOOKUP('.'!S71,Recipes!$A:$D,4,FALSE)&amp;"]"))</f>
        <v/>
      </c>
      <c r="T71" s="46" t="str">
        <f t="array" ref="T71">IF('.'!T71="","",'.'!T71&amp;IF(VLOOKUP('.'!T71,Recipes!$A:$D,4,FALSE)="",""," ["&amp;VLOOKUP('.'!T71,Recipes!$A:$D,4,FALSE)&amp;"]"))</f>
        <v/>
      </c>
      <c r="U71" s="46" t="str">
        <f t="array" ref="U71">IF('.'!U71="","",'.'!U71&amp;IF(VLOOKUP('.'!U71,Recipes!$A:$D,4,FALSE)="",""," ["&amp;VLOOKUP('.'!U71,Recipes!$A:$D,4,FALSE)&amp;"]"))</f>
        <v/>
      </c>
      <c r="V71" s="46" t="str">
        <f t="array" ref="V71">IF('.'!V71="","",'.'!V71&amp;IF(VLOOKUP('.'!V71,Recipes!$A:$D,4,FALSE)="",""," ["&amp;VLOOKUP('.'!V71,Recipes!$A:$D,4,FALSE)&amp;"]"))</f>
        <v/>
      </c>
      <c r="W71" s="46" t="str">
        <f t="array" ref="W71">IF('.'!W71="","",'.'!W71&amp;IF(VLOOKUP('.'!W71,Recipes!$A:$D,4,FALSE)="",""," ["&amp;VLOOKUP('.'!W71,Recipes!$A:$D,4,FALSE)&amp;"]"))</f>
        <v/>
      </c>
      <c r="X71" s="46" t="str">
        <f t="array" ref="X71">IF('.'!X71="","",'.'!X71&amp;IF(VLOOKUP('.'!X71,Recipes!$A:$D,4,FALSE)="",""," ["&amp;VLOOKUP('.'!X71,Recipes!$A:$D,4,FALSE)&amp;"]"))</f>
        <v/>
      </c>
      <c r="Y71" s="46" t="str">
        <f t="array" ref="Y71">IF('.'!Y71="","",'.'!Y71&amp;IF(VLOOKUP('.'!Y71,Recipes!$A:$D,4,FALSE)="",""," ["&amp;VLOOKUP('.'!Y71,Recipes!$A:$D,4,FALSE)&amp;"]"))</f>
        <v/>
      </c>
      <c r="Z71" s="46" t="str">
        <f t="array" ref="Z71">IF('.'!Z71="","",'.'!Z71&amp;IF(VLOOKUP('.'!Z71,Recipes!$A:$D,4,FALSE)="",""," ["&amp;VLOOKUP('.'!Z71,Recipes!$A:$D,4,FALSE)&amp;"]"))</f>
        <v/>
      </c>
      <c r="AA71" s="46" t="str">
        <f t="array" ref="AA71">IF('.'!AA71="","",'.'!AA71&amp;IF(VLOOKUP('.'!AA71,Recipes!$A:$D,4,FALSE)="",""," ["&amp;VLOOKUP('.'!AA71,Recipes!$A:$D,4,FALSE)&amp;"]"))</f>
        <v/>
      </c>
      <c r="AB71" s="46" t="str">
        <f t="array" ref="AB71">IF('.'!AB71="","",'.'!AB71&amp;IF(VLOOKUP('.'!AB71,Recipes!$A:$D,4,FALSE)="",""," ["&amp;VLOOKUP('.'!AB71,Recipes!$A:$D,4,FALSE)&amp;"]"))</f>
        <v/>
      </c>
      <c r="AC71" s="46" t="str">
        <f t="array" ref="AC71">IF('.'!AC71="","",'.'!AC71&amp;IF(VLOOKUP('.'!AC71,Recipes!$A:$D,4,FALSE)="",""," ["&amp;VLOOKUP('.'!AC71,Recipes!$A:$D,4,FALSE)&amp;"]"))</f>
        <v/>
      </c>
      <c r="AD71" s="46" t="str">
        <f t="array" ref="AD71">IF('.'!AD71="","",'.'!AD71&amp;IF(VLOOKUP('.'!AD71,Recipes!$A:$D,4,FALSE)="",""," ["&amp;VLOOKUP('.'!AD71,Recipes!$A:$D,4,FALSE)&amp;"]"))</f>
        <v/>
      </c>
      <c r="AE71" s="47"/>
      <c r="AF71" s="47"/>
      <c r="AG71" s="47"/>
      <c r="AH71" s="47"/>
      <c r="AI71" s="47"/>
      <c r="AJ71" s="47"/>
      <c r="AK71" s="47"/>
      <c r="AL71" s="47"/>
      <c r="AM71" s="47"/>
      <c r="AN71" s="47"/>
      <c r="AO71" s="47"/>
      <c r="AP71" s="47"/>
      <c r="AQ71" s="47"/>
      <c r="AR71" s="47"/>
      <c r="AS71" s="47"/>
      <c r="AT71" s="47"/>
      <c r="AU71" s="47"/>
      <c r="AV71" s="47"/>
      <c r="AW71" s="47"/>
      <c r="AX71" s="47"/>
      <c r="AY71" s="47"/>
      <c r="AZ71" s="47"/>
      <c r="BA71" s="47"/>
      <c r="BB71" s="47"/>
      <c r="BC71" s="47"/>
      <c r="BD71" s="47"/>
      <c r="BE71" s="47"/>
      <c r="BF71" s="47"/>
      <c r="BG71" s="47"/>
      <c r="BH71" s="47"/>
      <c r="BI71" s="47"/>
      <c r="BJ71" s="47"/>
      <c r="BK71" s="47"/>
      <c r="BL71" s="47"/>
      <c r="BM71" s="47"/>
      <c r="BN71" s="47"/>
      <c r="BO71" s="47"/>
      <c r="BP71" s="47"/>
      <c r="BQ71" s="47"/>
      <c r="BR71" s="47"/>
      <c r="BS71" s="47"/>
      <c r="BT71" s="47"/>
      <c r="BU71" s="47"/>
      <c r="BV71" s="47"/>
      <c r="BW71" s="47"/>
      <c r="BX71" s="47"/>
      <c r="BY71" s="47"/>
      <c r="BZ71" s="47"/>
    </row>
    <row r="72" spans="1:78" ht="13">
      <c r="A72" s="48" t="str">
        <f ca="1">'.'!A72</f>
        <v>Blessed Water Arrowhead</v>
      </c>
      <c r="B72" s="46" t="str">
        <f t="array" aca="1" ref="B72" ca="1">IF('.'!B72="","",'.'!B72&amp;IF(VLOOKUP('.'!B72,Recipes!$A:$D,4,FALSE)="",""," ["&amp;VLOOKUP('.'!B72,Recipes!$A:$D,4,FALSE)&amp;"]"))</f>
        <v>Blessed Water Arrow [-1060]</v>
      </c>
      <c r="C72" s="46" t="str">
        <f t="array" ref="C72">IF('.'!C72="","",'.'!C72&amp;IF(VLOOKUP('.'!C72,Recipes!$A:$D,4,FALSE)="",""," ["&amp;VLOOKUP('.'!C72,Recipes!$A:$D,4,FALSE)&amp;"]"))</f>
        <v/>
      </c>
      <c r="D72" s="46" t="str">
        <f t="array" ref="D72">IF('.'!D72="","",'.'!D72&amp;IF(VLOOKUP('.'!D72,Recipes!$A:$D,4,FALSE)="",""," ["&amp;VLOOKUP('.'!D72,Recipes!$A:$D,4,FALSE)&amp;"]"))</f>
        <v/>
      </c>
      <c r="E72" s="46" t="str">
        <f t="array" ref="E72">IF('.'!E72="","",'.'!E72&amp;IF(VLOOKUP('.'!E72,Recipes!$A:$D,4,FALSE)="",""," ["&amp;VLOOKUP('.'!E72,Recipes!$A:$D,4,FALSE)&amp;"]"))</f>
        <v/>
      </c>
      <c r="F72" s="46" t="str">
        <f t="array" ref="F72">IF('.'!F72="","",'.'!F72&amp;IF(VLOOKUP('.'!F72,Recipes!$A:$D,4,FALSE)="",""," ["&amp;VLOOKUP('.'!F72,Recipes!$A:$D,4,FALSE)&amp;"]"))</f>
        <v/>
      </c>
      <c r="G72" s="46" t="str">
        <f t="array" ref="G72">IF('.'!G72="","",'.'!G72&amp;IF(VLOOKUP('.'!G72,Recipes!$A:$D,4,FALSE)="",""," ["&amp;VLOOKUP('.'!G72,Recipes!$A:$D,4,FALSE)&amp;"]"))</f>
        <v/>
      </c>
      <c r="H72" s="46" t="str">
        <f t="array" ref="H72">IF('.'!H72="","",'.'!H72&amp;IF(VLOOKUP('.'!H72,Recipes!$A:$D,4,FALSE)="",""," ["&amp;VLOOKUP('.'!H72,Recipes!$A:$D,4,FALSE)&amp;"]"))</f>
        <v/>
      </c>
      <c r="I72" s="46" t="str">
        <f t="array" ref="I72">IF('.'!I72="","",'.'!I72&amp;IF(VLOOKUP('.'!I72,Recipes!$A:$D,4,FALSE)="",""," ["&amp;VLOOKUP('.'!I72,Recipes!$A:$D,4,FALSE)&amp;"]"))</f>
        <v/>
      </c>
      <c r="J72" s="46" t="str">
        <f t="array" ref="J72">IF('.'!J72="","",'.'!J72&amp;IF(VLOOKUP('.'!J72,Recipes!$A:$D,4,FALSE)="",""," ["&amp;VLOOKUP('.'!J72,Recipes!$A:$D,4,FALSE)&amp;"]"))</f>
        <v/>
      </c>
      <c r="K72" s="46" t="str">
        <f t="array" ref="K72">IF('.'!K72="","",'.'!K72&amp;IF(VLOOKUP('.'!K72,Recipes!$A:$D,4,FALSE)="",""," ["&amp;VLOOKUP('.'!K72,Recipes!$A:$D,4,FALSE)&amp;"]"))</f>
        <v/>
      </c>
      <c r="L72" s="46" t="str">
        <f t="array" ref="L72">IF('.'!L72="","",'.'!L72&amp;IF(VLOOKUP('.'!L72,Recipes!$A:$D,4,FALSE)="",""," ["&amp;VLOOKUP('.'!L72,Recipes!$A:$D,4,FALSE)&amp;"]"))</f>
        <v/>
      </c>
      <c r="M72" s="46" t="str">
        <f t="array" ref="M72">IF('.'!M72="","",'.'!M72&amp;IF(VLOOKUP('.'!M72,Recipes!$A:$D,4,FALSE)="",""," ["&amp;VLOOKUP('.'!M72,Recipes!$A:$D,4,FALSE)&amp;"]"))</f>
        <v/>
      </c>
      <c r="N72" s="46" t="str">
        <f t="array" ref="N72">IF('.'!N72="","",'.'!N72&amp;IF(VLOOKUP('.'!N72,Recipes!$A:$D,4,FALSE)="",""," ["&amp;VLOOKUP('.'!N72,Recipes!$A:$D,4,FALSE)&amp;"]"))</f>
        <v/>
      </c>
      <c r="O72" s="46" t="str">
        <f t="array" ref="O72">IF('.'!O72="","",'.'!O72&amp;IF(VLOOKUP('.'!O72,Recipes!$A:$D,4,FALSE)="",""," ["&amp;VLOOKUP('.'!O72,Recipes!$A:$D,4,FALSE)&amp;"]"))</f>
        <v/>
      </c>
      <c r="P72" s="46" t="str">
        <f t="array" ref="P72">IF('.'!P72="","",'.'!P72&amp;IF(VLOOKUP('.'!P72,Recipes!$A:$D,4,FALSE)="",""," ["&amp;VLOOKUP('.'!P72,Recipes!$A:$D,4,FALSE)&amp;"]"))</f>
        <v/>
      </c>
      <c r="Q72" s="46" t="str">
        <f t="array" ref="Q72">IF('.'!Q72="","",'.'!Q72&amp;IF(VLOOKUP('.'!Q72,Recipes!$A:$D,4,FALSE)="",""," ["&amp;VLOOKUP('.'!Q72,Recipes!$A:$D,4,FALSE)&amp;"]"))</f>
        <v/>
      </c>
      <c r="R72" s="46" t="str">
        <f t="array" ref="R72">IF('.'!R72="","",'.'!R72&amp;IF(VLOOKUP('.'!R72,Recipes!$A:$D,4,FALSE)="",""," ["&amp;VLOOKUP('.'!R72,Recipes!$A:$D,4,FALSE)&amp;"]"))</f>
        <v/>
      </c>
      <c r="S72" s="46" t="str">
        <f t="array" ref="S72">IF('.'!S72="","",'.'!S72&amp;IF(VLOOKUP('.'!S72,Recipes!$A:$D,4,FALSE)="",""," ["&amp;VLOOKUP('.'!S72,Recipes!$A:$D,4,FALSE)&amp;"]"))</f>
        <v/>
      </c>
      <c r="T72" s="46" t="str">
        <f t="array" ref="T72">IF('.'!T72="","",'.'!T72&amp;IF(VLOOKUP('.'!T72,Recipes!$A:$D,4,FALSE)="",""," ["&amp;VLOOKUP('.'!T72,Recipes!$A:$D,4,FALSE)&amp;"]"))</f>
        <v/>
      </c>
      <c r="U72" s="46" t="str">
        <f t="array" ref="U72">IF('.'!U72="","",'.'!U72&amp;IF(VLOOKUP('.'!U72,Recipes!$A:$D,4,FALSE)="",""," ["&amp;VLOOKUP('.'!U72,Recipes!$A:$D,4,FALSE)&amp;"]"))</f>
        <v/>
      </c>
      <c r="V72" s="46" t="str">
        <f t="array" ref="V72">IF('.'!V72="","",'.'!V72&amp;IF(VLOOKUP('.'!V72,Recipes!$A:$D,4,FALSE)="",""," ["&amp;VLOOKUP('.'!V72,Recipes!$A:$D,4,FALSE)&amp;"]"))</f>
        <v/>
      </c>
      <c r="W72" s="46" t="str">
        <f t="array" ref="W72">IF('.'!W72="","",'.'!W72&amp;IF(VLOOKUP('.'!W72,Recipes!$A:$D,4,FALSE)="",""," ["&amp;VLOOKUP('.'!W72,Recipes!$A:$D,4,FALSE)&amp;"]"))</f>
        <v/>
      </c>
      <c r="X72" s="46" t="str">
        <f t="array" ref="X72">IF('.'!X72="","",'.'!X72&amp;IF(VLOOKUP('.'!X72,Recipes!$A:$D,4,FALSE)="",""," ["&amp;VLOOKUP('.'!X72,Recipes!$A:$D,4,FALSE)&amp;"]"))</f>
        <v/>
      </c>
      <c r="Y72" s="46" t="str">
        <f t="array" ref="Y72">IF('.'!Y72="","",'.'!Y72&amp;IF(VLOOKUP('.'!Y72,Recipes!$A:$D,4,FALSE)="",""," ["&amp;VLOOKUP('.'!Y72,Recipes!$A:$D,4,FALSE)&amp;"]"))</f>
        <v/>
      </c>
      <c r="Z72" s="46" t="str">
        <f t="array" ref="Z72">IF('.'!Z72="","",'.'!Z72&amp;IF(VLOOKUP('.'!Z72,Recipes!$A:$D,4,FALSE)="",""," ["&amp;VLOOKUP('.'!Z72,Recipes!$A:$D,4,FALSE)&amp;"]"))</f>
        <v/>
      </c>
      <c r="AA72" s="46" t="str">
        <f t="array" ref="AA72">IF('.'!AA72="","",'.'!AA72&amp;IF(VLOOKUP('.'!AA72,Recipes!$A:$D,4,FALSE)="",""," ["&amp;VLOOKUP('.'!AA72,Recipes!$A:$D,4,FALSE)&amp;"]"))</f>
        <v/>
      </c>
      <c r="AB72" s="46" t="str">
        <f t="array" ref="AB72">IF('.'!AB72="","",'.'!AB72&amp;IF(VLOOKUP('.'!AB72,Recipes!$A:$D,4,FALSE)="",""," ["&amp;VLOOKUP('.'!AB72,Recipes!$A:$D,4,FALSE)&amp;"]"))</f>
        <v/>
      </c>
      <c r="AC72" s="46" t="str">
        <f t="array" ref="AC72">IF('.'!AC72="","",'.'!AC72&amp;IF(VLOOKUP('.'!AC72,Recipes!$A:$D,4,FALSE)="",""," ["&amp;VLOOKUP('.'!AC72,Recipes!$A:$D,4,FALSE)&amp;"]"))</f>
        <v/>
      </c>
      <c r="AD72" s="46" t="str">
        <f t="array" ref="AD72">IF('.'!AD72="","",'.'!AD72&amp;IF(VLOOKUP('.'!AD72,Recipes!$A:$D,4,FALSE)="",""," ["&amp;VLOOKUP('.'!AD72,Recipes!$A:$D,4,FALSE)&amp;"]"))</f>
        <v/>
      </c>
      <c r="AE72" s="47"/>
      <c r="AF72" s="47"/>
      <c r="AG72" s="47"/>
      <c r="AH72" s="47"/>
      <c r="AI72" s="47"/>
      <c r="AJ72" s="47"/>
      <c r="AK72" s="47"/>
      <c r="AL72" s="47"/>
      <c r="AM72" s="47"/>
      <c r="AN72" s="47"/>
      <c r="AO72" s="47"/>
      <c r="AP72" s="47"/>
      <c r="AQ72" s="47"/>
      <c r="AR72" s="47"/>
      <c r="AS72" s="47"/>
      <c r="AT72" s="47"/>
      <c r="AU72" s="47"/>
      <c r="AV72" s="47"/>
      <c r="AW72" s="47"/>
      <c r="AX72" s="47"/>
      <c r="AY72" s="47"/>
      <c r="AZ72" s="47"/>
      <c r="BA72" s="47"/>
      <c r="BB72" s="47"/>
      <c r="BC72" s="47"/>
      <c r="BD72" s="47"/>
      <c r="BE72" s="47"/>
      <c r="BF72" s="47"/>
      <c r="BG72" s="47"/>
      <c r="BH72" s="47"/>
      <c r="BI72" s="47"/>
      <c r="BJ72" s="47"/>
      <c r="BK72" s="47"/>
      <c r="BL72" s="47"/>
      <c r="BM72" s="47"/>
      <c r="BN72" s="47"/>
      <c r="BO72" s="47"/>
      <c r="BP72" s="47"/>
      <c r="BQ72" s="47"/>
      <c r="BR72" s="47"/>
      <c r="BS72" s="47"/>
      <c r="BT72" s="47"/>
      <c r="BU72" s="47"/>
      <c r="BV72" s="47"/>
      <c r="BW72" s="47"/>
      <c r="BX72" s="47"/>
      <c r="BY72" s="47"/>
      <c r="BZ72" s="47"/>
    </row>
    <row r="73" spans="1:78" ht="13">
      <c r="A73" s="48" t="str">
        <f ca="1">'.'!A73</f>
        <v>Blinding Radiance Scroll</v>
      </c>
      <c r="B73" s="46" t="str">
        <f t="array" aca="1" ref="B73" ca="1">IF('.'!B73="","",'.'!B73&amp;IF(VLOOKUP('.'!B73,Recipes!$A:$D,4,FALSE)="",""," ["&amp;VLOOKUP('.'!B73,Recipes!$A:$D,4,FALSE)&amp;"]"))</f>
        <v>Blinding Radiance Skillbook [-340]</v>
      </c>
      <c r="C73" s="46" t="str">
        <f t="array" ref="C73">IF('.'!C73="","",'.'!C73&amp;IF(VLOOKUP('.'!C73,Recipes!$A:$D,4,FALSE)="",""," ["&amp;VLOOKUP('.'!C73,Recipes!$A:$D,4,FALSE)&amp;"]"))</f>
        <v/>
      </c>
      <c r="D73" s="46" t="str">
        <f t="array" ref="D73">IF('.'!D73="","",'.'!D73&amp;IF(VLOOKUP('.'!D73,Recipes!$A:$D,4,FALSE)="",""," ["&amp;VLOOKUP('.'!D73,Recipes!$A:$D,4,FALSE)&amp;"]"))</f>
        <v/>
      </c>
      <c r="E73" s="46" t="str">
        <f t="array" ref="E73">IF('.'!E73="","",'.'!E73&amp;IF(VLOOKUP('.'!E73,Recipes!$A:$D,4,FALSE)="",""," ["&amp;VLOOKUP('.'!E73,Recipes!$A:$D,4,FALSE)&amp;"]"))</f>
        <v/>
      </c>
      <c r="F73" s="46" t="str">
        <f t="array" ref="F73">IF('.'!F73="","",'.'!F73&amp;IF(VLOOKUP('.'!F73,Recipes!$A:$D,4,FALSE)="",""," ["&amp;VLOOKUP('.'!F73,Recipes!$A:$D,4,FALSE)&amp;"]"))</f>
        <v/>
      </c>
      <c r="G73" s="46" t="str">
        <f t="array" ref="G73">IF('.'!G73="","",'.'!G73&amp;IF(VLOOKUP('.'!G73,Recipes!$A:$D,4,FALSE)="",""," ["&amp;VLOOKUP('.'!G73,Recipes!$A:$D,4,FALSE)&amp;"]"))</f>
        <v/>
      </c>
      <c r="H73" s="46" t="str">
        <f t="array" ref="H73">IF('.'!H73="","",'.'!H73&amp;IF(VLOOKUP('.'!H73,Recipes!$A:$D,4,FALSE)="",""," ["&amp;VLOOKUP('.'!H73,Recipes!$A:$D,4,FALSE)&amp;"]"))</f>
        <v/>
      </c>
      <c r="I73" s="46" t="str">
        <f t="array" ref="I73">IF('.'!I73="","",'.'!I73&amp;IF(VLOOKUP('.'!I73,Recipes!$A:$D,4,FALSE)="",""," ["&amp;VLOOKUP('.'!I73,Recipes!$A:$D,4,FALSE)&amp;"]"))</f>
        <v/>
      </c>
      <c r="J73" s="46" t="str">
        <f t="array" ref="J73">IF('.'!J73="","",'.'!J73&amp;IF(VLOOKUP('.'!J73,Recipes!$A:$D,4,FALSE)="",""," ["&amp;VLOOKUP('.'!J73,Recipes!$A:$D,4,FALSE)&amp;"]"))</f>
        <v/>
      </c>
      <c r="K73" s="46" t="str">
        <f t="array" ref="K73">IF('.'!K73="","",'.'!K73&amp;IF(VLOOKUP('.'!K73,Recipes!$A:$D,4,FALSE)="",""," ["&amp;VLOOKUP('.'!K73,Recipes!$A:$D,4,FALSE)&amp;"]"))</f>
        <v/>
      </c>
      <c r="L73" s="46" t="str">
        <f t="array" ref="L73">IF('.'!L73="","",'.'!L73&amp;IF(VLOOKUP('.'!L73,Recipes!$A:$D,4,FALSE)="",""," ["&amp;VLOOKUP('.'!L73,Recipes!$A:$D,4,FALSE)&amp;"]"))</f>
        <v/>
      </c>
      <c r="M73" s="46" t="str">
        <f t="array" ref="M73">IF('.'!M73="","",'.'!M73&amp;IF(VLOOKUP('.'!M73,Recipes!$A:$D,4,FALSE)="",""," ["&amp;VLOOKUP('.'!M73,Recipes!$A:$D,4,FALSE)&amp;"]"))</f>
        <v/>
      </c>
      <c r="N73" s="46" t="str">
        <f t="array" ref="N73">IF('.'!N73="","",'.'!N73&amp;IF(VLOOKUP('.'!N73,Recipes!$A:$D,4,FALSE)="",""," ["&amp;VLOOKUP('.'!N73,Recipes!$A:$D,4,FALSE)&amp;"]"))</f>
        <v/>
      </c>
      <c r="O73" s="46" t="str">
        <f t="array" ref="O73">IF('.'!O73="","",'.'!O73&amp;IF(VLOOKUP('.'!O73,Recipes!$A:$D,4,FALSE)="",""," ["&amp;VLOOKUP('.'!O73,Recipes!$A:$D,4,FALSE)&amp;"]"))</f>
        <v/>
      </c>
      <c r="P73" s="46" t="str">
        <f t="array" ref="P73">IF('.'!P73="","",'.'!P73&amp;IF(VLOOKUP('.'!P73,Recipes!$A:$D,4,FALSE)="",""," ["&amp;VLOOKUP('.'!P73,Recipes!$A:$D,4,FALSE)&amp;"]"))</f>
        <v/>
      </c>
      <c r="Q73" s="46" t="str">
        <f t="array" ref="Q73">IF('.'!Q73="","",'.'!Q73&amp;IF(VLOOKUP('.'!Q73,Recipes!$A:$D,4,FALSE)="",""," ["&amp;VLOOKUP('.'!Q73,Recipes!$A:$D,4,FALSE)&amp;"]"))</f>
        <v/>
      </c>
      <c r="R73" s="46" t="str">
        <f t="array" ref="R73">IF('.'!R73="","",'.'!R73&amp;IF(VLOOKUP('.'!R73,Recipes!$A:$D,4,FALSE)="",""," ["&amp;VLOOKUP('.'!R73,Recipes!$A:$D,4,FALSE)&amp;"]"))</f>
        <v/>
      </c>
      <c r="S73" s="46" t="str">
        <f t="array" ref="S73">IF('.'!S73="","",'.'!S73&amp;IF(VLOOKUP('.'!S73,Recipes!$A:$D,4,FALSE)="",""," ["&amp;VLOOKUP('.'!S73,Recipes!$A:$D,4,FALSE)&amp;"]"))</f>
        <v/>
      </c>
      <c r="T73" s="46" t="str">
        <f t="array" ref="T73">IF('.'!T73="","",'.'!T73&amp;IF(VLOOKUP('.'!T73,Recipes!$A:$D,4,FALSE)="",""," ["&amp;VLOOKUP('.'!T73,Recipes!$A:$D,4,FALSE)&amp;"]"))</f>
        <v/>
      </c>
      <c r="U73" s="46" t="str">
        <f t="array" ref="U73">IF('.'!U73="","",'.'!U73&amp;IF(VLOOKUP('.'!U73,Recipes!$A:$D,4,FALSE)="",""," ["&amp;VLOOKUP('.'!U73,Recipes!$A:$D,4,FALSE)&amp;"]"))</f>
        <v/>
      </c>
      <c r="V73" s="46" t="str">
        <f t="array" ref="V73">IF('.'!V73="","",'.'!V73&amp;IF(VLOOKUP('.'!V73,Recipes!$A:$D,4,FALSE)="",""," ["&amp;VLOOKUP('.'!V73,Recipes!$A:$D,4,FALSE)&amp;"]"))</f>
        <v/>
      </c>
      <c r="W73" s="46" t="str">
        <f t="array" ref="W73">IF('.'!W73="","",'.'!W73&amp;IF(VLOOKUP('.'!W73,Recipes!$A:$D,4,FALSE)="",""," ["&amp;VLOOKUP('.'!W73,Recipes!$A:$D,4,FALSE)&amp;"]"))</f>
        <v/>
      </c>
      <c r="X73" s="46" t="str">
        <f t="array" ref="X73">IF('.'!X73="","",'.'!X73&amp;IF(VLOOKUP('.'!X73,Recipes!$A:$D,4,FALSE)="",""," ["&amp;VLOOKUP('.'!X73,Recipes!$A:$D,4,FALSE)&amp;"]"))</f>
        <v/>
      </c>
      <c r="Y73" s="46" t="str">
        <f t="array" ref="Y73">IF('.'!Y73="","",'.'!Y73&amp;IF(VLOOKUP('.'!Y73,Recipes!$A:$D,4,FALSE)="",""," ["&amp;VLOOKUP('.'!Y73,Recipes!$A:$D,4,FALSE)&amp;"]"))</f>
        <v/>
      </c>
      <c r="Z73" s="46" t="str">
        <f t="array" ref="Z73">IF('.'!Z73="","",'.'!Z73&amp;IF(VLOOKUP('.'!Z73,Recipes!$A:$D,4,FALSE)="",""," ["&amp;VLOOKUP('.'!Z73,Recipes!$A:$D,4,FALSE)&amp;"]"))</f>
        <v/>
      </c>
      <c r="AA73" s="46" t="str">
        <f t="array" ref="AA73">IF('.'!AA73="","",'.'!AA73&amp;IF(VLOOKUP('.'!AA73,Recipes!$A:$D,4,FALSE)="",""," ["&amp;VLOOKUP('.'!AA73,Recipes!$A:$D,4,FALSE)&amp;"]"))</f>
        <v/>
      </c>
      <c r="AB73" s="46" t="str">
        <f t="array" ref="AB73">IF('.'!AB73="","",'.'!AB73&amp;IF(VLOOKUP('.'!AB73,Recipes!$A:$D,4,FALSE)="",""," ["&amp;VLOOKUP('.'!AB73,Recipes!$A:$D,4,FALSE)&amp;"]"))</f>
        <v/>
      </c>
      <c r="AC73" s="46" t="str">
        <f t="array" ref="AC73">IF('.'!AC73="","",'.'!AC73&amp;IF(VLOOKUP('.'!AC73,Recipes!$A:$D,4,FALSE)="",""," ["&amp;VLOOKUP('.'!AC73,Recipes!$A:$D,4,FALSE)&amp;"]"))</f>
        <v/>
      </c>
      <c r="AD73" s="46" t="str">
        <f t="array" ref="AD73">IF('.'!AD73="","",'.'!AD73&amp;IF(VLOOKUP('.'!AD73,Recipes!$A:$D,4,FALSE)="",""," ["&amp;VLOOKUP('.'!AD73,Recipes!$A:$D,4,FALSE)&amp;"]"))</f>
        <v/>
      </c>
      <c r="AE73" s="47"/>
      <c r="AF73" s="47"/>
      <c r="AG73" s="47"/>
      <c r="AH73" s="47"/>
      <c r="AI73" s="47"/>
      <c r="AJ73" s="47"/>
      <c r="AK73" s="47"/>
      <c r="AL73" s="47"/>
      <c r="AM73" s="47"/>
      <c r="AN73" s="47"/>
      <c r="AO73" s="47"/>
      <c r="AP73" s="47"/>
      <c r="AQ73" s="47"/>
      <c r="AR73" s="47"/>
      <c r="AS73" s="47"/>
      <c r="AT73" s="47"/>
      <c r="AU73" s="47"/>
      <c r="AV73" s="47"/>
      <c r="AW73" s="47"/>
      <c r="AX73" s="47"/>
      <c r="AY73" s="47"/>
      <c r="AZ73" s="47"/>
      <c r="BA73" s="47"/>
      <c r="BB73" s="47"/>
      <c r="BC73" s="47"/>
      <c r="BD73" s="47"/>
      <c r="BE73" s="47"/>
      <c r="BF73" s="47"/>
      <c r="BG73" s="47"/>
      <c r="BH73" s="47"/>
      <c r="BI73" s="47"/>
      <c r="BJ73" s="47"/>
      <c r="BK73" s="47"/>
      <c r="BL73" s="47"/>
      <c r="BM73" s="47"/>
      <c r="BN73" s="47"/>
      <c r="BO73" s="47"/>
      <c r="BP73" s="47"/>
      <c r="BQ73" s="47"/>
      <c r="BR73" s="47"/>
      <c r="BS73" s="47"/>
      <c r="BT73" s="47"/>
      <c r="BU73" s="47"/>
      <c r="BV73" s="47"/>
      <c r="BW73" s="47"/>
      <c r="BX73" s="47"/>
      <c r="BY73" s="47"/>
      <c r="BZ73" s="47"/>
    </row>
    <row r="74" spans="1:78" ht="13">
      <c r="A74" s="48" t="str">
        <f ca="1">'.'!A74</f>
        <v>Blood Rose</v>
      </c>
      <c r="B74" s="46" t="str">
        <f t="array" aca="1" ref="B74" ca="1">IF('.'!B74="","",'.'!B74&amp;IF(VLOOKUP('.'!B74,Recipes!$A:$D,4,FALSE)="",""," ["&amp;VLOOKUP('.'!B74,Recipes!$A:$D,4,FALSE)&amp;"]"))</f>
        <v>Attar of the Blood Rose [80]</v>
      </c>
      <c r="C74" s="46" t="str">
        <f t="array" ref="C74">IF('.'!C74="","",'.'!C74&amp;IF(VLOOKUP('.'!C74,Recipes!$A:$D,4,FALSE)="",""," ["&amp;VLOOKUP('.'!C74,Recipes!$A:$D,4,FALSE)&amp;"]"))</f>
        <v/>
      </c>
      <c r="D74" s="46" t="str">
        <f t="array" ref="D74">IF('.'!D74="","",'.'!D74&amp;IF(VLOOKUP('.'!D74,Recipes!$A:$D,4,FALSE)="",""," ["&amp;VLOOKUP('.'!D74,Recipes!$A:$D,4,FALSE)&amp;"]"))</f>
        <v/>
      </c>
      <c r="E74" s="46" t="str">
        <f t="array" ref="E74">IF('.'!E74="","",'.'!E74&amp;IF(VLOOKUP('.'!E74,Recipes!$A:$D,4,FALSE)="",""," ["&amp;VLOOKUP('.'!E74,Recipes!$A:$D,4,FALSE)&amp;"]"))</f>
        <v/>
      </c>
      <c r="F74" s="46" t="str">
        <f t="array" ref="F74">IF('.'!F74="","",'.'!F74&amp;IF(VLOOKUP('.'!F74,Recipes!$A:$D,4,FALSE)="",""," ["&amp;VLOOKUP('.'!F74,Recipes!$A:$D,4,FALSE)&amp;"]"))</f>
        <v/>
      </c>
      <c r="G74" s="46" t="str">
        <f t="array" ref="G74">IF('.'!G74="","",'.'!G74&amp;IF(VLOOKUP('.'!G74,Recipes!$A:$D,4,FALSE)="",""," ["&amp;VLOOKUP('.'!G74,Recipes!$A:$D,4,FALSE)&amp;"]"))</f>
        <v/>
      </c>
      <c r="H74" s="46" t="str">
        <f t="array" ref="H74">IF('.'!H74="","",'.'!H74&amp;IF(VLOOKUP('.'!H74,Recipes!$A:$D,4,FALSE)="",""," ["&amp;VLOOKUP('.'!H74,Recipes!$A:$D,4,FALSE)&amp;"]"))</f>
        <v/>
      </c>
      <c r="I74" s="46" t="str">
        <f t="array" ref="I74">IF('.'!I74="","",'.'!I74&amp;IF(VLOOKUP('.'!I74,Recipes!$A:$D,4,FALSE)="",""," ["&amp;VLOOKUP('.'!I74,Recipes!$A:$D,4,FALSE)&amp;"]"))</f>
        <v/>
      </c>
      <c r="J74" s="46" t="str">
        <f t="array" ref="J74">IF('.'!J74="","",'.'!J74&amp;IF(VLOOKUP('.'!J74,Recipes!$A:$D,4,FALSE)="",""," ["&amp;VLOOKUP('.'!J74,Recipes!$A:$D,4,FALSE)&amp;"]"))</f>
        <v/>
      </c>
      <c r="K74" s="46" t="str">
        <f t="array" ref="K74">IF('.'!K74="","",'.'!K74&amp;IF(VLOOKUP('.'!K74,Recipes!$A:$D,4,FALSE)="",""," ["&amp;VLOOKUP('.'!K74,Recipes!$A:$D,4,FALSE)&amp;"]"))</f>
        <v/>
      </c>
      <c r="L74" s="46" t="str">
        <f t="array" ref="L74">IF('.'!L74="","",'.'!L74&amp;IF(VLOOKUP('.'!L74,Recipes!$A:$D,4,FALSE)="",""," ["&amp;VLOOKUP('.'!L74,Recipes!$A:$D,4,FALSE)&amp;"]"))</f>
        <v/>
      </c>
      <c r="M74" s="46" t="str">
        <f t="array" ref="M74">IF('.'!M74="","",'.'!M74&amp;IF(VLOOKUP('.'!M74,Recipes!$A:$D,4,FALSE)="",""," ["&amp;VLOOKUP('.'!M74,Recipes!$A:$D,4,FALSE)&amp;"]"))</f>
        <v/>
      </c>
      <c r="N74" s="46" t="str">
        <f t="array" ref="N74">IF('.'!N74="","",'.'!N74&amp;IF(VLOOKUP('.'!N74,Recipes!$A:$D,4,FALSE)="",""," ["&amp;VLOOKUP('.'!N74,Recipes!$A:$D,4,FALSE)&amp;"]"))</f>
        <v/>
      </c>
      <c r="O74" s="46" t="str">
        <f t="array" ref="O74">IF('.'!O74="","",'.'!O74&amp;IF(VLOOKUP('.'!O74,Recipes!$A:$D,4,FALSE)="",""," ["&amp;VLOOKUP('.'!O74,Recipes!$A:$D,4,FALSE)&amp;"]"))</f>
        <v/>
      </c>
      <c r="P74" s="46" t="str">
        <f t="array" ref="P74">IF('.'!P74="","",'.'!P74&amp;IF(VLOOKUP('.'!P74,Recipes!$A:$D,4,FALSE)="",""," ["&amp;VLOOKUP('.'!P74,Recipes!$A:$D,4,FALSE)&amp;"]"))</f>
        <v/>
      </c>
      <c r="Q74" s="46" t="str">
        <f t="array" ref="Q74">IF('.'!Q74="","",'.'!Q74&amp;IF(VLOOKUP('.'!Q74,Recipes!$A:$D,4,FALSE)="",""," ["&amp;VLOOKUP('.'!Q74,Recipes!$A:$D,4,FALSE)&amp;"]"))</f>
        <v/>
      </c>
      <c r="R74" s="46" t="str">
        <f t="array" ref="R74">IF('.'!R74="","",'.'!R74&amp;IF(VLOOKUP('.'!R74,Recipes!$A:$D,4,FALSE)="",""," ["&amp;VLOOKUP('.'!R74,Recipes!$A:$D,4,FALSE)&amp;"]"))</f>
        <v/>
      </c>
      <c r="S74" s="46" t="str">
        <f t="array" ref="S74">IF('.'!S74="","",'.'!S74&amp;IF(VLOOKUP('.'!S74,Recipes!$A:$D,4,FALSE)="",""," ["&amp;VLOOKUP('.'!S74,Recipes!$A:$D,4,FALSE)&amp;"]"))</f>
        <v/>
      </c>
      <c r="T74" s="46" t="str">
        <f t="array" ref="T74">IF('.'!T74="","",'.'!T74&amp;IF(VLOOKUP('.'!T74,Recipes!$A:$D,4,FALSE)="",""," ["&amp;VLOOKUP('.'!T74,Recipes!$A:$D,4,FALSE)&amp;"]"))</f>
        <v/>
      </c>
      <c r="U74" s="46" t="str">
        <f t="array" ref="U74">IF('.'!U74="","",'.'!U74&amp;IF(VLOOKUP('.'!U74,Recipes!$A:$D,4,FALSE)="",""," ["&amp;VLOOKUP('.'!U74,Recipes!$A:$D,4,FALSE)&amp;"]"))</f>
        <v/>
      </c>
      <c r="V74" s="46" t="str">
        <f t="array" ref="V74">IF('.'!V74="","",'.'!V74&amp;IF(VLOOKUP('.'!V74,Recipes!$A:$D,4,FALSE)="",""," ["&amp;VLOOKUP('.'!V74,Recipes!$A:$D,4,FALSE)&amp;"]"))</f>
        <v/>
      </c>
      <c r="W74" s="46" t="str">
        <f t="array" ref="W74">IF('.'!W74="","",'.'!W74&amp;IF(VLOOKUP('.'!W74,Recipes!$A:$D,4,FALSE)="",""," ["&amp;VLOOKUP('.'!W74,Recipes!$A:$D,4,FALSE)&amp;"]"))</f>
        <v/>
      </c>
      <c r="X74" s="46" t="str">
        <f t="array" ref="X74">IF('.'!X74="","",'.'!X74&amp;IF(VLOOKUP('.'!X74,Recipes!$A:$D,4,FALSE)="",""," ["&amp;VLOOKUP('.'!X74,Recipes!$A:$D,4,FALSE)&amp;"]"))</f>
        <v/>
      </c>
      <c r="Y74" s="46" t="str">
        <f t="array" ref="Y74">IF('.'!Y74="","",'.'!Y74&amp;IF(VLOOKUP('.'!Y74,Recipes!$A:$D,4,FALSE)="",""," ["&amp;VLOOKUP('.'!Y74,Recipes!$A:$D,4,FALSE)&amp;"]"))</f>
        <v/>
      </c>
      <c r="Z74" s="46" t="str">
        <f t="array" ref="Z74">IF('.'!Z74="","",'.'!Z74&amp;IF(VLOOKUP('.'!Z74,Recipes!$A:$D,4,FALSE)="",""," ["&amp;VLOOKUP('.'!Z74,Recipes!$A:$D,4,FALSE)&amp;"]"))</f>
        <v/>
      </c>
      <c r="AA74" s="46" t="str">
        <f t="array" ref="AA74">IF('.'!AA74="","",'.'!AA74&amp;IF(VLOOKUP('.'!AA74,Recipes!$A:$D,4,FALSE)="",""," ["&amp;VLOOKUP('.'!AA74,Recipes!$A:$D,4,FALSE)&amp;"]"))</f>
        <v/>
      </c>
      <c r="AB74" s="46" t="str">
        <f t="array" ref="AB74">IF('.'!AB74="","",'.'!AB74&amp;IF(VLOOKUP('.'!AB74,Recipes!$A:$D,4,FALSE)="",""," ["&amp;VLOOKUP('.'!AB74,Recipes!$A:$D,4,FALSE)&amp;"]"))</f>
        <v/>
      </c>
      <c r="AC74" s="46" t="str">
        <f t="array" ref="AC74">IF('.'!AC74="","",'.'!AC74&amp;IF(VLOOKUP('.'!AC74,Recipes!$A:$D,4,FALSE)="",""," ["&amp;VLOOKUP('.'!AC74,Recipes!$A:$D,4,FALSE)&amp;"]"))</f>
        <v/>
      </c>
      <c r="AD74" s="46" t="str">
        <f t="array" ref="AD74">IF('.'!AD74="","",'.'!AD74&amp;IF(VLOOKUP('.'!AD74,Recipes!$A:$D,4,FALSE)="",""," ["&amp;VLOOKUP('.'!AD74,Recipes!$A:$D,4,FALSE)&amp;"]"))</f>
        <v/>
      </c>
      <c r="AE74" s="47"/>
      <c r="AF74" s="47"/>
      <c r="AG74" s="47"/>
      <c r="AH74" s="47"/>
      <c r="AI74" s="47"/>
      <c r="AJ74" s="47"/>
      <c r="AK74" s="47"/>
      <c r="AL74" s="47"/>
      <c r="AM74" s="47"/>
      <c r="AN74" s="47"/>
      <c r="AO74" s="47"/>
      <c r="AP74" s="47"/>
      <c r="AQ74" s="47"/>
      <c r="AR74" s="47"/>
      <c r="AS74" s="47"/>
      <c r="AT74" s="47"/>
      <c r="AU74" s="47"/>
      <c r="AV74" s="47"/>
      <c r="AW74" s="47"/>
      <c r="AX74" s="47"/>
      <c r="AY74" s="47"/>
      <c r="AZ74" s="47"/>
      <c r="BA74" s="47"/>
      <c r="BB74" s="47"/>
      <c r="BC74" s="47"/>
      <c r="BD74" s="47"/>
      <c r="BE74" s="47"/>
      <c r="BF74" s="47"/>
      <c r="BG74" s="47"/>
      <c r="BH74" s="47"/>
      <c r="BI74" s="47"/>
      <c r="BJ74" s="47"/>
      <c r="BK74" s="47"/>
      <c r="BL74" s="47"/>
      <c r="BM74" s="47"/>
      <c r="BN74" s="47"/>
      <c r="BO74" s="47"/>
      <c r="BP74" s="47"/>
      <c r="BQ74" s="47"/>
      <c r="BR74" s="47"/>
      <c r="BS74" s="47"/>
      <c r="BT74" s="47"/>
      <c r="BU74" s="47"/>
      <c r="BV74" s="47"/>
      <c r="BW74" s="47"/>
      <c r="BX74" s="47"/>
      <c r="BY74" s="47"/>
      <c r="BZ74" s="47"/>
    </row>
    <row r="75" spans="1:78" ht="13">
      <c r="A75" s="48" t="str">
        <f ca="1">'.'!A75</f>
        <v>Blood Sucker Scroll</v>
      </c>
      <c r="B75" s="46" t="str">
        <f t="array" aca="1" ref="B75" ca="1">IF('.'!B75="","",'.'!B75&amp;IF(VLOOKUP('.'!B75,Recipes!$A:$D,4,FALSE)="",""," ["&amp;VLOOKUP('.'!B75,Recipes!$A:$D,4,FALSE)&amp;"]"))</f>
        <v>Blood Sucker Skillbook [-190]</v>
      </c>
      <c r="C75" s="46" t="str">
        <f t="array" ref="C75">IF('.'!C75="","",'.'!C75&amp;IF(VLOOKUP('.'!C75,Recipes!$A:$D,4,FALSE)="",""," ["&amp;VLOOKUP('.'!C75,Recipes!$A:$D,4,FALSE)&amp;"]"))</f>
        <v/>
      </c>
      <c r="D75" s="46" t="str">
        <f t="array" ref="D75">IF('.'!D75="","",'.'!D75&amp;IF(VLOOKUP('.'!D75,Recipes!$A:$D,4,FALSE)="",""," ["&amp;VLOOKUP('.'!D75,Recipes!$A:$D,4,FALSE)&amp;"]"))</f>
        <v/>
      </c>
      <c r="E75" s="46" t="str">
        <f t="array" ref="E75">IF('.'!E75="","",'.'!E75&amp;IF(VLOOKUP('.'!E75,Recipes!$A:$D,4,FALSE)="",""," ["&amp;VLOOKUP('.'!E75,Recipes!$A:$D,4,FALSE)&amp;"]"))</f>
        <v/>
      </c>
      <c r="F75" s="46" t="str">
        <f t="array" ref="F75">IF('.'!F75="","",'.'!F75&amp;IF(VLOOKUP('.'!F75,Recipes!$A:$D,4,FALSE)="",""," ["&amp;VLOOKUP('.'!F75,Recipes!$A:$D,4,FALSE)&amp;"]"))</f>
        <v/>
      </c>
      <c r="G75" s="46" t="str">
        <f t="array" ref="G75">IF('.'!G75="","",'.'!G75&amp;IF(VLOOKUP('.'!G75,Recipes!$A:$D,4,FALSE)="",""," ["&amp;VLOOKUP('.'!G75,Recipes!$A:$D,4,FALSE)&amp;"]"))</f>
        <v/>
      </c>
      <c r="H75" s="46" t="str">
        <f t="array" ref="H75">IF('.'!H75="","",'.'!H75&amp;IF(VLOOKUP('.'!H75,Recipes!$A:$D,4,FALSE)="",""," ["&amp;VLOOKUP('.'!H75,Recipes!$A:$D,4,FALSE)&amp;"]"))</f>
        <v/>
      </c>
      <c r="I75" s="46" t="str">
        <f t="array" ref="I75">IF('.'!I75="","",'.'!I75&amp;IF(VLOOKUP('.'!I75,Recipes!$A:$D,4,FALSE)="",""," ["&amp;VLOOKUP('.'!I75,Recipes!$A:$D,4,FALSE)&amp;"]"))</f>
        <v/>
      </c>
      <c r="J75" s="46" t="str">
        <f t="array" ref="J75">IF('.'!J75="","",'.'!J75&amp;IF(VLOOKUP('.'!J75,Recipes!$A:$D,4,FALSE)="",""," ["&amp;VLOOKUP('.'!J75,Recipes!$A:$D,4,FALSE)&amp;"]"))</f>
        <v/>
      </c>
      <c r="K75" s="46" t="str">
        <f t="array" ref="K75">IF('.'!K75="","",'.'!K75&amp;IF(VLOOKUP('.'!K75,Recipes!$A:$D,4,FALSE)="",""," ["&amp;VLOOKUP('.'!K75,Recipes!$A:$D,4,FALSE)&amp;"]"))</f>
        <v/>
      </c>
      <c r="L75" s="46" t="str">
        <f t="array" ref="L75">IF('.'!L75="","",'.'!L75&amp;IF(VLOOKUP('.'!L75,Recipes!$A:$D,4,FALSE)="",""," ["&amp;VLOOKUP('.'!L75,Recipes!$A:$D,4,FALSE)&amp;"]"))</f>
        <v/>
      </c>
      <c r="M75" s="46" t="str">
        <f t="array" ref="M75">IF('.'!M75="","",'.'!M75&amp;IF(VLOOKUP('.'!M75,Recipes!$A:$D,4,FALSE)="",""," ["&amp;VLOOKUP('.'!M75,Recipes!$A:$D,4,FALSE)&amp;"]"))</f>
        <v/>
      </c>
      <c r="N75" s="46" t="str">
        <f t="array" ref="N75">IF('.'!N75="","",'.'!N75&amp;IF(VLOOKUP('.'!N75,Recipes!$A:$D,4,FALSE)="",""," ["&amp;VLOOKUP('.'!N75,Recipes!$A:$D,4,FALSE)&amp;"]"))</f>
        <v/>
      </c>
      <c r="O75" s="46" t="str">
        <f t="array" ref="O75">IF('.'!O75="","",'.'!O75&amp;IF(VLOOKUP('.'!O75,Recipes!$A:$D,4,FALSE)="",""," ["&amp;VLOOKUP('.'!O75,Recipes!$A:$D,4,FALSE)&amp;"]"))</f>
        <v/>
      </c>
      <c r="P75" s="46" t="str">
        <f t="array" ref="P75">IF('.'!P75="","",'.'!P75&amp;IF(VLOOKUP('.'!P75,Recipes!$A:$D,4,FALSE)="",""," ["&amp;VLOOKUP('.'!P75,Recipes!$A:$D,4,FALSE)&amp;"]"))</f>
        <v/>
      </c>
      <c r="Q75" s="46" t="str">
        <f t="array" ref="Q75">IF('.'!Q75="","",'.'!Q75&amp;IF(VLOOKUP('.'!Q75,Recipes!$A:$D,4,FALSE)="",""," ["&amp;VLOOKUP('.'!Q75,Recipes!$A:$D,4,FALSE)&amp;"]"))</f>
        <v/>
      </c>
      <c r="R75" s="46" t="str">
        <f t="array" ref="R75">IF('.'!R75="","",'.'!R75&amp;IF(VLOOKUP('.'!R75,Recipes!$A:$D,4,FALSE)="",""," ["&amp;VLOOKUP('.'!R75,Recipes!$A:$D,4,FALSE)&amp;"]"))</f>
        <v/>
      </c>
      <c r="S75" s="46" t="str">
        <f t="array" ref="S75">IF('.'!S75="","",'.'!S75&amp;IF(VLOOKUP('.'!S75,Recipes!$A:$D,4,FALSE)="",""," ["&amp;VLOOKUP('.'!S75,Recipes!$A:$D,4,FALSE)&amp;"]"))</f>
        <v/>
      </c>
      <c r="T75" s="46" t="str">
        <f t="array" ref="T75">IF('.'!T75="","",'.'!T75&amp;IF(VLOOKUP('.'!T75,Recipes!$A:$D,4,FALSE)="",""," ["&amp;VLOOKUP('.'!T75,Recipes!$A:$D,4,FALSE)&amp;"]"))</f>
        <v/>
      </c>
      <c r="U75" s="46" t="str">
        <f t="array" ref="U75">IF('.'!U75="","",'.'!U75&amp;IF(VLOOKUP('.'!U75,Recipes!$A:$D,4,FALSE)="",""," ["&amp;VLOOKUP('.'!U75,Recipes!$A:$D,4,FALSE)&amp;"]"))</f>
        <v/>
      </c>
      <c r="V75" s="46" t="str">
        <f t="array" ref="V75">IF('.'!V75="","",'.'!V75&amp;IF(VLOOKUP('.'!V75,Recipes!$A:$D,4,FALSE)="",""," ["&amp;VLOOKUP('.'!V75,Recipes!$A:$D,4,FALSE)&amp;"]"))</f>
        <v/>
      </c>
      <c r="W75" s="46" t="str">
        <f t="array" ref="W75">IF('.'!W75="","",'.'!W75&amp;IF(VLOOKUP('.'!W75,Recipes!$A:$D,4,FALSE)="",""," ["&amp;VLOOKUP('.'!W75,Recipes!$A:$D,4,FALSE)&amp;"]"))</f>
        <v/>
      </c>
      <c r="X75" s="46" t="str">
        <f t="array" ref="X75">IF('.'!X75="","",'.'!X75&amp;IF(VLOOKUP('.'!X75,Recipes!$A:$D,4,FALSE)="",""," ["&amp;VLOOKUP('.'!X75,Recipes!$A:$D,4,FALSE)&amp;"]"))</f>
        <v/>
      </c>
      <c r="Y75" s="46" t="str">
        <f t="array" ref="Y75">IF('.'!Y75="","",'.'!Y75&amp;IF(VLOOKUP('.'!Y75,Recipes!$A:$D,4,FALSE)="",""," ["&amp;VLOOKUP('.'!Y75,Recipes!$A:$D,4,FALSE)&amp;"]"))</f>
        <v/>
      </c>
      <c r="Z75" s="46" t="str">
        <f t="array" ref="Z75">IF('.'!Z75="","",'.'!Z75&amp;IF(VLOOKUP('.'!Z75,Recipes!$A:$D,4,FALSE)="",""," ["&amp;VLOOKUP('.'!Z75,Recipes!$A:$D,4,FALSE)&amp;"]"))</f>
        <v/>
      </c>
      <c r="AA75" s="46" t="str">
        <f t="array" ref="AA75">IF('.'!AA75="","",'.'!AA75&amp;IF(VLOOKUP('.'!AA75,Recipes!$A:$D,4,FALSE)="",""," ["&amp;VLOOKUP('.'!AA75,Recipes!$A:$D,4,FALSE)&amp;"]"))</f>
        <v/>
      </c>
      <c r="AB75" s="46" t="str">
        <f t="array" ref="AB75">IF('.'!AB75="","",'.'!AB75&amp;IF(VLOOKUP('.'!AB75,Recipes!$A:$D,4,FALSE)="",""," ["&amp;VLOOKUP('.'!AB75,Recipes!$A:$D,4,FALSE)&amp;"]"))</f>
        <v/>
      </c>
      <c r="AC75" s="46" t="str">
        <f t="array" ref="AC75">IF('.'!AC75="","",'.'!AC75&amp;IF(VLOOKUP('.'!AC75,Recipes!$A:$D,4,FALSE)="",""," ["&amp;VLOOKUP('.'!AC75,Recipes!$A:$D,4,FALSE)&amp;"]"))</f>
        <v/>
      </c>
      <c r="AD75" s="46" t="str">
        <f t="array" ref="AD75">IF('.'!AD75="","",'.'!AD75&amp;IF(VLOOKUP('.'!AD75,Recipes!$A:$D,4,FALSE)="",""," ["&amp;VLOOKUP('.'!AD75,Recipes!$A:$D,4,FALSE)&amp;"]"))</f>
        <v/>
      </c>
      <c r="AE75" s="47"/>
      <c r="AF75" s="47"/>
      <c r="AG75" s="47"/>
      <c r="AH75" s="47"/>
      <c r="AI75" s="47"/>
      <c r="AJ75" s="47"/>
      <c r="AK75" s="47"/>
      <c r="AL75" s="47"/>
      <c r="AM75" s="47"/>
      <c r="AN75" s="47"/>
      <c r="AO75" s="47"/>
      <c r="AP75" s="47"/>
      <c r="AQ75" s="47"/>
      <c r="AR75" s="47"/>
      <c r="AS75" s="47"/>
      <c r="AT75" s="47"/>
      <c r="AU75" s="47"/>
      <c r="AV75" s="47"/>
      <c r="AW75" s="47"/>
      <c r="AX75" s="47"/>
      <c r="AY75" s="47"/>
      <c r="AZ75" s="47"/>
      <c r="BA75" s="47"/>
      <c r="BB75" s="47"/>
      <c r="BC75" s="47"/>
      <c r="BD75" s="47"/>
      <c r="BE75" s="47"/>
      <c r="BF75" s="47"/>
      <c r="BG75" s="47"/>
      <c r="BH75" s="47"/>
      <c r="BI75" s="47"/>
      <c r="BJ75" s="47"/>
      <c r="BK75" s="47"/>
      <c r="BL75" s="47"/>
      <c r="BM75" s="47"/>
      <c r="BN75" s="47"/>
      <c r="BO75" s="47"/>
      <c r="BP75" s="47"/>
      <c r="BQ75" s="47"/>
      <c r="BR75" s="47"/>
      <c r="BS75" s="47"/>
      <c r="BT75" s="47"/>
      <c r="BU75" s="47"/>
      <c r="BV75" s="47"/>
      <c r="BW75" s="47"/>
      <c r="BX75" s="47"/>
      <c r="BY75" s="47"/>
      <c r="BZ75" s="47"/>
    </row>
    <row r="76" spans="1:78" ht="13">
      <c r="A76" s="48" t="str">
        <f ca="1">'.'!A76</f>
        <v>Bloody Obsidian Lancet</v>
      </c>
      <c r="B76" s="46" t="e">
        <f t="array" aca="1" ref="B76" ca="1">IF('.'!B76="","",'.'!B76&amp;IF(VLOOKUP('.'!B76,Recipes!$A:$D,4,FALSE)="",""," ["&amp;VLOOKUP('.'!B76,Recipes!$A:$D,4,FALSE)&amp;"]"))</f>
        <v>#VALUE!</v>
      </c>
      <c r="C76" s="46" t="str">
        <f t="array" ref="C76">IF('.'!C76="","",'.'!C76&amp;IF(VLOOKUP('.'!C76,Recipes!$A:$D,4,FALSE)="",""," ["&amp;VLOOKUP('.'!C76,Recipes!$A:$D,4,FALSE)&amp;"]"))</f>
        <v/>
      </c>
      <c r="D76" s="46" t="str">
        <f t="array" ref="D76">IF('.'!D76="","",'.'!D76&amp;IF(VLOOKUP('.'!D76,Recipes!$A:$D,4,FALSE)="",""," ["&amp;VLOOKUP('.'!D76,Recipes!$A:$D,4,FALSE)&amp;"]"))</f>
        <v/>
      </c>
      <c r="E76" s="46" t="str">
        <f t="array" ref="E76">IF('.'!E76="","",'.'!E76&amp;IF(VLOOKUP('.'!E76,Recipes!$A:$D,4,FALSE)="",""," ["&amp;VLOOKUP('.'!E76,Recipes!$A:$D,4,FALSE)&amp;"]"))</f>
        <v/>
      </c>
      <c r="F76" s="46" t="str">
        <f t="array" ref="F76">IF('.'!F76="","",'.'!F76&amp;IF(VLOOKUP('.'!F76,Recipes!$A:$D,4,FALSE)="",""," ["&amp;VLOOKUP('.'!F76,Recipes!$A:$D,4,FALSE)&amp;"]"))</f>
        <v/>
      </c>
      <c r="G76" s="46" t="str">
        <f t="array" ref="G76">IF('.'!G76="","",'.'!G76&amp;IF(VLOOKUP('.'!G76,Recipes!$A:$D,4,FALSE)="",""," ["&amp;VLOOKUP('.'!G76,Recipes!$A:$D,4,FALSE)&amp;"]"))</f>
        <v/>
      </c>
      <c r="H76" s="46" t="str">
        <f t="array" ref="H76">IF('.'!H76="","",'.'!H76&amp;IF(VLOOKUP('.'!H76,Recipes!$A:$D,4,FALSE)="",""," ["&amp;VLOOKUP('.'!H76,Recipes!$A:$D,4,FALSE)&amp;"]"))</f>
        <v/>
      </c>
      <c r="I76" s="46" t="str">
        <f t="array" ref="I76">IF('.'!I76="","",'.'!I76&amp;IF(VLOOKUP('.'!I76,Recipes!$A:$D,4,FALSE)="",""," ["&amp;VLOOKUP('.'!I76,Recipes!$A:$D,4,FALSE)&amp;"]"))</f>
        <v/>
      </c>
      <c r="J76" s="46" t="str">
        <f t="array" ref="J76">IF('.'!J76="","",'.'!J76&amp;IF(VLOOKUP('.'!J76,Recipes!$A:$D,4,FALSE)="",""," ["&amp;VLOOKUP('.'!J76,Recipes!$A:$D,4,FALSE)&amp;"]"))</f>
        <v/>
      </c>
      <c r="K76" s="46" t="str">
        <f t="array" ref="K76">IF('.'!K76="","",'.'!K76&amp;IF(VLOOKUP('.'!K76,Recipes!$A:$D,4,FALSE)="",""," ["&amp;VLOOKUP('.'!K76,Recipes!$A:$D,4,FALSE)&amp;"]"))</f>
        <v/>
      </c>
      <c r="L76" s="46" t="str">
        <f t="array" ref="L76">IF('.'!L76="","",'.'!L76&amp;IF(VLOOKUP('.'!L76,Recipes!$A:$D,4,FALSE)="",""," ["&amp;VLOOKUP('.'!L76,Recipes!$A:$D,4,FALSE)&amp;"]"))</f>
        <v/>
      </c>
      <c r="M76" s="46" t="str">
        <f t="array" ref="M76">IF('.'!M76="","",'.'!M76&amp;IF(VLOOKUP('.'!M76,Recipes!$A:$D,4,FALSE)="",""," ["&amp;VLOOKUP('.'!M76,Recipes!$A:$D,4,FALSE)&amp;"]"))</f>
        <v/>
      </c>
      <c r="N76" s="46" t="str">
        <f t="array" ref="N76">IF('.'!N76="","",'.'!N76&amp;IF(VLOOKUP('.'!N76,Recipes!$A:$D,4,FALSE)="",""," ["&amp;VLOOKUP('.'!N76,Recipes!$A:$D,4,FALSE)&amp;"]"))</f>
        <v/>
      </c>
      <c r="O76" s="46" t="str">
        <f t="array" ref="O76">IF('.'!O76="","",'.'!O76&amp;IF(VLOOKUP('.'!O76,Recipes!$A:$D,4,FALSE)="",""," ["&amp;VLOOKUP('.'!O76,Recipes!$A:$D,4,FALSE)&amp;"]"))</f>
        <v/>
      </c>
      <c r="P76" s="46" t="str">
        <f t="array" ref="P76">IF('.'!P76="","",'.'!P76&amp;IF(VLOOKUP('.'!P76,Recipes!$A:$D,4,FALSE)="",""," ["&amp;VLOOKUP('.'!P76,Recipes!$A:$D,4,FALSE)&amp;"]"))</f>
        <v/>
      </c>
      <c r="Q76" s="46" t="str">
        <f t="array" ref="Q76">IF('.'!Q76="","",'.'!Q76&amp;IF(VLOOKUP('.'!Q76,Recipes!$A:$D,4,FALSE)="",""," ["&amp;VLOOKUP('.'!Q76,Recipes!$A:$D,4,FALSE)&amp;"]"))</f>
        <v/>
      </c>
      <c r="R76" s="46" t="str">
        <f t="array" ref="R76">IF('.'!R76="","",'.'!R76&amp;IF(VLOOKUP('.'!R76,Recipes!$A:$D,4,FALSE)="",""," ["&amp;VLOOKUP('.'!R76,Recipes!$A:$D,4,FALSE)&amp;"]"))</f>
        <v/>
      </c>
      <c r="S76" s="46" t="str">
        <f t="array" ref="S76">IF('.'!S76="","",'.'!S76&amp;IF(VLOOKUP('.'!S76,Recipes!$A:$D,4,FALSE)="",""," ["&amp;VLOOKUP('.'!S76,Recipes!$A:$D,4,FALSE)&amp;"]"))</f>
        <v/>
      </c>
      <c r="T76" s="46" t="str">
        <f t="array" ref="T76">IF('.'!T76="","",'.'!T76&amp;IF(VLOOKUP('.'!T76,Recipes!$A:$D,4,FALSE)="",""," ["&amp;VLOOKUP('.'!T76,Recipes!$A:$D,4,FALSE)&amp;"]"))</f>
        <v/>
      </c>
      <c r="U76" s="46" t="str">
        <f t="array" ref="U76">IF('.'!U76="","",'.'!U76&amp;IF(VLOOKUP('.'!U76,Recipes!$A:$D,4,FALSE)="",""," ["&amp;VLOOKUP('.'!U76,Recipes!$A:$D,4,FALSE)&amp;"]"))</f>
        <v/>
      </c>
      <c r="V76" s="46" t="str">
        <f t="array" ref="V76">IF('.'!V76="","",'.'!V76&amp;IF(VLOOKUP('.'!V76,Recipes!$A:$D,4,FALSE)="",""," ["&amp;VLOOKUP('.'!V76,Recipes!$A:$D,4,FALSE)&amp;"]"))</f>
        <v/>
      </c>
      <c r="W76" s="46" t="str">
        <f t="array" ref="W76">IF('.'!W76="","",'.'!W76&amp;IF(VLOOKUP('.'!W76,Recipes!$A:$D,4,FALSE)="",""," ["&amp;VLOOKUP('.'!W76,Recipes!$A:$D,4,FALSE)&amp;"]"))</f>
        <v/>
      </c>
      <c r="X76" s="46" t="str">
        <f t="array" ref="X76">IF('.'!X76="","",'.'!X76&amp;IF(VLOOKUP('.'!X76,Recipes!$A:$D,4,FALSE)="",""," ["&amp;VLOOKUP('.'!X76,Recipes!$A:$D,4,FALSE)&amp;"]"))</f>
        <v/>
      </c>
      <c r="Y76" s="46" t="str">
        <f t="array" ref="Y76">IF('.'!Y76="","",'.'!Y76&amp;IF(VLOOKUP('.'!Y76,Recipes!$A:$D,4,FALSE)="",""," ["&amp;VLOOKUP('.'!Y76,Recipes!$A:$D,4,FALSE)&amp;"]"))</f>
        <v/>
      </c>
      <c r="Z76" s="46" t="str">
        <f t="array" ref="Z76">IF('.'!Z76="","",'.'!Z76&amp;IF(VLOOKUP('.'!Z76,Recipes!$A:$D,4,FALSE)="",""," ["&amp;VLOOKUP('.'!Z76,Recipes!$A:$D,4,FALSE)&amp;"]"))</f>
        <v/>
      </c>
      <c r="AA76" s="46" t="str">
        <f t="array" ref="AA76">IF('.'!AA76="","",'.'!AA76&amp;IF(VLOOKUP('.'!AA76,Recipes!$A:$D,4,FALSE)="",""," ["&amp;VLOOKUP('.'!AA76,Recipes!$A:$D,4,FALSE)&amp;"]"))</f>
        <v/>
      </c>
      <c r="AB76" s="46" t="str">
        <f t="array" ref="AB76">IF('.'!AB76="","",'.'!AB76&amp;IF(VLOOKUP('.'!AB76,Recipes!$A:$D,4,FALSE)="",""," ["&amp;VLOOKUP('.'!AB76,Recipes!$A:$D,4,FALSE)&amp;"]"))</f>
        <v/>
      </c>
      <c r="AC76" s="46" t="str">
        <f t="array" ref="AC76">IF('.'!AC76="","",'.'!AC76&amp;IF(VLOOKUP('.'!AC76,Recipes!$A:$D,4,FALSE)="",""," ["&amp;VLOOKUP('.'!AC76,Recipes!$A:$D,4,FALSE)&amp;"]"))</f>
        <v/>
      </c>
      <c r="AD76" s="46" t="str">
        <f t="array" ref="AD76">IF('.'!AD76="","",'.'!AD76&amp;IF(VLOOKUP('.'!AD76,Recipes!$A:$D,4,FALSE)="",""," ["&amp;VLOOKUP('.'!AD76,Recipes!$A:$D,4,FALSE)&amp;"]"))</f>
        <v/>
      </c>
      <c r="AE76" s="47"/>
      <c r="AF76" s="47"/>
      <c r="AG76" s="47"/>
      <c r="AH76" s="47"/>
      <c r="AI76" s="47"/>
      <c r="AJ76" s="47"/>
      <c r="AK76" s="47"/>
      <c r="AL76" s="47"/>
      <c r="AM76" s="47"/>
      <c r="AN76" s="47"/>
      <c r="AO76" s="47"/>
      <c r="AP76" s="47"/>
      <c r="AQ76" s="47"/>
      <c r="AR76" s="47"/>
      <c r="AS76" s="47"/>
      <c r="AT76" s="47"/>
      <c r="AU76" s="47"/>
      <c r="AV76" s="47"/>
      <c r="AW76" s="47"/>
      <c r="AX76" s="47"/>
      <c r="AY76" s="47"/>
      <c r="AZ76" s="47"/>
      <c r="BA76" s="47"/>
      <c r="BB76" s="47"/>
      <c r="BC76" s="47"/>
      <c r="BD76" s="47"/>
      <c r="BE76" s="47"/>
      <c r="BF76" s="47"/>
      <c r="BG76" s="47"/>
      <c r="BH76" s="47"/>
      <c r="BI76" s="47"/>
      <c r="BJ76" s="47"/>
      <c r="BK76" s="47"/>
      <c r="BL76" s="47"/>
      <c r="BM76" s="47"/>
      <c r="BN76" s="47"/>
      <c r="BO76" s="47"/>
      <c r="BP76" s="47"/>
      <c r="BQ76" s="47"/>
      <c r="BR76" s="47"/>
      <c r="BS76" s="47"/>
      <c r="BT76" s="47"/>
      <c r="BU76" s="47"/>
      <c r="BV76" s="47"/>
      <c r="BW76" s="47"/>
      <c r="BX76" s="47"/>
      <c r="BY76" s="47"/>
      <c r="BZ76" s="47"/>
    </row>
    <row r="77" spans="1:78" ht="13">
      <c r="A77" s="48" t="str">
        <f ca="1">'.'!A77</f>
        <v>Bluegill Mushroom</v>
      </c>
      <c r="B77" s="46" t="str">
        <f t="array" aca="1" ref="B77" ca="1">IF('.'!B77="","",'.'!B77&amp;IF(VLOOKUP('.'!B77,Recipes!$A:$D,4,FALSE)="",""," ["&amp;VLOOKUP('.'!B77,Recipes!$A:$D,4,FALSE)&amp;"]"))</f>
        <v>Armour of Frost Scroll [-75]</v>
      </c>
      <c r="C77" s="46" t="str">
        <f t="array" aca="1" ref="C77" ca="1">IF('.'!C77="","",'.'!C77&amp;IF(VLOOKUP('.'!C77,Recipes!$A:$D,4,FALSE)="",""," ["&amp;VLOOKUP('.'!C77,Recipes!$A:$D,4,FALSE)&amp;"]"))</f>
        <v>Water Resistance Potion [-70]</v>
      </c>
      <c r="D77" s="46" t="str">
        <f t="array" ref="D77">IF('.'!D77="","",'.'!D77&amp;IF(VLOOKUP('.'!D77,Recipes!$A:$D,4,FALSE)="",""," ["&amp;VLOOKUP('.'!D77,Recipes!$A:$D,4,FALSE)&amp;"]"))</f>
        <v/>
      </c>
      <c r="E77" s="46" t="str">
        <f t="array" ref="E77">IF('.'!E77="","",'.'!E77&amp;IF(VLOOKUP('.'!E77,Recipes!$A:$D,4,FALSE)="",""," ["&amp;VLOOKUP('.'!E77,Recipes!$A:$D,4,FALSE)&amp;"]"))</f>
        <v/>
      </c>
      <c r="F77" s="46" t="str">
        <f t="array" ref="F77">IF('.'!F77="","",'.'!F77&amp;IF(VLOOKUP('.'!F77,Recipes!$A:$D,4,FALSE)="",""," ["&amp;VLOOKUP('.'!F77,Recipes!$A:$D,4,FALSE)&amp;"]"))</f>
        <v/>
      </c>
      <c r="G77" s="46" t="str">
        <f t="array" ref="G77">IF('.'!G77="","",'.'!G77&amp;IF(VLOOKUP('.'!G77,Recipes!$A:$D,4,FALSE)="",""," ["&amp;VLOOKUP('.'!G77,Recipes!$A:$D,4,FALSE)&amp;"]"))</f>
        <v/>
      </c>
      <c r="H77" s="46" t="str">
        <f t="array" ref="H77">IF('.'!H77="","",'.'!H77&amp;IF(VLOOKUP('.'!H77,Recipes!$A:$D,4,FALSE)="",""," ["&amp;VLOOKUP('.'!H77,Recipes!$A:$D,4,FALSE)&amp;"]"))</f>
        <v/>
      </c>
      <c r="I77" s="46" t="str">
        <f t="array" ref="I77">IF('.'!I77="","",'.'!I77&amp;IF(VLOOKUP('.'!I77,Recipes!$A:$D,4,FALSE)="",""," ["&amp;VLOOKUP('.'!I77,Recipes!$A:$D,4,FALSE)&amp;"]"))</f>
        <v/>
      </c>
      <c r="J77" s="46" t="str">
        <f t="array" ref="J77">IF('.'!J77="","",'.'!J77&amp;IF(VLOOKUP('.'!J77,Recipes!$A:$D,4,FALSE)="",""," ["&amp;VLOOKUP('.'!J77,Recipes!$A:$D,4,FALSE)&amp;"]"))</f>
        <v/>
      </c>
      <c r="K77" s="46" t="str">
        <f t="array" ref="K77">IF('.'!K77="","",'.'!K77&amp;IF(VLOOKUP('.'!K77,Recipes!$A:$D,4,FALSE)="",""," ["&amp;VLOOKUP('.'!K77,Recipes!$A:$D,4,FALSE)&amp;"]"))</f>
        <v/>
      </c>
      <c r="L77" s="46" t="str">
        <f t="array" ref="L77">IF('.'!L77="","",'.'!L77&amp;IF(VLOOKUP('.'!L77,Recipes!$A:$D,4,FALSE)="",""," ["&amp;VLOOKUP('.'!L77,Recipes!$A:$D,4,FALSE)&amp;"]"))</f>
        <v/>
      </c>
      <c r="M77" s="46" t="str">
        <f t="array" ref="M77">IF('.'!M77="","",'.'!M77&amp;IF(VLOOKUP('.'!M77,Recipes!$A:$D,4,FALSE)="",""," ["&amp;VLOOKUP('.'!M77,Recipes!$A:$D,4,FALSE)&amp;"]"))</f>
        <v/>
      </c>
      <c r="N77" s="46" t="str">
        <f t="array" ref="N77">IF('.'!N77="","",'.'!N77&amp;IF(VLOOKUP('.'!N77,Recipes!$A:$D,4,FALSE)="",""," ["&amp;VLOOKUP('.'!N77,Recipes!$A:$D,4,FALSE)&amp;"]"))</f>
        <v/>
      </c>
      <c r="O77" s="46" t="str">
        <f t="array" ref="O77">IF('.'!O77="","",'.'!O77&amp;IF(VLOOKUP('.'!O77,Recipes!$A:$D,4,FALSE)="",""," ["&amp;VLOOKUP('.'!O77,Recipes!$A:$D,4,FALSE)&amp;"]"))</f>
        <v/>
      </c>
      <c r="P77" s="46" t="str">
        <f t="array" ref="P77">IF('.'!P77="","",'.'!P77&amp;IF(VLOOKUP('.'!P77,Recipes!$A:$D,4,FALSE)="",""," ["&amp;VLOOKUP('.'!P77,Recipes!$A:$D,4,FALSE)&amp;"]"))</f>
        <v/>
      </c>
      <c r="Q77" s="46" t="str">
        <f t="array" ref="Q77">IF('.'!Q77="","",'.'!Q77&amp;IF(VLOOKUP('.'!Q77,Recipes!$A:$D,4,FALSE)="",""," ["&amp;VLOOKUP('.'!Q77,Recipes!$A:$D,4,FALSE)&amp;"]"))</f>
        <v/>
      </c>
      <c r="R77" s="46" t="str">
        <f t="array" ref="R77">IF('.'!R77="","",'.'!R77&amp;IF(VLOOKUP('.'!R77,Recipes!$A:$D,4,FALSE)="",""," ["&amp;VLOOKUP('.'!R77,Recipes!$A:$D,4,FALSE)&amp;"]"))</f>
        <v/>
      </c>
      <c r="S77" s="46" t="str">
        <f t="array" ref="S77">IF('.'!S77="","",'.'!S77&amp;IF(VLOOKUP('.'!S77,Recipes!$A:$D,4,FALSE)="",""," ["&amp;VLOOKUP('.'!S77,Recipes!$A:$D,4,FALSE)&amp;"]"))</f>
        <v/>
      </c>
      <c r="T77" s="46" t="str">
        <f t="array" ref="T77">IF('.'!T77="","",'.'!T77&amp;IF(VLOOKUP('.'!T77,Recipes!$A:$D,4,FALSE)="",""," ["&amp;VLOOKUP('.'!T77,Recipes!$A:$D,4,FALSE)&amp;"]"))</f>
        <v/>
      </c>
      <c r="U77" s="46" t="str">
        <f t="array" ref="U77">IF('.'!U77="","",'.'!U77&amp;IF(VLOOKUP('.'!U77,Recipes!$A:$D,4,FALSE)="",""," ["&amp;VLOOKUP('.'!U77,Recipes!$A:$D,4,FALSE)&amp;"]"))</f>
        <v/>
      </c>
      <c r="V77" s="46" t="str">
        <f t="array" ref="V77">IF('.'!V77="","",'.'!V77&amp;IF(VLOOKUP('.'!V77,Recipes!$A:$D,4,FALSE)="",""," ["&amp;VLOOKUP('.'!V77,Recipes!$A:$D,4,FALSE)&amp;"]"))</f>
        <v/>
      </c>
      <c r="W77" s="46" t="str">
        <f t="array" ref="W77">IF('.'!W77="","",'.'!W77&amp;IF(VLOOKUP('.'!W77,Recipes!$A:$D,4,FALSE)="",""," ["&amp;VLOOKUP('.'!W77,Recipes!$A:$D,4,FALSE)&amp;"]"))</f>
        <v/>
      </c>
      <c r="X77" s="46" t="str">
        <f t="array" ref="X77">IF('.'!X77="","",'.'!X77&amp;IF(VLOOKUP('.'!X77,Recipes!$A:$D,4,FALSE)="",""," ["&amp;VLOOKUP('.'!X77,Recipes!$A:$D,4,FALSE)&amp;"]"))</f>
        <v/>
      </c>
      <c r="Y77" s="46" t="str">
        <f t="array" ref="Y77">IF('.'!Y77="","",'.'!Y77&amp;IF(VLOOKUP('.'!Y77,Recipes!$A:$D,4,FALSE)="",""," ["&amp;VLOOKUP('.'!Y77,Recipes!$A:$D,4,FALSE)&amp;"]"))</f>
        <v/>
      </c>
      <c r="Z77" s="46" t="str">
        <f t="array" ref="Z77">IF('.'!Z77="","",'.'!Z77&amp;IF(VLOOKUP('.'!Z77,Recipes!$A:$D,4,FALSE)="",""," ["&amp;VLOOKUP('.'!Z77,Recipes!$A:$D,4,FALSE)&amp;"]"))</f>
        <v/>
      </c>
      <c r="AA77" s="46" t="str">
        <f t="array" ref="AA77">IF('.'!AA77="","",'.'!AA77&amp;IF(VLOOKUP('.'!AA77,Recipes!$A:$D,4,FALSE)="",""," ["&amp;VLOOKUP('.'!AA77,Recipes!$A:$D,4,FALSE)&amp;"]"))</f>
        <v/>
      </c>
      <c r="AB77" s="46" t="str">
        <f t="array" ref="AB77">IF('.'!AB77="","",'.'!AB77&amp;IF(VLOOKUP('.'!AB77,Recipes!$A:$D,4,FALSE)="",""," ["&amp;VLOOKUP('.'!AB77,Recipes!$A:$D,4,FALSE)&amp;"]"))</f>
        <v/>
      </c>
      <c r="AC77" s="46" t="str">
        <f t="array" ref="AC77">IF('.'!AC77="","",'.'!AC77&amp;IF(VLOOKUP('.'!AC77,Recipes!$A:$D,4,FALSE)="",""," ["&amp;VLOOKUP('.'!AC77,Recipes!$A:$D,4,FALSE)&amp;"]"))</f>
        <v/>
      </c>
      <c r="AD77" s="46" t="str">
        <f t="array" ref="AD77">IF('.'!AD77="","",'.'!AD77&amp;IF(VLOOKUP('.'!AD77,Recipes!$A:$D,4,FALSE)="",""," ["&amp;VLOOKUP('.'!AD77,Recipes!$A:$D,4,FALSE)&amp;"]"))</f>
        <v/>
      </c>
      <c r="AE77" s="47"/>
      <c r="AF77" s="47"/>
      <c r="AG77" s="47"/>
      <c r="AH77" s="47"/>
      <c r="AI77" s="47"/>
      <c r="AJ77" s="47"/>
      <c r="AK77" s="47"/>
      <c r="AL77" s="47"/>
      <c r="AM77" s="47"/>
      <c r="AN77" s="47"/>
      <c r="AO77" s="47"/>
      <c r="AP77" s="47"/>
      <c r="AQ77" s="47"/>
      <c r="AR77" s="47"/>
      <c r="AS77" s="47"/>
      <c r="AT77" s="47"/>
      <c r="AU77" s="47"/>
      <c r="AV77" s="47"/>
      <c r="AW77" s="47"/>
      <c r="AX77" s="47"/>
      <c r="AY77" s="47"/>
      <c r="AZ77" s="47"/>
      <c r="BA77" s="47"/>
      <c r="BB77" s="47"/>
      <c r="BC77" s="47"/>
      <c r="BD77" s="47"/>
      <c r="BE77" s="47"/>
      <c r="BF77" s="47"/>
      <c r="BG77" s="47"/>
      <c r="BH77" s="47"/>
      <c r="BI77" s="47"/>
      <c r="BJ77" s="47"/>
      <c r="BK77" s="47"/>
      <c r="BL77" s="47"/>
      <c r="BM77" s="47"/>
      <c r="BN77" s="47"/>
      <c r="BO77" s="47"/>
      <c r="BP77" s="47"/>
      <c r="BQ77" s="47"/>
      <c r="BR77" s="47"/>
      <c r="BS77" s="47"/>
      <c r="BT77" s="47"/>
      <c r="BU77" s="47"/>
      <c r="BV77" s="47"/>
      <c r="BW77" s="47"/>
      <c r="BX77" s="47"/>
      <c r="BY77" s="47"/>
      <c r="BZ77" s="47"/>
    </row>
    <row r="78" spans="1:78" ht="13">
      <c r="A78" s="48" t="str">
        <f ca="1">'.'!A78</f>
        <v>Boiled Potato</v>
      </c>
      <c r="B78" s="46" t="str">
        <f t="array" aca="1" ref="B78" ca="1">IF('.'!B78="","",'.'!B78&amp;IF(VLOOKUP('.'!B78,Recipes!$A:$D,4,FALSE)="",""," ["&amp;VLOOKUP('.'!B78,Recipes!$A:$D,4,FALSE)&amp;"]"))</f>
        <v>Mashed Potatoes [1]</v>
      </c>
      <c r="C78" s="46" t="str">
        <f t="array" ref="C78">IF('.'!C78="","",'.'!C78&amp;IF(VLOOKUP('.'!C78,Recipes!$A:$D,4,FALSE)="",""," ["&amp;VLOOKUP('.'!C78,Recipes!$A:$D,4,FALSE)&amp;"]"))</f>
        <v/>
      </c>
      <c r="D78" s="46" t="str">
        <f t="array" ref="D78">IF('.'!D78="","",'.'!D78&amp;IF(VLOOKUP('.'!D78,Recipes!$A:$D,4,FALSE)="",""," ["&amp;VLOOKUP('.'!D78,Recipes!$A:$D,4,FALSE)&amp;"]"))</f>
        <v/>
      </c>
      <c r="E78" s="46" t="str">
        <f t="array" ref="E78">IF('.'!E78="","",'.'!E78&amp;IF(VLOOKUP('.'!E78,Recipes!$A:$D,4,FALSE)="",""," ["&amp;VLOOKUP('.'!E78,Recipes!$A:$D,4,FALSE)&amp;"]"))</f>
        <v/>
      </c>
      <c r="F78" s="46" t="str">
        <f t="array" ref="F78">IF('.'!F78="","",'.'!F78&amp;IF(VLOOKUP('.'!F78,Recipes!$A:$D,4,FALSE)="",""," ["&amp;VLOOKUP('.'!F78,Recipes!$A:$D,4,FALSE)&amp;"]"))</f>
        <v/>
      </c>
      <c r="G78" s="46" t="str">
        <f t="array" ref="G78">IF('.'!G78="","",'.'!G78&amp;IF(VLOOKUP('.'!G78,Recipes!$A:$D,4,FALSE)="",""," ["&amp;VLOOKUP('.'!G78,Recipes!$A:$D,4,FALSE)&amp;"]"))</f>
        <v/>
      </c>
      <c r="H78" s="46" t="str">
        <f t="array" ref="H78">IF('.'!H78="","",'.'!H78&amp;IF(VLOOKUP('.'!H78,Recipes!$A:$D,4,FALSE)="",""," ["&amp;VLOOKUP('.'!H78,Recipes!$A:$D,4,FALSE)&amp;"]"))</f>
        <v/>
      </c>
      <c r="I78" s="46" t="str">
        <f t="array" ref="I78">IF('.'!I78="","",'.'!I78&amp;IF(VLOOKUP('.'!I78,Recipes!$A:$D,4,FALSE)="",""," ["&amp;VLOOKUP('.'!I78,Recipes!$A:$D,4,FALSE)&amp;"]"))</f>
        <v/>
      </c>
      <c r="J78" s="46" t="str">
        <f t="array" ref="J78">IF('.'!J78="","",'.'!J78&amp;IF(VLOOKUP('.'!J78,Recipes!$A:$D,4,FALSE)="",""," ["&amp;VLOOKUP('.'!J78,Recipes!$A:$D,4,FALSE)&amp;"]"))</f>
        <v/>
      </c>
      <c r="K78" s="46" t="str">
        <f t="array" ref="K78">IF('.'!K78="","",'.'!K78&amp;IF(VLOOKUP('.'!K78,Recipes!$A:$D,4,FALSE)="",""," ["&amp;VLOOKUP('.'!K78,Recipes!$A:$D,4,FALSE)&amp;"]"))</f>
        <v/>
      </c>
      <c r="L78" s="46" t="str">
        <f t="array" ref="L78">IF('.'!L78="","",'.'!L78&amp;IF(VLOOKUP('.'!L78,Recipes!$A:$D,4,FALSE)="",""," ["&amp;VLOOKUP('.'!L78,Recipes!$A:$D,4,FALSE)&amp;"]"))</f>
        <v/>
      </c>
      <c r="M78" s="46" t="str">
        <f t="array" ref="M78">IF('.'!M78="","",'.'!M78&amp;IF(VLOOKUP('.'!M78,Recipes!$A:$D,4,FALSE)="",""," ["&amp;VLOOKUP('.'!M78,Recipes!$A:$D,4,FALSE)&amp;"]"))</f>
        <v/>
      </c>
      <c r="N78" s="46" t="str">
        <f t="array" ref="N78">IF('.'!N78="","",'.'!N78&amp;IF(VLOOKUP('.'!N78,Recipes!$A:$D,4,FALSE)="",""," ["&amp;VLOOKUP('.'!N78,Recipes!$A:$D,4,FALSE)&amp;"]"))</f>
        <v/>
      </c>
      <c r="O78" s="46" t="str">
        <f t="array" ref="O78">IF('.'!O78="","",'.'!O78&amp;IF(VLOOKUP('.'!O78,Recipes!$A:$D,4,FALSE)="",""," ["&amp;VLOOKUP('.'!O78,Recipes!$A:$D,4,FALSE)&amp;"]"))</f>
        <v/>
      </c>
      <c r="P78" s="46" t="str">
        <f t="array" ref="P78">IF('.'!P78="","",'.'!P78&amp;IF(VLOOKUP('.'!P78,Recipes!$A:$D,4,FALSE)="",""," ["&amp;VLOOKUP('.'!P78,Recipes!$A:$D,4,FALSE)&amp;"]"))</f>
        <v/>
      </c>
      <c r="Q78" s="46" t="str">
        <f t="array" ref="Q78">IF('.'!Q78="","",'.'!Q78&amp;IF(VLOOKUP('.'!Q78,Recipes!$A:$D,4,FALSE)="",""," ["&amp;VLOOKUP('.'!Q78,Recipes!$A:$D,4,FALSE)&amp;"]"))</f>
        <v/>
      </c>
      <c r="R78" s="46" t="str">
        <f t="array" ref="R78">IF('.'!R78="","",'.'!R78&amp;IF(VLOOKUP('.'!R78,Recipes!$A:$D,4,FALSE)="",""," ["&amp;VLOOKUP('.'!R78,Recipes!$A:$D,4,FALSE)&amp;"]"))</f>
        <v/>
      </c>
      <c r="S78" s="46" t="str">
        <f t="array" ref="S78">IF('.'!S78="","",'.'!S78&amp;IF(VLOOKUP('.'!S78,Recipes!$A:$D,4,FALSE)="",""," ["&amp;VLOOKUP('.'!S78,Recipes!$A:$D,4,FALSE)&amp;"]"))</f>
        <v/>
      </c>
      <c r="T78" s="46" t="str">
        <f t="array" ref="T78">IF('.'!T78="","",'.'!T78&amp;IF(VLOOKUP('.'!T78,Recipes!$A:$D,4,FALSE)="",""," ["&amp;VLOOKUP('.'!T78,Recipes!$A:$D,4,FALSE)&amp;"]"))</f>
        <v/>
      </c>
      <c r="U78" s="46" t="str">
        <f t="array" ref="U78">IF('.'!U78="","",'.'!U78&amp;IF(VLOOKUP('.'!U78,Recipes!$A:$D,4,FALSE)="",""," ["&amp;VLOOKUP('.'!U78,Recipes!$A:$D,4,FALSE)&amp;"]"))</f>
        <v/>
      </c>
      <c r="V78" s="46" t="str">
        <f t="array" ref="V78">IF('.'!V78="","",'.'!V78&amp;IF(VLOOKUP('.'!V78,Recipes!$A:$D,4,FALSE)="",""," ["&amp;VLOOKUP('.'!V78,Recipes!$A:$D,4,FALSE)&amp;"]"))</f>
        <v/>
      </c>
      <c r="W78" s="46" t="str">
        <f t="array" ref="W78">IF('.'!W78="","",'.'!W78&amp;IF(VLOOKUP('.'!W78,Recipes!$A:$D,4,FALSE)="",""," ["&amp;VLOOKUP('.'!W78,Recipes!$A:$D,4,FALSE)&amp;"]"))</f>
        <v/>
      </c>
      <c r="X78" s="46" t="str">
        <f t="array" ref="X78">IF('.'!X78="","",'.'!X78&amp;IF(VLOOKUP('.'!X78,Recipes!$A:$D,4,FALSE)="",""," ["&amp;VLOOKUP('.'!X78,Recipes!$A:$D,4,FALSE)&amp;"]"))</f>
        <v/>
      </c>
      <c r="Y78" s="46" t="str">
        <f t="array" ref="Y78">IF('.'!Y78="","",'.'!Y78&amp;IF(VLOOKUP('.'!Y78,Recipes!$A:$D,4,FALSE)="",""," ["&amp;VLOOKUP('.'!Y78,Recipes!$A:$D,4,FALSE)&amp;"]"))</f>
        <v/>
      </c>
      <c r="Z78" s="46" t="str">
        <f t="array" ref="Z78">IF('.'!Z78="","",'.'!Z78&amp;IF(VLOOKUP('.'!Z78,Recipes!$A:$D,4,FALSE)="",""," ["&amp;VLOOKUP('.'!Z78,Recipes!$A:$D,4,FALSE)&amp;"]"))</f>
        <v/>
      </c>
      <c r="AA78" s="46" t="str">
        <f t="array" ref="AA78">IF('.'!AA78="","",'.'!AA78&amp;IF(VLOOKUP('.'!AA78,Recipes!$A:$D,4,FALSE)="",""," ["&amp;VLOOKUP('.'!AA78,Recipes!$A:$D,4,FALSE)&amp;"]"))</f>
        <v/>
      </c>
      <c r="AB78" s="46" t="str">
        <f t="array" ref="AB78">IF('.'!AB78="","",'.'!AB78&amp;IF(VLOOKUP('.'!AB78,Recipes!$A:$D,4,FALSE)="",""," ["&amp;VLOOKUP('.'!AB78,Recipes!$A:$D,4,FALSE)&amp;"]"))</f>
        <v/>
      </c>
      <c r="AC78" s="46" t="str">
        <f t="array" ref="AC78">IF('.'!AC78="","",'.'!AC78&amp;IF(VLOOKUP('.'!AC78,Recipes!$A:$D,4,FALSE)="",""," ["&amp;VLOOKUP('.'!AC78,Recipes!$A:$D,4,FALSE)&amp;"]"))</f>
        <v/>
      </c>
      <c r="AD78" s="46" t="str">
        <f t="array" ref="AD78">IF('.'!AD78="","",'.'!AD78&amp;IF(VLOOKUP('.'!AD78,Recipes!$A:$D,4,FALSE)="",""," ["&amp;VLOOKUP('.'!AD78,Recipes!$A:$D,4,FALSE)&amp;"]"))</f>
        <v/>
      </c>
      <c r="AE78" s="47"/>
      <c r="AF78" s="47"/>
      <c r="AG78" s="47"/>
      <c r="AH78" s="47"/>
      <c r="AI78" s="47"/>
      <c r="AJ78" s="47"/>
      <c r="AK78" s="47"/>
      <c r="AL78" s="47"/>
      <c r="AM78" s="47"/>
      <c r="AN78" s="47"/>
      <c r="AO78" s="47"/>
      <c r="AP78" s="47"/>
      <c r="AQ78" s="47"/>
      <c r="AR78" s="47"/>
      <c r="AS78" s="47"/>
      <c r="AT78" s="47"/>
      <c r="AU78" s="47"/>
      <c r="AV78" s="47"/>
      <c r="AW78" s="47"/>
      <c r="AX78" s="47"/>
      <c r="AY78" s="47"/>
      <c r="AZ78" s="47"/>
      <c r="BA78" s="47"/>
      <c r="BB78" s="47"/>
      <c r="BC78" s="47"/>
      <c r="BD78" s="47"/>
      <c r="BE78" s="47"/>
      <c r="BF78" s="47"/>
      <c r="BG78" s="47"/>
      <c r="BH78" s="47"/>
      <c r="BI78" s="47"/>
      <c r="BJ78" s="47"/>
      <c r="BK78" s="47"/>
      <c r="BL78" s="47"/>
      <c r="BM78" s="47"/>
      <c r="BN78" s="47"/>
      <c r="BO78" s="47"/>
      <c r="BP78" s="47"/>
      <c r="BQ78" s="47"/>
      <c r="BR78" s="47"/>
      <c r="BS78" s="47"/>
      <c r="BT78" s="47"/>
      <c r="BU78" s="47"/>
      <c r="BV78" s="47"/>
      <c r="BW78" s="47"/>
      <c r="BX78" s="47"/>
      <c r="BY78" s="47"/>
      <c r="BZ78" s="47"/>
    </row>
    <row r="79" spans="1:78" ht="13">
      <c r="A79" s="48" t="str">
        <f ca="1">'.'!A79</f>
        <v>Boletus</v>
      </c>
      <c r="B79" s="46" t="str">
        <f t="array" aca="1" ref="B79" ca="1">IF('.'!B79="","",'.'!B79&amp;IF(VLOOKUP('.'!B79,Recipes!$A:$D,4,FALSE)="",""," ["&amp;VLOOKUP('.'!B79,Recipes!$A:$D,4,FALSE)&amp;"]"))</f>
        <v>Minor Finesse Potion [-15]</v>
      </c>
      <c r="C79" s="46" t="str">
        <f t="array" aca="1" ref="C79" ca="1">IF('.'!C79="","",'.'!C79&amp;IF(VLOOKUP('.'!C79,Recipes!$A:$D,4,FALSE)="",""," ["&amp;VLOOKUP('.'!C79,Recipes!$A:$D,4,FALSE)&amp;"]"))</f>
        <v>Witch Potion [850]</v>
      </c>
      <c r="D79" s="46" t="str">
        <f t="array" ref="D79">IF('.'!D79="","",'.'!D79&amp;IF(VLOOKUP('.'!D79,Recipes!$A:$D,4,FALSE)="",""," ["&amp;VLOOKUP('.'!D79,Recipes!$A:$D,4,FALSE)&amp;"]"))</f>
        <v/>
      </c>
      <c r="E79" s="46" t="str">
        <f t="array" ref="E79">IF('.'!E79="","",'.'!E79&amp;IF(VLOOKUP('.'!E79,Recipes!$A:$D,4,FALSE)="",""," ["&amp;VLOOKUP('.'!E79,Recipes!$A:$D,4,FALSE)&amp;"]"))</f>
        <v/>
      </c>
      <c r="F79" s="46" t="str">
        <f t="array" ref="F79">IF('.'!F79="","",'.'!F79&amp;IF(VLOOKUP('.'!F79,Recipes!$A:$D,4,FALSE)="",""," ["&amp;VLOOKUP('.'!F79,Recipes!$A:$D,4,FALSE)&amp;"]"))</f>
        <v/>
      </c>
      <c r="G79" s="46" t="str">
        <f t="array" ref="G79">IF('.'!G79="","",'.'!G79&amp;IF(VLOOKUP('.'!G79,Recipes!$A:$D,4,FALSE)="",""," ["&amp;VLOOKUP('.'!G79,Recipes!$A:$D,4,FALSE)&amp;"]"))</f>
        <v/>
      </c>
      <c r="H79" s="46" t="str">
        <f t="array" ref="H79">IF('.'!H79="","",'.'!H79&amp;IF(VLOOKUP('.'!H79,Recipes!$A:$D,4,FALSE)="",""," ["&amp;VLOOKUP('.'!H79,Recipes!$A:$D,4,FALSE)&amp;"]"))</f>
        <v/>
      </c>
      <c r="I79" s="46" t="str">
        <f t="array" ref="I79">IF('.'!I79="","",'.'!I79&amp;IF(VLOOKUP('.'!I79,Recipes!$A:$D,4,FALSE)="",""," ["&amp;VLOOKUP('.'!I79,Recipes!$A:$D,4,FALSE)&amp;"]"))</f>
        <v/>
      </c>
      <c r="J79" s="46" t="str">
        <f t="array" ref="J79">IF('.'!J79="","",'.'!J79&amp;IF(VLOOKUP('.'!J79,Recipes!$A:$D,4,FALSE)="",""," ["&amp;VLOOKUP('.'!J79,Recipes!$A:$D,4,FALSE)&amp;"]"))</f>
        <v/>
      </c>
      <c r="K79" s="46" t="str">
        <f t="array" ref="K79">IF('.'!K79="","",'.'!K79&amp;IF(VLOOKUP('.'!K79,Recipes!$A:$D,4,FALSE)="",""," ["&amp;VLOOKUP('.'!K79,Recipes!$A:$D,4,FALSE)&amp;"]"))</f>
        <v/>
      </c>
      <c r="L79" s="46" t="str">
        <f t="array" ref="L79">IF('.'!L79="","",'.'!L79&amp;IF(VLOOKUP('.'!L79,Recipes!$A:$D,4,FALSE)="",""," ["&amp;VLOOKUP('.'!L79,Recipes!$A:$D,4,FALSE)&amp;"]"))</f>
        <v/>
      </c>
      <c r="M79" s="46" t="str">
        <f t="array" ref="M79">IF('.'!M79="","",'.'!M79&amp;IF(VLOOKUP('.'!M79,Recipes!$A:$D,4,FALSE)="",""," ["&amp;VLOOKUP('.'!M79,Recipes!$A:$D,4,FALSE)&amp;"]"))</f>
        <v/>
      </c>
      <c r="N79" s="46" t="str">
        <f t="array" ref="N79">IF('.'!N79="","",'.'!N79&amp;IF(VLOOKUP('.'!N79,Recipes!$A:$D,4,FALSE)="",""," ["&amp;VLOOKUP('.'!N79,Recipes!$A:$D,4,FALSE)&amp;"]"))</f>
        <v/>
      </c>
      <c r="O79" s="46" t="str">
        <f t="array" ref="O79">IF('.'!O79="","",'.'!O79&amp;IF(VLOOKUP('.'!O79,Recipes!$A:$D,4,FALSE)="",""," ["&amp;VLOOKUP('.'!O79,Recipes!$A:$D,4,FALSE)&amp;"]"))</f>
        <v/>
      </c>
      <c r="P79" s="46" t="str">
        <f t="array" ref="P79">IF('.'!P79="","",'.'!P79&amp;IF(VLOOKUP('.'!P79,Recipes!$A:$D,4,FALSE)="",""," ["&amp;VLOOKUP('.'!P79,Recipes!$A:$D,4,FALSE)&amp;"]"))</f>
        <v/>
      </c>
      <c r="Q79" s="46" t="str">
        <f t="array" ref="Q79">IF('.'!Q79="","",'.'!Q79&amp;IF(VLOOKUP('.'!Q79,Recipes!$A:$D,4,FALSE)="",""," ["&amp;VLOOKUP('.'!Q79,Recipes!$A:$D,4,FALSE)&amp;"]"))</f>
        <v/>
      </c>
      <c r="R79" s="46" t="str">
        <f t="array" ref="R79">IF('.'!R79="","",'.'!R79&amp;IF(VLOOKUP('.'!R79,Recipes!$A:$D,4,FALSE)="",""," ["&amp;VLOOKUP('.'!R79,Recipes!$A:$D,4,FALSE)&amp;"]"))</f>
        <v/>
      </c>
      <c r="S79" s="46" t="str">
        <f t="array" ref="S79">IF('.'!S79="","",'.'!S79&amp;IF(VLOOKUP('.'!S79,Recipes!$A:$D,4,FALSE)="",""," ["&amp;VLOOKUP('.'!S79,Recipes!$A:$D,4,FALSE)&amp;"]"))</f>
        <v/>
      </c>
      <c r="T79" s="46" t="str">
        <f t="array" ref="T79">IF('.'!T79="","",'.'!T79&amp;IF(VLOOKUP('.'!T79,Recipes!$A:$D,4,FALSE)="",""," ["&amp;VLOOKUP('.'!T79,Recipes!$A:$D,4,FALSE)&amp;"]"))</f>
        <v/>
      </c>
      <c r="U79" s="46" t="str">
        <f t="array" ref="U79">IF('.'!U79="","",'.'!U79&amp;IF(VLOOKUP('.'!U79,Recipes!$A:$D,4,FALSE)="",""," ["&amp;VLOOKUP('.'!U79,Recipes!$A:$D,4,FALSE)&amp;"]"))</f>
        <v/>
      </c>
      <c r="V79" s="46" t="str">
        <f t="array" ref="V79">IF('.'!V79="","",'.'!V79&amp;IF(VLOOKUP('.'!V79,Recipes!$A:$D,4,FALSE)="",""," ["&amp;VLOOKUP('.'!V79,Recipes!$A:$D,4,FALSE)&amp;"]"))</f>
        <v/>
      </c>
      <c r="W79" s="46" t="str">
        <f t="array" ref="W79">IF('.'!W79="","",'.'!W79&amp;IF(VLOOKUP('.'!W79,Recipes!$A:$D,4,FALSE)="",""," ["&amp;VLOOKUP('.'!W79,Recipes!$A:$D,4,FALSE)&amp;"]"))</f>
        <v/>
      </c>
      <c r="X79" s="46" t="str">
        <f t="array" ref="X79">IF('.'!X79="","",'.'!X79&amp;IF(VLOOKUP('.'!X79,Recipes!$A:$D,4,FALSE)="",""," ["&amp;VLOOKUP('.'!X79,Recipes!$A:$D,4,FALSE)&amp;"]"))</f>
        <v/>
      </c>
      <c r="Y79" s="46" t="str">
        <f t="array" ref="Y79">IF('.'!Y79="","",'.'!Y79&amp;IF(VLOOKUP('.'!Y79,Recipes!$A:$D,4,FALSE)="",""," ["&amp;VLOOKUP('.'!Y79,Recipes!$A:$D,4,FALSE)&amp;"]"))</f>
        <v/>
      </c>
      <c r="Z79" s="46" t="str">
        <f t="array" ref="Z79">IF('.'!Z79="","",'.'!Z79&amp;IF(VLOOKUP('.'!Z79,Recipes!$A:$D,4,FALSE)="",""," ["&amp;VLOOKUP('.'!Z79,Recipes!$A:$D,4,FALSE)&amp;"]"))</f>
        <v/>
      </c>
      <c r="AA79" s="46" t="str">
        <f t="array" ref="AA79">IF('.'!AA79="","",'.'!AA79&amp;IF(VLOOKUP('.'!AA79,Recipes!$A:$D,4,FALSE)="",""," ["&amp;VLOOKUP('.'!AA79,Recipes!$A:$D,4,FALSE)&amp;"]"))</f>
        <v/>
      </c>
      <c r="AB79" s="46" t="str">
        <f t="array" ref="AB79">IF('.'!AB79="","",'.'!AB79&amp;IF(VLOOKUP('.'!AB79,Recipes!$A:$D,4,FALSE)="",""," ["&amp;VLOOKUP('.'!AB79,Recipes!$A:$D,4,FALSE)&amp;"]"))</f>
        <v/>
      </c>
      <c r="AC79" s="46" t="str">
        <f t="array" ref="AC79">IF('.'!AC79="","",'.'!AC79&amp;IF(VLOOKUP('.'!AC79,Recipes!$A:$D,4,FALSE)="",""," ["&amp;VLOOKUP('.'!AC79,Recipes!$A:$D,4,FALSE)&amp;"]"))</f>
        <v/>
      </c>
      <c r="AD79" s="46" t="str">
        <f t="array" ref="AD79">IF('.'!AD79="","",'.'!AD79&amp;IF(VLOOKUP('.'!AD79,Recipes!$A:$D,4,FALSE)="",""," ["&amp;VLOOKUP('.'!AD79,Recipes!$A:$D,4,FALSE)&amp;"]"))</f>
        <v/>
      </c>
      <c r="AE79" s="47"/>
      <c r="AF79" s="47"/>
      <c r="AG79" s="47"/>
      <c r="AH79" s="47"/>
      <c r="AI79" s="47"/>
      <c r="AJ79" s="47"/>
      <c r="AK79" s="47"/>
      <c r="AL79" s="47"/>
      <c r="AM79" s="47"/>
      <c r="AN79" s="47"/>
      <c r="AO79" s="47"/>
      <c r="AP79" s="47"/>
      <c r="AQ79" s="47"/>
      <c r="AR79" s="47"/>
      <c r="AS79" s="47"/>
      <c r="AT79" s="47"/>
      <c r="AU79" s="47"/>
      <c r="AV79" s="47"/>
      <c r="AW79" s="47"/>
      <c r="AX79" s="47"/>
      <c r="AY79" s="47"/>
      <c r="AZ79" s="47"/>
      <c r="BA79" s="47"/>
      <c r="BB79" s="47"/>
      <c r="BC79" s="47"/>
      <c r="BD79" s="47"/>
      <c r="BE79" s="47"/>
      <c r="BF79" s="47"/>
      <c r="BG79" s="47"/>
      <c r="BH79" s="47"/>
      <c r="BI79" s="47"/>
      <c r="BJ79" s="47"/>
      <c r="BK79" s="47"/>
      <c r="BL79" s="47"/>
      <c r="BM79" s="47"/>
      <c r="BN79" s="47"/>
      <c r="BO79" s="47"/>
      <c r="BP79" s="47"/>
      <c r="BQ79" s="47"/>
      <c r="BR79" s="47"/>
      <c r="BS79" s="47"/>
      <c r="BT79" s="47"/>
      <c r="BU79" s="47"/>
      <c r="BV79" s="47"/>
      <c r="BW79" s="47"/>
      <c r="BX79" s="47"/>
      <c r="BY79" s="47"/>
      <c r="BZ79" s="47"/>
    </row>
    <row r="80" spans="1:78" ht="13">
      <c r="A80" s="48" t="str">
        <f ca="1">'.'!A80</f>
        <v>Bone</v>
      </c>
      <c r="B80" s="46" t="str">
        <f t="array" aca="1" ref="B80" ca="1">IF('.'!B80="","",'.'!B80&amp;IF(VLOOKUP('.'!B80,Recipes!$A:$D,4,FALSE)="",""," ["&amp;VLOOKUP('.'!B80,Recipes!$A:$D,4,FALSE)&amp;"]"))</f>
        <v>Arrowhead [-48]</v>
      </c>
      <c r="C80" s="46" t="str">
        <f t="array" aca="1" ref="C80" ca="1">IF('.'!C80="","",'.'!C80&amp;IF(VLOOKUP('.'!C80,Recipes!$A:$D,4,FALSE)="",""," ["&amp;VLOOKUP('.'!C80,Recipes!$A:$D,4,FALSE)&amp;"]"))</f>
        <v>Bone Dust [100]</v>
      </c>
      <c r="D80" s="46" t="str">
        <f t="array" aca="1" ref="D80" ca="1">IF('.'!D80="","",'.'!D80&amp;IF(VLOOKUP('.'!D80,Recipes!$A:$D,4,FALSE)="",""," ["&amp;VLOOKUP('.'!D80,Recipes!$A:$D,4,FALSE)&amp;"]"))</f>
        <v>Small Venom Rune [-350]</v>
      </c>
      <c r="E80" s="46" t="str">
        <f t="array" ref="E80">IF('.'!E80="","",'.'!E80&amp;IF(VLOOKUP('.'!E80,Recipes!$A:$D,4,FALSE)="",""," ["&amp;VLOOKUP('.'!E80,Recipes!$A:$D,4,FALSE)&amp;"]"))</f>
        <v/>
      </c>
      <c r="F80" s="46" t="str">
        <f t="array" ref="F80">IF('.'!F80="","",'.'!F80&amp;IF(VLOOKUP('.'!F80,Recipes!$A:$D,4,FALSE)="",""," ["&amp;VLOOKUP('.'!F80,Recipes!$A:$D,4,FALSE)&amp;"]"))</f>
        <v/>
      </c>
      <c r="G80" s="46" t="str">
        <f t="array" ref="G80">IF('.'!G80="","",'.'!G80&amp;IF(VLOOKUP('.'!G80,Recipes!$A:$D,4,FALSE)="",""," ["&amp;VLOOKUP('.'!G80,Recipes!$A:$D,4,FALSE)&amp;"]"))</f>
        <v/>
      </c>
      <c r="H80" s="46" t="str">
        <f t="array" ref="H80">IF('.'!H80="","",'.'!H80&amp;IF(VLOOKUP('.'!H80,Recipes!$A:$D,4,FALSE)="",""," ["&amp;VLOOKUP('.'!H80,Recipes!$A:$D,4,FALSE)&amp;"]"))</f>
        <v/>
      </c>
      <c r="I80" s="46" t="str">
        <f t="array" ref="I80">IF('.'!I80="","",'.'!I80&amp;IF(VLOOKUP('.'!I80,Recipes!$A:$D,4,FALSE)="",""," ["&amp;VLOOKUP('.'!I80,Recipes!$A:$D,4,FALSE)&amp;"]"))</f>
        <v/>
      </c>
      <c r="J80" s="46" t="str">
        <f t="array" ref="J80">IF('.'!J80="","",'.'!J80&amp;IF(VLOOKUP('.'!J80,Recipes!$A:$D,4,FALSE)="",""," ["&amp;VLOOKUP('.'!J80,Recipes!$A:$D,4,FALSE)&amp;"]"))</f>
        <v/>
      </c>
      <c r="K80" s="46" t="str">
        <f t="array" ref="K80">IF('.'!K80="","",'.'!K80&amp;IF(VLOOKUP('.'!K80,Recipes!$A:$D,4,FALSE)="",""," ["&amp;VLOOKUP('.'!K80,Recipes!$A:$D,4,FALSE)&amp;"]"))</f>
        <v/>
      </c>
      <c r="L80" s="46" t="str">
        <f t="array" ref="L80">IF('.'!L80="","",'.'!L80&amp;IF(VLOOKUP('.'!L80,Recipes!$A:$D,4,FALSE)="",""," ["&amp;VLOOKUP('.'!L80,Recipes!$A:$D,4,FALSE)&amp;"]"))</f>
        <v/>
      </c>
      <c r="M80" s="46" t="str">
        <f t="array" ref="M80">IF('.'!M80="","",'.'!M80&amp;IF(VLOOKUP('.'!M80,Recipes!$A:$D,4,FALSE)="",""," ["&amp;VLOOKUP('.'!M80,Recipes!$A:$D,4,FALSE)&amp;"]"))</f>
        <v/>
      </c>
      <c r="N80" s="46" t="str">
        <f t="array" ref="N80">IF('.'!N80="","",'.'!N80&amp;IF(VLOOKUP('.'!N80,Recipes!$A:$D,4,FALSE)="",""," ["&amp;VLOOKUP('.'!N80,Recipes!$A:$D,4,FALSE)&amp;"]"))</f>
        <v/>
      </c>
      <c r="O80" s="46" t="str">
        <f t="array" ref="O80">IF('.'!O80="","",'.'!O80&amp;IF(VLOOKUP('.'!O80,Recipes!$A:$D,4,FALSE)="",""," ["&amp;VLOOKUP('.'!O80,Recipes!$A:$D,4,FALSE)&amp;"]"))</f>
        <v/>
      </c>
      <c r="P80" s="46" t="str">
        <f t="array" ref="P80">IF('.'!P80="","",'.'!P80&amp;IF(VLOOKUP('.'!P80,Recipes!$A:$D,4,FALSE)="",""," ["&amp;VLOOKUP('.'!P80,Recipes!$A:$D,4,FALSE)&amp;"]"))</f>
        <v/>
      </c>
      <c r="Q80" s="46" t="str">
        <f t="array" ref="Q80">IF('.'!Q80="","",'.'!Q80&amp;IF(VLOOKUP('.'!Q80,Recipes!$A:$D,4,FALSE)="",""," ["&amp;VLOOKUP('.'!Q80,Recipes!$A:$D,4,FALSE)&amp;"]"))</f>
        <v/>
      </c>
      <c r="R80" s="46" t="str">
        <f t="array" ref="R80">IF('.'!R80="","",'.'!R80&amp;IF(VLOOKUP('.'!R80,Recipes!$A:$D,4,FALSE)="",""," ["&amp;VLOOKUP('.'!R80,Recipes!$A:$D,4,FALSE)&amp;"]"))</f>
        <v/>
      </c>
      <c r="S80" s="46" t="str">
        <f t="array" ref="S80">IF('.'!S80="","",'.'!S80&amp;IF(VLOOKUP('.'!S80,Recipes!$A:$D,4,FALSE)="",""," ["&amp;VLOOKUP('.'!S80,Recipes!$A:$D,4,FALSE)&amp;"]"))</f>
        <v/>
      </c>
      <c r="T80" s="46" t="str">
        <f t="array" ref="T80">IF('.'!T80="","",'.'!T80&amp;IF(VLOOKUP('.'!T80,Recipes!$A:$D,4,FALSE)="",""," ["&amp;VLOOKUP('.'!T80,Recipes!$A:$D,4,FALSE)&amp;"]"))</f>
        <v/>
      </c>
      <c r="U80" s="46" t="str">
        <f t="array" ref="U80">IF('.'!U80="","",'.'!U80&amp;IF(VLOOKUP('.'!U80,Recipes!$A:$D,4,FALSE)="",""," ["&amp;VLOOKUP('.'!U80,Recipes!$A:$D,4,FALSE)&amp;"]"))</f>
        <v/>
      </c>
      <c r="V80" s="46" t="str">
        <f t="array" ref="V80">IF('.'!V80="","",'.'!V80&amp;IF(VLOOKUP('.'!V80,Recipes!$A:$D,4,FALSE)="",""," ["&amp;VLOOKUP('.'!V80,Recipes!$A:$D,4,FALSE)&amp;"]"))</f>
        <v/>
      </c>
      <c r="W80" s="46" t="str">
        <f t="array" ref="W80">IF('.'!W80="","",'.'!W80&amp;IF(VLOOKUP('.'!W80,Recipes!$A:$D,4,FALSE)="",""," ["&amp;VLOOKUP('.'!W80,Recipes!$A:$D,4,FALSE)&amp;"]"))</f>
        <v/>
      </c>
      <c r="X80" s="46" t="str">
        <f t="array" ref="X80">IF('.'!X80="","",'.'!X80&amp;IF(VLOOKUP('.'!X80,Recipes!$A:$D,4,FALSE)="",""," ["&amp;VLOOKUP('.'!X80,Recipes!$A:$D,4,FALSE)&amp;"]"))</f>
        <v/>
      </c>
      <c r="Y80" s="46" t="str">
        <f t="array" ref="Y80">IF('.'!Y80="","",'.'!Y80&amp;IF(VLOOKUP('.'!Y80,Recipes!$A:$D,4,FALSE)="",""," ["&amp;VLOOKUP('.'!Y80,Recipes!$A:$D,4,FALSE)&amp;"]"))</f>
        <v/>
      </c>
      <c r="Z80" s="46" t="str">
        <f t="array" ref="Z80">IF('.'!Z80="","",'.'!Z80&amp;IF(VLOOKUP('.'!Z80,Recipes!$A:$D,4,FALSE)="",""," ["&amp;VLOOKUP('.'!Z80,Recipes!$A:$D,4,FALSE)&amp;"]"))</f>
        <v/>
      </c>
      <c r="AA80" s="46" t="str">
        <f t="array" ref="AA80">IF('.'!AA80="","",'.'!AA80&amp;IF(VLOOKUP('.'!AA80,Recipes!$A:$D,4,FALSE)="",""," ["&amp;VLOOKUP('.'!AA80,Recipes!$A:$D,4,FALSE)&amp;"]"))</f>
        <v/>
      </c>
      <c r="AB80" s="46" t="str">
        <f t="array" ref="AB80">IF('.'!AB80="","",'.'!AB80&amp;IF(VLOOKUP('.'!AB80,Recipes!$A:$D,4,FALSE)="",""," ["&amp;VLOOKUP('.'!AB80,Recipes!$A:$D,4,FALSE)&amp;"]"))</f>
        <v/>
      </c>
      <c r="AC80" s="46" t="str">
        <f t="array" ref="AC80">IF('.'!AC80="","",'.'!AC80&amp;IF(VLOOKUP('.'!AC80,Recipes!$A:$D,4,FALSE)="",""," ["&amp;VLOOKUP('.'!AC80,Recipes!$A:$D,4,FALSE)&amp;"]"))</f>
        <v/>
      </c>
      <c r="AD80" s="46" t="str">
        <f t="array" ref="AD80">IF('.'!AD80="","",'.'!AD80&amp;IF(VLOOKUP('.'!AD80,Recipes!$A:$D,4,FALSE)="",""," ["&amp;VLOOKUP('.'!AD80,Recipes!$A:$D,4,FALSE)&amp;"]"))</f>
        <v/>
      </c>
      <c r="AE80" s="47"/>
      <c r="AF80" s="47"/>
      <c r="AG80" s="47"/>
      <c r="AH80" s="47"/>
      <c r="AI80" s="47"/>
      <c r="AJ80" s="47"/>
      <c r="AK80" s="47"/>
      <c r="AL80" s="47"/>
      <c r="AM80" s="47"/>
      <c r="AN80" s="47"/>
      <c r="AO80" s="47"/>
      <c r="AP80" s="47"/>
      <c r="AQ80" s="47"/>
      <c r="AR80" s="47"/>
      <c r="AS80" s="47"/>
      <c r="AT80" s="47"/>
      <c r="AU80" s="47"/>
      <c r="AV80" s="47"/>
      <c r="AW80" s="47"/>
      <c r="AX80" s="47"/>
      <c r="AY80" s="47"/>
      <c r="AZ80" s="47"/>
      <c r="BA80" s="47"/>
      <c r="BB80" s="47"/>
      <c r="BC80" s="47"/>
      <c r="BD80" s="47"/>
      <c r="BE80" s="47"/>
      <c r="BF80" s="47"/>
      <c r="BG80" s="47"/>
      <c r="BH80" s="47"/>
      <c r="BI80" s="47"/>
      <c r="BJ80" s="47"/>
      <c r="BK80" s="47"/>
      <c r="BL80" s="47"/>
      <c r="BM80" s="47"/>
      <c r="BN80" s="47"/>
      <c r="BO80" s="47"/>
      <c r="BP80" s="47"/>
      <c r="BQ80" s="47"/>
      <c r="BR80" s="47"/>
      <c r="BS80" s="47"/>
      <c r="BT80" s="47"/>
      <c r="BU80" s="47"/>
      <c r="BV80" s="47"/>
      <c r="BW80" s="47"/>
      <c r="BX80" s="47"/>
      <c r="BY80" s="47"/>
      <c r="BZ80" s="47"/>
    </row>
    <row r="81" spans="1:78" ht="13">
      <c r="A81" s="48" t="str">
        <f ca="1">'.'!A81</f>
        <v>Bone Cage Scroll</v>
      </c>
      <c r="B81" s="46" t="str">
        <f t="array" aca="1" ref="B81" ca="1">IF('.'!B81="","",'.'!B81&amp;IF(VLOOKUP('.'!B81,Recipes!$A:$D,4,FALSE)="",""," ["&amp;VLOOKUP('.'!B81,Recipes!$A:$D,4,FALSE)&amp;"]"))</f>
        <v>Bone Cage Skillbook [-10]</v>
      </c>
      <c r="C81" s="46" t="str">
        <f t="array" ref="C81">IF('.'!C81="","",'.'!C81&amp;IF(VLOOKUP('.'!C81,Recipes!$A:$D,4,FALSE)="",""," ["&amp;VLOOKUP('.'!C81,Recipes!$A:$D,4,FALSE)&amp;"]"))</f>
        <v/>
      </c>
      <c r="D81" s="46" t="str">
        <f t="array" ref="D81">IF('.'!D81="","",'.'!D81&amp;IF(VLOOKUP('.'!D81,Recipes!$A:$D,4,FALSE)="",""," ["&amp;VLOOKUP('.'!D81,Recipes!$A:$D,4,FALSE)&amp;"]"))</f>
        <v/>
      </c>
      <c r="E81" s="46" t="str">
        <f t="array" ref="E81">IF('.'!E81="","",'.'!E81&amp;IF(VLOOKUP('.'!E81,Recipes!$A:$D,4,FALSE)="",""," ["&amp;VLOOKUP('.'!E81,Recipes!$A:$D,4,FALSE)&amp;"]"))</f>
        <v/>
      </c>
      <c r="F81" s="46" t="str">
        <f t="array" ref="F81">IF('.'!F81="","",'.'!F81&amp;IF(VLOOKUP('.'!F81,Recipes!$A:$D,4,FALSE)="",""," ["&amp;VLOOKUP('.'!F81,Recipes!$A:$D,4,FALSE)&amp;"]"))</f>
        <v/>
      </c>
      <c r="G81" s="46" t="str">
        <f t="array" ref="G81">IF('.'!G81="","",'.'!G81&amp;IF(VLOOKUP('.'!G81,Recipes!$A:$D,4,FALSE)="",""," ["&amp;VLOOKUP('.'!G81,Recipes!$A:$D,4,FALSE)&amp;"]"))</f>
        <v/>
      </c>
      <c r="H81" s="46" t="str">
        <f t="array" ref="H81">IF('.'!H81="","",'.'!H81&amp;IF(VLOOKUP('.'!H81,Recipes!$A:$D,4,FALSE)="",""," ["&amp;VLOOKUP('.'!H81,Recipes!$A:$D,4,FALSE)&amp;"]"))</f>
        <v/>
      </c>
      <c r="I81" s="46" t="str">
        <f t="array" ref="I81">IF('.'!I81="","",'.'!I81&amp;IF(VLOOKUP('.'!I81,Recipes!$A:$D,4,FALSE)="",""," ["&amp;VLOOKUP('.'!I81,Recipes!$A:$D,4,FALSE)&amp;"]"))</f>
        <v/>
      </c>
      <c r="J81" s="46" t="str">
        <f t="array" ref="J81">IF('.'!J81="","",'.'!J81&amp;IF(VLOOKUP('.'!J81,Recipes!$A:$D,4,FALSE)="",""," ["&amp;VLOOKUP('.'!J81,Recipes!$A:$D,4,FALSE)&amp;"]"))</f>
        <v/>
      </c>
      <c r="K81" s="46" t="str">
        <f t="array" ref="K81">IF('.'!K81="","",'.'!K81&amp;IF(VLOOKUP('.'!K81,Recipes!$A:$D,4,FALSE)="",""," ["&amp;VLOOKUP('.'!K81,Recipes!$A:$D,4,FALSE)&amp;"]"))</f>
        <v/>
      </c>
      <c r="L81" s="46" t="str">
        <f t="array" ref="L81">IF('.'!L81="","",'.'!L81&amp;IF(VLOOKUP('.'!L81,Recipes!$A:$D,4,FALSE)="",""," ["&amp;VLOOKUP('.'!L81,Recipes!$A:$D,4,FALSE)&amp;"]"))</f>
        <v/>
      </c>
      <c r="M81" s="46" t="str">
        <f t="array" ref="M81">IF('.'!M81="","",'.'!M81&amp;IF(VLOOKUP('.'!M81,Recipes!$A:$D,4,FALSE)="",""," ["&amp;VLOOKUP('.'!M81,Recipes!$A:$D,4,FALSE)&amp;"]"))</f>
        <v/>
      </c>
      <c r="N81" s="46" t="str">
        <f t="array" ref="N81">IF('.'!N81="","",'.'!N81&amp;IF(VLOOKUP('.'!N81,Recipes!$A:$D,4,FALSE)="",""," ["&amp;VLOOKUP('.'!N81,Recipes!$A:$D,4,FALSE)&amp;"]"))</f>
        <v/>
      </c>
      <c r="O81" s="46" t="str">
        <f t="array" ref="O81">IF('.'!O81="","",'.'!O81&amp;IF(VLOOKUP('.'!O81,Recipes!$A:$D,4,FALSE)="",""," ["&amp;VLOOKUP('.'!O81,Recipes!$A:$D,4,FALSE)&amp;"]"))</f>
        <v/>
      </c>
      <c r="P81" s="46" t="str">
        <f t="array" ref="P81">IF('.'!P81="","",'.'!P81&amp;IF(VLOOKUP('.'!P81,Recipes!$A:$D,4,FALSE)="",""," ["&amp;VLOOKUP('.'!P81,Recipes!$A:$D,4,FALSE)&amp;"]"))</f>
        <v/>
      </c>
      <c r="Q81" s="46" t="str">
        <f t="array" ref="Q81">IF('.'!Q81="","",'.'!Q81&amp;IF(VLOOKUP('.'!Q81,Recipes!$A:$D,4,FALSE)="",""," ["&amp;VLOOKUP('.'!Q81,Recipes!$A:$D,4,FALSE)&amp;"]"))</f>
        <v/>
      </c>
      <c r="R81" s="46" t="str">
        <f t="array" ref="R81">IF('.'!R81="","",'.'!R81&amp;IF(VLOOKUP('.'!R81,Recipes!$A:$D,4,FALSE)="",""," ["&amp;VLOOKUP('.'!R81,Recipes!$A:$D,4,FALSE)&amp;"]"))</f>
        <v/>
      </c>
      <c r="S81" s="46" t="str">
        <f t="array" ref="S81">IF('.'!S81="","",'.'!S81&amp;IF(VLOOKUP('.'!S81,Recipes!$A:$D,4,FALSE)="",""," ["&amp;VLOOKUP('.'!S81,Recipes!$A:$D,4,FALSE)&amp;"]"))</f>
        <v/>
      </c>
      <c r="T81" s="46" t="str">
        <f t="array" ref="T81">IF('.'!T81="","",'.'!T81&amp;IF(VLOOKUP('.'!T81,Recipes!$A:$D,4,FALSE)="",""," ["&amp;VLOOKUP('.'!T81,Recipes!$A:$D,4,FALSE)&amp;"]"))</f>
        <v/>
      </c>
      <c r="U81" s="46" t="str">
        <f t="array" ref="U81">IF('.'!U81="","",'.'!U81&amp;IF(VLOOKUP('.'!U81,Recipes!$A:$D,4,FALSE)="",""," ["&amp;VLOOKUP('.'!U81,Recipes!$A:$D,4,FALSE)&amp;"]"))</f>
        <v/>
      </c>
      <c r="V81" s="46" t="str">
        <f t="array" ref="V81">IF('.'!V81="","",'.'!V81&amp;IF(VLOOKUP('.'!V81,Recipes!$A:$D,4,FALSE)="",""," ["&amp;VLOOKUP('.'!V81,Recipes!$A:$D,4,FALSE)&amp;"]"))</f>
        <v/>
      </c>
      <c r="W81" s="46" t="str">
        <f t="array" ref="W81">IF('.'!W81="","",'.'!W81&amp;IF(VLOOKUP('.'!W81,Recipes!$A:$D,4,FALSE)="",""," ["&amp;VLOOKUP('.'!W81,Recipes!$A:$D,4,FALSE)&amp;"]"))</f>
        <v/>
      </c>
      <c r="X81" s="46" t="str">
        <f t="array" ref="X81">IF('.'!X81="","",'.'!X81&amp;IF(VLOOKUP('.'!X81,Recipes!$A:$D,4,FALSE)="",""," ["&amp;VLOOKUP('.'!X81,Recipes!$A:$D,4,FALSE)&amp;"]"))</f>
        <v/>
      </c>
      <c r="Y81" s="46" t="str">
        <f t="array" ref="Y81">IF('.'!Y81="","",'.'!Y81&amp;IF(VLOOKUP('.'!Y81,Recipes!$A:$D,4,FALSE)="",""," ["&amp;VLOOKUP('.'!Y81,Recipes!$A:$D,4,FALSE)&amp;"]"))</f>
        <v/>
      </c>
      <c r="Z81" s="46" t="str">
        <f t="array" ref="Z81">IF('.'!Z81="","",'.'!Z81&amp;IF(VLOOKUP('.'!Z81,Recipes!$A:$D,4,FALSE)="",""," ["&amp;VLOOKUP('.'!Z81,Recipes!$A:$D,4,FALSE)&amp;"]"))</f>
        <v/>
      </c>
      <c r="AA81" s="46" t="str">
        <f t="array" ref="AA81">IF('.'!AA81="","",'.'!AA81&amp;IF(VLOOKUP('.'!AA81,Recipes!$A:$D,4,FALSE)="",""," ["&amp;VLOOKUP('.'!AA81,Recipes!$A:$D,4,FALSE)&amp;"]"))</f>
        <v/>
      </c>
      <c r="AB81" s="46" t="str">
        <f t="array" ref="AB81">IF('.'!AB81="","",'.'!AB81&amp;IF(VLOOKUP('.'!AB81,Recipes!$A:$D,4,FALSE)="",""," ["&amp;VLOOKUP('.'!AB81,Recipes!$A:$D,4,FALSE)&amp;"]"))</f>
        <v/>
      </c>
      <c r="AC81" s="46" t="str">
        <f t="array" ref="AC81">IF('.'!AC81="","",'.'!AC81&amp;IF(VLOOKUP('.'!AC81,Recipes!$A:$D,4,FALSE)="",""," ["&amp;VLOOKUP('.'!AC81,Recipes!$A:$D,4,FALSE)&amp;"]"))</f>
        <v/>
      </c>
      <c r="AD81" s="46" t="str">
        <f t="array" ref="AD81">IF('.'!AD81="","",'.'!AD81&amp;IF(VLOOKUP('.'!AD81,Recipes!$A:$D,4,FALSE)="",""," ["&amp;VLOOKUP('.'!AD81,Recipes!$A:$D,4,FALSE)&amp;"]"))</f>
        <v/>
      </c>
      <c r="AE81" s="47"/>
      <c r="AF81" s="47"/>
      <c r="AG81" s="47"/>
      <c r="AH81" s="47"/>
      <c r="AI81" s="47"/>
      <c r="AJ81" s="47"/>
      <c r="AK81" s="47"/>
      <c r="AL81" s="47"/>
      <c r="AM81" s="47"/>
      <c r="AN81" s="47"/>
      <c r="AO81" s="47"/>
      <c r="AP81" s="47"/>
      <c r="AQ81" s="47"/>
      <c r="AR81" s="47"/>
      <c r="AS81" s="47"/>
      <c r="AT81" s="47"/>
      <c r="AU81" s="47"/>
      <c r="AV81" s="47"/>
      <c r="AW81" s="47"/>
      <c r="AX81" s="47"/>
      <c r="AY81" s="47"/>
      <c r="AZ81" s="47"/>
      <c r="BA81" s="47"/>
      <c r="BB81" s="47"/>
      <c r="BC81" s="47"/>
      <c r="BD81" s="47"/>
      <c r="BE81" s="47"/>
      <c r="BF81" s="47"/>
      <c r="BG81" s="47"/>
      <c r="BH81" s="47"/>
      <c r="BI81" s="47"/>
      <c r="BJ81" s="47"/>
      <c r="BK81" s="47"/>
      <c r="BL81" s="47"/>
      <c r="BM81" s="47"/>
      <c r="BN81" s="47"/>
      <c r="BO81" s="47"/>
      <c r="BP81" s="47"/>
      <c r="BQ81" s="47"/>
      <c r="BR81" s="47"/>
      <c r="BS81" s="47"/>
      <c r="BT81" s="47"/>
      <c r="BU81" s="47"/>
      <c r="BV81" s="47"/>
      <c r="BW81" s="47"/>
      <c r="BX81" s="47"/>
      <c r="BY81" s="47"/>
      <c r="BZ81" s="47"/>
    </row>
    <row r="82" spans="1:78" ht="13">
      <c r="A82" s="48" t="str">
        <f ca="1">'.'!A82</f>
        <v>Bone Dust</v>
      </c>
      <c r="B82" s="46" t="str">
        <f t="array" aca="1" ref="B82" ca="1">IF('.'!B82="","",'.'!B82&amp;IF(VLOOKUP('.'!B82,Recipes!$A:$D,4,FALSE)="",""," ["&amp;VLOOKUP('.'!B82,Recipes!$A:$D,4,FALSE)&amp;"]"))</f>
        <v>Pixie Dust [20]</v>
      </c>
      <c r="C82" s="46" t="str">
        <f t="array" aca="1" ref="C82" ca="1">IF('.'!C82="","",'.'!C82&amp;IF(VLOOKUP('.'!C82,Recipes!$A:$D,4,FALSE)="",""," ["&amp;VLOOKUP('.'!C82,Recipes!$A:$D,4,FALSE)&amp;"]"))</f>
        <v>Pouch of Superior Pixie Dust [250]</v>
      </c>
      <c r="D82" s="46" t="str">
        <f t="array" ref="D82">IF('.'!D82="","",'.'!D82&amp;IF(VLOOKUP('.'!D82,Recipes!$A:$D,4,FALSE)="",""," ["&amp;VLOOKUP('.'!D82,Recipes!$A:$D,4,FALSE)&amp;"]"))</f>
        <v/>
      </c>
      <c r="E82" s="46" t="str">
        <f t="array" ref="E82">IF('.'!E82="","",'.'!E82&amp;IF(VLOOKUP('.'!E82,Recipes!$A:$D,4,FALSE)="",""," ["&amp;VLOOKUP('.'!E82,Recipes!$A:$D,4,FALSE)&amp;"]"))</f>
        <v/>
      </c>
      <c r="F82" s="46" t="str">
        <f t="array" ref="F82">IF('.'!F82="","",'.'!F82&amp;IF(VLOOKUP('.'!F82,Recipes!$A:$D,4,FALSE)="",""," ["&amp;VLOOKUP('.'!F82,Recipes!$A:$D,4,FALSE)&amp;"]"))</f>
        <v/>
      </c>
      <c r="G82" s="46" t="str">
        <f t="array" ref="G82">IF('.'!G82="","",'.'!G82&amp;IF(VLOOKUP('.'!G82,Recipes!$A:$D,4,FALSE)="",""," ["&amp;VLOOKUP('.'!G82,Recipes!$A:$D,4,FALSE)&amp;"]"))</f>
        <v/>
      </c>
      <c r="H82" s="46" t="str">
        <f t="array" ref="H82">IF('.'!H82="","",'.'!H82&amp;IF(VLOOKUP('.'!H82,Recipes!$A:$D,4,FALSE)="",""," ["&amp;VLOOKUP('.'!H82,Recipes!$A:$D,4,FALSE)&amp;"]"))</f>
        <v/>
      </c>
      <c r="I82" s="46" t="str">
        <f t="array" ref="I82">IF('.'!I82="","",'.'!I82&amp;IF(VLOOKUP('.'!I82,Recipes!$A:$D,4,FALSE)="",""," ["&amp;VLOOKUP('.'!I82,Recipes!$A:$D,4,FALSE)&amp;"]"))</f>
        <v/>
      </c>
      <c r="J82" s="46" t="str">
        <f t="array" ref="J82">IF('.'!J82="","",'.'!J82&amp;IF(VLOOKUP('.'!J82,Recipes!$A:$D,4,FALSE)="",""," ["&amp;VLOOKUP('.'!J82,Recipes!$A:$D,4,FALSE)&amp;"]"))</f>
        <v/>
      </c>
      <c r="K82" s="46" t="str">
        <f t="array" ref="K82">IF('.'!K82="","",'.'!K82&amp;IF(VLOOKUP('.'!K82,Recipes!$A:$D,4,FALSE)="",""," ["&amp;VLOOKUP('.'!K82,Recipes!$A:$D,4,FALSE)&amp;"]"))</f>
        <v/>
      </c>
      <c r="L82" s="46" t="str">
        <f t="array" ref="L82">IF('.'!L82="","",'.'!L82&amp;IF(VLOOKUP('.'!L82,Recipes!$A:$D,4,FALSE)="",""," ["&amp;VLOOKUP('.'!L82,Recipes!$A:$D,4,FALSE)&amp;"]"))</f>
        <v/>
      </c>
      <c r="M82" s="46" t="str">
        <f t="array" ref="M82">IF('.'!M82="","",'.'!M82&amp;IF(VLOOKUP('.'!M82,Recipes!$A:$D,4,FALSE)="",""," ["&amp;VLOOKUP('.'!M82,Recipes!$A:$D,4,FALSE)&amp;"]"))</f>
        <v/>
      </c>
      <c r="N82" s="46" t="str">
        <f t="array" ref="N82">IF('.'!N82="","",'.'!N82&amp;IF(VLOOKUP('.'!N82,Recipes!$A:$D,4,FALSE)="",""," ["&amp;VLOOKUP('.'!N82,Recipes!$A:$D,4,FALSE)&amp;"]"))</f>
        <v/>
      </c>
      <c r="O82" s="46" t="str">
        <f t="array" ref="O82">IF('.'!O82="","",'.'!O82&amp;IF(VLOOKUP('.'!O82,Recipes!$A:$D,4,FALSE)="",""," ["&amp;VLOOKUP('.'!O82,Recipes!$A:$D,4,FALSE)&amp;"]"))</f>
        <v/>
      </c>
      <c r="P82" s="46" t="str">
        <f t="array" ref="P82">IF('.'!P82="","",'.'!P82&amp;IF(VLOOKUP('.'!P82,Recipes!$A:$D,4,FALSE)="",""," ["&amp;VLOOKUP('.'!P82,Recipes!$A:$D,4,FALSE)&amp;"]"))</f>
        <v/>
      </c>
      <c r="Q82" s="46" t="str">
        <f t="array" ref="Q82">IF('.'!Q82="","",'.'!Q82&amp;IF(VLOOKUP('.'!Q82,Recipes!$A:$D,4,FALSE)="",""," ["&amp;VLOOKUP('.'!Q82,Recipes!$A:$D,4,FALSE)&amp;"]"))</f>
        <v/>
      </c>
      <c r="R82" s="46" t="str">
        <f t="array" ref="R82">IF('.'!R82="","",'.'!R82&amp;IF(VLOOKUP('.'!R82,Recipes!$A:$D,4,FALSE)="",""," ["&amp;VLOOKUP('.'!R82,Recipes!$A:$D,4,FALSE)&amp;"]"))</f>
        <v/>
      </c>
      <c r="S82" s="46" t="str">
        <f t="array" ref="S82">IF('.'!S82="","",'.'!S82&amp;IF(VLOOKUP('.'!S82,Recipes!$A:$D,4,FALSE)="",""," ["&amp;VLOOKUP('.'!S82,Recipes!$A:$D,4,FALSE)&amp;"]"))</f>
        <v/>
      </c>
      <c r="T82" s="46" t="str">
        <f t="array" ref="T82">IF('.'!T82="","",'.'!T82&amp;IF(VLOOKUP('.'!T82,Recipes!$A:$D,4,FALSE)="",""," ["&amp;VLOOKUP('.'!T82,Recipes!$A:$D,4,FALSE)&amp;"]"))</f>
        <v/>
      </c>
      <c r="U82" s="46" t="str">
        <f t="array" ref="U82">IF('.'!U82="","",'.'!U82&amp;IF(VLOOKUP('.'!U82,Recipes!$A:$D,4,FALSE)="",""," ["&amp;VLOOKUP('.'!U82,Recipes!$A:$D,4,FALSE)&amp;"]"))</f>
        <v/>
      </c>
      <c r="V82" s="46" t="str">
        <f t="array" ref="V82">IF('.'!V82="","",'.'!V82&amp;IF(VLOOKUP('.'!V82,Recipes!$A:$D,4,FALSE)="",""," ["&amp;VLOOKUP('.'!V82,Recipes!$A:$D,4,FALSE)&amp;"]"))</f>
        <v/>
      </c>
      <c r="W82" s="46" t="str">
        <f t="array" ref="W82">IF('.'!W82="","",'.'!W82&amp;IF(VLOOKUP('.'!W82,Recipes!$A:$D,4,FALSE)="",""," ["&amp;VLOOKUP('.'!W82,Recipes!$A:$D,4,FALSE)&amp;"]"))</f>
        <v/>
      </c>
      <c r="X82" s="46" t="str">
        <f t="array" ref="X82">IF('.'!X82="","",'.'!X82&amp;IF(VLOOKUP('.'!X82,Recipes!$A:$D,4,FALSE)="",""," ["&amp;VLOOKUP('.'!X82,Recipes!$A:$D,4,FALSE)&amp;"]"))</f>
        <v/>
      </c>
      <c r="Y82" s="46" t="str">
        <f t="array" ref="Y82">IF('.'!Y82="","",'.'!Y82&amp;IF(VLOOKUP('.'!Y82,Recipes!$A:$D,4,FALSE)="",""," ["&amp;VLOOKUP('.'!Y82,Recipes!$A:$D,4,FALSE)&amp;"]"))</f>
        <v/>
      </c>
      <c r="Z82" s="46" t="str">
        <f t="array" ref="Z82">IF('.'!Z82="","",'.'!Z82&amp;IF(VLOOKUP('.'!Z82,Recipes!$A:$D,4,FALSE)="",""," ["&amp;VLOOKUP('.'!Z82,Recipes!$A:$D,4,FALSE)&amp;"]"))</f>
        <v/>
      </c>
      <c r="AA82" s="46" t="str">
        <f t="array" ref="AA82">IF('.'!AA82="","",'.'!AA82&amp;IF(VLOOKUP('.'!AA82,Recipes!$A:$D,4,FALSE)="",""," ["&amp;VLOOKUP('.'!AA82,Recipes!$A:$D,4,FALSE)&amp;"]"))</f>
        <v/>
      </c>
      <c r="AB82" s="46" t="str">
        <f t="array" ref="AB82">IF('.'!AB82="","",'.'!AB82&amp;IF(VLOOKUP('.'!AB82,Recipes!$A:$D,4,FALSE)="",""," ["&amp;VLOOKUP('.'!AB82,Recipes!$A:$D,4,FALSE)&amp;"]"))</f>
        <v/>
      </c>
      <c r="AC82" s="46" t="str">
        <f t="array" ref="AC82">IF('.'!AC82="","",'.'!AC82&amp;IF(VLOOKUP('.'!AC82,Recipes!$A:$D,4,FALSE)="",""," ["&amp;VLOOKUP('.'!AC82,Recipes!$A:$D,4,FALSE)&amp;"]"))</f>
        <v/>
      </c>
      <c r="AD82" s="46" t="str">
        <f t="array" ref="AD82">IF('.'!AD82="","",'.'!AD82&amp;IF(VLOOKUP('.'!AD82,Recipes!$A:$D,4,FALSE)="",""," ["&amp;VLOOKUP('.'!AD82,Recipes!$A:$D,4,FALSE)&amp;"]"))</f>
        <v/>
      </c>
      <c r="AE82" s="47"/>
      <c r="AF82" s="47"/>
      <c r="AG82" s="47"/>
      <c r="AH82" s="47"/>
      <c r="AI82" s="47"/>
      <c r="AJ82" s="47"/>
      <c r="AK82" s="47"/>
      <c r="AL82" s="47"/>
      <c r="AM82" s="47"/>
      <c r="AN82" s="47"/>
      <c r="AO82" s="47"/>
      <c r="AP82" s="47"/>
      <c r="AQ82" s="47"/>
      <c r="AR82" s="47"/>
      <c r="AS82" s="47"/>
      <c r="AT82" s="47"/>
      <c r="AU82" s="47"/>
      <c r="AV82" s="47"/>
      <c r="AW82" s="47"/>
      <c r="AX82" s="47"/>
      <c r="AY82" s="47"/>
      <c r="AZ82" s="47"/>
      <c r="BA82" s="47"/>
      <c r="BB82" s="47"/>
      <c r="BC82" s="47"/>
      <c r="BD82" s="47"/>
      <c r="BE82" s="47"/>
      <c r="BF82" s="47"/>
      <c r="BG82" s="47"/>
      <c r="BH82" s="47"/>
      <c r="BI82" s="47"/>
      <c r="BJ82" s="47"/>
      <c r="BK82" s="47"/>
      <c r="BL82" s="47"/>
      <c r="BM82" s="47"/>
      <c r="BN82" s="47"/>
      <c r="BO82" s="47"/>
      <c r="BP82" s="47"/>
      <c r="BQ82" s="47"/>
      <c r="BR82" s="47"/>
      <c r="BS82" s="47"/>
      <c r="BT82" s="47"/>
      <c r="BU82" s="47"/>
      <c r="BV82" s="47"/>
      <c r="BW82" s="47"/>
      <c r="BX82" s="47"/>
      <c r="BY82" s="47"/>
      <c r="BZ82" s="47"/>
    </row>
    <row r="83" spans="1:78" ht="13">
      <c r="A83" s="48" t="str">
        <f ca="1">'.'!A83</f>
        <v>Bottle Filled With Oil</v>
      </c>
      <c r="B83" s="46" t="str">
        <f t="array" aca="1" ref="B83" ca="1">IF('.'!B83="","",'.'!B83&amp;IF(VLOOKUP('.'!B83,Recipes!$A:$D,4,FALSE)="",""," ["&amp;VLOOKUP('.'!B83,Recipes!$A:$D,4,FALSE)&amp;"]"))</f>
        <v>Firestorm Grenade [34]</v>
      </c>
      <c r="C83" s="46" t="str">
        <f t="array" ref="C83">IF('.'!C83="","",'.'!C83&amp;IF(VLOOKUP('.'!C83,Recipes!$A:$D,4,FALSE)="",""," ["&amp;VLOOKUP('.'!C83,Recipes!$A:$D,4,FALSE)&amp;"]"))</f>
        <v/>
      </c>
      <c r="D83" s="46" t="str">
        <f t="array" ref="D83">IF('.'!D83="","",'.'!D83&amp;IF(VLOOKUP('.'!D83,Recipes!$A:$D,4,FALSE)="",""," ["&amp;VLOOKUP('.'!D83,Recipes!$A:$D,4,FALSE)&amp;"]"))</f>
        <v/>
      </c>
      <c r="E83" s="46" t="str">
        <f t="array" ref="E83">IF('.'!E83="","",'.'!E83&amp;IF(VLOOKUP('.'!E83,Recipes!$A:$D,4,FALSE)="",""," ["&amp;VLOOKUP('.'!E83,Recipes!$A:$D,4,FALSE)&amp;"]"))</f>
        <v/>
      </c>
      <c r="F83" s="46" t="str">
        <f t="array" ref="F83">IF('.'!F83="","",'.'!F83&amp;IF(VLOOKUP('.'!F83,Recipes!$A:$D,4,FALSE)="",""," ["&amp;VLOOKUP('.'!F83,Recipes!$A:$D,4,FALSE)&amp;"]"))</f>
        <v/>
      </c>
      <c r="G83" s="46" t="str">
        <f t="array" ref="G83">IF('.'!G83="","",'.'!G83&amp;IF(VLOOKUP('.'!G83,Recipes!$A:$D,4,FALSE)="",""," ["&amp;VLOOKUP('.'!G83,Recipes!$A:$D,4,FALSE)&amp;"]"))</f>
        <v/>
      </c>
      <c r="H83" s="46" t="str">
        <f t="array" ref="H83">IF('.'!H83="","",'.'!H83&amp;IF(VLOOKUP('.'!H83,Recipes!$A:$D,4,FALSE)="",""," ["&amp;VLOOKUP('.'!H83,Recipes!$A:$D,4,FALSE)&amp;"]"))</f>
        <v/>
      </c>
      <c r="I83" s="46" t="str">
        <f t="array" ref="I83">IF('.'!I83="","",'.'!I83&amp;IF(VLOOKUP('.'!I83,Recipes!$A:$D,4,FALSE)="",""," ["&amp;VLOOKUP('.'!I83,Recipes!$A:$D,4,FALSE)&amp;"]"))</f>
        <v/>
      </c>
      <c r="J83" s="46" t="str">
        <f t="array" ref="J83">IF('.'!J83="","",'.'!J83&amp;IF(VLOOKUP('.'!J83,Recipes!$A:$D,4,FALSE)="",""," ["&amp;VLOOKUP('.'!J83,Recipes!$A:$D,4,FALSE)&amp;"]"))</f>
        <v/>
      </c>
      <c r="K83" s="46" t="str">
        <f t="array" ref="K83">IF('.'!K83="","",'.'!K83&amp;IF(VLOOKUP('.'!K83,Recipes!$A:$D,4,FALSE)="",""," ["&amp;VLOOKUP('.'!K83,Recipes!$A:$D,4,FALSE)&amp;"]"))</f>
        <v/>
      </c>
      <c r="L83" s="46" t="str">
        <f t="array" ref="L83">IF('.'!L83="","",'.'!L83&amp;IF(VLOOKUP('.'!L83,Recipes!$A:$D,4,FALSE)="",""," ["&amp;VLOOKUP('.'!L83,Recipes!$A:$D,4,FALSE)&amp;"]"))</f>
        <v/>
      </c>
      <c r="M83" s="46" t="str">
        <f t="array" ref="M83">IF('.'!M83="","",'.'!M83&amp;IF(VLOOKUP('.'!M83,Recipes!$A:$D,4,FALSE)="",""," ["&amp;VLOOKUP('.'!M83,Recipes!$A:$D,4,FALSE)&amp;"]"))</f>
        <v/>
      </c>
      <c r="N83" s="46" t="str">
        <f t="array" ref="N83">IF('.'!N83="","",'.'!N83&amp;IF(VLOOKUP('.'!N83,Recipes!$A:$D,4,FALSE)="",""," ["&amp;VLOOKUP('.'!N83,Recipes!$A:$D,4,FALSE)&amp;"]"))</f>
        <v/>
      </c>
      <c r="O83" s="46" t="str">
        <f t="array" ref="O83">IF('.'!O83="","",'.'!O83&amp;IF(VLOOKUP('.'!O83,Recipes!$A:$D,4,FALSE)="",""," ["&amp;VLOOKUP('.'!O83,Recipes!$A:$D,4,FALSE)&amp;"]"))</f>
        <v/>
      </c>
      <c r="P83" s="46" t="str">
        <f t="array" ref="P83">IF('.'!P83="","",'.'!P83&amp;IF(VLOOKUP('.'!P83,Recipes!$A:$D,4,FALSE)="",""," ["&amp;VLOOKUP('.'!P83,Recipes!$A:$D,4,FALSE)&amp;"]"))</f>
        <v/>
      </c>
      <c r="Q83" s="46" t="str">
        <f t="array" ref="Q83">IF('.'!Q83="","",'.'!Q83&amp;IF(VLOOKUP('.'!Q83,Recipes!$A:$D,4,FALSE)="",""," ["&amp;VLOOKUP('.'!Q83,Recipes!$A:$D,4,FALSE)&amp;"]"))</f>
        <v/>
      </c>
      <c r="R83" s="46" t="str">
        <f t="array" ref="R83">IF('.'!R83="","",'.'!R83&amp;IF(VLOOKUP('.'!R83,Recipes!$A:$D,4,FALSE)="",""," ["&amp;VLOOKUP('.'!R83,Recipes!$A:$D,4,FALSE)&amp;"]"))</f>
        <v/>
      </c>
      <c r="S83" s="46" t="str">
        <f t="array" ref="S83">IF('.'!S83="","",'.'!S83&amp;IF(VLOOKUP('.'!S83,Recipes!$A:$D,4,FALSE)="",""," ["&amp;VLOOKUP('.'!S83,Recipes!$A:$D,4,FALSE)&amp;"]"))</f>
        <v/>
      </c>
      <c r="T83" s="46" t="str">
        <f t="array" ref="T83">IF('.'!T83="","",'.'!T83&amp;IF(VLOOKUP('.'!T83,Recipes!$A:$D,4,FALSE)="",""," ["&amp;VLOOKUP('.'!T83,Recipes!$A:$D,4,FALSE)&amp;"]"))</f>
        <v/>
      </c>
      <c r="U83" s="46" t="str">
        <f t="array" ref="U83">IF('.'!U83="","",'.'!U83&amp;IF(VLOOKUP('.'!U83,Recipes!$A:$D,4,FALSE)="",""," ["&amp;VLOOKUP('.'!U83,Recipes!$A:$D,4,FALSE)&amp;"]"))</f>
        <v/>
      </c>
      <c r="V83" s="46" t="str">
        <f t="array" ref="V83">IF('.'!V83="","",'.'!V83&amp;IF(VLOOKUP('.'!V83,Recipes!$A:$D,4,FALSE)="",""," ["&amp;VLOOKUP('.'!V83,Recipes!$A:$D,4,FALSE)&amp;"]"))</f>
        <v/>
      </c>
      <c r="W83" s="46" t="str">
        <f t="array" ref="W83">IF('.'!W83="","",'.'!W83&amp;IF(VLOOKUP('.'!W83,Recipes!$A:$D,4,FALSE)="",""," ["&amp;VLOOKUP('.'!W83,Recipes!$A:$D,4,FALSE)&amp;"]"))</f>
        <v/>
      </c>
      <c r="X83" s="46" t="str">
        <f t="array" ref="X83">IF('.'!X83="","",'.'!X83&amp;IF(VLOOKUP('.'!X83,Recipes!$A:$D,4,FALSE)="",""," ["&amp;VLOOKUP('.'!X83,Recipes!$A:$D,4,FALSE)&amp;"]"))</f>
        <v/>
      </c>
      <c r="Y83" s="46" t="str">
        <f t="array" ref="Y83">IF('.'!Y83="","",'.'!Y83&amp;IF(VLOOKUP('.'!Y83,Recipes!$A:$D,4,FALSE)="",""," ["&amp;VLOOKUP('.'!Y83,Recipes!$A:$D,4,FALSE)&amp;"]"))</f>
        <v/>
      </c>
      <c r="Z83" s="46" t="str">
        <f t="array" ref="Z83">IF('.'!Z83="","",'.'!Z83&amp;IF(VLOOKUP('.'!Z83,Recipes!$A:$D,4,FALSE)="",""," ["&amp;VLOOKUP('.'!Z83,Recipes!$A:$D,4,FALSE)&amp;"]"))</f>
        <v/>
      </c>
      <c r="AA83" s="46" t="str">
        <f t="array" ref="AA83">IF('.'!AA83="","",'.'!AA83&amp;IF(VLOOKUP('.'!AA83,Recipes!$A:$D,4,FALSE)="",""," ["&amp;VLOOKUP('.'!AA83,Recipes!$A:$D,4,FALSE)&amp;"]"))</f>
        <v/>
      </c>
      <c r="AB83" s="46" t="str">
        <f t="array" ref="AB83">IF('.'!AB83="","",'.'!AB83&amp;IF(VLOOKUP('.'!AB83,Recipes!$A:$D,4,FALSE)="",""," ["&amp;VLOOKUP('.'!AB83,Recipes!$A:$D,4,FALSE)&amp;"]"))</f>
        <v/>
      </c>
      <c r="AC83" s="46" t="str">
        <f t="array" ref="AC83">IF('.'!AC83="","",'.'!AC83&amp;IF(VLOOKUP('.'!AC83,Recipes!$A:$D,4,FALSE)="",""," ["&amp;VLOOKUP('.'!AC83,Recipes!$A:$D,4,FALSE)&amp;"]"))</f>
        <v/>
      </c>
      <c r="AD83" s="46" t="str">
        <f t="array" ref="AD83">IF('.'!AD83="","",'.'!AD83&amp;IF(VLOOKUP('.'!AD83,Recipes!$A:$D,4,FALSE)="",""," ["&amp;VLOOKUP('.'!AD83,Recipes!$A:$D,4,FALSE)&amp;"]"))</f>
        <v/>
      </c>
      <c r="AE83" s="47"/>
      <c r="AF83" s="47"/>
      <c r="AG83" s="47"/>
      <c r="AH83" s="47"/>
      <c r="AI83" s="47"/>
      <c r="AJ83" s="47"/>
      <c r="AK83" s="47"/>
      <c r="AL83" s="47"/>
      <c r="AM83" s="47"/>
      <c r="AN83" s="47"/>
      <c r="AO83" s="47"/>
      <c r="AP83" s="47"/>
      <c r="AQ83" s="47"/>
      <c r="AR83" s="47"/>
      <c r="AS83" s="47"/>
      <c r="AT83" s="47"/>
      <c r="AU83" s="47"/>
      <c r="AV83" s="47"/>
      <c r="AW83" s="47"/>
      <c r="AX83" s="47"/>
      <c r="AY83" s="47"/>
      <c r="AZ83" s="47"/>
      <c r="BA83" s="47"/>
      <c r="BB83" s="47"/>
      <c r="BC83" s="47"/>
      <c r="BD83" s="47"/>
      <c r="BE83" s="47"/>
      <c r="BF83" s="47"/>
      <c r="BG83" s="47"/>
      <c r="BH83" s="47"/>
      <c r="BI83" s="47"/>
      <c r="BJ83" s="47"/>
      <c r="BK83" s="47"/>
      <c r="BL83" s="47"/>
      <c r="BM83" s="47"/>
      <c r="BN83" s="47"/>
      <c r="BO83" s="47"/>
      <c r="BP83" s="47"/>
      <c r="BQ83" s="47"/>
      <c r="BR83" s="47"/>
      <c r="BS83" s="47"/>
      <c r="BT83" s="47"/>
      <c r="BU83" s="47"/>
      <c r="BV83" s="47"/>
      <c r="BW83" s="47"/>
      <c r="BX83" s="47"/>
      <c r="BY83" s="47"/>
      <c r="BZ83" s="47"/>
    </row>
    <row r="84" spans="1:78" ht="13">
      <c r="A84" s="48" t="str">
        <f ca="1">'.'!A84</f>
        <v>Bow String</v>
      </c>
      <c r="B84" s="46" t="str">
        <f t="array" aca="1" ref="B84" ca="1">IF('.'!B84="","",'.'!B84&amp;IF(VLOOKUP('.'!B84,Recipes!$A:$D,4,FALSE)="",""," ["&amp;VLOOKUP('.'!B84,Recipes!$A:$D,4,FALSE)&amp;"]"))</f>
        <v>Crossbow [V]</v>
      </c>
      <c r="C84" s="46" t="str">
        <f t="array" aca="1" ref="C84" ca="1">IF('.'!C84="","",'.'!C84&amp;IF(VLOOKUP('.'!C84,Recipes!$A:$D,4,FALSE)="",""," ["&amp;VLOOKUP('.'!C84,Recipes!$A:$D,4,FALSE)&amp;"]"))</f>
        <v>Twig with a String [V]</v>
      </c>
      <c r="D84" s="46" t="str">
        <f t="array" ref="D84">IF('.'!D84="","",'.'!D84&amp;IF(VLOOKUP('.'!D84,Recipes!$A:$D,4,FALSE)="",""," ["&amp;VLOOKUP('.'!D84,Recipes!$A:$D,4,FALSE)&amp;"]"))</f>
        <v/>
      </c>
      <c r="E84" s="46" t="str">
        <f t="array" ref="E84">IF('.'!E84="","",'.'!E84&amp;IF(VLOOKUP('.'!E84,Recipes!$A:$D,4,FALSE)="",""," ["&amp;VLOOKUP('.'!E84,Recipes!$A:$D,4,FALSE)&amp;"]"))</f>
        <v/>
      </c>
      <c r="F84" s="46" t="str">
        <f t="array" ref="F84">IF('.'!F84="","",'.'!F84&amp;IF(VLOOKUP('.'!F84,Recipes!$A:$D,4,FALSE)="",""," ["&amp;VLOOKUP('.'!F84,Recipes!$A:$D,4,FALSE)&amp;"]"))</f>
        <v/>
      </c>
      <c r="G84" s="46" t="str">
        <f t="array" ref="G84">IF('.'!G84="","",'.'!G84&amp;IF(VLOOKUP('.'!G84,Recipes!$A:$D,4,FALSE)="",""," ["&amp;VLOOKUP('.'!G84,Recipes!$A:$D,4,FALSE)&amp;"]"))</f>
        <v/>
      </c>
      <c r="H84" s="46" t="str">
        <f t="array" ref="H84">IF('.'!H84="","",'.'!H84&amp;IF(VLOOKUP('.'!H84,Recipes!$A:$D,4,FALSE)="",""," ["&amp;VLOOKUP('.'!H84,Recipes!$A:$D,4,FALSE)&amp;"]"))</f>
        <v/>
      </c>
      <c r="I84" s="46" t="str">
        <f t="array" ref="I84">IF('.'!I84="","",'.'!I84&amp;IF(VLOOKUP('.'!I84,Recipes!$A:$D,4,FALSE)="",""," ["&amp;VLOOKUP('.'!I84,Recipes!$A:$D,4,FALSE)&amp;"]"))</f>
        <v/>
      </c>
      <c r="J84" s="46" t="str">
        <f t="array" ref="J84">IF('.'!J84="","",'.'!J84&amp;IF(VLOOKUP('.'!J84,Recipes!$A:$D,4,FALSE)="",""," ["&amp;VLOOKUP('.'!J84,Recipes!$A:$D,4,FALSE)&amp;"]"))</f>
        <v/>
      </c>
      <c r="K84" s="46" t="str">
        <f t="array" ref="K84">IF('.'!K84="","",'.'!K84&amp;IF(VLOOKUP('.'!K84,Recipes!$A:$D,4,FALSE)="",""," ["&amp;VLOOKUP('.'!K84,Recipes!$A:$D,4,FALSE)&amp;"]"))</f>
        <v/>
      </c>
      <c r="L84" s="46" t="str">
        <f t="array" ref="L84">IF('.'!L84="","",'.'!L84&amp;IF(VLOOKUP('.'!L84,Recipes!$A:$D,4,FALSE)="",""," ["&amp;VLOOKUP('.'!L84,Recipes!$A:$D,4,FALSE)&amp;"]"))</f>
        <v/>
      </c>
      <c r="M84" s="46" t="str">
        <f t="array" ref="M84">IF('.'!M84="","",'.'!M84&amp;IF(VLOOKUP('.'!M84,Recipes!$A:$D,4,FALSE)="",""," ["&amp;VLOOKUP('.'!M84,Recipes!$A:$D,4,FALSE)&amp;"]"))</f>
        <v/>
      </c>
      <c r="N84" s="46" t="str">
        <f t="array" ref="N84">IF('.'!N84="","",'.'!N84&amp;IF(VLOOKUP('.'!N84,Recipes!$A:$D,4,FALSE)="",""," ["&amp;VLOOKUP('.'!N84,Recipes!$A:$D,4,FALSE)&amp;"]"))</f>
        <v/>
      </c>
      <c r="O84" s="46" t="str">
        <f t="array" ref="O84">IF('.'!O84="","",'.'!O84&amp;IF(VLOOKUP('.'!O84,Recipes!$A:$D,4,FALSE)="",""," ["&amp;VLOOKUP('.'!O84,Recipes!$A:$D,4,FALSE)&amp;"]"))</f>
        <v/>
      </c>
      <c r="P84" s="46" t="str">
        <f t="array" ref="P84">IF('.'!P84="","",'.'!P84&amp;IF(VLOOKUP('.'!P84,Recipes!$A:$D,4,FALSE)="",""," ["&amp;VLOOKUP('.'!P84,Recipes!$A:$D,4,FALSE)&amp;"]"))</f>
        <v/>
      </c>
      <c r="Q84" s="46" t="str">
        <f t="array" ref="Q84">IF('.'!Q84="","",'.'!Q84&amp;IF(VLOOKUP('.'!Q84,Recipes!$A:$D,4,FALSE)="",""," ["&amp;VLOOKUP('.'!Q84,Recipes!$A:$D,4,FALSE)&amp;"]"))</f>
        <v/>
      </c>
      <c r="R84" s="46" t="str">
        <f t="array" ref="R84">IF('.'!R84="","",'.'!R84&amp;IF(VLOOKUP('.'!R84,Recipes!$A:$D,4,FALSE)="",""," ["&amp;VLOOKUP('.'!R84,Recipes!$A:$D,4,FALSE)&amp;"]"))</f>
        <v/>
      </c>
      <c r="S84" s="46" t="str">
        <f t="array" ref="S84">IF('.'!S84="","",'.'!S84&amp;IF(VLOOKUP('.'!S84,Recipes!$A:$D,4,FALSE)="",""," ["&amp;VLOOKUP('.'!S84,Recipes!$A:$D,4,FALSE)&amp;"]"))</f>
        <v/>
      </c>
      <c r="T84" s="46" t="str">
        <f t="array" ref="T84">IF('.'!T84="","",'.'!T84&amp;IF(VLOOKUP('.'!T84,Recipes!$A:$D,4,FALSE)="",""," ["&amp;VLOOKUP('.'!T84,Recipes!$A:$D,4,FALSE)&amp;"]"))</f>
        <v/>
      </c>
      <c r="U84" s="46" t="str">
        <f t="array" ref="U84">IF('.'!U84="","",'.'!U84&amp;IF(VLOOKUP('.'!U84,Recipes!$A:$D,4,FALSE)="",""," ["&amp;VLOOKUP('.'!U84,Recipes!$A:$D,4,FALSE)&amp;"]"))</f>
        <v/>
      </c>
      <c r="V84" s="46" t="str">
        <f t="array" ref="V84">IF('.'!V84="","",'.'!V84&amp;IF(VLOOKUP('.'!V84,Recipes!$A:$D,4,FALSE)="",""," ["&amp;VLOOKUP('.'!V84,Recipes!$A:$D,4,FALSE)&amp;"]"))</f>
        <v/>
      </c>
      <c r="W84" s="46" t="str">
        <f t="array" ref="W84">IF('.'!W84="","",'.'!W84&amp;IF(VLOOKUP('.'!W84,Recipes!$A:$D,4,FALSE)="",""," ["&amp;VLOOKUP('.'!W84,Recipes!$A:$D,4,FALSE)&amp;"]"))</f>
        <v/>
      </c>
      <c r="X84" s="46" t="str">
        <f t="array" ref="X84">IF('.'!X84="","",'.'!X84&amp;IF(VLOOKUP('.'!X84,Recipes!$A:$D,4,FALSE)="",""," ["&amp;VLOOKUP('.'!X84,Recipes!$A:$D,4,FALSE)&amp;"]"))</f>
        <v/>
      </c>
      <c r="Y84" s="46" t="str">
        <f t="array" ref="Y84">IF('.'!Y84="","",'.'!Y84&amp;IF(VLOOKUP('.'!Y84,Recipes!$A:$D,4,FALSE)="",""," ["&amp;VLOOKUP('.'!Y84,Recipes!$A:$D,4,FALSE)&amp;"]"))</f>
        <v/>
      </c>
      <c r="Z84" s="46" t="str">
        <f t="array" ref="Z84">IF('.'!Z84="","",'.'!Z84&amp;IF(VLOOKUP('.'!Z84,Recipes!$A:$D,4,FALSE)="",""," ["&amp;VLOOKUP('.'!Z84,Recipes!$A:$D,4,FALSE)&amp;"]"))</f>
        <v/>
      </c>
      <c r="AA84" s="46" t="str">
        <f t="array" ref="AA84">IF('.'!AA84="","",'.'!AA84&amp;IF(VLOOKUP('.'!AA84,Recipes!$A:$D,4,FALSE)="",""," ["&amp;VLOOKUP('.'!AA84,Recipes!$A:$D,4,FALSE)&amp;"]"))</f>
        <v/>
      </c>
      <c r="AB84" s="46" t="str">
        <f t="array" ref="AB84">IF('.'!AB84="","",'.'!AB84&amp;IF(VLOOKUP('.'!AB84,Recipes!$A:$D,4,FALSE)="",""," ["&amp;VLOOKUP('.'!AB84,Recipes!$A:$D,4,FALSE)&amp;"]"))</f>
        <v/>
      </c>
      <c r="AC84" s="46" t="str">
        <f t="array" ref="AC84">IF('.'!AC84="","",'.'!AC84&amp;IF(VLOOKUP('.'!AC84,Recipes!$A:$D,4,FALSE)="",""," ["&amp;VLOOKUP('.'!AC84,Recipes!$A:$D,4,FALSE)&amp;"]"))</f>
        <v/>
      </c>
      <c r="AD84" s="46" t="str">
        <f t="array" ref="AD84">IF('.'!AD84="","",'.'!AD84&amp;IF(VLOOKUP('.'!AD84,Recipes!$A:$D,4,FALSE)="",""," ["&amp;VLOOKUP('.'!AD84,Recipes!$A:$D,4,FALSE)&amp;"]"))</f>
        <v/>
      </c>
      <c r="AE84" s="47"/>
      <c r="AF84" s="47"/>
      <c r="AG84" s="47"/>
      <c r="AH84" s="47"/>
      <c r="AI84" s="47"/>
      <c r="AJ84" s="47"/>
      <c r="AK84" s="47"/>
      <c r="AL84" s="47"/>
      <c r="AM84" s="47"/>
      <c r="AN84" s="47"/>
      <c r="AO84" s="47"/>
      <c r="AP84" s="47"/>
      <c r="AQ84" s="47"/>
      <c r="AR84" s="47"/>
      <c r="AS84" s="47"/>
      <c r="AT84" s="47"/>
      <c r="AU84" s="47"/>
      <c r="AV84" s="47"/>
      <c r="AW84" s="47"/>
      <c r="AX84" s="47"/>
      <c r="AY84" s="47"/>
      <c r="AZ84" s="47"/>
      <c r="BA84" s="47"/>
      <c r="BB84" s="47"/>
      <c r="BC84" s="47"/>
      <c r="BD84" s="47"/>
      <c r="BE84" s="47"/>
      <c r="BF84" s="47"/>
      <c r="BG84" s="47"/>
      <c r="BH84" s="47"/>
      <c r="BI84" s="47"/>
      <c r="BJ84" s="47"/>
      <c r="BK84" s="47"/>
      <c r="BL84" s="47"/>
      <c r="BM84" s="47"/>
      <c r="BN84" s="47"/>
      <c r="BO84" s="47"/>
      <c r="BP84" s="47"/>
      <c r="BQ84" s="47"/>
      <c r="BR84" s="47"/>
      <c r="BS84" s="47"/>
      <c r="BT84" s="47"/>
      <c r="BU84" s="47"/>
      <c r="BV84" s="47"/>
      <c r="BW84" s="47"/>
      <c r="BX84" s="47"/>
      <c r="BY84" s="47"/>
      <c r="BZ84" s="47"/>
    </row>
    <row r="85" spans="1:78" ht="13">
      <c r="A85" s="48" t="str">
        <f ca="1">'.'!A85</f>
        <v>Bowl</v>
      </c>
      <c r="B85" s="46" t="str">
        <f t="array" aca="1" ref="B85" ca="1">IF('.'!B85="","",'.'!B85&amp;IF(VLOOKUP('.'!B85,Recipes!$A:$D,4,FALSE)="",""," ["&amp;VLOOKUP('.'!B85,Recipes!$A:$D,4,FALSE)&amp;"]"))</f>
        <v>Improvised Shovel [-1]</v>
      </c>
      <c r="C85" s="46" t="str">
        <f t="array" ref="C85">IF('.'!C85="","",'.'!C85&amp;IF(VLOOKUP('.'!C85,Recipes!$A:$D,4,FALSE)="",""," ["&amp;VLOOKUP('.'!C85,Recipes!$A:$D,4,FALSE)&amp;"]"))</f>
        <v/>
      </c>
      <c r="D85" s="46" t="str">
        <f t="array" ref="D85">IF('.'!D85="","",'.'!D85&amp;IF(VLOOKUP('.'!D85,Recipes!$A:$D,4,FALSE)="",""," ["&amp;VLOOKUP('.'!D85,Recipes!$A:$D,4,FALSE)&amp;"]"))</f>
        <v/>
      </c>
      <c r="E85" s="46" t="str">
        <f t="array" ref="E85">IF('.'!E85="","",'.'!E85&amp;IF(VLOOKUP('.'!E85,Recipes!$A:$D,4,FALSE)="",""," ["&amp;VLOOKUP('.'!E85,Recipes!$A:$D,4,FALSE)&amp;"]"))</f>
        <v/>
      </c>
      <c r="F85" s="46" t="str">
        <f t="array" ref="F85">IF('.'!F85="","",'.'!F85&amp;IF(VLOOKUP('.'!F85,Recipes!$A:$D,4,FALSE)="",""," ["&amp;VLOOKUP('.'!F85,Recipes!$A:$D,4,FALSE)&amp;"]"))</f>
        <v/>
      </c>
      <c r="G85" s="46" t="str">
        <f t="array" ref="G85">IF('.'!G85="","",'.'!G85&amp;IF(VLOOKUP('.'!G85,Recipes!$A:$D,4,FALSE)="",""," ["&amp;VLOOKUP('.'!G85,Recipes!$A:$D,4,FALSE)&amp;"]"))</f>
        <v/>
      </c>
      <c r="H85" s="46" t="str">
        <f t="array" ref="H85">IF('.'!H85="","",'.'!H85&amp;IF(VLOOKUP('.'!H85,Recipes!$A:$D,4,FALSE)="",""," ["&amp;VLOOKUP('.'!H85,Recipes!$A:$D,4,FALSE)&amp;"]"))</f>
        <v/>
      </c>
      <c r="I85" s="46" t="str">
        <f t="array" ref="I85">IF('.'!I85="","",'.'!I85&amp;IF(VLOOKUP('.'!I85,Recipes!$A:$D,4,FALSE)="",""," ["&amp;VLOOKUP('.'!I85,Recipes!$A:$D,4,FALSE)&amp;"]"))</f>
        <v/>
      </c>
      <c r="J85" s="46" t="str">
        <f t="array" ref="J85">IF('.'!J85="","",'.'!J85&amp;IF(VLOOKUP('.'!J85,Recipes!$A:$D,4,FALSE)="",""," ["&amp;VLOOKUP('.'!J85,Recipes!$A:$D,4,FALSE)&amp;"]"))</f>
        <v/>
      </c>
      <c r="K85" s="46" t="str">
        <f t="array" ref="K85">IF('.'!K85="","",'.'!K85&amp;IF(VLOOKUP('.'!K85,Recipes!$A:$D,4,FALSE)="",""," ["&amp;VLOOKUP('.'!K85,Recipes!$A:$D,4,FALSE)&amp;"]"))</f>
        <v/>
      </c>
      <c r="L85" s="46" t="str">
        <f t="array" ref="L85">IF('.'!L85="","",'.'!L85&amp;IF(VLOOKUP('.'!L85,Recipes!$A:$D,4,FALSE)="",""," ["&amp;VLOOKUP('.'!L85,Recipes!$A:$D,4,FALSE)&amp;"]"))</f>
        <v/>
      </c>
      <c r="M85" s="46" t="str">
        <f t="array" ref="M85">IF('.'!M85="","",'.'!M85&amp;IF(VLOOKUP('.'!M85,Recipes!$A:$D,4,FALSE)="",""," ["&amp;VLOOKUP('.'!M85,Recipes!$A:$D,4,FALSE)&amp;"]"))</f>
        <v/>
      </c>
      <c r="N85" s="46" t="str">
        <f t="array" ref="N85">IF('.'!N85="","",'.'!N85&amp;IF(VLOOKUP('.'!N85,Recipes!$A:$D,4,FALSE)="",""," ["&amp;VLOOKUP('.'!N85,Recipes!$A:$D,4,FALSE)&amp;"]"))</f>
        <v/>
      </c>
      <c r="O85" s="46" t="str">
        <f t="array" ref="O85">IF('.'!O85="","",'.'!O85&amp;IF(VLOOKUP('.'!O85,Recipes!$A:$D,4,FALSE)="",""," ["&amp;VLOOKUP('.'!O85,Recipes!$A:$D,4,FALSE)&amp;"]"))</f>
        <v/>
      </c>
      <c r="P85" s="46" t="str">
        <f t="array" ref="P85">IF('.'!P85="","",'.'!P85&amp;IF(VLOOKUP('.'!P85,Recipes!$A:$D,4,FALSE)="",""," ["&amp;VLOOKUP('.'!P85,Recipes!$A:$D,4,FALSE)&amp;"]"))</f>
        <v/>
      </c>
      <c r="Q85" s="46" t="str">
        <f t="array" ref="Q85">IF('.'!Q85="","",'.'!Q85&amp;IF(VLOOKUP('.'!Q85,Recipes!$A:$D,4,FALSE)="",""," ["&amp;VLOOKUP('.'!Q85,Recipes!$A:$D,4,FALSE)&amp;"]"))</f>
        <v/>
      </c>
      <c r="R85" s="46" t="str">
        <f t="array" ref="R85">IF('.'!R85="","",'.'!R85&amp;IF(VLOOKUP('.'!R85,Recipes!$A:$D,4,FALSE)="",""," ["&amp;VLOOKUP('.'!R85,Recipes!$A:$D,4,FALSE)&amp;"]"))</f>
        <v/>
      </c>
      <c r="S85" s="46" t="str">
        <f t="array" ref="S85">IF('.'!S85="","",'.'!S85&amp;IF(VLOOKUP('.'!S85,Recipes!$A:$D,4,FALSE)="",""," ["&amp;VLOOKUP('.'!S85,Recipes!$A:$D,4,FALSE)&amp;"]"))</f>
        <v/>
      </c>
      <c r="T85" s="46" t="str">
        <f t="array" ref="T85">IF('.'!T85="","",'.'!T85&amp;IF(VLOOKUP('.'!T85,Recipes!$A:$D,4,FALSE)="",""," ["&amp;VLOOKUP('.'!T85,Recipes!$A:$D,4,FALSE)&amp;"]"))</f>
        <v/>
      </c>
      <c r="U85" s="46" t="str">
        <f t="array" ref="U85">IF('.'!U85="","",'.'!U85&amp;IF(VLOOKUP('.'!U85,Recipes!$A:$D,4,FALSE)="",""," ["&amp;VLOOKUP('.'!U85,Recipes!$A:$D,4,FALSE)&amp;"]"))</f>
        <v/>
      </c>
      <c r="V85" s="46" t="str">
        <f t="array" ref="V85">IF('.'!V85="","",'.'!V85&amp;IF(VLOOKUP('.'!V85,Recipes!$A:$D,4,FALSE)="",""," ["&amp;VLOOKUP('.'!V85,Recipes!$A:$D,4,FALSE)&amp;"]"))</f>
        <v/>
      </c>
      <c r="W85" s="46" t="str">
        <f t="array" ref="W85">IF('.'!W85="","",'.'!W85&amp;IF(VLOOKUP('.'!W85,Recipes!$A:$D,4,FALSE)="",""," ["&amp;VLOOKUP('.'!W85,Recipes!$A:$D,4,FALSE)&amp;"]"))</f>
        <v/>
      </c>
      <c r="X85" s="46" t="str">
        <f t="array" ref="X85">IF('.'!X85="","",'.'!X85&amp;IF(VLOOKUP('.'!X85,Recipes!$A:$D,4,FALSE)="",""," ["&amp;VLOOKUP('.'!X85,Recipes!$A:$D,4,FALSE)&amp;"]"))</f>
        <v/>
      </c>
      <c r="Y85" s="46" t="str">
        <f t="array" ref="Y85">IF('.'!Y85="","",'.'!Y85&amp;IF(VLOOKUP('.'!Y85,Recipes!$A:$D,4,FALSE)="",""," ["&amp;VLOOKUP('.'!Y85,Recipes!$A:$D,4,FALSE)&amp;"]"))</f>
        <v/>
      </c>
      <c r="Z85" s="46" t="str">
        <f t="array" ref="Z85">IF('.'!Z85="","",'.'!Z85&amp;IF(VLOOKUP('.'!Z85,Recipes!$A:$D,4,FALSE)="",""," ["&amp;VLOOKUP('.'!Z85,Recipes!$A:$D,4,FALSE)&amp;"]"))</f>
        <v/>
      </c>
      <c r="AA85" s="46" t="str">
        <f t="array" ref="AA85">IF('.'!AA85="","",'.'!AA85&amp;IF(VLOOKUP('.'!AA85,Recipes!$A:$D,4,FALSE)="",""," ["&amp;VLOOKUP('.'!AA85,Recipes!$A:$D,4,FALSE)&amp;"]"))</f>
        <v/>
      </c>
      <c r="AB85" s="46" t="str">
        <f t="array" ref="AB85">IF('.'!AB85="","",'.'!AB85&amp;IF(VLOOKUP('.'!AB85,Recipes!$A:$D,4,FALSE)="",""," ["&amp;VLOOKUP('.'!AB85,Recipes!$A:$D,4,FALSE)&amp;"]"))</f>
        <v/>
      </c>
      <c r="AC85" s="46" t="str">
        <f t="array" ref="AC85">IF('.'!AC85="","",'.'!AC85&amp;IF(VLOOKUP('.'!AC85,Recipes!$A:$D,4,FALSE)="",""," ["&amp;VLOOKUP('.'!AC85,Recipes!$A:$D,4,FALSE)&amp;"]"))</f>
        <v/>
      </c>
      <c r="AD85" s="46" t="str">
        <f t="array" ref="AD85">IF('.'!AD85="","",'.'!AD85&amp;IF(VLOOKUP('.'!AD85,Recipes!$A:$D,4,FALSE)="",""," ["&amp;VLOOKUP('.'!AD85,Recipes!$A:$D,4,FALSE)&amp;"]"))</f>
        <v/>
      </c>
      <c r="AE85" s="47"/>
      <c r="AF85" s="47"/>
      <c r="AG85" s="47"/>
      <c r="AH85" s="47"/>
      <c r="AI85" s="47"/>
      <c r="AJ85" s="47"/>
      <c r="AK85" s="47"/>
      <c r="AL85" s="47"/>
      <c r="AM85" s="47"/>
      <c r="AN85" s="47"/>
      <c r="AO85" s="47"/>
      <c r="AP85" s="47"/>
      <c r="AQ85" s="47"/>
      <c r="AR85" s="47"/>
      <c r="AS85" s="47"/>
      <c r="AT85" s="47"/>
      <c r="AU85" s="47"/>
      <c r="AV85" s="47"/>
      <c r="AW85" s="47"/>
      <c r="AX85" s="47"/>
      <c r="AY85" s="47"/>
      <c r="AZ85" s="47"/>
      <c r="BA85" s="47"/>
      <c r="BB85" s="47"/>
      <c r="BC85" s="47"/>
      <c r="BD85" s="47"/>
      <c r="BE85" s="47"/>
      <c r="BF85" s="47"/>
      <c r="BG85" s="47"/>
      <c r="BH85" s="47"/>
      <c r="BI85" s="47"/>
      <c r="BJ85" s="47"/>
      <c r="BK85" s="47"/>
      <c r="BL85" s="47"/>
      <c r="BM85" s="47"/>
      <c r="BN85" s="47"/>
      <c r="BO85" s="47"/>
      <c r="BP85" s="47"/>
      <c r="BQ85" s="47"/>
      <c r="BR85" s="47"/>
      <c r="BS85" s="47"/>
      <c r="BT85" s="47"/>
      <c r="BU85" s="47"/>
      <c r="BV85" s="47"/>
      <c r="BW85" s="47"/>
      <c r="BX85" s="47"/>
      <c r="BY85" s="47"/>
      <c r="BZ85" s="47"/>
    </row>
    <row r="86" spans="1:78" ht="13">
      <c r="A86" s="48" t="str">
        <f ca="1">'.'!A86</f>
        <v>Broken Angelic Statue</v>
      </c>
      <c r="B86" s="46" t="e">
        <f t="array" aca="1" ref="B86" ca="1">IF('.'!B86="","",'.'!B86&amp;IF(VLOOKUP('.'!B86,Recipes!$A:$D,4,FALSE)="",""," ["&amp;VLOOKUP('.'!B86,Recipes!$A:$D,4,FALSE)&amp;"]"))</f>
        <v>#VALUE!</v>
      </c>
      <c r="C86" s="46" t="str">
        <f t="array" ref="C86">IF('.'!C86="","",'.'!C86&amp;IF(VLOOKUP('.'!C86,Recipes!$A:$D,4,FALSE)="",""," ["&amp;VLOOKUP('.'!C86,Recipes!$A:$D,4,FALSE)&amp;"]"))</f>
        <v/>
      </c>
      <c r="D86" s="46" t="str">
        <f t="array" ref="D86">IF('.'!D86="","",'.'!D86&amp;IF(VLOOKUP('.'!D86,Recipes!$A:$D,4,FALSE)="",""," ["&amp;VLOOKUP('.'!D86,Recipes!$A:$D,4,FALSE)&amp;"]"))</f>
        <v/>
      </c>
      <c r="E86" s="46" t="str">
        <f t="array" ref="E86">IF('.'!E86="","",'.'!E86&amp;IF(VLOOKUP('.'!E86,Recipes!$A:$D,4,FALSE)="",""," ["&amp;VLOOKUP('.'!E86,Recipes!$A:$D,4,FALSE)&amp;"]"))</f>
        <v/>
      </c>
      <c r="F86" s="46" t="str">
        <f t="array" ref="F86">IF('.'!F86="","",'.'!F86&amp;IF(VLOOKUP('.'!F86,Recipes!$A:$D,4,FALSE)="",""," ["&amp;VLOOKUP('.'!F86,Recipes!$A:$D,4,FALSE)&amp;"]"))</f>
        <v/>
      </c>
      <c r="G86" s="46" t="str">
        <f t="array" ref="G86">IF('.'!G86="","",'.'!G86&amp;IF(VLOOKUP('.'!G86,Recipes!$A:$D,4,FALSE)="",""," ["&amp;VLOOKUP('.'!G86,Recipes!$A:$D,4,FALSE)&amp;"]"))</f>
        <v/>
      </c>
      <c r="H86" s="46" t="str">
        <f t="array" ref="H86">IF('.'!H86="","",'.'!H86&amp;IF(VLOOKUP('.'!H86,Recipes!$A:$D,4,FALSE)="",""," ["&amp;VLOOKUP('.'!H86,Recipes!$A:$D,4,FALSE)&amp;"]"))</f>
        <v/>
      </c>
      <c r="I86" s="46" t="str">
        <f t="array" ref="I86">IF('.'!I86="","",'.'!I86&amp;IF(VLOOKUP('.'!I86,Recipes!$A:$D,4,FALSE)="",""," ["&amp;VLOOKUP('.'!I86,Recipes!$A:$D,4,FALSE)&amp;"]"))</f>
        <v/>
      </c>
      <c r="J86" s="46" t="str">
        <f t="array" ref="J86">IF('.'!J86="","",'.'!J86&amp;IF(VLOOKUP('.'!J86,Recipes!$A:$D,4,FALSE)="",""," ["&amp;VLOOKUP('.'!J86,Recipes!$A:$D,4,FALSE)&amp;"]"))</f>
        <v/>
      </c>
      <c r="K86" s="46" t="str">
        <f t="array" ref="K86">IF('.'!K86="","",'.'!K86&amp;IF(VLOOKUP('.'!K86,Recipes!$A:$D,4,FALSE)="",""," ["&amp;VLOOKUP('.'!K86,Recipes!$A:$D,4,FALSE)&amp;"]"))</f>
        <v/>
      </c>
      <c r="L86" s="46" t="str">
        <f t="array" ref="L86">IF('.'!L86="","",'.'!L86&amp;IF(VLOOKUP('.'!L86,Recipes!$A:$D,4,FALSE)="",""," ["&amp;VLOOKUP('.'!L86,Recipes!$A:$D,4,FALSE)&amp;"]"))</f>
        <v/>
      </c>
      <c r="M86" s="46" t="str">
        <f t="array" ref="M86">IF('.'!M86="","",'.'!M86&amp;IF(VLOOKUP('.'!M86,Recipes!$A:$D,4,FALSE)="",""," ["&amp;VLOOKUP('.'!M86,Recipes!$A:$D,4,FALSE)&amp;"]"))</f>
        <v/>
      </c>
      <c r="N86" s="46" t="str">
        <f t="array" ref="N86">IF('.'!N86="","",'.'!N86&amp;IF(VLOOKUP('.'!N86,Recipes!$A:$D,4,FALSE)="",""," ["&amp;VLOOKUP('.'!N86,Recipes!$A:$D,4,FALSE)&amp;"]"))</f>
        <v/>
      </c>
      <c r="O86" s="46" t="str">
        <f t="array" ref="O86">IF('.'!O86="","",'.'!O86&amp;IF(VLOOKUP('.'!O86,Recipes!$A:$D,4,FALSE)="",""," ["&amp;VLOOKUP('.'!O86,Recipes!$A:$D,4,FALSE)&amp;"]"))</f>
        <v/>
      </c>
      <c r="P86" s="46" t="str">
        <f t="array" ref="P86">IF('.'!P86="","",'.'!P86&amp;IF(VLOOKUP('.'!P86,Recipes!$A:$D,4,FALSE)="",""," ["&amp;VLOOKUP('.'!P86,Recipes!$A:$D,4,FALSE)&amp;"]"))</f>
        <v/>
      </c>
      <c r="Q86" s="46" t="str">
        <f t="array" ref="Q86">IF('.'!Q86="","",'.'!Q86&amp;IF(VLOOKUP('.'!Q86,Recipes!$A:$D,4,FALSE)="",""," ["&amp;VLOOKUP('.'!Q86,Recipes!$A:$D,4,FALSE)&amp;"]"))</f>
        <v/>
      </c>
      <c r="R86" s="46" t="str">
        <f t="array" ref="R86">IF('.'!R86="","",'.'!R86&amp;IF(VLOOKUP('.'!R86,Recipes!$A:$D,4,FALSE)="",""," ["&amp;VLOOKUP('.'!R86,Recipes!$A:$D,4,FALSE)&amp;"]"))</f>
        <v/>
      </c>
      <c r="S86" s="46" t="str">
        <f t="array" ref="S86">IF('.'!S86="","",'.'!S86&amp;IF(VLOOKUP('.'!S86,Recipes!$A:$D,4,FALSE)="",""," ["&amp;VLOOKUP('.'!S86,Recipes!$A:$D,4,FALSE)&amp;"]"))</f>
        <v/>
      </c>
      <c r="T86" s="46" t="str">
        <f t="array" ref="T86">IF('.'!T86="","",'.'!T86&amp;IF(VLOOKUP('.'!T86,Recipes!$A:$D,4,FALSE)="",""," ["&amp;VLOOKUP('.'!T86,Recipes!$A:$D,4,FALSE)&amp;"]"))</f>
        <v/>
      </c>
      <c r="U86" s="46" t="str">
        <f t="array" ref="U86">IF('.'!U86="","",'.'!U86&amp;IF(VLOOKUP('.'!U86,Recipes!$A:$D,4,FALSE)="",""," ["&amp;VLOOKUP('.'!U86,Recipes!$A:$D,4,FALSE)&amp;"]"))</f>
        <v/>
      </c>
      <c r="V86" s="46" t="str">
        <f t="array" ref="V86">IF('.'!V86="","",'.'!V86&amp;IF(VLOOKUP('.'!V86,Recipes!$A:$D,4,FALSE)="",""," ["&amp;VLOOKUP('.'!V86,Recipes!$A:$D,4,FALSE)&amp;"]"))</f>
        <v/>
      </c>
      <c r="W86" s="46" t="str">
        <f t="array" ref="W86">IF('.'!W86="","",'.'!W86&amp;IF(VLOOKUP('.'!W86,Recipes!$A:$D,4,FALSE)="",""," ["&amp;VLOOKUP('.'!W86,Recipes!$A:$D,4,FALSE)&amp;"]"))</f>
        <v/>
      </c>
      <c r="X86" s="46" t="str">
        <f t="array" ref="X86">IF('.'!X86="","",'.'!X86&amp;IF(VLOOKUP('.'!X86,Recipes!$A:$D,4,FALSE)="",""," ["&amp;VLOOKUP('.'!X86,Recipes!$A:$D,4,FALSE)&amp;"]"))</f>
        <v/>
      </c>
      <c r="Y86" s="46" t="str">
        <f t="array" ref="Y86">IF('.'!Y86="","",'.'!Y86&amp;IF(VLOOKUP('.'!Y86,Recipes!$A:$D,4,FALSE)="",""," ["&amp;VLOOKUP('.'!Y86,Recipes!$A:$D,4,FALSE)&amp;"]"))</f>
        <v/>
      </c>
      <c r="Z86" s="46" t="str">
        <f t="array" ref="Z86">IF('.'!Z86="","",'.'!Z86&amp;IF(VLOOKUP('.'!Z86,Recipes!$A:$D,4,FALSE)="",""," ["&amp;VLOOKUP('.'!Z86,Recipes!$A:$D,4,FALSE)&amp;"]"))</f>
        <v/>
      </c>
      <c r="AA86" s="46" t="str">
        <f t="array" ref="AA86">IF('.'!AA86="","",'.'!AA86&amp;IF(VLOOKUP('.'!AA86,Recipes!$A:$D,4,FALSE)="",""," ["&amp;VLOOKUP('.'!AA86,Recipes!$A:$D,4,FALSE)&amp;"]"))</f>
        <v/>
      </c>
      <c r="AB86" s="46" t="str">
        <f t="array" ref="AB86">IF('.'!AB86="","",'.'!AB86&amp;IF(VLOOKUP('.'!AB86,Recipes!$A:$D,4,FALSE)="",""," ["&amp;VLOOKUP('.'!AB86,Recipes!$A:$D,4,FALSE)&amp;"]"))</f>
        <v/>
      </c>
      <c r="AC86" s="46" t="str">
        <f t="array" ref="AC86">IF('.'!AC86="","",'.'!AC86&amp;IF(VLOOKUP('.'!AC86,Recipes!$A:$D,4,FALSE)="",""," ["&amp;VLOOKUP('.'!AC86,Recipes!$A:$D,4,FALSE)&amp;"]"))</f>
        <v/>
      </c>
      <c r="AD86" s="46" t="str">
        <f t="array" ref="AD86">IF('.'!AD86="","",'.'!AD86&amp;IF(VLOOKUP('.'!AD86,Recipes!$A:$D,4,FALSE)="",""," ["&amp;VLOOKUP('.'!AD86,Recipes!$A:$D,4,FALSE)&amp;"]"))</f>
        <v/>
      </c>
      <c r="AE86" s="47"/>
      <c r="AF86" s="47"/>
      <c r="AG86" s="47"/>
      <c r="AH86" s="47"/>
      <c r="AI86" s="47"/>
      <c r="AJ86" s="47"/>
      <c r="AK86" s="47"/>
      <c r="AL86" s="47"/>
      <c r="AM86" s="47"/>
      <c r="AN86" s="47"/>
      <c r="AO86" s="47"/>
      <c r="AP86" s="47"/>
      <c r="AQ86" s="47"/>
      <c r="AR86" s="47"/>
      <c r="AS86" s="47"/>
      <c r="AT86" s="47"/>
      <c r="AU86" s="47"/>
      <c r="AV86" s="47"/>
      <c r="AW86" s="47"/>
      <c r="AX86" s="47"/>
      <c r="AY86" s="47"/>
      <c r="AZ86" s="47"/>
      <c r="BA86" s="47"/>
      <c r="BB86" s="47"/>
      <c r="BC86" s="47"/>
      <c r="BD86" s="47"/>
      <c r="BE86" s="47"/>
      <c r="BF86" s="47"/>
      <c r="BG86" s="47"/>
      <c r="BH86" s="47"/>
      <c r="BI86" s="47"/>
      <c r="BJ86" s="47"/>
      <c r="BK86" s="47"/>
      <c r="BL86" s="47"/>
      <c r="BM86" s="47"/>
      <c r="BN86" s="47"/>
      <c r="BO86" s="47"/>
      <c r="BP86" s="47"/>
      <c r="BQ86" s="47"/>
      <c r="BR86" s="47"/>
      <c r="BS86" s="47"/>
      <c r="BT86" s="47"/>
      <c r="BU86" s="47"/>
      <c r="BV86" s="47"/>
      <c r="BW86" s="47"/>
      <c r="BX86" s="47"/>
      <c r="BY86" s="47"/>
      <c r="BZ86" s="47"/>
    </row>
    <row r="87" spans="1:78" ht="13">
      <c r="A87" s="48" t="str">
        <f ca="1">'.'!A87</f>
        <v>Broken Bottle</v>
      </c>
      <c r="B87" s="46" t="str">
        <f t="array" aca="1" ref="B87" ca="1">IF('.'!B87="","",'.'!B87&amp;IF(VLOOKUP('.'!B87,Recipes!$A:$D,4,FALSE)="",""," ["&amp;VLOOKUP('.'!B87,Recipes!$A:$D,4,FALSE)&amp;"]"))</f>
        <v>Nailbomb Grenade [9]</v>
      </c>
      <c r="C87" s="46" t="str">
        <f t="array" ref="C87">IF('.'!C87="","",'.'!C87&amp;IF(VLOOKUP('.'!C87,Recipes!$A:$D,4,FALSE)="",""," ["&amp;VLOOKUP('.'!C87,Recipes!$A:$D,4,FALSE)&amp;"]"))</f>
        <v/>
      </c>
      <c r="D87" s="46" t="str">
        <f t="array" ref="D87">IF('.'!D87="","",'.'!D87&amp;IF(VLOOKUP('.'!D87,Recipes!$A:$D,4,FALSE)="",""," ["&amp;VLOOKUP('.'!D87,Recipes!$A:$D,4,FALSE)&amp;"]"))</f>
        <v/>
      </c>
      <c r="E87" s="46" t="str">
        <f t="array" ref="E87">IF('.'!E87="","",'.'!E87&amp;IF(VLOOKUP('.'!E87,Recipes!$A:$D,4,FALSE)="",""," ["&amp;VLOOKUP('.'!E87,Recipes!$A:$D,4,FALSE)&amp;"]"))</f>
        <v/>
      </c>
      <c r="F87" s="46" t="str">
        <f t="array" ref="F87">IF('.'!F87="","",'.'!F87&amp;IF(VLOOKUP('.'!F87,Recipes!$A:$D,4,FALSE)="",""," ["&amp;VLOOKUP('.'!F87,Recipes!$A:$D,4,FALSE)&amp;"]"))</f>
        <v/>
      </c>
      <c r="G87" s="46" t="str">
        <f t="array" ref="G87">IF('.'!G87="","",'.'!G87&amp;IF(VLOOKUP('.'!G87,Recipes!$A:$D,4,FALSE)="",""," ["&amp;VLOOKUP('.'!G87,Recipes!$A:$D,4,FALSE)&amp;"]"))</f>
        <v/>
      </c>
      <c r="H87" s="46" t="str">
        <f t="array" ref="H87">IF('.'!H87="","",'.'!H87&amp;IF(VLOOKUP('.'!H87,Recipes!$A:$D,4,FALSE)="",""," ["&amp;VLOOKUP('.'!H87,Recipes!$A:$D,4,FALSE)&amp;"]"))</f>
        <v/>
      </c>
      <c r="I87" s="46" t="str">
        <f t="array" ref="I87">IF('.'!I87="","",'.'!I87&amp;IF(VLOOKUP('.'!I87,Recipes!$A:$D,4,FALSE)="",""," ["&amp;VLOOKUP('.'!I87,Recipes!$A:$D,4,FALSE)&amp;"]"))</f>
        <v/>
      </c>
      <c r="J87" s="46" t="str">
        <f t="array" ref="J87">IF('.'!J87="","",'.'!J87&amp;IF(VLOOKUP('.'!J87,Recipes!$A:$D,4,FALSE)="",""," ["&amp;VLOOKUP('.'!J87,Recipes!$A:$D,4,FALSE)&amp;"]"))</f>
        <v/>
      </c>
      <c r="K87" s="46" t="str">
        <f t="array" ref="K87">IF('.'!K87="","",'.'!K87&amp;IF(VLOOKUP('.'!K87,Recipes!$A:$D,4,FALSE)="",""," ["&amp;VLOOKUP('.'!K87,Recipes!$A:$D,4,FALSE)&amp;"]"))</f>
        <v/>
      </c>
      <c r="L87" s="46" t="str">
        <f t="array" ref="L87">IF('.'!L87="","",'.'!L87&amp;IF(VLOOKUP('.'!L87,Recipes!$A:$D,4,FALSE)="",""," ["&amp;VLOOKUP('.'!L87,Recipes!$A:$D,4,FALSE)&amp;"]"))</f>
        <v/>
      </c>
      <c r="M87" s="46" t="str">
        <f t="array" ref="M87">IF('.'!M87="","",'.'!M87&amp;IF(VLOOKUP('.'!M87,Recipes!$A:$D,4,FALSE)="",""," ["&amp;VLOOKUP('.'!M87,Recipes!$A:$D,4,FALSE)&amp;"]"))</f>
        <v/>
      </c>
      <c r="N87" s="46" t="str">
        <f t="array" ref="N87">IF('.'!N87="","",'.'!N87&amp;IF(VLOOKUP('.'!N87,Recipes!$A:$D,4,FALSE)="",""," ["&amp;VLOOKUP('.'!N87,Recipes!$A:$D,4,FALSE)&amp;"]"))</f>
        <v/>
      </c>
      <c r="O87" s="46" t="str">
        <f t="array" ref="O87">IF('.'!O87="","",'.'!O87&amp;IF(VLOOKUP('.'!O87,Recipes!$A:$D,4,FALSE)="",""," ["&amp;VLOOKUP('.'!O87,Recipes!$A:$D,4,FALSE)&amp;"]"))</f>
        <v/>
      </c>
      <c r="P87" s="46" t="str">
        <f t="array" ref="P87">IF('.'!P87="","",'.'!P87&amp;IF(VLOOKUP('.'!P87,Recipes!$A:$D,4,FALSE)="",""," ["&amp;VLOOKUP('.'!P87,Recipes!$A:$D,4,FALSE)&amp;"]"))</f>
        <v/>
      </c>
      <c r="Q87" s="46" t="str">
        <f t="array" ref="Q87">IF('.'!Q87="","",'.'!Q87&amp;IF(VLOOKUP('.'!Q87,Recipes!$A:$D,4,FALSE)="",""," ["&amp;VLOOKUP('.'!Q87,Recipes!$A:$D,4,FALSE)&amp;"]"))</f>
        <v/>
      </c>
      <c r="R87" s="46" t="str">
        <f t="array" ref="R87">IF('.'!R87="","",'.'!R87&amp;IF(VLOOKUP('.'!R87,Recipes!$A:$D,4,FALSE)="",""," ["&amp;VLOOKUP('.'!R87,Recipes!$A:$D,4,FALSE)&amp;"]"))</f>
        <v/>
      </c>
      <c r="S87" s="46" t="str">
        <f t="array" ref="S87">IF('.'!S87="","",'.'!S87&amp;IF(VLOOKUP('.'!S87,Recipes!$A:$D,4,FALSE)="",""," ["&amp;VLOOKUP('.'!S87,Recipes!$A:$D,4,FALSE)&amp;"]"))</f>
        <v/>
      </c>
      <c r="T87" s="46" t="str">
        <f t="array" ref="T87">IF('.'!T87="","",'.'!T87&amp;IF(VLOOKUP('.'!T87,Recipes!$A:$D,4,FALSE)="",""," ["&amp;VLOOKUP('.'!T87,Recipes!$A:$D,4,FALSE)&amp;"]"))</f>
        <v/>
      </c>
      <c r="U87" s="46" t="str">
        <f t="array" ref="U87">IF('.'!U87="","",'.'!U87&amp;IF(VLOOKUP('.'!U87,Recipes!$A:$D,4,FALSE)="",""," ["&amp;VLOOKUP('.'!U87,Recipes!$A:$D,4,FALSE)&amp;"]"))</f>
        <v/>
      </c>
      <c r="V87" s="46" t="str">
        <f t="array" ref="V87">IF('.'!V87="","",'.'!V87&amp;IF(VLOOKUP('.'!V87,Recipes!$A:$D,4,FALSE)="",""," ["&amp;VLOOKUP('.'!V87,Recipes!$A:$D,4,FALSE)&amp;"]"))</f>
        <v/>
      </c>
      <c r="W87" s="46" t="str">
        <f t="array" ref="W87">IF('.'!W87="","",'.'!W87&amp;IF(VLOOKUP('.'!W87,Recipes!$A:$D,4,FALSE)="",""," ["&amp;VLOOKUP('.'!W87,Recipes!$A:$D,4,FALSE)&amp;"]"))</f>
        <v/>
      </c>
      <c r="X87" s="46" t="str">
        <f t="array" ref="X87">IF('.'!X87="","",'.'!X87&amp;IF(VLOOKUP('.'!X87,Recipes!$A:$D,4,FALSE)="",""," ["&amp;VLOOKUP('.'!X87,Recipes!$A:$D,4,FALSE)&amp;"]"))</f>
        <v/>
      </c>
      <c r="Y87" s="46" t="str">
        <f t="array" ref="Y87">IF('.'!Y87="","",'.'!Y87&amp;IF(VLOOKUP('.'!Y87,Recipes!$A:$D,4,FALSE)="",""," ["&amp;VLOOKUP('.'!Y87,Recipes!$A:$D,4,FALSE)&amp;"]"))</f>
        <v/>
      </c>
      <c r="Z87" s="46" t="str">
        <f t="array" ref="Z87">IF('.'!Z87="","",'.'!Z87&amp;IF(VLOOKUP('.'!Z87,Recipes!$A:$D,4,FALSE)="",""," ["&amp;VLOOKUP('.'!Z87,Recipes!$A:$D,4,FALSE)&amp;"]"))</f>
        <v/>
      </c>
      <c r="AA87" s="46" t="str">
        <f t="array" ref="AA87">IF('.'!AA87="","",'.'!AA87&amp;IF(VLOOKUP('.'!AA87,Recipes!$A:$D,4,FALSE)="",""," ["&amp;VLOOKUP('.'!AA87,Recipes!$A:$D,4,FALSE)&amp;"]"))</f>
        <v/>
      </c>
      <c r="AB87" s="46" t="str">
        <f t="array" ref="AB87">IF('.'!AB87="","",'.'!AB87&amp;IF(VLOOKUP('.'!AB87,Recipes!$A:$D,4,FALSE)="",""," ["&amp;VLOOKUP('.'!AB87,Recipes!$A:$D,4,FALSE)&amp;"]"))</f>
        <v/>
      </c>
      <c r="AC87" s="46" t="str">
        <f t="array" ref="AC87">IF('.'!AC87="","",'.'!AC87&amp;IF(VLOOKUP('.'!AC87,Recipes!$A:$D,4,FALSE)="",""," ["&amp;VLOOKUP('.'!AC87,Recipes!$A:$D,4,FALSE)&amp;"]"))</f>
        <v/>
      </c>
      <c r="AD87" s="46" t="str">
        <f t="array" ref="AD87">IF('.'!AD87="","",'.'!AD87&amp;IF(VLOOKUP('.'!AD87,Recipes!$A:$D,4,FALSE)="",""," ["&amp;VLOOKUP('.'!AD87,Recipes!$A:$D,4,FALSE)&amp;"]"))</f>
        <v/>
      </c>
      <c r="AE87" s="47"/>
      <c r="AF87" s="47"/>
      <c r="AG87" s="47"/>
      <c r="AH87" s="47"/>
      <c r="AI87" s="47"/>
      <c r="AJ87" s="47"/>
      <c r="AK87" s="47"/>
      <c r="AL87" s="47"/>
      <c r="AM87" s="47"/>
      <c r="AN87" s="47"/>
      <c r="AO87" s="47"/>
      <c r="AP87" s="47"/>
      <c r="AQ87" s="47"/>
      <c r="AR87" s="47"/>
      <c r="AS87" s="47"/>
      <c r="AT87" s="47"/>
      <c r="AU87" s="47"/>
      <c r="AV87" s="47"/>
      <c r="AW87" s="47"/>
      <c r="AX87" s="47"/>
      <c r="AY87" s="47"/>
      <c r="AZ87" s="47"/>
      <c r="BA87" s="47"/>
      <c r="BB87" s="47"/>
      <c r="BC87" s="47"/>
      <c r="BD87" s="47"/>
      <c r="BE87" s="47"/>
      <c r="BF87" s="47"/>
      <c r="BG87" s="47"/>
      <c r="BH87" s="47"/>
      <c r="BI87" s="47"/>
      <c r="BJ87" s="47"/>
      <c r="BK87" s="47"/>
      <c r="BL87" s="47"/>
      <c r="BM87" s="47"/>
      <c r="BN87" s="47"/>
      <c r="BO87" s="47"/>
      <c r="BP87" s="47"/>
      <c r="BQ87" s="47"/>
      <c r="BR87" s="47"/>
      <c r="BS87" s="47"/>
      <c r="BT87" s="47"/>
      <c r="BU87" s="47"/>
      <c r="BV87" s="47"/>
      <c r="BW87" s="47"/>
      <c r="BX87" s="47"/>
      <c r="BY87" s="47"/>
      <c r="BZ87" s="47"/>
    </row>
    <row r="88" spans="1:78" ht="13">
      <c r="A88" s="48" t="str">
        <f ca="1">'.'!A88</f>
        <v>Broken Lever [A]</v>
      </c>
      <c r="B88" s="46" t="e">
        <f t="array" aca="1" ref="B88" ca="1">IF('.'!B88="","",'.'!B88&amp;IF(VLOOKUP('.'!B88,Recipes!$A:$D,4,FALSE)="",""," ["&amp;VLOOKUP('.'!B88,Recipes!$A:$D,4,FALSE)&amp;"]"))</f>
        <v>#VALUE!</v>
      </c>
      <c r="C88" s="46" t="str">
        <f t="array" ref="C88">IF('.'!C88="","",'.'!C88&amp;IF(VLOOKUP('.'!C88,Recipes!$A:$D,4,FALSE)="",""," ["&amp;VLOOKUP('.'!C88,Recipes!$A:$D,4,FALSE)&amp;"]"))</f>
        <v/>
      </c>
      <c r="D88" s="46" t="str">
        <f t="array" ref="D88">IF('.'!D88="","",'.'!D88&amp;IF(VLOOKUP('.'!D88,Recipes!$A:$D,4,FALSE)="",""," ["&amp;VLOOKUP('.'!D88,Recipes!$A:$D,4,FALSE)&amp;"]"))</f>
        <v/>
      </c>
      <c r="E88" s="46" t="str">
        <f t="array" ref="E88">IF('.'!E88="","",'.'!E88&amp;IF(VLOOKUP('.'!E88,Recipes!$A:$D,4,FALSE)="",""," ["&amp;VLOOKUP('.'!E88,Recipes!$A:$D,4,FALSE)&amp;"]"))</f>
        <v/>
      </c>
      <c r="F88" s="46" t="str">
        <f t="array" ref="F88">IF('.'!F88="","",'.'!F88&amp;IF(VLOOKUP('.'!F88,Recipes!$A:$D,4,FALSE)="",""," ["&amp;VLOOKUP('.'!F88,Recipes!$A:$D,4,FALSE)&amp;"]"))</f>
        <v/>
      </c>
      <c r="G88" s="46" t="str">
        <f t="array" ref="G88">IF('.'!G88="","",'.'!G88&amp;IF(VLOOKUP('.'!G88,Recipes!$A:$D,4,FALSE)="",""," ["&amp;VLOOKUP('.'!G88,Recipes!$A:$D,4,FALSE)&amp;"]"))</f>
        <v/>
      </c>
      <c r="H88" s="46" t="str">
        <f t="array" ref="H88">IF('.'!H88="","",'.'!H88&amp;IF(VLOOKUP('.'!H88,Recipes!$A:$D,4,FALSE)="",""," ["&amp;VLOOKUP('.'!H88,Recipes!$A:$D,4,FALSE)&amp;"]"))</f>
        <v/>
      </c>
      <c r="I88" s="46" t="str">
        <f t="array" ref="I88">IF('.'!I88="","",'.'!I88&amp;IF(VLOOKUP('.'!I88,Recipes!$A:$D,4,FALSE)="",""," ["&amp;VLOOKUP('.'!I88,Recipes!$A:$D,4,FALSE)&amp;"]"))</f>
        <v/>
      </c>
      <c r="J88" s="46" t="str">
        <f t="array" ref="J88">IF('.'!J88="","",'.'!J88&amp;IF(VLOOKUP('.'!J88,Recipes!$A:$D,4,FALSE)="",""," ["&amp;VLOOKUP('.'!J88,Recipes!$A:$D,4,FALSE)&amp;"]"))</f>
        <v/>
      </c>
      <c r="K88" s="46" t="str">
        <f t="array" ref="K88">IF('.'!K88="","",'.'!K88&amp;IF(VLOOKUP('.'!K88,Recipes!$A:$D,4,FALSE)="",""," ["&amp;VLOOKUP('.'!K88,Recipes!$A:$D,4,FALSE)&amp;"]"))</f>
        <v/>
      </c>
      <c r="L88" s="46" t="str">
        <f t="array" ref="L88">IF('.'!L88="","",'.'!L88&amp;IF(VLOOKUP('.'!L88,Recipes!$A:$D,4,FALSE)="",""," ["&amp;VLOOKUP('.'!L88,Recipes!$A:$D,4,FALSE)&amp;"]"))</f>
        <v/>
      </c>
      <c r="M88" s="46" t="str">
        <f t="array" ref="M88">IF('.'!M88="","",'.'!M88&amp;IF(VLOOKUP('.'!M88,Recipes!$A:$D,4,FALSE)="",""," ["&amp;VLOOKUP('.'!M88,Recipes!$A:$D,4,FALSE)&amp;"]"))</f>
        <v/>
      </c>
      <c r="N88" s="46" t="str">
        <f t="array" ref="N88">IF('.'!N88="","",'.'!N88&amp;IF(VLOOKUP('.'!N88,Recipes!$A:$D,4,FALSE)="",""," ["&amp;VLOOKUP('.'!N88,Recipes!$A:$D,4,FALSE)&amp;"]"))</f>
        <v/>
      </c>
      <c r="O88" s="46" t="str">
        <f t="array" ref="O88">IF('.'!O88="","",'.'!O88&amp;IF(VLOOKUP('.'!O88,Recipes!$A:$D,4,FALSE)="",""," ["&amp;VLOOKUP('.'!O88,Recipes!$A:$D,4,FALSE)&amp;"]"))</f>
        <v/>
      </c>
      <c r="P88" s="46" t="str">
        <f t="array" ref="P88">IF('.'!P88="","",'.'!P88&amp;IF(VLOOKUP('.'!P88,Recipes!$A:$D,4,FALSE)="",""," ["&amp;VLOOKUP('.'!P88,Recipes!$A:$D,4,FALSE)&amp;"]"))</f>
        <v/>
      </c>
      <c r="Q88" s="46" t="str">
        <f t="array" ref="Q88">IF('.'!Q88="","",'.'!Q88&amp;IF(VLOOKUP('.'!Q88,Recipes!$A:$D,4,FALSE)="",""," ["&amp;VLOOKUP('.'!Q88,Recipes!$A:$D,4,FALSE)&amp;"]"))</f>
        <v/>
      </c>
      <c r="R88" s="46" t="str">
        <f t="array" ref="R88">IF('.'!R88="","",'.'!R88&amp;IF(VLOOKUP('.'!R88,Recipes!$A:$D,4,FALSE)="",""," ["&amp;VLOOKUP('.'!R88,Recipes!$A:$D,4,FALSE)&amp;"]"))</f>
        <v/>
      </c>
      <c r="S88" s="46" t="str">
        <f t="array" ref="S88">IF('.'!S88="","",'.'!S88&amp;IF(VLOOKUP('.'!S88,Recipes!$A:$D,4,FALSE)="",""," ["&amp;VLOOKUP('.'!S88,Recipes!$A:$D,4,FALSE)&amp;"]"))</f>
        <v/>
      </c>
      <c r="T88" s="46" t="str">
        <f t="array" ref="T88">IF('.'!T88="","",'.'!T88&amp;IF(VLOOKUP('.'!T88,Recipes!$A:$D,4,FALSE)="",""," ["&amp;VLOOKUP('.'!T88,Recipes!$A:$D,4,FALSE)&amp;"]"))</f>
        <v/>
      </c>
      <c r="U88" s="46" t="str">
        <f t="array" ref="U88">IF('.'!U88="","",'.'!U88&amp;IF(VLOOKUP('.'!U88,Recipes!$A:$D,4,FALSE)="",""," ["&amp;VLOOKUP('.'!U88,Recipes!$A:$D,4,FALSE)&amp;"]"))</f>
        <v/>
      </c>
      <c r="V88" s="46" t="str">
        <f t="array" ref="V88">IF('.'!V88="","",'.'!V88&amp;IF(VLOOKUP('.'!V88,Recipes!$A:$D,4,FALSE)="",""," ["&amp;VLOOKUP('.'!V88,Recipes!$A:$D,4,FALSE)&amp;"]"))</f>
        <v/>
      </c>
      <c r="W88" s="46" t="str">
        <f t="array" ref="W88">IF('.'!W88="","",'.'!W88&amp;IF(VLOOKUP('.'!W88,Recipes!$A:$D,4,FALSE)="",""," ["&amp;VLOOKUP('.'!W88,Recipes!$A:$D,4,FALSE)&amp;"]"))</f>
        <v/>
      </c>
      <c r="X88" s="46" t="str">
        <f t="array" ref="X88">IF('.'!X88="","",'.'!X88&amp;IF(VLOOKUP('.'!X88,Recipes!$A:$D,4,FALSE)="",""," ["&amp;VLOOKUP('.'!X88,Recipes!$A:$D,4,FALSE)&amp;"]"))</f>
        <v/>
      </c>
      <c r="Y88" s="46" t="str">
        <f t="array" ref="Y88">IF('.'!Y88="","",'.'!Y88&amp;IF(VLOOKUP('.'!Y88,Recipes!$A:$D,4,FALSE)="",""," ["&amp;VLOOKUP('.'!Y88,Recipes!$A:$D,4,FALSE)&amp;"]"))</f>
        <v/>
      </c>
      <c r="Z88" s="46" t="str">
        <f t="array" ref="Z88">IF('.'!Z88="","",'.'!Z88&amp;IF(VLOOKUP('.'!Z88,Recipes!$A:$D,4,FALSE)="",""," ["&amp;VLOOKUP('.'!Z88,Recipes!$A:$D,4,FALSE)&amp;"]"))</f>
        <v/>
      </c>
      <c r="AA88" s="46" t="str">
        <f t="array" ref="AA88">IF('.'!AA88="","",'.'!AA88&amp;IF(VLOOKUP('.'!AA88,Recipes!$A:$D,4,FALSE)="",""," ["&amp;VLOOKUP('.'!AA88,Recipes!$A:$D,4,FALSE)&amp;"]"))</f>
        <v/>
      </c>
      <c r="AB88" s="46" t="str">
        <f t="array" ref="AB88">IF('.'!AB88="","",'.'!AB88&amp;IF(VLOOKUP('.'!AB88,Recipes!$A:$D,4,FALSE)="",""," ["&amp;VLOOKUP('.'!AB88,Recipes!$A:$D,4,FALSE)&amp;"]"))</f>
        <v/>
      </c>
      <c r="AC88" s="46" t="str">
        <f t="array" ref="AC88">IF('.'!AC88="","",'.'!AC88&amp;IF(VLOOKUP('.'!AC88,Recipes!$A:$D,4,FALSE)="",""," ["&amp;VLOOKUP('.'!AC88,Recipes!$A:$D,4,FALSE)&amp;"]"))</f>
        <v/>
      </c>
      <c r="AD88" s="46" t="str">
        <f t="array" ref="AD88">IF('.'!AD88="","",'.'!AD88&amp;IF(VLOOKUP('.'!AD88,Recipes!$A:$D,4,FALSE)="",""," ["&amp;VLOOKUP('.'!AD88,Recipes!$A:$D,4,FALSE)&amp;"]"))</f>
        <v/>
      </c>
      <c r="AE88" s="47"/>
      <c r="AF88" s="47"/>
      <c r="AG88" s="47"/>
      <c r="AH88" s="47"/>
      <c r="AI88" s="47"/>
      <c r="AJ88" s="47"/>
      <c r="AK88" s="47"/>
      <c r="AL88" s="47"/>
      <c r="AM88" s="47"/>
      <c r="AN88" s="47"/>
      <c r="AO88" s="47"/>
      <c r="AP88" s="47"/>
      <c r="AQ88" s="47"/>
      <c r="AR88" s="47"/>
      <c r="AS88" s="47"/>
      <c r="AT88" s="47"/>
      <c r="AU88" s="47"/>
      <c r="AV88" s="47"/>
      <c r="AW88" s="47"/>
      <c r="AX88" s="47"/>
      <c r="AY88" s="47"/>
      <c r="AZ88" s="47"/>
      <c r="BA88" s="47"/>
      <c r="BB88" s="47"/>
      <c r="BC88" s="47"/>
      <c r="BD88" s="47"/>
      <c r="BE88" s="47"/>
      <c r="BF88" s="47"/>
      <c r="BG88" s="47"/>
      <c r="BH88" s="47"/>
      <c r="BI88" s="47"/>
      <c r="BJ88" s="47"/>
      <c r="BK88" s="47"/>
      <c r="BL88" s="47"/>
      <c r="BM88" s="47"/>
      <c r="BN88" s="47"/>
      <c r="BO88" s="47"/>
      <c r="BP88" s="47"/>
      <c r="BQ88" s="47"/>
      <c r="BR88" s="47"/>
      <c r="BS88" s="47"/>
      <c r="BT88" s="47"/>
      <c r="BU88" s="47"/>
      <c r="BV88" s="47"/>
      <c r="BW88" s="47"/>
      <c r="BX88" s="47"/>
      <c r="BY88" s="47"/>
      <c r="BZ88" s="47"/>
    </row>
    <row r="89" spans="1:78" ht="13">
      <c r="A89" s="48" t="str">
        <f ca="1">'.'!A89</f>
        <v>Broken Lever [B]</v>
      </c>
      <c r="B89" s="46" t="e">
        <f t="array" aca="1" ref="B89" ca="1">IF('.'!B89="","",'.'!B89&amp;IF(VLOOKUP('.'!B89,Recipes!$A:$D,4,FALSE)="",""," ["&amp;VLOOKUP('.'!B89,Recipes!$A:$D,4,FALSE)&amp;"]"))</f>
        <v>#VALUE!</v>
      </c>
      <c r="C89" s="46" t="str">
        <f t="array" ref="C89">IF('.'!C89="","",'.'!C89&amp;IF(VLOOKUP('.'!C89,Recipes!$A:$D,4,FALSE)="",""," ["&amp;VLOOKUP('.'!C89,Recipes!$A:$D,4,FALSE)&amp;"]"))</f>
        <v/>
      </c>
      <c r="D89" s="46" t="str">
        <f t="array" ref="D89">IF('.'!D89="","",'.'!D89&amp;IF(VLOOKUP('.'!D89,Recipes!$A:$D,4,FALSE)="",""," ["&amp;VLOOKUP('.'!D89,Recipes!$A:$D,4,FALSE)&amp;"]"))</f>
        <v/>
      </c>
      <c r="E89" s="46" t="str">
        <f t="array" ref="E89">IF('.'!E89="","",'.'!E89&amp;IF(VLOOKUP('.'!E89,Recipes!$A:$D,4,FALSE)="",""," ["&amp;VLOOKUP('.'!E89,Recipes!$A:$D,4,FALSE)&amp;"]"))</f>
        <v/>
      </c>
      <c r="F89" s="46" t="str">
        <f t="array" ref="F89">IF('.'!F89="","",'.'!F89&amp;IF(VLOOKUP('.'!F89,Recipes!$A:$D,4,FALSE)="",""," ["&amp;VLOOKUP('.'!F89,Recipes!$A:$D,4,FALSE)&amp;"]"))</f>
        <v/>
      </c>
      <c r="G89" s="46" t="str">
        <f t="array" ref="G89">IF('.'!G89="","",'.'!G89&amp;IF(VLOOKUP('.'!G89,Recipes!$A:$D,4,FALSE)="",""," ["&amp;VLOOKUP('.'!G89,Recipes!$A:$D,4,FALSE)&amp;"]"))</f>
        <v/>
      </c>
      <c r="H89" s="46" t="str">
        <f t="array" ref="H89">IF('.'!H89="","",'.'!H89&amp;IF(VLOOKUP('.'!H89,Recipes!$A:$D,4,FALSE)="",""," ["&amp;VLOOKUP('.'!H89,Recipes!$A:$D,4,FALSE)&amp;"]"))</f>
        <v/>
      </c>
      <c r="I89" s="46" t="str">
        <f t="array" ref="I89">IF('.'!I89="","",'.'!I89&amp;IF(VLOOKUP('.'!I89,Recipes!$A:$D,4,FALSE)="",""," ["&amp;VLOOKUP('.'!I89,Recipes!$A:$D,4,FALSE)&amp;"]"))</f>
        <v/>
      </c>
      <c r="J89" s="46" t="str">
        <f t="array" ref="J89">IF('.'!J89="","",'.'!J89&amp;IF(VLOOKUP('.'!J89,Recipes!$A:$D,4,FALSE)="",""," ["&amp;VLOOKUP('.'!J89,Recipes!$A:$D,4,FALSE)&amp;"]"))</f>
        <v/>
      </c>
      <c r="K89" s="46" t="str">
        <f t="array" ref="K89">IF('.'!K89="","",'.'!K89&amp;IF(VLOOKUP('.'!K89,Recipes!$A:$D,4,FALSE)="",""," ["&amp;VLOOKUP('.'!K89,Recipes!$A:$D,4,FALSE)&amp;"]"))</f>
        <v/>
      </c>
      <c r="L89" s="46" t="str">
        <f t="array" ref="L89">IF('.'!L89="","",'.'!L89&amp;IF(VLOOKUP('.'!L89,Recipes!$A:$D,4,FALSE)="",""," ["&amp;VLOOKUP('.'!L89,Recipes!$A:$D,4,FALSE)&amp;"]"))</f>
        <v/>
      </c>
      <c r="M89" s="46" t="str">
        <f t="array" ref="M89">IF('.'!M89="","",'.'!M89&amp;IF(VLOOKUP('.'!M89,Recipes!$A:$D,4,FALSE)="",""," ["&amp;VLOOKUP('.'!M89,Recipes!$A:$D,4,FALSE)&amp;"]"))</f>
        <v/>
      </c>
      <c r="N89" s="46" t="str">
        <f t="array" ref="N89">IF('.'!N89="","",'.'!N89&amp;IF(VLOOKUP('.'!N89,Recipes!$A:$D,4,FALSE)="",""," ["&amp;VLOOKUP('.'!N89,Recipes!$A:$D,4,FALSE)&amp;"]"))</f>
        <v/>
      </c>
      <c r="O89" s="46" t="str">
        <f t="array" ref="O89">IF('.'!O89="","",'.'!O89&amp;IF(VLOOKUP('.'!O89,Recipes!$A:$D,4,FALSE)="",""," ["&amp;VLOOKUP('.'!O89,Recipes!$A:$D,4,FALSE)&amp;"]"))</f>
        <v/>
      </c>
      <c r="P89" s="46" t="str">
        <f t="array" ref="P89">IF('.'!P89="","",'.'!P89&amp;IF(VLOOKUP('.'!P89,Recipes!$A:$D,4,FALSE)="",""," ["&amp;VLOOKUP('.'!P89,Recipes!$A:$D,4,FALSE)&amp;"]"))</f>
        <v/>
      </c>
      <c r="Q89" s="46" t="str">
        <f t="array" ref="Q89">IF('.'!Q89="","",'.'!Q89&amp;IF(VLOOKUP('.'!Q89,Recipes!$A:$D,4,FALSE)="",""," ["&amp;VLOOKUP('.'!Q89,Recipes!$A:$D,4,FALSE)&amp;"]"))</f>
        <v/>
      </c>
      <c r="R89" s="46" t="str">
        <f t="array" ref="R89">IF('.'!R89="","",'.'!R89&amp;IF(VLOOKUP('.'!R89,Recipes!$A:$D,4,FALSE)="",""," ["&amp;VLOOKUP('.'!R89,Recipes!$A:$D,4,FALSE)&amp;"]"))</f>
        <v/>
      </c>
      <c r="S89" s="46" t="str">
        <f t="array" ref="S89">IF('.'!S89="","",'.'!S89&amp;IF(VLOOKUP('.'!S89,Recipes!$A:$D,4,FALSE)="",""," ["&amp;VLOOKUP('.'!S89,Recipes!$A:$D,4,FALSE)&amp;"]"))</f>
        <v/>
      </c>
      <c r="T89" s="46" t="str">
        <f t="array" ref="T89">IF('.'!T89="","",'.'!T89&amp;IF(VLOOKUP('.'!T89,Recipes!$A:$D,4,FALSE)="",""," ["&amp;VLOOKUP('.'!T89,Recipes!$A:$D,4,FALSE)&amp;"]"))</f>
        <v/>
      </c>
      <c r="U89" s="46" t="str">
        <f t="array" ref="U89">IF('.'!U89="","",'.'!U89&amp;IF(VLOOKUP('.'!U89,Recipes!$A:$D,4,FALSE)="",""," ["&amp;VLOOKUP('.'!U89,Recipes!$A:$D,4,FALSE)&amp;"]"))</f>
        <v/>
      </c>
      <c r="V89" s="46" t="str">
        <f t="array" ref="V89">IF('.'!V89="","",'.'!V89&amp;IF(VLOOKUP('.'!V89,Recipes!$A:$D,4,FALSE)="",""," ["&amp;VLOOKUP('.'!V89,Recipes!$A:$D,4,FALSE)&amp;"]"))</f>
        <v/>
      </c>
      <c r="W89" s="46" t="str">
        <f t="array" ref="W89">IF('.'!W89="","",'.'!W89&amp;IF(VLOOKUP('.'!W89,Recipes!$A:$D,4,FALSE)="",""," ["&amp;VLOOKUP('.'!W89,Recipes!$A:$D,4,FALSE)&amp;"]"))</f>
        <v/>
      </c>
      <c r="X89" s="46" t="str">
        <f t="array" ref="X89">IF('.'!X89="","",'.'!X89&amp;IF(VLOOKUP('.'!X89,Recipes!$A:$D,4,FALSE)="",""," ["&amp;VLOOKUP('.'!X89,Recipes!$A:$D,4,FALSE)&amp;"]"))</f>
        <v/>
      </c>
      <c r="Y89" s="46" t="str">
        <f t="array" ref="Y89">IF('.'!Y89="","",'.'!Y89&amp;IF(VLOOKUP('.'!Y89,Recipes!$A:$D,4,FALSE)="",""," ["&amp;VLOOKUP('.'!Y89,Recipes!$A:$D,4,FALSE)&amp;"]"))</f>
        <v/>
      </c>
      <c r="Z89" s="46" t="str">
        <f t="array" ref="Z89">IF('.'!Z89="","",'.'!Z89&amp;IF(VLOOKUP('.'!Z89,Recipes!$A:$D,4,FALSE)="",""," ["&amp;VLOOKUP('.'!Z89,Recipes!$A:$D,4,FALSE)&amp;"]"))</f>
        <v/>
      </c>
      <c r="AA89" s="46" t="str">
        <f t="array" ref="AA89">IF('.'!AA89="","",'.'!AA89&amp;IF(VLOOKUP('.'!AA89,Recipes!$A:$D,4,FALSE)="",""," ["&amp;VLOOKUP('.'!AA89,Recipes!$A:$D,4,FALSE)&amp;"]"))</f>
        <v/>
      </c>
      <c r="AB89" s="46" t="str">
        <f t="array" ref="AB89">IF('.'!AB89="","",'.'!AB89&amp;IF(VLOOKUP('.'!AB89,Recipes!$A:$D,4,FALSE)="",""," ["&amp;VLOOKUP('.'!AB89,Recipes!$A:$D,4,FALSE)&amp;"]"))</f>
        <v/>
      </c>
      <c r="AC89" s="46" t="str">
        <f t="array" ref="AC89">IF('.'!AC89="","",'.'!AC89&amp;IF(VLOOKUP('.'!AC89,Recipes!$A:$D,4,FALSE)="",""," ["&amp;VLOOKUP('.'!AC89,Recipes!$A:$D,4,FALSE)&amp;"]"))</f>
        <v/>
      </c>
      <c r="AD89" s="46" t="str">
        <f t="array" ref="AD89">IF('.'!AD89="","",'.'!AD89&amp;IF(VLOOKUP('.'!AD89,Recipes!$A:$D,4,FALSE)="",""," ["&amp;VLOOKUP('.'!AD89,Recipes!$A:$D,4,FALSE)&amp;"]"))</f>
        <v/>
      </c>
      <c r="AE89" s="47"/>
      <c r="AF89" s="47"/>
      <c r="AG89" s="47"/>
      <c r="AH89" s="47"/>
      <c r="AI89" s="47"/>
      <c r="AJ89" s="47"/>
      <c r="AK89" s="47"/>
      <c r="AL89" s="47"/>
      <c r="AM89" s="47"/>
      <c r="AN89" s="47"/>
      <c r="AO89" s="47"/>
      <c r="AP89" s="47"/>
      <c r="AQ89" s="47"/>
      <c r="AR89" s="47"/>
      <c r="AS89" s="47"/>
      <c r="AT89" s="47"/>
      <c r="AU89" s="47"/>
      <c r="AV89" s="47"/>
      <c r="AW89" s="47"/>
      <c r="AX89" s="47"/>
      <c r="AY89" s="47"/>
      <c r="AZ89" s="47"/>
      <c r="BA89" s="47"/>
      <c r="BB89" s="47"/>
      <c r="BC89" s="47"/>
      <c r="BD89" s="47"/>
      <c r="BE89" s="47"/>
      <c r="BF89" s="47"/>
      <c r="BG89" s="47"/>
      <c r="BH89" s="47"/>
      <c r="BI89" s="47"/>
      <c r="BJ89" s="47"/>
      <c r="BK89" s="47"/>
      <c r="BL89" s="47"/>
      <c r="BM89" s="47"/>
      <c r="BN89" s="47"/>
      <c r="BO89" s="47"/>
      <c r="BP89" s="47"/>
      <c r="BQ89" s="47"/>
      <c r="BR89" s="47"/>
      <c r="BS89" s="47"/>
      <c r="BT89" s="47"/>
      <c r="BU89" s="47"/>
      <c r="BV89" s="47"/>
      <c r="BW89" s="47"/>
      <c r="BX89" s="47"/>
      <c r="BY89" s="47"/>
      <c r="BZ89" s="47"/>
    </row>
    <row r="90" spans="1:78" ht="13">
      <c r="A90" s="48" t="str">
        <f ca="1">'.'!A90</f>
        <v>Broken Lever [C]</v>
      </c>
      <c r="B90" s="46" t="e">
        <f t="array" aca="1" ref="B90" ca="1">IF('.'!B90="","",'.'!B90&amp;IF(VLOOKUP('.'!B90,Recipes!$A:$D,4,FALSE)="",""," ["&amp;VLOOKUP('.'!B90,Recipes!$A:$D,4,FALSE)&amp;"]"))</f>
        <v>#VALUE!</v>
      </c>
      <c r="C90" s="46" t="str">
        <f t="array" ref="C90">IF('.'!C90="","",'.'!C90&amp;IF(VLOOKUP('.'!C90,Recipes!$A:$D,4,FALSE)="",""," ["&amp;VLOOKUP('.'!C90,Recipes!$A:$D,4,FALSE)&amp;"]"))</f>
        <v/>
      </c>
      <c r="D90" s="46" t="str">
        <f t="array" ref="D90">IF('.'!D90="","",'.'!D90&amp;IF(VLOOKUP('.'!D90,Recipes!$A:$D,4,FALSE)="",""," ["&amp;VLOOKUP('.'!D90,Recipes!$A:$D,4,FALSE)&amp;"]"))</f>
        <v/>
      </c>
      <c r="E90" s="46" t="str">
        <f t="array" ref="E90">IF('.'!E90="","",'.'!E90&amp;IF(VLOOKUP('.'!E90,Recipes!$A:$D,4,FALSE)="",""," ["&amp;VLOOKUP('.'!E90,Recipes!$A:$D,4,FALSE)&amp;"]"))</f>
        <v/>
      </c>
      <c r="F90" s="46" t="str">
        <f t="array" ref="F90">IF('.'!F90="","",'.'!F90&amp;IF(VLOOKUP('.'!F90,Recipes!$A:$D,4,FALSE)="",""," ["&amp;VLOOKUP('.'!F90,Recipes!$A:$D,4,FALSE)&amp;"]"))</f>
        <v/>
      </c>
      <c r="G90" s="46" t="str">
        <f t="array" ref="G90">IF('.'!G90="","",'.'!G90&amp;IF(VLOOKUP('.'!G90,Recipes!$A:$D,4,FALSE)="",""," ["&amp;VLOOKUP('.'!G90,Recipes!$A:$D,4,FALSE)&amp;"]"))</f>
        <v/>
      </c>
      <c r="H90" s="46" t="str">
        <f t="array" ref="H90">IF('.'!H90="","",'.'!H90&amp;IF(VLOOKUP('.'!H90,Recipes!$A:$D,4,FALSE)="",""," ["&amp;VLOOKUP('.'!H90,Recipes!$A:$D,4,FALSE)&amp;"]"))</f>
        <v/>
      </c>
      <c r="I90" s="46" t="str">
        <f t="array" ref="I90">IF('.'!I90="","",'.'!I90&amp;IF(VLOOKUP('.'!I90,Recipes!$A:$D,4,FALSE)="",""," ["&amp;VLOOKUP('.'!I90,Recipes!$A:$D,4,FALSE)&amp;"]"))</f>
        <v/>
      </c>
      <c r="J90" s="46" t="str">
        <f t="array" ref="J90">IF('.'!J90="","",'.'!J90&amp;IF(VLOOKUP('.'!J90,Recipes!$A:$D,4,FALSE)="",""," ["&amp;VLOOKUP('.'!J90,Recipes!$A:$D,4,FALSE)&amp;"]"))</f>
        <v/>
      </c>
      <c r="K90" s="46" t="str">
        <f t="array" ref="K90">IF('.'!K90="","",'.'!K90&amp;IF(VLOOKUP('.'!K90,Recipes!$A:$D,4,FALSE)="",""," ["&amp;VLOOKUP('.'!K90,Recipes!$A:$D,4,FALSE)&amp;"]"))</f>
        <v/>
      </c>
      <c r="L90" s="46" t="str">
        <f t="array" ref="L90">IF('.'!L90="","",'.'!L90&amp;IF(VLOOKUP('.'!L90,Recipes!$A:$D,4,FALSE)="",""," ["&amp;VLOOKUP('.'!L90,Recipes!$A:$D,4,FALSE)&amp;"]"))</f>
        <v/>
      </c>
      <c r="M90" s="46" t="str">
        <f t="array" ref="M90">IF('.'!M90="","",'.'!M90&amp;IF(VLOOKUP('.'!M90,Recipes!$A:$D,4,FALSE)="",""," ["&amp;VLOOKUP('.'!M90,Recipes!$A:$D,4,FALSE)&amp;"]"))</f>
        <v/>
      </c>
      <c r="N90" s="46" t="str">
        <f t="array" ref="N90">IF('.'!N90="","",'.'!N90&amp;IF(VLOOKUP('.'!N90,Recipes!$A:$D,4,FALSE)="",""," ["&amp;VLOOKUP('.'!N90,Recipes!$A:$D,4,FALSE)&amp;"]"))</f>
        <v/>
      </c>
      <c r="O90" s="46" t="str">
        <f t="array" ref="O90">IF('.'!O90="","",'.'!O90&amp;IF(VLOOKUP('.'!O90,Recipes!$A:$D,4,FALSE)="",""," ["&amp;VLOOKUP('.'!O90,Recipes!$A:$D,4,FALSE)&amp;"]"))</f>
        <v/>
      </c>
      <c r="P90" s="46" t="str">
        <f t="array" ref="P90">IF('.'!P90="","",'.'!P90&amp;IF(VLOOKUP('.'!P90,Recipes!$A:$D,4,FALSE)="",""," ["&amp;VLOOKUP('.'!P90,Recipes!$A:$D,4,FALSE)&amp;"]"))</f>
        <v/>
      </c>
      <c r="Q90" s="46" t="str">
        <f t="array" ref="Q90">IF('.'!Q90="","",'.'!Q90&amp;IF(VLOOKUP('.'!Q90,Recipes!$A:$D,4,FALSE)="",""," ["&amp;VLOOKUP('.'!Q90,Recipes!$A:$D,4,FALSE)&amp;"]"))</f>
        <v/>
      </c>
      <c r="R90" s="46" t="str">
        <f t="array" ref="R90">IF('.'!R90="","",'.'!R90&amp;IF(VLOOKUP('.'!R90,Recipes!$A:$D,4,FALSE)="",""," ["&amp;VLOOKUP('.'!R90,Recipes!$A:$D,4,FALSE)&amp;"]"))</f>
        <v/>
      </c>
      <c r="S90" s="46" t="str">
        <f t="array" ref="S90">IF('.'!S90="","",'.'!S90&amp;IF(VLOOKUP('.'!S90,Recipes!$A:$D,4,FALSE)="",""," ["&amp;VLOOKUP('.'!S90,Recipes!$A:$D,4,FALSE)&amp;"]"))</f>
        <v/>
      </c>
      <c r="T90" s="46" t="str">
        <f t="array" ref="T90">IF('.'!T90="","",'.'!T90&amp;IF(VLOOKUP('.'!T90,Recipes!$A:$D,4,FALSE)="",""," ["&amp;VLOOKUP('.'!T90,Recipes!$A:$D,4,FALSE)&amp;"]"))</f>
        <v/>
      </c>
      <c r="U90" s="46" t="str">
        <f t="array" ref="U90">IF('.'!U90="","",'.'!U90&amp;IF(VLOOKUP('.'!U90,Recipes!$A:$D,4,FALSE)="",""," ["&amp;VLOOKUP('.'!U90,Recipes!$A:$D,4,FALSE)&amp;"]"))</f>
        <v/>
      </c>
      <c r="V90" s="46" t="str">
        <f t="array" ref="V90">IF('.'!V90="","",'.'!V90&amp;IF(VLOOKUP('.'!V90,Recipes!$A:$D,4,FALSE)="",""," ["&amp;VLOOKUP('.'!V90,Recipes!$A:$D,4,FALSE)&amp;"]"))</f>
        <v/>
      </c>
      <c r="W90" s="46" t="str">
        <f t="array" ref="W90">IF('.'!W90="","",'.'!W90&amp;IF(VLOOKUP('.'!W90,Recipes!$A:$D,4,FALSE)="",""," ["&amp;VLOOKUP('.'!W90,Recipes!$A:$D,4,FALSE)&amp;"]"))</f>
        <v/>
      </c>
      <c r="X90" s="46" t="str">
        <f t="array" ref="X90">IF('.'!X90="","",'.'!X90&amp;IF(VLOOKUP('.'!X90,Recipes!$A:$D,4,FALSE)="",""," ["&amp;VLOOKUP('.'!X90,Recipes!$A:$D,4,FALSE)&amp;"]"))</f>
        <v/>
      </c>
      <c r="Y90" s="46" t="str">
        <f t="array" ref="Y90">IF('.'!Y90="","",'.'!Y90&amp;IF(VLOOKUP('.'!Y90,Recipes!$A:$D,4,FALSE)="",""," ["&amp;VLOOKUP('.'!Y90,Recipes!$A:$D,4,FALSE)&amp;"]"))</f>
        <v/>
      </c>
      <c r="Z90" s="46" t="str">
        <f t="array" ref="Z90">IF('.'!Z90="","",'.'!Z90&amp;IF(VLOOKUP('.'!Z90,Recipes!$A:$D,4,FALSE)="",""," ["&amp;VLOOKUP('.'!Z90,Recipes!$A:$D,4,FALSE)&amp;"]"))</f>
        <v/>
      </c>
      <c r="AA90" s="46" t="str">
        <f t="array" ref="AA90">IF('.'!AA90="","",'.'!AA90&amp;IF(VLOOKUP('.'!AA90,Recipes!$A:$D,4,FALSE)="",""," ["&amp;VLOOKUP('.'!AA90,Recipes!$A:$D,4,FALSE)&amp;"]"))</f>
        <v/>
      </c>
      <c r="AB90" s="46" t="str">
        <f t="array" ref="AB90">IF('.'!AB90="","",'.'!AB90&amp;IF(VLOOKUP('.'!AB90,Recipes!$A:$D,4,FALSE)="",""," ["&amp;VLOOKUP('.'!AB90,Recipes!$A:$D,4,FALSE)&amp;"]"))</f>
        <v/>
      </c>
      <c r="AC90" s="46" t="str">
        <f t="array" ref="AC90">IF('.'!AC90="","",'.'!AC90&amp;IF(VLOOKUP('.'!AC90,Recipes!$A:$D,4,FALSE)="",""," ["&amp;VLOOKUP('.'!AC90,Recipes!$A:$D,4,FALSE)&amp;"]"))</f>
        <v/>
      </c>
      <c r="AD90" s="46" t="str">
        <f t="array" ref="AD90">IF('.'!AD90="","",'.'!AD90&amp;IF(VLOOKUP('.'!AD90,Recipes!$A:$D,4,FALSE)="",""," ["&amp;VLOOKUP('.'!AD90,Recipes!$A:$D,4,FALSE)&amp;"]"))</f>
        <v/>
      </c>
      <c r="AE90" s="47"/>
      <c r="AF90" s="47"/>
      <c r="AG90" s="47"/>
      <c r="AH90" s="47"/>
      <c r="AI90" s="47"/>
      <c r="AJ90" s="47"/>
      <c r="AK90" s="47"/>
      <c r="AL90" s="47"/>
      <c r="AM90" s="47"/>
      <c r="AN90" s="47"/>
      <c r="AO90" s="47"/>
      <c r="AP90" s="47"/>
      <c r="AQ90" s="47"/>
      <c r="AR90" s="47"/>
      <c r="AS90" s="47"/>
      <c r="AT90" s="47"/>
      <c r="AU90" s="47"/>
      <c r="AV90" s="47"/>
      <c r="AW90" s="47"/>
      <c r="AX90" s="47"/>
      <c r="AY90" s="47"/>
      <c r="AZ90" s="47"/>
      <c r="BA90" s="47"/>
      <c r="BB90" s="47"/>
      <c r="BC90" s="47"/>
      <c r="BD90" s="47"/>
      <c r="BE90" s="47"/>
      <c r="BF90" s="47"/>
      <c r="BG90" s="47"/>
      <c r="BH90" s="47"/>
      <c r="BI90" s="47"/>
      <c r="BJ90" s="47"/>
      <c r="BK90" s="47"/>
      <c r="BL90" s="47"/>
      <c r="BM90" s="47"/>
      <c r="BN90" s="47"/>
      <c r="BO90" s="47"/>
      <c r="BP90" s="47"/>
      <c r="BQ90" s="47"/>
      <c r="BR90" s="47"/>
      <c r="BS90" s="47"/>
      <c r="BT90" s="47"/>
      <c r="BU90" s="47"/>
      <c r="BV90" s="47"/>
      <c r="BW90" s="47"/>
      <c r="BX90" s="47"/>
      <c r="BY90" s="47"/>
      <c r="BZ90" s="47"/>
    </row>
    <row r="91" spans="1:78" ht="13">
      <c r="A91" s="48" t="str">
        <f ca="1">'.'!A91</f>
        <v>Bucket</v>
      </c>
      <c r="B91" s="46" t="str">
        <f t="array" aca="1" ref="B91" ca="1">IF('.'!B91="","",'.'!B91&amp;IF(VLOOKUP('.'!B91,Recipes!$A:$D,4,FALSE)="",""," ["&amp;VLOOKUP('.'!B91,Recipes!$A:$D,4,FALSE)&amp;"]"))</f>
        <v>Bucket of Water [-1]</v>
      </c>
      <c r="C91" s="46" t="str">
        <f t="array" ref="C91">IF('.'!C91="","",'.'!C91&amp;IF(VLOOKUP('.'!C91,Recipes!$A:$D,4,FALSE)="",""," ["&amp;VLOOKUP('.'!C91,Recipes!$A:$D,4,FALSE)&amp;"]"))</f>
        <v/>
      </c>
      <c r="D91" s="46" t="str">
        <f t="array" ref="D91">IF('.'!D91="","",'.'!D91&amp;IF(VLOOKUP('.'!D91,Recipes!$A:$D,4,FALSE)="",""," ["&amp;VLOOKUP('.'!D91,Recipes!$A:$D,4,FALSE)&amp;"]"))</f>
        <v/>
      </c>
      <c r="E91" s="46" t="str">
        <f t="array" ref="E91">IF('.'!E91="","",'.'!E91&amp;IF(VLOOKUP('.'!E91,Recipes!$A:$D,4,FALSE)="",""," ["&amp;VLOOKUP('.'!E91,Recipes!$A:$D,4,FALSE)&amp;"]"))</f>
        <v/>
      </c>
      <c r="F91" s="46" t="str">
        <f t="array" ref="F91">IF('.'!F91="","",'.'!F91&amp;IF(VLOOKUP('.'!F91,Recipes!$A:$D,4,FALSE)="",""," ["&amp;VLOOKUP('.'!F91,Recipes!$A:$D,4,FALSE)&amp;"]"))</f>
        <v/>
      </c>
      <c r="G91" s="46" t="str">
        <f t="array" ref="G91">IF('.'!G91="","",'.'!G91&amp;IF(VLOOKUP('.'!G91,Recipes!$A:$D,4,FALSE)="",""," ["&amp;VLOOKUP('.'!G91,Recipes!$A:$D,4,FALSE)&amp;"]"))</f>
        <v/>
      </c>
      <c r="H91" s="46" t="str">
        <f t="array" ref="H91">IF('.'!H91="","",'.'!H91&amp;IF(VLOOKUP('.'!H91,Recipes!$A:$D,4,FALSE)="",""," ["&amp;VLOOKUP('.'!H91,Recipes!$A:$D,4,FALSE)&amp;"]"))</f>
        <v/>
      </c>
      <c r="I91" s="46" t="str">
        <f t="array" ref="I91">IF('.'!I91="","",'.'!I91&amp;IF(VLOOKUP('.'!I91,Recipes!$A:$D,4,FALSE)="",""," ["&amp;VLOOKUP('.'!I91,Recipes!$A:$D,4,FALSE)&amp;"]"))</f>
        <v/>
      </c>
      <c r="J91" s="46" t="str">
        <f t="array" ref="J91">IF('.'!J91="","",'.'!J91&amp;IF(VLOOKUP('.'!J91,Recipes!$A:$D,4,FALSE)="",""," ["&amp;VLOOKUP('.'!J91,Recipes!$A:$D,4,FALSE)&amp;"]"))</f>
        <v/>
      </c>
      <c r="K91" s="46" t="str">
        <f t="array" ref="K91">IF('.'!K91="","",'.'!K91&amp;IF(VLOOKUP('.'!K91,Recipes!$A:$D,4,FALSE)="",""," ["&amp;VLOOKUP('.'!K91,Recipes!$A:$D,4,FALSE)&amp;"]"))</f>
        <v/>
      </c>
      <c r="L91" s="46" t="str">
        <f t="array" ref="L91">IF('.'!L91="","",'.'!L91&amp;IF(VLOOKUP('.'!L91,Recipes!$A:$D,4,FALSE)="",""," ["&amp;VLOOKUP('.'!L91,Recipes!$A:$D,4,FALSE)&amp;"]"))</f>
        <v/>
      </c>
      <c r="M91" s="46" t="str">
        <f t="array" ref="M91">IF('.'!M91="","",'.'!M91&amp;IF(VLOOKUP('.'!M91,Recipes!$A:$D,4,FALSE)="",""," ["&amp;VLOOKUP('.'!M91,Recipes!$A:$D,4,FALSE)&amp;"]"))</f>
        <v/>
      </c>
      <c r="N91" s="46" t="str">
        <f t="array" ref="N91">IF('.'!N91="","",'.'!N91&amp;IF(VLOOKUP('.'!N91,Recipes!$A:$D,4,FALSE)="",""," ["&amp;VLOOKUP('.'!N91,Recipes!$A:$D,4,FALSE)&amp;"]"))</f>
        <v/>
      </c>
      <c r="O91" s="46" t="str">
        <f t="array" ref="O91">IF('.'!O91="","",'.'!O91&amp;IF(VLOOKUP('.'!O91,Recipes!$A:$D,4,FALSE)="",""," ["&amp;VLOOKUP('.'!O91,Recipes!$A:$D,4,FALSE)&amp;"]"))</f>
        <v/>
      </c>
      <c r="P91" s="46" t="str">
        <f t="array" ref="P91">IF('.'!P91="","",'.'!P91&amp;IF(VLOOKUP('.'!P91,Recipes!$A:$D,4,FALSE)="",""," ["&amp;VLOOKUP('.'!P91,Recipes!$A:$D,4,FALSE)&amp;"]"))</f>
        <v/>
      </c>
      <c r="Q91" s="46" t="str">
        <f t="array" ref="Q91">IF('.'!Q91="","",'.'!Q91&amp;IF(VLOOKUP('.'!Q91,Recipes!$A:$D,4,FALSE)="",""," ["&amp;VLOOKUP('.'!Q91,Recipes!$A:$D,4,FALSE)&amp;"]"))</f>
        <v/>
      </c>
      <c r="R91" s="46" t="str">
        <f t="array" ref="R91">IF('.'!R91="","",'.'!R91&amp;IF(VLOOKUP('.'!R91,Recipes!$A:$D,4,FALSE)="",""," ["&amp;VLOOKUP('.'!R91,Recipes!$A:$D,4,FALSE)&amp;"]"))</f>
        <v/>
      </c>
      <c r="S91" s="46" t="str">
        <f t="array" ref="S91">IF('.'!S91="","",'.'!S91&amp;IF(VLOOKUP('.'!S91,Recipes!$A:$D,4,FALSE)="",""," ["&amp;VLOOKUP('.'!S91,Recipes!$A:$D,4,FALSE)&amp;"]"))</f>
        <v/>
      </c>
      <c r="T91" s="46" t="str">
        <f t="array" ref="T91">IF('.'!T91="","",'.'!T91&amp;IF(VLOOKUP('.'!T91,Recipes!$A:$D,4,FALSE)="",""," ["&amp;VLOOKUP('.'!T91,Recipes!$A:$D,4,FALSE)&amp;"]"))</f>
        <v/>
      </c>
      <c r="U91" s="46" t="str">
        <f t="array" ref="U91">IF('.'!U91="","",'.'!U91&amp;IF(VLOOKUP('.'!U91,Recipes!$A:$D,4,FALSE)="",""," ["&amp;VLOOKUP('.'!U91,Recipes!$A:$D,4,FALSE)&amp;"]"))</f>
        <v/>
      </c>
      <c r="V91" s="46" t="str">
        <f t="array" ref="V91">IF('.'!V91="","",'.'!V91&amp;IF(VLOOKUP('.'!V91,Recipes!$A:$D,4,FALSE)="",""," ["&amp;VLOOKUP('.'!V91,Recipes!$A:$D,4,FALSE)&amp;"]"))</f>
        <v/>
      </c>
      <c r="W91" s="46" t="str">
        <f t="array" ref="W91">IF('.'!W91="","",'.'!W91&amp;IF(VLOOKUP('.'!W91,Recipes!$A:$D,4,FALSE)="",""," ["&amp;VLOOKUP('.'!W91,Recipes!$A:$D,4,FALSE)&amp;"]"))</f>
        <v/>
      </c>
      <c r="X91" s="46" t="str">
        <f t="array" ref="X91">IF('.'!X91="","",'.'!X91&amp;IF(VLOOKUP('.'!X91,Recipes!$A:$D,4,FALSE)="",""," ["&amp;VLOOKUP('.'!X91,Recipes!$A:$D,4,FALSE)&amp;"]"))</f>
        <v/>
      </c>
      <c r="Y91" s="46" t="str">
        <f t="array" ref="Y91">IF('.'!Y91="","",'.'!Y91&amp;IF(VLOOKUP('.'!Y91,Recipes!$A:$D,4,FALSE)="",""," ["&amp;VLOOKUP('.'!Y91,Recipes!$A:$D,4,FALSE)&amp;"]"))</f>
        <v/>
      </c>
      <c r="Z91" s="46" t="str">
        <f t="array" ref="Z91">IF('.'!Z91="","",'.'!Z91&amp;IF(VLOOKUP('.'!Z91,Recipes!$A:$D,4,FALSE)="",""," ["&amp;VLOOKUP('.'!Z91,Recipes!$A:$D,4,FALSE)&amp;"]"))</f>
        <v/>
      </c>
      <c r="AA91" s="46" t="str">
        <f t="array" ref="AA91">IF('.'!AA91="","",'.'!AA91&amp;IF(VLOOKUP('.'!AA91,Recipes!$A:$D,4,FALSE)="",""," ["&amp;VLOOKUP('.'!AA91,Recipes!$A:$D,4,FALSE)&amp;"]"))</f>
        <v/>
      </c>
      <c r="AB91" s="46" t="str">
        <f t="array" ref="AB91">IF('.'!AB91="","",'.'!AB91&amp;IF(VLOOKUP('.'!AB91,Recipes!$A:$D,4,FALSE)="",""," ["&amp;VLOOKUP('.'!AB91,Recipes!$A:$D,4,FALSE)&amp;"]"))</f>
        <v/>
      </c>
      <c r="AC91" s="46" t="str">
        <f t="array" ref="AC91">IF('.'!AC91="","",'.'!AC91&amp;IF(VLOOKUP('.'!AC91,Recipes!$A:$D,4,FALSE)="",""," ["&amp;VLOOKUP('.'!AC91,Recipes!$A:$D,4,FALSE)&amp;"]"))</f>
        <v/>
      </c>
      <c r="AD91" s="46" t="str">
        <f t="array" ref="AD91">IF('.'!AD91="","",'.'!AD91&amp;IF(VLOOKUP('.'!AD91,Recipes!$A:$D,4,FALSE)="",""," ["&amp;VLOOKUP('.'!AD91,Recipes!$A:$D,4,FALSE)&amp;"]"))</f>
        <v/>
      </c>
      <c r="AE91" s="47"/>
      <c r="AF91" s="47"/>
      <c r="AG91" s="47"/>
      <c r="AH91" s="47"/>
      <c r="AI91" s="47"/>
      <c r="AJ91" s="47"/>
      <c r="AK91" s="47"/>
      <c r="AL91" s="47"/>
      <c r="AM91" s="47"/>
      <c r="AN91" s="47"/>
      <c r="AO91" s="47"/>
      <c r="AP91" s="47"/>
      <c r="AQ91" s="47"/>
      <c r="AR91" s="47"/>
      <c r="AS91" s="47"/>
      <c r="AT91" s="47"/>
      <c r="AU91" s="47"/>
      <c r="AV91" s="47"/>
      <c r="AW91" s="47"/>
      <c r="AX91" s="47"/>
      <c r="AY91" s="47"/>
      <c r="AZ91" s="47"/>
      <c r="BA91" s="47"/>
      <c r="BB91" s="47"/>
      <c r="BC91" s="47"/>
      <c r="BD91" s="47"/>
      <c r="BE91" s="47"/>
      <c r="BF91" s="47"/>
      <c r="BG91" s="47"/>
      <c r="BH91" s="47"/>
      <c r="BI91" s="47"/>
      <c r="BJ91" s="47"/>
      <c r="BK91" s="47"/>
      <c r="BL91" s="47"/>
      <c r="BM91" s="47"/>
      <c r="BN91" s="47"/>
      <c r="BO91" s="47"/>
      <c r="BP91" s="47"/>
      <c r="BQ91" s="47"/>
      <c r="BR91" s="47"/>
      <c r="BS91" s="47"/>
      <c r="BT91" s="47"/>
      <c r="BU91" s="47"/>
      <c r="BV91" s="47"/>
      <c r="BW91" s="47"/>
      <c r="BX91" s="47"/>
      <c r="BY91" s="47"/>
      <c r="BZ91" s="47"/>
    </row>
    <row r="92" spans="1:78" ht="13">
      <c r="A92" s="48" t="str">
        <f ca="1">'.'!A92</f>
        <v>Bucket with Milk</v>
      </c>
      <c r="B92" s="46" t="str">
        <f t="array" aca="1" ref="B92" ca="1">IF('.'!B92="","",'.'!B92&amp;IF(VLOOKUP('.'!B92,Recipes!$A:$D,4,FALSE)="",""," ["&amp;VLOOKUP('.'!B92,Recipes!$A:$D,4,FALSE)&amp;"]"))</f>
        <v>Milk [-1]</v>
      </c>
      <c r="C92" s="46" t="str">
        <f t="array" ref="C92">IF('.'!C92="","",'.'!C92&amp;IF(VLOOKUP('.'!C92,Recipes!$A:$D,4,FALSE)="",""," ["&amp;VLOOKUP('.'!C92,Recipes!$A:$D,4,FALSE)&amp;"]"))</f>
        <v/>
      </c>
      <c r="D92" s="46" t="str">
        <f t="array" ref="D92">IF('.'!D92="","",'.'!D92&amp;IF(VLOOKUP('.'!D92,Recipes!$A:$D,4,FALSE)="",""," ["&amp;VLOOKUP('.'!D92,Recipes!$A:$D,4,FALSE)&amp;"]"))</f>
        <v/>
      </c>
      <c r="E92" s="46" t="str">
        <f t="array" ref="E92">IF('.'!E92="","",'.'!E92&amp;IF(VLOOKUP('.'!E92,Recipes!$A:$D,4,FALSE)="",""," ["&amp;VLOOKUP('.'!E92,Recipes!$A:$D,4,FALSE)&amp;"]"))</f>
        <v/>
      </c>
      <c r="F92" s="46" t="str">
        <f t="array" ref="F92">IF('.'!F92="","",'.'!F92&amp;IF(VLOOKUP('.'!F92,Recipes!$A:$D,4,FALSE)="",""," ["&amp;VLOOKUP('.'!F92,Recipes!$A:$D,4,FALSE)&amp;"]"))</f>
        <v/>
      </c>
      <c r="G92" s="46" t="str">
        <f t="array" ref="G92">IF('.'!G92="","",'.'!G92&amp;IF(VLOOKUP('.'!G92,Recipes!$A:$D,4,FALSE)="",""," ["&amp;VLOOKUP('.'!G92,Recipes!$A:$D,4,FALSE)&amp;"]"))</f>
        <v/>
      </c>
      <c r="H92" s="46" t="str">
        <f t="array" ref="H92">IF('.'!H92="","",'.'!H92&amp;IF(VLOOKUP('.'!H92,Recipes!$A:$D,4,FALSE)="",""," ["&amp;VLOOKUP('.'!H92,Recipes!$A:$D,4,FALSE)&amp;"]"))</f>
        <v/>
      </c>
      <c r="I92" s="46" t="str">
        <f t="array" ref="I92">IF('.'!I92="","",'.'!I92&amp;IF(VLOOKUP('.'!I92,Recipes!$A:$D,4,FALSE)="",""," ["&amp;VLOOKUP('.'!I92,Recipes!$A:$D,4,FALSE)&amp;"]"))</f>
        <v/>
      </c>
      <c r="J92" s="46" t="str">
        <f t="array" ref="J92">IF('.'!J92="","",'.'!J92&amp;IF(VLOOKUP('.'!J92,Recipes!$A:$D,4,FALSE)="",""," ["&amp;VLOOKUP('.'!J92,Recipes!$A:$D,4,FALSE)&amp;"]"))</f>
        <v/>
      </c>
      <c r="K92" s="46" t="str">
        <f t="array" ref="K92">IF('.'!K92="","",'.'!K92&amp;IF(VLOOKUP('.'!K92,Recipes!$A:$D,4,FALSE)="",""," ["&amp;VLOOKUP('.'!K92,Recipes!$A:$D,4,FALSE)&amp;"]"))</f>
        <v/>
      </c>
      <c r="L92" s="46" t="str">
        <f t="array" ref="L92">IF('.'!L92="","",'.'!L92&amp;IF(VLOOKUP('.'!L92,Recipes!$A:$D,4,FALSE)="",""," ["&amp;VLOOKUP('.'!L92,Recipes!$A:$D,4,FALSE)&amp;"]"))</f>
        <v/>
      </c>
      <c r="M92" s="46" t="str">
        <f t="array" ref="M92">IF('.'!M92="","",'.'!M92&amp;IF(VLOOKUP('.'!M92,Recipes!$A:$D,4,FALSE)="",""," ["&amp;VLOOKUP('.'!M92,Recipes!$A:$D,4,FALSE)&amp;"]"))</f>
        <v/>
      </c>
      <c r="N92" s="46" t="str">
        <f t="array" ref="N92">IF('.'!N92="","",'.'!N92&amp;IF(VLOOKUP('.'!N92,Recipes!$A:$D,4,FALSE)="",""," ["&amp;VLOOKUP('.'!N92,Recipes!$A:$D,4,FALSE)&amp;"]"))</f>
        <v/>
      </c>
      <c r="O92" s="46" t="str">
        <f t="array" ref="O92">IF('.'!O92="","",'.'!O92&amp;IF(VLOOKUP('.'!O92,Recipes!$A:$D,4,FALSE)="",""," ["&amp;VLOOKUP('.'!O92,Recipes!$A:$D,4,FALSE)&amp;"]"))</f>
        <v/>
      </c>
      <c r="P92" s="46" t="str">
        <f t="array" ref="P92">IF('.'!P92="","",'.'!P92&amp;IF(VLOOKUP('.'!P92,Recipes!$A:$D,4,FALSE)="",""," ["&amp;VLOOKUP('.'!P92,Recipes!$A:$D,4,FALSE)&amp;"]"))</f>
        <v/>
      </c>
      <c r="Q92" s="46" t="str">
        <f t="array" ref="Q92">IF('.'!Q92="","",'.'!Q92&amp;IF(VLOOKUP('.'!Q92,Recipes!$A:$D,4,FALSE)="",""," ["&amp;VLOOKUP('.'!Q92,Recipes!$A:$D,4,FALSE)&amp;"]"))</f>
        <v/>
      </c>
      <c r="R92" s="46" t="str">
        <f t="array" ref="R92">IF('.'!R92="","",'.'!R92&amp;IF(VLOOKUP('.'!R92,Recipes!$A:$D,4,FALSE)="",""," ["&amp;VLOOKUP('.'!R92,Recipes!$A:$D,4,FALSE)&amp;"]"))</f>
        <v/>
      </c>
      <c r="S92" s="46" t="str">
        <f t="array" ref="S92">IF('.'!S92="","",'.'!S92&amp;IF(VLOOKUP('.'!S92,Recipes!$A:$D,4,FALSE)="",""," ["&amp;VLOOKUP('.'!S92,Recipes!$A:$D,4,FALSE)&amp;"]"))</f>
        <v/>
      </c>
      <c r="T92" s="46" t="str">
        <f t="array" ref="T92">IF('.'!T92="","",'.'!T92&amp;IF(VLOOKUP('.'!T92,Recipes!$A:$D,4,FALSE)="",""," ["&amp;VLOOKUP('.'!T92,Recipes!$A:$D,4,FALSE)&amp;"]"))</f>
        <v/>
      </c>
      <c r="U92" s="46" t="str">
        <f t="array" ref="U92">IF('.'!U92="","",'.'!U92&amp;IF(VLOOKUP('.'!U92,Recipes!$A:$D,4,FALSE)="",""," ["&amp;VLOOKUP('.'!U92,Recipes!$A:$D,4,FALSE)&amp;"]"))</f>
        <v/>
      </c>
      <c r="V92" s="46" t="str">
        <f t="array" ref="V92">IF('.'!V92="","",'.'!V92&amp;IF(VLOOKUP('.'!V92,Recipes!$A:$D,4,FALSE)="",""," ["&amp;VLOOKUP('.'!V92,Recipes!$A:$D,4,FALSE)&amp;"]"))</f>
        <v/>
      </c>
      <c r="W92" s="46" t="str">
        <f t="array" ref="W92">IF('.'!W92="","",'.'!W92&amp;IF(VLOOKUP('.'!W92,Recipes!$A:$D,4,FALSE)="",""," ["&amp;VLOOKUP('.'!W92,Recipes!$A:$D,4,FALSE)&amp;"]"))</f>
        <v/>
      </c>
      <c r="X92" s="46" t="str">
        <f t="array" ref="X92">IF('.'!X92="","",'.'!X92&amp;IF(VLOOKUP('.'!X92,Recipes!$A:$D,4,FALSE)="",""," ["&amp;VLOOKUP('.'!X92,Recipes!$A:$D,4,FALSE)&amp;"]"))</f>
        <v/>
      </c>
      <c r="Y92" s="46" t="str">
        <f t="array" ref="Y92">IF('.'!Y92="","",'.'!Y92&amp;IF(VLOOKUP('.'!Y92,Recipes!$A:$D,4,FALSE)="",""," ["&amp;VLOOKUP('.'!Y92,Recipes!$A:$D,4,FALSE)&amp;"]"))</f>
        <v/>
      </c>
      <c r="Z92" s="46" t="str">
        <f t="array" ref="Z92">IF('.'!Z92="","",'.'!Z92&amp;IF(VLOOKUP('.'!Z92,Recipes!$A:$D,4,FALSE)="",""," ["&amp;VLOOKUP('.'!Z92,Recipes!$A:$D,4,FALSE)&amp;"]"))</f>
        <v/>
      </c>
      <c r="AA92" s="46" t="str">
        <f t="array" ref="AA92">IF('.'!AA92="","",'.'!AA92&amp;IF(VLOOKUP('.'!AA92,Recipes!$A:$D,4,FALSE)="",""," ["&amp;VLOOKUP('.'!AA92,Recipes!$A:$D,4,FALSE)&amp;"]"))</f>
        <v/>
      </c>
      <c r="AB92" s="46" t="str">
        <f t="array" ref="AB92">IF('.'!AB92="","",'.'!AB92&amp;IF(VLOOKUP('.'!AB92,Recipes!$A:$D,4,FALSE)="",""," ["&amp;VLOOKUP('.'!AB92,Recipes!$A:$D,4,FALSE)&amp;"]"))</f>
        <v/>
      </c>
      <c r="AC92" s="46" t="str">
        <f t="array" ref="AC92">IF('.'!AC92="","",'.'!AC92&amp;IF(VLOOKUP('.'!AC92,Recipes!$A:$D,4,FALSE)="",""," ["&amp;VLOOKUP('.'!AC92,Recipes!$A:$D,4,FALSE)&amp;"]"))</f>
        <v/>
      </c>
      <c r="AD92" s="46" t="str">
        <f t="array" ref="AD92">IF('.'!AD92="","",'.'!AD92&amp;IF(VLOOKUP('.'!AD92,Recipes!$A:$D,4,FALSE)="",""," ["&amp;VLOOKUP('.'!AD92,Recipes!$A:$D,4,FALSE)&amp;"]"))</f>
        <v/>
      </c>
      <c r="AE92" s="47"/>
      <c r="AF92" s="47"/>
      <c r="AG92" s="47"/>
      <c r="AH92" s="47"/>
      <c r="AI92" s="47"/>
      <c r="AJ92" s="47"/>
      <c r="AK92" s="47"/>
      <c r="AL92" s="47"/>
      <c r="AM92" s="47"/>
      <c r="AN92" s="47"/>
      <c r="AO92" s="47"/>
      <c r="AP92" s="47"/>
      <c r="AQ92" s="47"/>
      <c r="AR92" s="47"/>
      <c r="AS92" s="47"/>
      <c r="AT92" s="47"/>
      <c r="AU92" s="47"/>
      <c r="AV92" s="47"/>
      <c r="AW92" s="47"/>
      <c r="AX92" s="47"/>
      <c r="AY92" s="47"/>
      <c r="AZ92" s="47"/>
      <c r="BA92" s="47"/>
      <c r="BB92" s="47"/>
      <c r="BC92" s="47"/>
      <c r="BD92" s="47"/>
      <c r="BE92" s="47"/>
      <c r="BF92" s="47"/>
      <c r="BG92" s="47"/>
      <c r="BH92" s="47"/>
      <c r="BI92" s="47"/>
      <c r="BJ92" s="47"/>
      <c r="BK92" s="47"/>
      <c r="BL92" s="47"/>
      <c r="BM92" s="47"/>
      <c r="BN92" s="47"/>
      <c r="BO92" s="47"/>
      <c r="BP92" s="47"/>
      <c r="BQ92" s="47"/>
      <c r="BR92" s="47"/>
      <c r="BS92" s="47"/>
      <c r="BT92" s="47"/>
      <c r="BU92" s="47"/>
      <c r="BV92" s="47"/>
      <c r="BW92" s="47"/>
      <c r="BX92" s="47"/>
      <c r="BY92" s="47"/>
      <c r="BZ92" s="47"/>
    </row>
    <row r="93" spans="1:78" ht="13">
      <c r="A93" s="48" t="str">
        <f ca="1">'.'!A93</f>
        <v>Bull Horns Scroll</v>
      </c>
      <c r="B93" s="46" t="str">
        <f t="array" aca="1" ref="B93" ca="1">IF('.'!B93="","",'.'!B93&amp;IF(VLOOKUP('.'!B93,Recipes!$A:$D,4,FALSE)="",""," ["&amp;VLOOKUP('.'!B93,Recipes!$A:$D,4,FALSE)&amp;"]"))</f>
        <v>Bull Horns Skillbook [-200]</v>
      </c>
      <c r="C93" s="46" t="str">
        <f t="array" ref="C93">IF('.'!C93="","",'.'!C93&amp;IF(VLOOKUP('.'!C93,Recipes!$A:$D,4,FALSE)="",""," ["&amp;VLOOKUP('.'!C93,Recipes!$A:$D,4,FALSE)&amp;"]"))</f>
        <v/>
      </c>
      <c r="D93" s="46" t="str">
        <f t="array" ref="D93">IF('.'!D93="","",'.'!D93&amp;IF(VLOOKUP('.'!D93,Recipes!$A:$D,4,FALSE)="",""," ["&amp;VLOOKUP('.'!D93,Recipes!$A:$D,4,FALSE)&amp;"]"))</f>
        <v/>
      </c>
      <c r="E93" s="46" t="str">
        <f t="array" ref="E93">IF('.'!E93="","",'.'!E93&amp;IF(VLOOKUP('.'!E93,Recipes!$A:$D,4,FALSE)="",""," ["&amp;VLOOKUP('.'!E93,Recipes!$A:$D,4,FALSE)&amp;"]"))</f>
        <v/>
      </c>
      <c r="F93" s="46" t="str">
        <f t="array" ref="F93">IF('.'!F93="","",'.'!F93&amp;IF(VLOOKUP('.'!F93,Recipes!$A:$D,4,FALSE)="",""," ["&amp;VLOOKUP('.'!F93,Recipes!$A:$D,4,FALSE)&amp;"]"))</f>
        <v/>
      </c>
      <c r="G93" s="46" t="str">
        <f t="array" ref="G93">IF('.'!G93="","",'.'!G93&amp;IF(VLOOKUP('.'!G93,Recipes!$A:$D,4,FALSE)="",""," ["&amp;VLOOKUP('.'!G93,Recipes!$A:$D,4,FALSE)&amp;"]"))</f>
        <v/>
      </c>
      <c r="H93" s="46" t="str">
        <f t="array" ref="H93">IF('.'!H93="","",'.'!H93&amp;IF(VLOOKUP('.'!H93,Recipes!$A:$D,4,FALSE)="",""," ["&amp;VLOOKUP('.'!H93,Recipes!$A:$D,4,FALSE)&amp;"]"))</f>
        <v/>
      </c>
      <c r="I93" s="46" t="str">
        <f t="array" ref="I93">IF('.'!I93="","",'.'!I93&amp;IF(VLOOKUP('.'!I93,Recipes!$A:$D,4,FALSE)="",""," ["&amp;VLOOKUP('.'!I93,Recipes!$A:$D,4,FALSE)&amp;"]"))</f>
        <v/>
      </c>
      <c r="J93" s="46" t="str">
        <f t="array" ref="J93">IF('.'!J93="","",'.'!J93&amp;IF(VLOOKUP('.'!J93,Recipes!$A:$D,4,FALSE)="",""," ["&amp;VLOOKUP('.'!J93,Recipes!$A:$D,4,FALSE)&amp;"]"))</f>
        <v/>
      </c>
      <c r="K93" s="46" t="str">
        <f t="array" ref="K93">IF('.'!K93="","",'.'!K93&amp;IF(VLOOKUP('.'!K93,Recipes!$A:$D,4,FALSE)="",""," ["&amp;VLOOKUP('.'!K93,Recipes!$A:$D,4,FALSE)&amp;"]"))</f>
        <v/>
      </c>
      <c r="L93" s="46" t="str">
        <f t="array" ref="L93">IF('.'!L93="","",'.'!L93&amp;IF(VLOOKUP('.'!L93,Recipes!$A:$D,4,FALSE)="",""," ["&amp;VLOOKUP('.'!L93,Recipes!$A:$D,4,FALSE)&amp;"]"))</f>
        <v/>
      </c>
      <c r="M93" s="46" t="str">
        <f t="array" ref="M93">IF('.'!M93="","",'.'!M93&amp;IF(VLOOKUP('.'!M93,Recipes!$A:$D,4,FALSE)="",""," ["&amp;VLOOKUP('.'!M93,Recipes!$A:$D,4,FALSE)&amp;"]"))</f>
        <v/>
      </c>
      <c r="N93" s="46" t="str">
        <f t="array" ref="N93">IF('.'!N93="","",'.'!N93&amp;IF(VLOOKUP('.'!N93,Recipes!$A:$D,4,FALSE)="",""," ["&amp;VLOOKUP('.'!N93,Recipes!$A:$D,4,FALSE)&amp;"]"))</f>
        <v/>
      </c>
      <c r="O93" s="46" t="str">
        <f t="array" ref="O93">IF('.'!O93="","",'.'!O93&amp;IF(VLOOKUP('.'!O93,Recipes!$A:$D,4,FALSE)="",""," ["&amp;VLOOKUP('.'!O93,Recipes!$A:$D,4,FALSE)&amp;"]"))</f>
        <v/>
      </c>
      <c r="P93" s="46" t="str">
        <f t="array" ref="P93">IF('.'!P93="","",'.'!P93&amp;IF(VLOOKUP('.'!P93,Recipes!$A:$D,4,FALSE)="",""," ["&amp;VLOOKUP('.'!P93,Recipes!$A:$D,4,FALSE)&amp;"]"))</f>
        <v/>
      </c>
      <c r="Q93" s="46" t="str">
        <f t="array" ref="Q93">IF('.'!Q93="","",'.'!Q93&amp;IF(VLOOKUP('.'!Q93,Recipes!$A:$D,4,FALSE)="",""," ["&amp;VLOOKUP('.'!Q93,Recipes!$A:$D,4,FALSE)&amp;"]"))</f>
        <v/>
      </c>
      <c r="R93" s="46" t="str">
        <f t="array" ref="R93">IF('.'!R93="","",'.'!R93&amp;IF(VLOOKUP('.'!R93,Recipes!$A:$D,4,FALSE)="",""," ["&amp;VLOOKUP('.'!R93,Recipes!$A:$D,4,FALSE)&amp;"]"))</f>
        <v/>
      </c>
      <c r="S93" s="46" t="str">
        <f t="array" ref="S93">IF('.'!S93="","",'.'!S93&amp;IF(VLOOKUP('.'!S93,Recipes!$A:$D,4,FALSE)="",""," ["&amp;VLOOKUP('.'!S93,Recipes!$A:$D,4,FALSE)&amp;"]"))</f>
        <v/>
      </c>
      <c r="T93" s="46" t="str">
        <f t="array" ref="T93">IF('.'!T93="","",'.'!T93&amp;IF(VLOOKUP('.'!T93,Recipes!$A:$D,4,FALSE)="",""," ["&amp;VLOOKUP('.'!T93,Recipes!$A:$D,4,FALSE)&amp;"]"))</f>
        <v/>
      </c>
      <c r="U93" s="46" t="str">
        <f t="array" ref="U93">IF('.'!U93="","",'.'!U93&amp;IF(VLOOKUP('.'!U93,Recipes!$A:$D,4,FALSE)="",""," ["&amp;VLOOKUP('.'!U93,Recipes!$A:$D,4,FALSE)&amp;"]"))</f>
        <v/>
      </c>
      <c r="V93" s="46" t="str">
        <f t="array" ref="V93">IF('.'!V93="","",'.'!V93&amp;IF(VLOOKUP('.'!V93,Recipes!$A:$D,4,FALSE)="",""," ["&amp;VLOOKUP('.'!V93,Recipes!$A:$D,4,FALSE)&amp;"]"))</f>
        <v/>
      </c>
      <c r="W93" s="46" t="str">
        <f t="array" ref="W93">IF('.'!W93="","",'.'!W93&amp;IF(VLOOKUP('.'!W93,Recipes!$A:$D,4,FALSE)="",""," ["&amp;VLOOKUP('.'!W93,Recipes!$A:$D,4,FALSE)&amp;"]"))</f>
        <v/>
      </c>
      <c r="X93" s="46" t="str">
        <f t="array" ref="X93">IF('.'!X93="","",'.'!X93&amp;IF(VLOOKUP('.'!X93,Recipes!$A:$D,4,FALSE)="",""," ["&amp;VLOOKUP('.'!X93,Recipes!$A:$D,4,FALSE)&amp;"]"))</f>
        <v/>
      </c>
      <c r="Y93" s="46" t="str">
        <f t="array" ref="Y93">IF('.'!Y93="","",'.'!Y93&amp;IF(VLOOKUP('.'!Y93,Recipes!$A:$D,4,FALSE)="",""," ["&amp;VLOOKUP('.'!Y93,Recipes!$A:$D,4,FALSE)&amp;"]"))</f>
        <v/>
      </c>
      <c r="Z93" s="46" t="str">
        <f t="array" ref="Z93">IF('.'!Z93="","",'.'!Z93&amp;IF(VLOOKUP('.'!Z93,Recipes!$A:$D,4,FALSE)="",""," ["&amp;VLOOKUP('.'!Z93,Recipes!$A:$D,4,FALSE)&amp;"]"))</f>
        <v/>
      </c>
      <c r="AA93" s="46" t="str">
        <f t="array" ref="AA93">IF('.'!AA93="","",'.'!AA93&amp;IF(VLOOKUP('.'!AA93,Recipes!$A:$D,4,FALSE)="",""," ["&amp;VLOOKUP('.'!AA93,Recipes!$A:$D,4,FALSE)&amp;"]"))</f>
        <v/>
      </c>
      <c r="AB93" s="46" t="str">
        <f t="array" ref="AB93">IF('.'!AB93="","",'.'!AB93&amp;IF(VLOOKUP('.'!AB93,Recipes!$A:$D,4,FALSE)="",""," ["&amp;VLOOKUP('.'!AB93,Recipes!$A:$D,4,FALSE)&amp;"]"))</f>
        <v/>
      </c>
      <c r="AC93" s="46" t="str">
        <f t="array" ref="AC93">IF('.'!AC93="","",'.'!AC93&amp;IF(VLOOKUP('.'!AC93,Recipes!$A:$D,4,FALSE)="",""," ["&amp;VLOOKUP('.'!AC93,Recipes!$A:$D,4,FALSE)&amp;"]"))</f>
        <v/>
      </c>
      <c r="AD93" s="46" t="str">
        <f t="array" ref="AD93">IF('.'!AD93="","",'.'!AD93&amp;IF(VLOOKUP('.'!AD93,Recipes!$A:$D,4,FALSE)="",""," ["&amp;VLOOKUP('.'!AD93,Recipes!$A:$D,4,FALSE)&amp;"]"))</f>
        <v/>
      </c>
      <c r="AE93" s="47"/>
      <c r="AF93" s="47"/>
      <c r="AG93" s="47"/>
      <c r="AH93" s="47"/>
      <c r="AI93" s="47"/>
      <c r="AJ93" s="47"/>
      <c r="AK93" s="47"/>
      <c r="AL93" s="47"/>
      <c r="AM93" s="47"/>
      <c r="AN93" s="47"/>
      <c r="AO93" s="47"/>
      <c r="AP93" s="47"/>
      <c r="AQ93" s="47"/>
      <c r="AR93" s="47"/>
      <c r="AS93" s="47"/>
      <c r="AT93" s="47"/>
      <c r="AU93" s="47"/>
      <c r="AV93" s="47"/>
      <c r="AW93" s="47"/>
      <c r="AX93" s="47"/>
      <c r="AY93" s="47"/>
      <c r="AZ93" s="47"/>
      <c r="BA93" s="47"/>
      <c r="BB93" s="47"/>
      <c r="BC93" s="47"/>
      <c r="BD93" s="47"/>
      <c r="BE93" s="47"/>
      <c r="BF93" s="47"/>
      <c r="BG93" s="47"/>
      <c r="BH93" s="47"/>
      <c r="BI93" s="47"/>
      <c r="BJ93" s="47"/>
      <c r="BK93" s="47"/>
      <c r="BL93" s="47"/>
      <c r="BM93" s="47"/>
      <c r="BN93" s="47"/>
      <c r="BO93" s="47"/>
      <c r="BP93" s="47"/>
      <c r="BQ93" s="47"/>
      <c r="BR93" s="47"/>
      <c r="BS93" s="47"/>
      <c r="BT93" s="47"/>
      <c r="BU93" s="47"/>
      <c r="BV93" s="47"/>
      <c r="BW93" s="47"/>
      <c r="BX93" s="47"/>
      <c r="BY93" s="47"/>
      <c r="BZ93" s="47"/>
    </row>
    <row r="94" spans="1:78" ht="13">
      <c r="A94" s="48" t="str">
        <f ca="1">'.'!A94</f>
        <v>Calocera</v>
      </c>
      <c r="B94" s="46" t="str">
        <f t="array" aca="1" ref="B94" ca="1">IF('.'!B94="","",'.'!B94&amp;IF(VLOOKUP('.'!B94,Recipes!$A:$D,4,FALSE)="",""," ["&amp;VLOOKUP('.'!B94,Recipes!$A:$D,4,FALSE)&amp;"]"))</f>
        <v>Minor Intelligence Potion [-40]</v>
      </c>
      <c r="C94" s="46" t="str">
        <f t="array" aca="1" ref="C94" ca="1">IF('.'!C94="","",'.'!C94&amp;IF(VLOOKUP('.'!C94,Recipes!$A:$D,4,FALSE)="",""," ["&amp;VLOOKUP('.'!C94,Recipes!$A:$D,4,FALSE)&amp;"]"))</f>
        <v>Enlightenment Herbmix [-215]</v>
      </c>
      <c r="D94" s="46" t="str">
        <f t="array" ref="D94">IF('.'!D94="","",'.'!D94&amp;IF(VLOOKUP('.'!D94,Recipes!$A:$D,4,FALSE)="",""," ["&amp;VLOOKUP('.'!D94,Recipes!$A:$D,4,FALSE)&amp;"]"))</f>
        <v/>
      </c>
      <c r="E94" s="46" t="str">
        <f t="array" ref="E94">IF('.'!E94="","",'.'!E94&amp;IF(VLOOKUP('.'!E94,Recipes!$A:$D,4,FALSE)="",""," ["&amp;VLOOKUP('.'!E94,Recipes!$A:$D,4,FALSE)&amp;"]"))</f>
        <v/>
      </c>
      <c r="F94" s="46" t="str">
        <f t="array" ref="F94">IF('.'!F94="","",'.'!F94&amp;IF(VLOOKUP('.'!F94,Recipes!$A:$D,4,FALSE)="",""," ["&amp;VLOOKUP('.'!F94,Recipes!$A:$D,4,FALSE)&amp;"]"))</f>
        <v/>
      </c>
      <c r="G94" s="46" t="str">
        <f t="array" ref="G94">IF('.'!G94="","",'.'!G94&amp;IF(VLOOKUP('.'!G94,Recipes!$A:$D,4,FALSE)="",""," ["&amp;VLOOKUP('.'!G94,Recipes!$A:$D,4,FALSE)&amp;"]"))</f>
        <v/>
      </c>
      <c r="H94" s="46" t="str">
        <f t="array" ref="H94">IF('.'!H94="","",'.'!H94&amp;IF(VLOOKUP('.'!H94,Recipes!$A:$D,4,FALSE)="",""," ["&amp;VLOOKUP('.'!H94,Recipes!$A:$D,4,FALSE)&amp;"]"))</f>
        <v/>
      </c>
      <c r="I94" s="46" t="str">
        <f t="array" ref="I94">IF('.'!I94="","",'.'!I94&amp;IF(VLOOKUP('.'!I94,Recipes!$A:$D,4,FALSE)="",""," ["&amp;VLOOKUP('.'!I94,Recipes!$A:$D,4,FALSE)&amp;"]"))</f>
        <v/>
      </c>
      <c r="J94" s="46" t="str">
        <f t="array" ref="J94">IF('.'!J94="","",'.'!J94&amp;IF(VLOOKUP('.'!J94,Recipes!$A:$D,4,FALSE)="",""," ["&amp;VLOOKUP('.'!J94,Recipes!$A:$D,4,FALSE)&amp;"]"))</f>
        <v/>
      </c>
      <c r="K94" s="46" t="str">
        <f t="array" ref="K94">IF('.'!K94="","",'.'!K94&amp;IF(VLOOKUP('.'!K94,Recipes!$A:$D,4,FALSE)="",""," ["&amp;VLOOKUP('.'!K94,Recipes!$A:$D,4,FALSE)&amp;"]"))</f>
        <v/>
      </c>
      <c r="L94" s="46" t="str">
        <f t="array" ref="L94">IF('.'!L94="","",'.'!L94&amp;IF(VLOOKUP('.'!L94,Recipes!$A:$D,4,FALSE)="",""," ["&amp;VLOOKUP('.'!L94,Recipes!$A:$D,4,FALSE)&amp;"]"))</f>
        <v/>
      </c>
      <c r="M94" s="46" t="str">
        <f t="array" ref="M94">IF('.'!M94="","",'.'!M94&amp;IF(VLOOKUP('.'!M94,Recipes!$A:$D,4,FALSE)="",""," ["&amp;VLOOKUP('.'!M94,Recipes!$A:$D,4,FALSE)&amp;"]"))</f>
        <v/>
      </c>
      <c r="N94" s="46" t="str">
        <f t="array" ref="N94">IF('.'!N94="","",'.'!N94&amp;IF(VLOOKUP('.'!N94,Recipes!$A:$D,4,FALSE)="",""," ["&amp;VLOOKUP('.'!N94,Recipes!$A:$D,4,FALSE)&amp;"]"))</f>
        <v/>
      </c>
      <c r="O94" s="46" t="str">
        <f t="array" ref="O94">IF('.'!O94="","",'.'!O94&amp;IF(VLOOKUP('.'!O94,Recipes!$A:$D,4,FALSE)="",""," ["&amp;VLOOKUP('.'!O94,Recipes!$A:$D,4,FALSE)&amp;"]"))</f>
        <v/>
      </c>
      <c r="P94" s="46" t="str">
        <f t="array" ref="P94">IF('.'!P94="","",'.'!P94&amp;IF(VLOOKUP('.'!P94,Recipes!$A:$D,4,FALSE)="",""," ["&amp;VLOOKUP('.'!P94,Recipes!$A:$D,4,FALSE)&amp;"]"))</f>
        <v/>
      </c>
      <c r="Q94" s="46" t="str">
        <f t="array" ref="Q94">IF('.'!Q94="","",'.'!Q94&amp;IF(VLOOKUP('.'!Q94,Recipes!$A:$D,4,FALSE)="",""," ["&amp;VLOOKUP('.'!Q94,Recipes!$A:$D,4,FALSE)&amp;"]"))</f>
        <v/>
      </c>
      <c r="R94" s="46" t="str">
        <f t="array" ref="R94">IF('.'!R94="","",'.'!R94&amp;IF(VLOOKUP('.'!R94,Recipes!$A:$D,4,FALSE)="",""," ["&amp;VLOOKUP('.'!R94,Recipes!$A:$D,4,FALSE)&amp;"]"))</f>
        <v/>
      </c>
      <c r="S94" s="46" t="str">
        <f t="array" ref="S94">IF('.'!S94="","",'.'!S94&amp;IF(VLOOKUP('.'!S94,Recipes!$A:$D,4,FALSE)="",""," ["&amp;VLOOKUP('.'!S94,Recipes!$A:$D,4,FALSE)&amp;"]"))</f>
        <v/>
      </c>
      <c r="T94" s="46" t="str">
        <f t="array" ref="T94">IF('.'!T94="","",'.'!T94&amp;IF(VLOOKUP('.'!T94,Recipes!$A:$D,4,FALSE)="",""," ["&amp;VLOOKUP('.'!T94,Recipes!$A:$D,4,FALSE)&amp;"]"))</f>
        <v/>
      </c>
      <c r="U94" s="46" t="str">
        <f t="array" ref="U94">IF('.'!U94="","",'.'!U94&amp;IF(VLOOKUP('.'!U94,Recipes!$A:$D,4,FALSE)="",""," ["&amp;VLOOKUP('.'!U94,Recipes!$A:$D,4,FALSE)&amp;"]"))</f>
        <v/>
      </c>
      <c r="V94" s="46" t="str">
        <f t="array" ref="V94">IF('.'!V94="","",'.'!V94&amp;IF(VLOOKUP('.'!V94,Recipes!$A:$D,4,FALSE)="",""," ["&amp;VLOOKUP('.'!V94,Recipes!$A:$D,4,FALSE)&amp;"]"))</f>
        <v/>
      </c>
      <c r="W94" s="46" t="str">
        <f t="array" ref="W94">IF('.'!W94="","",'.'!W94&amp;IF(VLOOKUP('.'!W94,Recipes!$A:$D,4,FALSE)="",""," ["&amp;VLOOKUP('.'!W94,Recipes!$A:$D,4,FALSE)&amp;"]"))</f>
        <v/>
      </c>
      <c r="X94" s="46" t="str">
        <f t="array" ref="X94">IF('.'!X94="","",'.'!X94&amp;IF(VLOOKUP('.'!X94,Recipes!$A:$D,4,FALSE)="",""," ["&amp;VLOOKUP('.'!X94,Recipes!$A:$D,4,FALSE)&amp;"]"))</f>
        <v/>
      </c>
      <c r="Y94" s="46" t="str">
        <f t="array" ref="Y94">IF('.'!Y94="","",'.'!Y94&amp;IF(VLOOKUP('.'!Y94,Recipes!$A:$D,4,FALSE)="",""," ["&amp;VLOOKUP('.'!Y94,Recipes!$A:$D,4,FALSE)&amp;"]"))</f>
        <v/>
      </c>
      <c r="Z94" s="46" t="str">
        <f t="array" ref="Z94">IF('.'!Z94="","",'.'!Z94&amp;IF(VLOOKUP('.'!Z94,Recipes!$A:$D,4,FALSE)="",""," ["&amp;VLOOKUP('.'!Z94,Recipes!$A:$D,4,FALSE)&amp;"]"))</f>
        <v/>
      </c>
      <c r="AA94" s="46" t="str">
        <f t="array" ref="AA94">IF('.'!AA94="","",'.'!AA94&amp;IF(VLOOKUP('.'!AA94,Recipes!$A:$D,4,FALSE)="",""," ["&amp;VLOOKUP('.'!AA94,Recipes!$A:$D,4,FALSE)&amp;"]"))</f>
        <v/>
      </c>
      <c r="AB94" s="46" t="str">
        <f t="array" ref="AB94">IF('.'!AB94="","",'.'!AB94&amp;IF(VLOOKUP('.'!AB94,Recipes!$A:$D,4,FALSE)="",""," ["&amp;VLOOKUP('.'!AB94,Recipes!$A:$D,4,FALSE)&amp;"]"))</f>
        <v/>
      </c>
      <c r="AC94" s="46" t="str">
        <f t="array" ref="AC94">IF('.'!AC94="","",'.'!AC94&amp;IF(VLOOKUP('.'!AC94,Recipes!$A:$D,4,FALSE)="",""," ["&amp;VLOOKUP('.'!AC94,Recipes!$A:$D,4,FALSE)&amp;"]"))</f>
        <v/>
      </c>
      <c r="AD94" s="46" t="str">
        <f t="array" ref="AD94">IF('.'!AD94="","",'.'!AD94&amp;IF(VLOOKUP('.'!AD94,Recipes!$A:$D,4,FALSE)="",""," ["&amp;VLOOKUP('.'!AD94,Recipes!$A:$D,4,FALSE)&amp;"]"))</f>
        <v/>
      </c>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row>
    <row r="95" spans="1:78" ht="13">
      <c r="A95" s="48" t="str">
        <f ca="1">'.'!A95</f>
        <v>Campfire</v>
      </c>
      <c r="B95" s="46" t="e">
        <f t="array" aca="1" ref="B95" ca="1">IF('.'!B95="","",'.'!B95&amp;IF(VLOOKUP('.'!B95,Recipes!$A:$D,4,FALSE)="",""," ["&amp;VLOOKUP('.'!B95,Recipes!$A:$D,4,FALSE)&amp;"]"))</f>
        <v>#VALUE!</v>
      </c>
      <c r="C95" s="46" t="str">
        <f t="array" ref="C95">IF('.'!C95="","",'.'!C95&amp;IF(VLOOKUP('.'!C95,Recipes!$A:$D,4,FALSE)="",""," ["&amp;VLOOKUP('.'!C95,Recipes!$A:$D,4,FALSE)&amp;"]"))</f>
        <v/>
      </c>
      <c r="D95" s="46" t="str">
        <f t="array" ref="D95">IF('.'!D95="","",'.'!D95&amp;IF(VLOOKUP('.'!D95,Recipes!$A:$D,4,FALSE)="",""," ["&amp;VLOOKUP('.'!D95,Recipes!$A:$D,4,FALSE)&amp;"]"))</f>
        <v/>
      </c>
      <c r="E95" s="46" t="str">
        <f t="array" ref="E95">IF('.'!E95="","",'.'!E95&amp;IF(VLOOKUP('.'!E95,Recipes!$A:$D,4,FALSE)="",""," ["&amp;VLOOKUP('.'!E95,Recipes!$A:$D,4,FALSE)&amp;"]"))</f>
        <v/>
      </c>
      <c r="F95" s="46" t="str">
        <f t="array" ref="F95">IF('.'!F95="","",'.'!F95&amp;IF(VLOOKUP('.'!F95,Recipes!$A:$D,4,FALSE)="",""," ["&amp;VLOOKUP('.'!F95,Recipes!$A:$D,4,FALSE)&amp;"]"))</f>
        <v/>
      </c>
      <c r="G95" s="46" t="str">
        <f t="array" ref="G95">IF('.'!G95="","",'.'!G95&amp;IF(VLOOKUP('.'!G95,Recipes!$A:$D,4,FALSE)="",""," ["&amp;VLOOKUP('.'!G95,Recipes!$A:$D,4,FALSE)&amp;"]"))</f>
        <v/>
      </c>
      <c r="H95" s="46" t="str">
        <f t="array" ref="H95">IF('.'!H95="","",'.'!H95&amp;IF(VLOOKUP('.'!H95,Recipes!$A:$D,4,FALSE)="",""," ["&amp;VLOOKUP('.'!H95,Recipes!$A:$D,4,FALSE)&amp;"]"))</f>
        <v/>
      </c>
      <c r="I95" s="46" t="str">
        <f t="array" ref="I95">IF('.'!I95="","",'.'!I95&amp;IF(VLOOKUP('.'!I95,Recipes!$A:$D,4,FALSE)="",""," ["&amp;VLOOKUP('.'!I95,Recipes!$A:$D,4,FALSE)&amp;"]"))</f>
        <v/>
      </c>
      <c r="J95" s="46" t="str">
        <f t="array" ref="J95">IF('.'!J95="","",'.'!J95&amp;IF(VLOOKUP('.'!J95,Recipes!$A:$D,4,FALSE)="",""," ["&amp;VLOOKUP('.'!J95,Recipes!$A:$D,4,FALSE)&amp;"]"))</f>
        <v/>
      </c>
      <c r="K95" s="46" t="str">
        <f t="array" ref="K95">IF('.'!K95="","",'.'!K95&amp;IF(VLOOKUP('.'!K95,Recipes!$A:$D,4,FALSE)="",""," ["&amp;VLOOKUP('.'!K95,Recipes!$A:$D,4,FALSE)&amp;"]"))</f>
        <v/>
      </c>
      <c r="L95" s="46" t="str">
        <f t="array" ref="L95">IF('.'!L95="","",'.'!L95&amp;IF(VLOOKUP('.'!L95,Recipes!$A:$D,4,FALSE)="",""," ["&amp;VLOOKUP('.'!L95,Recipes!$A:$D,4,FALSE)&amp;"]"))</f>
        <v/>
      </c>
      <c r="M95" s="46" t="str">
        <f t="array" ref="M95">IF('.'!M95="","",'.'!M95&amp;IF(VLOOKUP('.'!M95,Recipes!$A:$D,4,FALSE)="",""," ["&amp;VLOOKUP('.'!M95,Recipes!$A:$D,4,FALSE)&amp;"]"))</f>
        <v/>
      </c>
      <c r="N95" s="46" t="str">
        <f t="array" ref="N95">IF('.'!N95="","",'.'!N95&amp;IF(VLOOKUP('.'!N95,Recipes!$A:$D,4,FALSE)="",""," ["&amp;VLOOKUP('.'!N95,Recipes!$A:$D,4,FALSE)&amp;"]"))</f>
        <v/>
      </c>
      <c r="O95" s="46" t="str">
        <f t="array" ref="O95">IF('.'!O95="","",'.'!O95&amp;IF(VLOOKUP('.'!O95,Recipes!$A:$D,4,FALSE)="",""," ["&amp;VLOOKUP('.'!O95,Recipes!$A:$D,4,FALSE)&amp;"]"))</f>
        <v/>
      </c>
      <c r="P95" s="46" t="str">
        <f t="array" ref="P95">IF('.'!P95="","",'.'!P95&amp;IF(VLOOKUP('.'!P95,Recipes!$A:$D,4,FALSE)="",""," ["&amp;VLOOKUP('.'!P95,Recipes!$A:$D,4,FALSE)&amp;"]"))</f>
        <v/>
      </c>
      <c r="Q95" s="46" t="str">
        <f t="array" ref="Q95">IF('.'!Q95="","",'.'!Q95&amp;IF(VLOOKUP('.'!Q95,Recipes!$A:$D,4,FALSE)="",""," ["&amp;VLOOKUP('.'!Q95,Recipes!$A:$D,4,FALSE)&amp;"]"))</f>
        <v/>
      </c>
      <c r="R95" s="46" t="str">
        <f t="array" ref="R95">IF('.'!R95="","",'.'!R95&amp;IF(VLOOKUP('.'!R95,Recipes!$A:$D,4,FALSE)="",""," ["&amp;VLOOKUP('.'!R95,Recipes!$A:$D,4,FALSE)&amp;"]"))</f>
        <v/>
      </c>
      <c r="S95" s="46" t="str">
        <f t="array" ref="S95">IF('.'!S95="","",'.'!S95&amp;IF(VLOOKUP('.'!S95,Recipes!$A:$D,4,FALSE)="",""," ["&amp;VLOOKUP('.'!S95,Recipes!$A:$D,4,FALSE)&amp;"]"))</f>
        <v/>
      </c>
      <c r="T95" s="46" t="str">
        <f t="array" ref="T95">IF('.'!T95="","",'.'!T95&amp;IF(VLOOKUP('.'!T95,Recipes!$A:$D,4,FALSE)="",""," ["&amp;VLOOKUP('.'!T95,Recipes!$A:$D,4,FALSE)&amp;"]"))</f>
        <v/>
      </c>
      <c r="U95" s="46" t="str">
        <f t="array" ref="U95">IF('.'!U95="","",'.'!U95&amp;IF(VLOOKUP('.'!U95,Recipes!$A:$D,4,FALSE)="",""," ["&amp;VLOOKUP('.'!U95,Recipes!$A:$D,4,FALSE)&amp;"]"))</f>
        <v/>
      </c>
      <c r="V95" s="46" t="str">
        <f t="array" ref="V95">IF('.'!V95="","",'.'!V95&amp;IF(VLOOKUP('.'!V95,Recipes!$A:$D,4,FALSE)="",""," ["&amp;VLOOKUP('.'!V95,Recipes!$A:$D,4,FALSE)&amp;"]"))</f>
        <v/>
      </c>
      <c r="W95" s="46" t="str">
        <f t="array" ref="W95">IF('.'!W95="","",'.'!W95&amp;IF(VLOOKUP('.'!W95,Recipes!$A:$D,4,FALSE)="",""," ["&amp;VLOOKUP('.'!W95,Recipes!$A:$D,4,FALSE)&amp;"]"))</f>
        <v/>
      </c>
      <c r="X95" s="46" t="str">
        <f t="array" ref="X95">IF('.'!X95="","",'.'!X95&amp;IF(VLOOKUP('.'!X95,Recipes!$A:$D,4,FALSE)="",""," ["&amp;VLOOKUP('.'!X95,Recipes!$A:$D,4,FALSE)&amp;"]"))</f>
        <v/>
      </c>
      <c r="Y95" s="46" t="str">
        <f t="array" ref="Y95">IF('.'!Y95="","",'.'!Y95&amp;IF(VLOOKUP('.'!Y95,Recipes!$A:$D,4,FALSE)="",""," ["&amp;VLOOKUP('.'!Y95,Recipes!$A:$D,4,FALSE)&amp;"]"))</f>
        <v/>
      </c>
      <c r="Z95" s="46" t="str">
        <f t="array" ref="Z95">IF('.'!Z95="","",'.'!Z95&amp;IF(VLOOKUP('.'!Z95,Recipes!$A:$D,4,FALSE)="",""," ["&amp;VLOOKUP('.'!Z95,Recipes!$A:$D,4,FALSE)&amp;"]"))</f>
        <v/>
      </c>
      <c r="AA95" s="46" t="str">
        <f t="array" ref="AA95">IF('.'!AA95="","",'.'!AA95&amp;IF(VLOOKUP('.'!AA95,Recipes!$A:$D,4,FALSE)="",""," ["&amp;VLOOKUP('.'!AA95,Recipes!$A:$D,4,FALSE)&amp;"]"))</f>
        <v/>
      </c>
      <c r="AB95" s="46" t="str">
        <f t="array" ref="AB95">IF('.'!AB95="","",'.'!AB95&amp;IF(VLOOKUP('.'!AB95,Recipes!$A:$D,4,FALSE)="",""," ["&amp;VLOOKUP('.'!AB95,Recipes!$A:$D,4,FALSE)&amp;"]"))</f>
        <v/>
      </c>
      <c r="AC95" s="46" t="str">
        <f t="array" ref="AC95">IF('.'!AC95="","",'.'!AC95&amp;IF(VLOOKUP('.'!AC95,Recipes!$A:$D,4,FALSE)="",""," ["&amp;VLOOKUP('.'!AC95,Recipes!$A:$D,4,FALSE)&amp;"]"))</f>
        <v/>
      </c>
      <c r="AD95" s="46" t="str">
        <f t="array" ref="AD95">IF('.'!AD95="","",'.'!AD95&amp;IF(VLOOKUP('.'!AD95,Recipes!$A:$D,4,FALSE)="",""," ["&amp;VLOOKUP('.'!AD95,Recipes!$A:$D,4,FALSE)&amp;"]"))</f>
        <v/>
      </c>
      <c r="AE95" s="47"/>
      <c r="AF95" s="47"/>
      <c r="AG95" s="47"/>
      <c r="AH95" s="47"/>
      <c r="AI95" s="47"/>
      <c r="AJ95" s="47"/>
      <c r="AK95" s="47"/>
      <c r="AL95" s="47"/>
      <c r="AM95" s="47"/>
      <c r="AN95" s="47"/>
      <c r="AO95" s="47"/>
      <c r="AP95" s="47"/>
      <c r="AQ95" s="47"/>
      <c r="AR95" s="47"/>
      <c r="AS95" s="47"/>
      <c r="AT95" s="47"/>
      <c r="AU95" s="47"/>
      <c r="AV95" s="47"/>
      <c r="AW95" s="47"/>
      <c r="AX95" s="47"/>
      <c r="AY95" s="47"/>
      <c r="AZ95" s="47"/>
      <c r="BA95" s="47"/>
      <c r="BB95" s="47"/>
      <c r="BC95" s="47"/>
      <c r="BD95" s="47"/>
      <c r="BE95" s="47"/>
      <c r="BF95" s="47"/>
      <c r="BG95" s="47"/>
      <c r="BH95" s="47"/>
      <c r="BI95" s="47"/>
      <c r="BJ95" s="47"/>
      <c r="BK95" s="47"/>
      <c r="BL95" s="47"/>
      <c r="BM95" s="47"/>
      <c r="BN95" s="47"/>
      <c r="BO95" s="47"/>
      <c r="BP95" s="47"/>
      <c r="BQ95" s="47"/>
      <c r="BR95" s="47"/>
      <c r="BS95" s="47"/>
      <c r="BT95" s="47"/>
      <c r="BU95" s="47"/>
      <c r="BV95" s="47"/>
      <c r="BW95" s="47"/>
      <c r="BX95" s="47"/>
      <c r="BY95" s="47"/>
      <c r="BZ95" s="47"/>
    </row>
    <row r="96" spans="1:78" ht="13">
      <c r="A96" s="48" t="str">
        <f ca="1">'.'!A96</f>
        <v>Cannibalize Scroll</v>
      </c>
      <c r="B96" s="46" t="str">
        <f t="array" aca="1" ref="B96" ca="1">IF('.'!B96="","",'.'!B96&amp;IF(VLOOKUP('.'!B96,Recipes!$A:$D,4,FALSE)="",""," ["&amp;VLOOKUP('.'!B96,Recipes!$A:$D,4,FALSE)&amp;"]"))</f>
        <v>Cannibalize Skillbook [1000]</v>
      </c>
      <c r="C96" s="46" t="str">
        <f t="array" ref="C96">IF('.'!C96="","",'.'!C96&amp;IF(VLOOKUP('.'!C96,Recipes!$A:$D,4,FALSE)="",""," ["&amp;VLOOKUP('.'!C96,Recipes!$A:$D,4,FALSE)&amp;"]"))</f>
        <v/>
      </c>
      <c r="D96" s="46" t="str">
        <f t="array" ref="D96">IF('.'!D96="","",'.'!D96&amp;IF(VLOOKUP('.'!D96,Recipes!$A:$D,4,FALSE)="",""," ["&amp;VLOOKUP('.'!D96,Recipes!$A:$D,4,FALSE)&amp;"]"))</f>
        <v/>
      </c>
      <c r="E96" s="46" t="str">
        <f t="array" ref="E96">IF('.'!E96="","",'.'!E96&amp;IF(VLOOKUP('.'!E96,Recipes!$A:$D,4,FALSE)="",""," ["&amp;VLOOKUP('.'!E96,Recipes!$A:$D,4,FALSE)&amp;"]"))</f>
        <v/>
      </c>
      <c r="F96" s="46" t="str">
        <f t="array" ref="F96">IF('.'!F96="","",'.'!F96&amp;IF(VLOOKUP('.'!F96,Recipes!$A:$D,4,FALSE)="",""," ["&amp;VLOOKUP('.'!F96,Recipes!$A:$D,4,FALSE)&amp;"]"))</f>
        <v/>
      </c>
      <c r="G96" s="46" t="str">
        <f t="array" ref="G96">IF('.'!G96="","",'.'!G96&amp;IF(VLOOKUP('.'!G96,Recipes!$A:$D,4,FALSE)="",""," ["&amp;VLOOKUP('.'!G96,Recipes!$A:$D,4,FALSE)&amp;"]"))</f>
        <v/>
      </c>
      <c r="H96" s="46" t="str">
        <f t="array" ref="H96">IF('.'!H96="","",'.'!H96&amp;IF(VLOOKUP('.'!H96,Recipes!$A:$D,4,FALSE)="",""," ["&amp;VLOOKUP('.'!H96,Recipes!$A:$D,4,FALSE)&amp;"]"))</f>
        <v/>
      </c>
      <c r="I96" s="46" t="str">
        <f t="array" ref="I96">IF('.'!I96="","",'.'!I96&amp;IF(VLOOKUP('.'!I96,Recipes!$A:$D,4,FALSE)="",""," ["&amp;VLOOKUP('.'!I96,Recipes!$A:$D,4,FALSE)&amp;"]"))</f>
        <v/>
      </c>
      <c r="J96" s="46" t="str">
        <f t="array" ref="J96">IF('.'!J96="","",'.'!J96&amp;IF(VLOOKUP('.'!J96,Recipes!$A:$D,4,FALSE)="",""," ["&amp;VLOOKUP('.'!J96,Recipes!$A:$D,4,FALSE)&amp;"]"))</f>
        <v/>
      </c>
      <c r="K96" s="46" t="str">
        <f t="array" ref="K96">IF('.'!K96="","",'.'!K96&amp;IF(VLOOKUP('.'!K96,Recipes!$A:$D,4,FALSE)="",""," ["&amp;VLOOKUP('.'!K96,Recipes!$A:$D,4,FALSE)&amp;"]"))</f>
        <v/>
      </c>
      <c r="L96" s="46" t="str">
        <f t="array" ref="L96">IF('.'!L96="","",'.'!L96&amp;IF(VLOOKUP('.'!L96,Recipes!$A:$D,4,FALSE)="",""," ["&amp;VLOOKUP('.'!L96,Recipes!$A:$D,4,FALSE)&amp;"]"))</f>
        <v/>
      </c>
      <c r="M96" s="46" t="str">
        <f t="array" ref="M96">IF('.'!M96="","",'.'!M96&amp;IF(VLOOKUP('.'!M96,Recipes!$A:$D,4,FALSE)="",""," ["&amp;VLOOKUP('.'!M96,Recipes!$A:$D,4,FALSE)&amp;"]"))</f>
        <v/>
      </c>
      <c r="N96" s="46" t="str">
        <f t="array" ref="N96">IF('.'!N96="","",'.'!N96&amp;IF(VLOOKUP('.'!N96,Recipes!$A:$D,4,FALSE)="",""," ["&amp;VLOOKUP('.'!N96,Recipes!$A:$D,4,FALSE)&amp;"]"))</f>
        <v/>
      </c>
      <c r="O96" s="46" t="str">
        <f t="array" ref="O96">IF('.'!O96="","",'.'!O96&amp;IF(VLOOKUP('.'!O96,Recipes!$A:$D,4,FALSE)="",""," ["&amp;VLOOKUP('.'!O96,Recipes!$A:$D,4,FALSE)&amp;"]"))</f>
        <v/>
      </c>
      <c r="P96" s="46" t="str">
        <f t="array" ref="P96">IF('.'!P96="","",'.'!P96&amp;IF(VLOOKUP('.'!P96,Recipes!$A:$D,4,FALSE)="",""," ["&amp;VLOOKUP('.'!P96,Recipes!$A:$D,4,FALSE)&amp;"]"))</f>
        <v/>
      </c>
      <c r="Q96" s="46" t="str">
        <f t="array" ref="Q96">IF('.'!Q96="","",'.'!Q96&amp;IF(VLOOKUP('.'!Q96,Recipes!$A:$D,4,FALSE)="",""," ["&amp;VLOOKUP('.'!Q96,Recipes!$A:$D,4,FALSE)&amp;"]"))</f>
        <v/>
      </c>
      <c r="R96" s="46" t="str">
        <f t="array" ref="R96">IF('.'!R96="","",'.'!R96&amp;IF(VLOOKUP('.'!R96,Recipes!$A:$D,4,FALSE)="",""," ["&amp;VLOOKUP('.'!R96,Recipes!$A:$D,4,FALSE)&amp;"]"))</f>
        <v/>
      </c>
      <c r="S96" s="46" t="str">
        <f t="array" ref="S96">IF('.'!S96="","",'.'!S96&amp;IF(VLOOKUP('.'!S96,Recipes!$A:$D,4,FALSE)="",""," ["&amp;VLOOKUP('.'!S96,Recipes!$A:$D,4,FALSE)&amp;"]"))</f>
        <v/>
      </c>
      <c r="T96" s="46" t="str">
        <f t="array" ref="T96">IF('.'!T96="","",'.'!T96&amp;IF(VLOOKUP('.'!T96,Recipes!$A:$D,4,FALSE)="",""," ["&amp;VLOOKUP('.'!T96,Recipes!$A:$D,4,FALSE)&amp;"]"))</f>
        <v/>
      </c>
      <c r="U96" s="46" t="str">
        <f t="array" ref="U96">IF('.'!U96="","",'.'!U96&amp;IF(VLOOKUP('.'!U96,Recipes!$A:$D,4,FALSE)="",""," ["&amp;VLOOKUP('.'!U96,Recipes!$A:$D,4,FALSE)&amp;"]"))</f>
        <v/>
      </c>
      <c r="V96" s="46" t="str">
        <f t="array" ref="V96">IF('.'!V96="","",'.'!V96&amp;IF(VLOOKUP('.'!V96,Recipes!$A:$D,4,FALSE)="",""," ["&amp;VLOOKUP('.'!V96,Recipes!$A:$D,4,FALSE)&amp;"]"))</f>
        <v/>
      </c>
      <c r="W96" s="46" t="str">
        <f t="array" ref="W96">IF('.'!W96="","",'.'!W96&amp;IF(VLOOKUP('.'!W96,Recipes!$A:$D,4,FALSE)="",""," ["&amp;VLOOKUP('.'!W96,Recipes!$A:$D,4,FALSE)&amp;"]"))</f>
        <v/>
      </c>
      <c r="X96" s="46" t="str">
        <f t="array" ref="X96">IF('.'!X96="","",'.'!X96&amp;IF(VLOOKUP('.'!X96,Recipes!$A:$D,4,FALSE)="",""," ["&amp;VLOOKUP('.'!X96,Recipes!$A:$D,4,FALSE)&amp;"]"))</f>
        <v/>
      </c>
      <c r="Y96" s="46" t="str">
        <f t="array" ref="Y96">IF('.'!Y96="","",'.'!Y96&amp;IF(VLOOKUP('.'!Y96,Recipes!$A:$D,4,FALSE)="",""," ["&amp;VLOOKUP('.'!Y96,Recipes!$A:$D,4,FALSE)&amp;"]"))</f>
        <v/>
      </c>
      <c r="Z96" s="46" t="str">
        <f t="array" ref="Z96">IF('.'!Z96="","",'.'!Z96&amp;IF(VLOOKUP('.'!Z96,Recipes!$A:$D,4,FALSE)="",""," ["&amp;VLOOKUP('.'!Z96,Recipes!$A:$D,4,FALSE)&amp;"]"))</f>
        <v/>
      </c>
      <c r="AA96" s="46" t="str">
        <f t="array" ref="AA96">IF('.'!AA96="","",'.'!AA96&amp;IF(VLOOKUP('.'!AA96,Recipes!$A:$D,4,FALSE)="",""," ["&amp;VLOOKUP('.'!AA96,Recipes!$A:$D,4,FALSE)&amp;"]"))</f>
        <v/>
      </c>
      <c r="AB96" s="46" t="str">
        <f t="array" ref="AB96">IF('.'!AB96="","",'.'!AB96&amp;IF(VLOOKUP('.'!AB96,Recipes!$A:$D,4,FALSE)="",""," ["&amp;VLOOKUP('.'!AB96,Recipes!$A:$D,4,FALSE)&amp;"]"))</f>
        <v/>
      </c>
      <c r="AC96" s="46" t="str">
        <f t="array" ref="AC96">IF('.'!AC96="","",'.'!AC96&amp;IF(VLOOKUP('.'!AC96,Recipes!$A:$D,4,FALSE)="",""," ["&amp;VLOOKUP('.'!AC96,Recipes!$A:$D,4,FALSE)&amp;"]"))</f>
        <v/>
      </c>
      <c r="AD96" s="46" t="str">
        <f t="array" ref="AD96">IF('.'!AD96="","",'.'!AD96&amp;IF(VLOOKUP('.'!AD96,Recipes!$A:$D,4,FALSE)="",""," ["&amp;VLOOKUP('.'!AD96,Recipes!$A:$D,4,FALSE)&amp;"]"))</f>
        <v/>
      </c>
      <c r="AE96" s="47"/>
      <c r="AF96" s="47"/>
      <c r="AG96" s="47"/>
      <c r="AH96" s="47"/>
      <c r="AI96" s="47"/>
      <c r="AJ96" s="47"/>
      <c r="AK96" s="47"/>
      <c r="AL96" s="47"/>
      <c r="AM96" s="47"/>
      <c r="AN96" s="47"/>
      <c r="AO96" s="47"/>
      <c r="AP96" s="47"/>
      <c r="AQ96" s="47"/>
      <c r="AR96" s="47"/>
      <c r="AS96" s="47"/>
      <c r="AT96" s="47"/>
      <c r="AU96" s="47"/>
      <c r="AV96" s="47"/>
      <c r="AW96" s="47"/>
      <c r="AX96" s="47"/>
      <c r="AY96" s="47"/>
      <c r="AZ96" s="47"/>
      <c r="BA96" s="47"/>
      <c r="BB96" s="47"/>
      <c r="BC96" s="47"/>
      <c r="BD96" s="47"/>
      <c r="BE96" s="47"/>
      <c r="BF96" s="47"/>
      <c r="BG96" s="47"/>
      <c r="BH96" s="47"/>
      <c r="BI96" s="47"/>
      <c r="BJ96" s="47"/>
      <c r="BK96" s="47"/>
      <c r="BL96" s="47"/>
      <c r="BM96" s="47"/>
      <c r="BN96" s="47"/>
      <c r="BO96" s="47"/>
      <c r="BP96" s="47"/>
      <c r="BQ96" s="47"/>
      <c r="BR96" s="47"/>
      <c r="BS96" s="47"/>
      <c r="BT96" s="47"/>
      <c r="BU96" s="47"/>
      <c r="BV96" s="47"/>
      <c r="BW96" s="47"/>
      <c r="BX96" s="47"/>
      <c r="BY96" s="47"/>
      <c r="BZ96" s="47"/>
    </row>
    <row r="97" spans="1:78" ht="13">
      <c r="A97" s="48" t="str">
        <f ca="1">'.'!A97</f>
        <v>Carrot</v>
      </c>
      <c r="B97" s="46" t="str">
        <f t="array" aca="1" ref="B97" ca="1">IF('.'!B97="","",'.'!B97&amp;IF(VLOOKUP('.'!B97,Recipes!$A:$D,4,FALSE)="",""," ["&amp;VLOOKUP('.'!B97,Recipes!$A:$D,4,FALSE)&amp;"]"))</f>
        <v>Ethereal Storm Scroll [-1167]</v>
      </c>
      <c r="C97" s="46" t="str">
        <f t="array" ref="C97">IF('.'!C97="","",'.'!C97&amp;IF(VLOOKUP('.'!C97,Recipes!$A:$D,4,FALSE)="",""," ["&amp;VLOOKUP('.'!C97,Recipes!$A:$D,4,FALSE)&amp;"]"))</f>
        <v/>
      </c>
      <c r="D97" s="46" t="str">
        <f t="array" ref="D97">IF('.'!D97="","",'.'!D97&amp;IF(VLOOKUP('.'!D97,Recipes!$A:$D,4,FALSE)="",""," ["&amp;VLOOKUP('.'!D97,Recipes!$A:$D,4,FALSE)&amp;"]"))</f>
        <v/>
      </c>
      <c r="E97" s="46" t="str">
        <f t="array" ref="E97">IF('.'!E97="","",'.'!E97&amp;IF(VLOOKUP('.'!E97,Recipes!$A:$D,4,FALSE)="",""," ["&amp;VLOOKUP('.'!E97,Recipes!$A:$D,4,FALSE)&amp;"]"))</f>
        <v/>
      </c>
      <c r="F97" s="46" t="str">
        <f t="array" ref="F97">IF('.'!F97="","",'.'!F97&amp;IF(VLOOKUP('.'!F97,Recipes!$A:$D,4,FALSE)="",""," ["&amp;VLOOKUP('.'!F97,Recipes!$A:$D,4,FALSE)&amp;"]"))</f>
        <v/>
      </c>
      <c r="G97" s="46" t="str">
        <f t="array" ref="G97">IF('.'!G97="","",'.'!G97&amp;IF(VLOOKUP('.'!G97,Recipes!$A:$D,4,FALSE)="",""," ["&amp;VLOOKUP('.'!G97,Recipes!$A:$D,4,FALSE)&amp;"]"))</f>
        <v/>
      </c>
      <c r="H97" s="46" t="str">
        <f t="array" ref="H97">IF('.'!H97="","",'.'!H97&amp;IF(VLOOKUP('.'!H97,Recipes!$A:$D,4,FALSE)="",""," ["&amp;VLOOKUP('.'!H97,Recipes!$A:$D,4,FALSE)&amp;"]"))</f>
        <v/>
      </c>
      <c r="I97" s="46" t="str">
        <f t="array" ref="I97">IF('.'!I97="","",'.'!I97&amp;IF(VLOOKUP('.'!I97,Recipes!$A:$D,4,FALSE)="",""," ["&amp;VLOOKUP('.'!I97,Recipes!$A:$D,4,FALSE)&amp;"]"))</f>
        <v/>
      </c>
      <c r="J97" s="46" t="str">
        <f t="array" ref="J97">IF('.'!J97="","",'.'!J97&amp;IF(VLOOKUP('.'!J97,Recipes!$A:$D,4,FALSE)="",""," ["&amp;VLOOKUP('.'!J97,Recipes!$A:$D,4,FALSE)&amp;"]"))</f>
        <v/>
      </c>
      <c r="K97" s="46" t="str">
        <f t="array" ref="K97">IF('.'!K97="","",'.'!K97&amp;IF(VLOOKUP('.'!K97,Recipes!$A:$D,4,FALSE)="",""," ["&amp;VLOOKUP('.'!K97,Recipes!$A:$D,4,FALSE)&amp;"]"))</f>
        <v/>
      </c>
      <c r="L97" s="46" t="str">
        <f t="array" ref="L97">IF('.'!L97="","",'.'!L97&amp;IF(VLOOKUP('.'!L97,Recipes!$A:$D,4,FALSE)="",""," ["&amp;VLOOKUP('.'!L97,Recipes!$A:$D,4,FALSE)&amp;"]"))</f>
        <v/>
      </c>
      <c r="M97" s="46" t="str">
        <f t="array" ref="M97">IF('.'!M97="","",'.'!M97&amp;IF(VLOOKUP('.'!M97,Recipes!$A:$D,4,FALSE)="",""," ["&amp;VLOOKUP('.'!M97,Recipes!$A:$D,4,FALSE)&amp;"]"))</f>
        <v/>
      </c>
      <c r="N97" s="46" t="str">
        <f t="array" ref="N97">IF('.'!N97="","",'.'!N97&amp;IF(VLOOKUP('.'!N97,Recipes!$A:$D,4,FALSE)="",""," ["&amp;VLOOKUP('.'!N97,Recipes!$A:$D,4,FALSE)&amp;"]"))</f>
        <v/>
      </c>
      <c r="O97" s="46" t="str">
        <f t="array" ref="O97">IF('.'!O97="","",'.'!O97&amp;IF(VLOOKUP('.'!O97,Recipes!$A:$D,4,FALSE)="",""," ["&amp;VLOOKUP('.'!O97,Recipes!$A:$D,4,FALSE)&amp;"]"))</f>
        <v/>
      </c>
      <c r="P97" s="46" t="str">
        <f t="array" ref="P97">IF('.'!P97="","",'.'!P97&amp;IF(VLOOKUP('.'!P97,Recipes!$A:$D,4,FALSE)="",""," ["&amp;VLOOKUP('.'!P97,Recipes!$A:$D,4,FALSE)&amp;"]"))</f>
        <v/>
      </c>
      <c r="Q97" s="46" t="str">
        <f t="array" ref="Q97">IF('.'!Q97="","",'.'!Q97&amp;IF(VLOOKUP('.'!Q97,Recipes!$A:$D,4,FALSE)="",""," ["&amp;VLOOKUP('.'!Q97,Recipes!$A:$D,4,FALSE)&amp;"]"))</f>
        <v/>
      </c>
      <c r="R97" s="46" t="str">
        <f t="array" ref="R97">IF('.'!R97="","",'.'!R97&amp;IF(VLOOKUP('.'!R97,Recipes!$A:$D,4,FALSE)="",""," ["&amp;VLOOKUP('.'!R97,Recipes!$A:$D,4,FALSE)&amp;"]"))</f>
        <v/>
      </c>
      <c r="S97" s="46" t="str">
        <f t="array" ref="S97">IF('.'!S97="","",'.'!S97&amp;IF(VLOOKUP('.'!S97,Recipes!$A:$D,4,FALSE)="",""," ["&amp;VLOOKUP('.'!S97,Recipes!$A:$D,4,FALSE)&amp;"]"))</f>
        <v/>
      </c>
      <c r="T97" s="46" t="str">
        <f t="array" ref="T97">IF('.'!T97="","",'.'!T97&amp;IF(VLOOKUP('.'!T97,Recipes!$A:$D,4,FALSE)="",""," ["&amp;VLOOKUP('.'!T97,Recipes!$A:$D,4,FALSE)&amp;"]"))</f>
        <v/>
      </c>
      <c r="U97" s="46" t="str">
        <f t="array" ref="U97">IF('.'!U97="","",'.'!U97&amp;IF(VLOOKUP('.'!U97,Recipes!$A:$D,4,FALSE)="",""," ["&amp;VLOOKUP('.'!U97,Recipes!$A:$D,4,FALSE)&amp;"]"))</f>
        <v/>
      </c>
      <c r="V97" s="46" t="str">
        <f t="array" ref="V97">IF('.'!V97="","",'.'!V97&amp;IF(VLOOKUP('.'!V97,Recipes!$A:$D,4,FALSE)="",""," ["&amp;VLOOKUP('.'!V97,Recipes!$A:$D,4,FALSE)&amp;"]"))</f>
        <v/>
      </c>
      <c r="W97" s="46" t="str">
        <f t="array" ref="W97">IF('.'!W97="","",'.'!W97&amp;IF(VLOOKUP('.'!W97,Recipes!$A:$D,4,FALSE)="",""," ["&amp;VLOOKUP('.'!W97,Recipes!$A:$D,4,FALSE)&amp;"]"))</f>
        <v/>
      </c>
      <c r="X97" s="46" t="str">
        <f t="array" ref="X97">IF('.'!X97="","",'.'!X97&amp;IF(VLOOKUP('.'!X97,Recipes!$A:$D,4,FALSE)="",""," ["&amp;VLOOKUP('.'!X97,Recipes!$A:$D,4,FALSE)&amp;"]"))</f>
        <v/>
      </c>
      <c r="Y97" s="46" t="str">
        <f t="array" ref="Y97">IF('.'!Y97="","",'.'!Y97&amp;IF(VLOOKUP('.'!Y97,Recipes!$A:$D,4,FALSE)="",""," ["&amp;VLOOKUP('.'!Y97,Recipes!$A:$D,4,FALSE)&amp;"]"))</f>
        <v/>
      </c>
      <c r="Z97" s="46" t="str">
        <f t="array" ref="Z97">IF('.'!Z97="","",'.'!Z97&amp;IF(VLOOKUP('.'!Z97,Recipes!$A:$D,4,FALSE)="",""," ["&amp;VLOOKUP('.'!Z97,Recipes!$A:$D,4,FALSE)&amp;"]"))</f>
        <v/>
      </c>
      <c r="AA97" s="46" t="str">
        <f t="array" ref="AA97">IF('.'!AA97="","",'.'!AA97&amp;IF(VLOOKUP('.'!AA97,Recipes!$A:$D,4,FALSE)="",""," ["&amp;VLOOKUP('.'!AA97,Recipes!$A:$D,4,FALSE)&amp;"]"))</f>
        <v/>
      </c>
      <c r="AB97" s="46" t="str">
        <f t="array" ref="AB97">IF('.'!AB97="","",'.'!AB97&amp;IF(VLOOKUP('.'!AB97,Recipes!$A:$D,4,FALSE)="",""," ["&amp;VLOOKUP('.'!AB97,Recipes!$A:$D,4,FALSE)&amp;"]"))</f>
        <v/>
      </c>
      <c r="AC97" s="46" t="str">
        <f t="array" ref="AC97">IF('.'!AC97="","",'.'!AC97&amp;IF(VLOOKUP('.'!AC97,Recipes!$A:$D,4,FALSE)="",""," ["&amp;VLOOKUP('.'!AC97,Recipes!$A:$D,4,FALSE)&amp;"]"))</f>
        <v/>
      </c>
      <c r="AD97" s="46" t="str">
        <f t="array" ref="AD97">IF('.'!AD97="","",'.'!AD97&amp;IF(VLOOKUP('.'!AD97,Recipes!$A:$D,4,FALSE)="",""," ["&amp;VLOOKUP('.'!AD97,Recipes!$A:$D,4,FALSE)&amp;"]"))</f>
        <v/>
      </c>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row>
    <row r="98" spans="1:78" ht="13">
      <c r="A98" s="48" t="str">
        <f ca="1">'.'!A98</f>
        <v>Chain Lightning Scroll</v>
      </c>
      <c r="B98" s="46" t="str">
        <f t="array" aca="1" ref="B98" ca="1">IF('.'!B98="","",'.'!B98&amp;IF(VLOOKUP('.'!B98,Recipes!$A:$D,4,FALSE)="",""," ["&amp;VLOOKUP('.'!B98,Recipes!$A:$D,4,FALSE)&amp;"]"))</f>
        <v>Chain Lightning Skillbook [140]</v>
      </c>
      <c r="C98" s="46" t="str">
        <f t="array" ref="C98">IF('.'!C98="","",'.'!C98&amp;IF(VLOOKUP('.'!C98,Recipes!$A:$D,4,FALSE)="",""," ["&amp;VLOOKUP('.'!C98,Recipes!$A:$D,4,FALSE)&amp;"]"))</f>
        <v/>
      </c>
      <c r="D98" s="46" t="str">
        <f t="array" ref="D98">IF('.'!D98="","",'.'!D98&amp;IF(VLOOKUP('.'!D98,Recipes!$A:$D,4,FALSE)="",""," ["&amp;VLOOKUP('.'!D98,Recipes!$A:$D,4,FALSE)&amp;"]"))</f>
        <v/>
      </c>
      <c r="E98" s="46" t="str">
        <f t="array" ref="E98">IF('.'!E98="","",'.'!E98&amp;IF(VLOOKUP('.'!E98,Recipes!$A:$D,4,FALSE)="",""," ["&amp;VLOOKUP('.'!E98,Recipes!$A:$D,4,FALSE)&amp;"]"))</f>
        <v/>
      </c>
      <c r="F98" s="46" t="str">
        <f t="array" ref="F98">IF('.'!F98="","",'.'!F98&amp;IF(VLOOKUP('.'!F98,Recipes!$A:$D,4,FALSE)="",""," ["&amp;VLOOKUP('.'!F98,Recipes!$A:$D,4,FALSE)&amp;"]"))</f>
        <v/>
      </c>
      <c r="G98" s="46" t="str">
        <f t="array" ref="G98">IF('.'!G98="","",'.'!G98&amp;IF(VLOOKUP('.'!G98,Recipes!$A:$D,4,FALSE)="",""," ["&amp;VLOOKUP('.'!G98,Recipes!$A:$D,4,FALSE)&amp;"]"))</f>
        <v/>
      </c>
      <c r="H98" s="46" t="str">
        <f t="array" ref="H98">IF('.'!H98="","",'.'!H98&amp;IF(VLOOKUP('.'!H98,Recipes!$A:$D,4,FALSE)="",""," ["&amp;VLOOKUP('.'!H98,Recipes!$A:$D,4,FALSE)&amp;"]"))</f>
        <v/>
      </c>
      <c r="I98" s="46" t="str">
        <f t="array" ref="I98">IF('.'!I98="","",'.'!I98&amp;IF(VLOOKUP('.'!I98,Recipes!$A:$D,4,FALSE)="",""," ["&amp;VLOOKUP('.'!I98,Recipes!$A:$D,4,FALSE)&amp;"]"))</f>
        <v/>
      </c>
      <c r="J98" s="46" t="str">
        <f t="array" ref="J98">IF('.'!J98="","",'.'!J98&amp;IF(VLOOKUP('.'!J98,Recipes!$A:$D,4,FALSE)="",""," ["&amp;VLOOKUP('.'!J98,Recipes!$A:$D,4,FALSE)&amp;"]"))</f>
        <v/>
      </c>
      <c r="K98" s="46" t="str">
        <f t="array" ref="K98">IF('.'!K98="","",'.'!K98&amp;IF(VLOOKUP('.'!K98,Recipes!$A:$D,4,FALSE)="",""," ["&amp;VLOOKUP('.'!K98,Recipes!$A:$D,4,FALSE)&amp;"]"))</f>
        <v/>
      </c>
      <c r="L98" s="46" t="str">
        <f t="array" ref="L98">IF('.'!L98="","",'.'!L98&amp;IF(VLOOKUP('.'!L98,Recipes!$A:$D,4,FALSE)="",""," ["&amp;VLOOKUP('.'!L98,Recipes!$A:$D,4,FALSE)&amp;"]"))</f>
        <v/>
      </c>
      <c r="M98" s="46" t="str">
        <f t="array" ref="M98">IF('.'!M98="","",'.'!M98&amp;IF(VLOOKUP('.'!M98,Recipes!$A:$D,4,FALSE)="",""," ["&amp;VLOOKUP('.'!M98,Recipes!$A:$D,4,FALSE)&amp;"]"))</f>
        <v/>
      </c>
      <c r="N98" s="46" t="str">
        <f t="array" ref="N98">IF('.'!N98="","",'.'!N98&amp;IF(VLOOKUP('.'!N98,Recipes!$A:$D,4,FALSE)="",""," ["&amp;VLOOKUP('.'!N98,Recipes!$A:$D,4,FALSE)&amp;"]"))</f>
        <v/>
      </c>
      <c r="O98" s="46" t="str">
        <f t="array" ref="O98">IF('.'!O98="","",'.'!O98&amp;IF(VLOOKUP('.'!O98,Recipes!$A:$D,4,FALSE)="",""," ["&amp;VLOOKUP('.'!O98,Recipes!$A:$D,4,FALSE)&amp;"]"))</f>
        <v/>
      </c>
      <c r="P98" s="46" t="str">
        <f t="array" ref="P98">IF('.'!P98="","",'.'!P98&amp;IF(VLOOKUP('.'!P98,Recipes!$A:$D,4,FALSE)="",""," ["&amp;VLOOKUP('.'!P98,Recipes!$A:$D,4,FALSE)&amp;"]"))</f>
        <v/>
      </c>
      <c r="Q98" s="46" t="str">
        <f t="array" ref="Q98">IF('.'!Q98="","",'.'!Q98&amp;IF(VLOOKUP('.'!Q98,Recipes!$A:$D,4,FALSE)="",""," ["&amp;VLOOKUP('.'!Q98,Recipes!$A:$D,4,FALSE)&amp;"]"))</f>
        <v/>
      </c>
      <c r="R98" s="46" t="str">
        <f t="array" ref="R98">IF('.'!R98="","",'.'!R98&amp;IF(VLOOKUP('.'!R98,Recipes!$A:$D,4,FALSE)="",""," ["&amp;VLOOKUP('.'!R98,Recipes!$A:$D,4,FALSE)&amp;"]"))</f>
        <v/>
      </c>
      <c r="S98" s="46" t="str">
        <f t="array" ref="S98">IF('.'!S98="","",'.'!S98&amp;IF(VLOOKUP('.'!S98,Recipes!$A:$D,4,FALSE)="",""," ["&amp;VLOOKUP('.'!S98,Recipes!$A:$D,4,FALSE)&amp;"]"))</f>
        <v/>
      </c>
      <c r="T98" s="46" t="str">
        <f t="array" ref="T98">IF('.'!T98="","",'.'!T98&amp;IF(VLOOKUP('.'!T98,Recipes!$A:$D,4,FALSE)="",""," ["&amp;VLOOKUP('.'!T98,Recipes!$A:$D,4,FALSE)&amp;"]"))</f>
        <v/>
      </c>
      <c r="U98" s="46" t="str">
        <f t="array" ref="U98">IF('.'!U98="","",'.'!U98&amp;IF(VLOOKUP('.'!U98,Recipes!$A:$D,4,FALSE)="",""," ["&amp;VLOOKUP('.'!U98,Recipes!$A:$D,4,FALSE)&amp;"]"))</f>
        <v/>
      </c>
      <c r="V98" s="46" t="str">
        <f t="array" ref="V98">IF('.'!V98="","",'.'!V98&amp;IF(VLOOKUP('.'!V98,Recipes!$A:$D,4,FALSE)="",""," ["&amp;VLOOKUP('.'!V98,Recipes!$A:$D,4,FALSE)&amp;"]"))</f>
        <v/>
      </c>
      <c r="W98" s="46" t="str">
        <f t="array" ref="W98">IF('.'!W98="","",'.'!W98&amp;IF(VLOOKUP('.'!W98,Recipes!$A:$D,4,FALSE)="",""," ["&amp;VLOOKUP('.'!W98,Recipes!$A:$D,4,FALSE)&amp;"]"))</f>
        <v/>
      </c>
      <c r="X98" s="46" t="str">
        <f t="array" ref="X98">IF('.'!X98="","",'.'!X98&amp;IF(VLOOKUP('.'!X98,Recipes!$A:$D,4,FALSE)="",""," ["&amp;VLOOKUP('.'!X98,Recipes!$A:$D,4,FALSE)&amp;"]"))</f>
        <v/>
      </c>
      <c r="Y98" s="46" t="str">
        <f t="array" ref="Y98">IF('.'!Y98="","",'.'!Y98&amp;IF(VLOOKUP('.'!Y98,Recipes!$A:$D,4,FALSE)="",""," ["&amp;VLOOKUP('.'!Y98,Recipes!$A:$D,4,FALSE)&amp;"]"))</f>
        <v/>
      </c>
      <c r="Z98" s="46" t="str">
        <f t="array" ref="Z98">IF('.'!Z98="","",'.'!Z98&amp;IF(VLOOKUP('.'!Z98,Recipes!$A:$D,4,FALSE)="",""," ["&amp;VLOOKUP('.'!Z98,Recipes!$A:$D,4,FALSE)&amp;"]"))</f>
        <v/>
      </c>
      <c r="AA98" s="46" t="str">
        <f t="array" ref="AA98">IF('.'!AA98="","",'.'!AA98&amp;IF(VLOOKUP('.'!AA98,Recipes!$A:$D,4,FALSE)="",""," ["&amp;VLOOKUP('.'!AA98,Recipes!$A:$D,4,FALSE)&amp;"]"))</f>
        <v/>
      </c>
      <c r="AB98" s="46" t="str">
        <f t="array" ref="AB98">IF('.'!AB98="","",'.'!AB98&amp;IF(VLOOKUP('.'!AB98,Recipes!$A:$D,4,FALSE)="",""," ["&amp;VLOOKUP('.'!AB98,Recipes!$A:$D,4,FALSE)&amp;"]"))</f>
        <v/>
      </c>
      <c r="AC98" s="46" t="str">
        <f t="array" ref="AC98">IF('.'!AC98="","",'.'!AC98&amp;IF(VLOOKUP('.'!AC98,Recipes!$A:$D,4,FALSE)="",""," ["&amp;VLOOKUP('.'!AC98,Recipes!$A:$D,4,FALSE)&amp;"]"))</f>
        <v/>
      </c>
      <c r="AD98" s="46" t="str">
        <f t="array" ref="AD98">IF('.'!AD98="","",'.'!AD98&amp;IF(VLOOKUP('.'!AD98,Recipes!$A:$D,4,FALSE)="",""," ["&amp;VLOOKUP('.'!AD98,Recipes!$A:$D,4,FALSE)&amp;"]"))</f>
        <v/>
      </c>
      <c r="AE98" s="47"/>
      <c r="AF98" s="47"/>
      <c r="AG98" s="47"/>
      <c r="AH98" s="47"/>
      <c r="AI98" s="47"/>
      <c r="AJ98" s="47"/>
      <c r="AK98" s="47"/>
      <c r="AL98" s="47"/>
      <c r="AM98" s="47"/>
      <c r="AN98" s="47"/>
      <c r="AO98" s="47"/>
      <c r="AP98" s="47"/>
      <c r="AQ98" s="47"/>
      <c r="AR98" s="47"/>
      <c r="AS98" s="47"/>
      <c r="AT98" s="47"/>
      <c r="AU98" s="47"/>
      <c r="AV98" s="47"/>
      <c r="AW98" s="47"/>
      <c r="AX98" s="47"/>
      <c r="AY98" s="47"/>
      <c r="AZ98" s="47"/>
      <c r="BA98" s="47"/>
      <c r="BB98" s="47"/>
      <c r="BC98" s="47"/>
      <c r="BD98" s="47"/>
      <c r="BE98" s="47"/>
      <c r="BF98" s="47"/>
      <c r="BG98" s="47"/>
      <c r="BH98" s="47"/>
      <c r="BI98" s="47"/>
      <c r="BJ98" s="47"/>
      <c r="BK98" s="47"/>
      <c r="BL98" s="47"/>
      <c r="BM98" s="47"/>
      <c r="BN98" s="47"/>
      <c r="BO98" s="47"/>
      <c r="BP98" s="47"/>
      <c r="BQ98" s="47"/>
      <c r="BR98" s="47"/>
      <c r="BS98" s="47"/>
      <c r="BT98" s="47"/>
      <c r="BU98" s="47"/>
      <c r="BV98" s="47"/>
      <c r="BW98" s="47"/>
      <c r="BX98" s="47"/>
      <c r="BY98" s="47"/>
      <c r="BZ98" s="47"/>
    </row>
    <row r="99" spans="1:78" ht="13">
      <c r="A99" s="48" t="str">
        <f ca="1">'.'!A99</f>
        <v>Chameleon Cloak Scroll</v>
      </c>
      <c r="B99" s="46" t="str">
        <f t="array" aca="1" ref="B99" ca="1">IF('.'!B99="","",'.'!B99&amp;IF(VLOOKUP('.'!B99,Recipes!$A:$D,4,FALSE)="",""," ["&amp;VLOOKUP('.'!B99,Recipes!$A:$D,4,FALSE)&amp;"]"))</f>
        <v>Chameleon Cloak Skillbook [-230]</v>
      </c>
      <c r="C99" s="46" t="str">
        <f t="array" ref="C99">IF('.'!C99="","",'.'!C99&amp;IF(VLOOKUP('.'!C99,Recipes!$A:$D,4,FALSE)="",""," ["&amp;VLOOKUP('.'!C99,Recipes!$A:$D,4,FALSE)&amp;"]"))</f>
        <v/>
      </c>
      <c r="D99" s="46" t="str">
        <f t="array" ref="D99">IF('.'!D99="","",'.'!D99&amp;IF(VLOOKUP('.'!D99,Recipes!$A:$D,4,FALSE)="",""," ["&amp;VLOOKUP('.'!D99,Recipes!$A:$D,4,FALSE)&amp;"]"))</f>
        <v/>
      </c>
      <c r="E99" s="46" t="str">
        <f t="array" ref="E99">IF('.'!E99="","",'.'!E99&amp;IF(VLOOKUP('.'!E99,Recipes!$A:$D,4,FALSE)="",""," ["&amp;VLOOKUP('.'!E99,Recipes!$A:$D,4,FALSE)&amp;"]"))</f>
        <v/>
      </c>
      <c r="F99" s="46" t="str">
        <f t="array" ref="F99">IF('.'!F99="","",'.'!F99&amp;IF(VLOOKUP('.'!F99,Recipes!$A:$D,4,FALSE)="",""," ["&amp;VLOOKUP('.'!F99,Recipes!$A:$D,4,FALSE)&amp;"]"))</f>
        <v/>
      </c>
      <c r="G99" s="46" t="str">
        <f t="array" ref="G99">IF('.'!G99="","",'.'!G99&amp;IF(VLOOKUP('.'!G99,Recipes!$A:$D,4,FALSE)="",""," ["&amp;VLOOKUP('.'!G99,Recipes!$A:$D,4,FALSE)&amp;"]"))</f>
        <v/>
      </c>
      <c r="H99" s="46" t="str">
        <f t="array" ref="H99">IF('.'!H99="","",'.'!H99&amp;IF(VLOOKUP('.'!H99,Recipes!$A:$D,4,FALSE)="",""," ["&amp;VLOOKUP('.'!H99,Recipes!$A:$D,4,FALSE)&amp;"]"))</f>
        <v/>
      </c>
      <c r="I99" s="46" t="str">
        <f t="array" ref="I99">IF('.'!I99="","",'.'!I99&amp;IF(VLOOKUP('.'!I99,Recipes!$A:$D,4,FALSE)="",""," ["&amp;VLOOKUP('.'!I99,Recipes!$A:$D,4,FALSE)&amp;"]"))</f>
        <v/>
      </c>
      <c r="J99" s="46" t="str">
        <f t="array" ref="J99">IF('.'!J99="","",'.'!J99&amp;IF(VLOOKUP('.'!J99,Recipes!$A:$D,4,FALSE)="",""," ["&amp;VLOOKUP('.'!J99,Recipes!$A:$D,4,FALSE)&amp;"]"))</f>
        <v/>
      </c>
      <c r="K99" s="46" t="str">
        <f t="array" ref="K99">IF('.'!K99="","",'.'!K99&amp;IF(VLOOKUP('.'!K99,Recipes!$A:$D,4,FALSE)="",""," ["&amp;VLOOKUP('.'!K99,Recipes!$A:$D,4,FALSE)&amp;"]"))</f>
        <v/>
      </c>
      <c r="L99" s="46" t="str">
        <f t="array" ref="L99">IF('.'!L99="","",'.'!L99&amp;IF(VLOOKUP('.'!L99,Recipes!$A:$D,4,FALSE)="",""," ["&amp;VLOOKUP('.'!L99,Recipes!$A:$D,4,FALSE)&amp;"]"))</f>
        <v/>
      </c>
      <c r="M99" s="46" t="str">
        <f t="array" ref="M99">IF('.'!M99="","",'.'!M99&amp;IF(VLOOKUP('.'!M99,Recipes!$A:$D,4,FALSE)="",""," ["&amp;VLOOKUP('.'!M99,Recipes!$A:$D,4,FALSE)&amp;"]"))</f>
        <v/>
      </c>
      <c r="N99" s="46" t="str">
        <f t="array" ref="N99">IF('.'!N99="","",'.'!N99&amp;IF(VLOOKUP('.'!N99,Recipes!$A:$D,4,FALSE)="",""," ["&amp;VLOOKUP('.'!N99,Recipes!$A:$D,4,FALSE)&amp;"]"))</f>
        <v/>
      </c>
      <c r="O99" s="46" t="str">
        <f t="array" ref="O99">IF('.'!O99="","",'.'!O99&amp;IF(VLOOKUP('.'!O99,Recipes!$A:$D,4,FALSE)="",""," ["&amp;VLOOKUP('.'!O99,Recipes!$A:$D,4,FALSE)&amp;"]"))</f>
        <v/>
      </c>
      <c r="P99" s="46" t="str">
        <f t="array" ref="P99">IF('.'!P99="","",'.'!P99&amp;IF(VLOOKUP('.'!P99,Recipes!$A:$D,4,FALSE)="",""," ["&amp;VLOOKUP('.'!P99,Recipes!$A:$D,4,FALSE)&amp;"]"))</f>
        <v/>
      </c>
      <c r="Q99" s="46" t="str">
        <f t="array" ref="Q99">IF('.'!Q99="","",'.'!Q99&amp;IF(VLOOKUP('.'!Q99,Recipes!$A:$D,4,FALSE)="",""," ["&amp;VLOOKUP('.'!Q99,Recipes!$A:$D,4,FALSE)&amp;"]"))</f>
        <v/>
      </c>
      <c r="R99" s="46" t="str">
        <f t="array" ref="R99">IF('.'!R99="","",'.'!R99&amp;IF(VLOOKUP('.'!R99,Recipes!$A:$D,4,FALSE)="",""," ["&amp;VLOOKUP('.'!R99,Recipes!$A:$D,4,FALSE)&amp;"]"))</f>
        <v/>
      </c>
      <c r="S99" s="46" t="str">
        <f t="array" ref="S99">IF('.'!S99="","",'.'!S99&amp;IF(VLOOKUP('.'!S99,Recipes!$A:$D,4,FALSE)="",""," ["&amp;VLOOKUP('.'!S99,Recipes!$A:$D,4,FALSE)&amp;"]"))</f>
        <v/>
      </c>
      <c r="T99" s="46" t="str">
        <f t="array" ref="T99">IF('.'!T99="","",'.'!T99&amp;IF(VLOOKUP('.'!T99,Recipes!$A:$D,4,FALSE)="",""," ["&amp;VLOOKUP('.'!T99,Recipes!$A:$D,4,FALSE)&amp;"]"))</f>
        <v/>
      </c>
      <c r="U99" s="46" t="str">
        <f t="array" ref="U99">IF('.'!U99="","",'.'!U99&amp;IF(VLOOKUP('.'!U99,Recipes!$A:$D,4,FALSE)="",""," ["&amp;VLOOKUP('.'!U99,Recipes!$A:$D,4,FALSE)&amp;"]"))</f>
        <v/>
      </c>
      <c r="V99" s="46" t="str">
        <f t="array" ref="V99">IF('.'!V99="","",'.'!V99&amp;IF(VLOOKUP('.'!V99,Recipes!$A:$D,4,FALSE)="",""," ["&amp;VLOOKUP('.'!V99,Recipes!$A:$D,4,FALSE)&amp;"]"))</f>
        <v/>
      </c>
      <c r="W99" s="46" t="str">
        <f t="array" ref="W99">IF('.'!W99="","",'.'!W99&amp;IF(VLOOKUP('.'!W99,Recipes!$A:$D,4,FALSE)="",""," ["&amp;VLOOKUP('.'!W99,Recipes!$A:$D,4,FALSE)&amp;"]"))</f>
        <v/>
      </c>
      <c r="X99" s="46" t="str">
        <f t="array" ref="X99">IF('.'!X99="","",'.'!X99&amp;IF(VLOOKUP('.'!X99,Recipes!$A:$D,4,FALSE)="",""," ["&amp;VLOOKUP('.'!X99,Recipes!$A:$D,4,FALSE)&amp;"]"))</f>
        <v/>
      </c>
      <c r="Y99" s="46" t="str">
        <f t="array" ref="Y99">IF('.'!Y99="","",'.'!Y99&amp;IF(VLOOKUP('.'!Y99,Recipes!$A:$D,4,FALSE)="",""," ["&amp;VLOOKUP('.'!Y99,Recipes!$A:$D,4,FALSE)&amp;"]"))</f>
        <v/>
      </c>
      <c r="Z99" s="46" t="str">
        <f t="array" ref="Z99">IF('.'!Z99="","",'.'!Z99&amp;IF(VLOOKUP('.'!Z99,Recipes!$A:$D,4,FALSE)="",""," ["&amp;VLOOKUP('.'!Z99,Recipes!$A:$D,4,FALSE)&amp;"]"))</f>
        <v/>
      </c>
      <c r="AA99" s="46" t="str">
        <f t="array" ref="AA99">IF('.'!AA99="","",'.'!AA99&amp;IF(VLOOKUP('.'!AA99,Recipes!$A:$D,4,FALSE)="",""," ["&amp;VLOOKUP('.'!AA99,Recipes!$A:$D,4,FALSE)&amp;"]"))</f>
        <v/>
      </c>
      <c r="AB99" s="46" t="str">
        <f t="array" ref="AB99">IF('.'!AB99="","",'.'!AB99&amp;IF(VLOOKUP('.'!AB99,Recipes!$A:$D,4,FALSE)="",""," ["&amp;VLOOKUP('.'!AB99,Recipes!$A:$D,4,FALSE)&amp;"]"))</f>
        <v/>
      </c>
      <c r="AC99" s="46" t="str">
        <f t="array" ref="AC99">IF('.'!AC99="","",'.'!AC99&amp;IF(VLOOKUP('.'!AC99,Recipes!$A:$D,4,FALSE)="",""," ["&amp;VLOOKUP('.'!AC99,Recipes!$A:$D,4,FALSE)&amp;"]"))</f>
        <v/>
      </c>
      <c r="AD99" s="46" t="str">
        <f t="array" ref="AD99">IF('.'!AD99="","",'.'!AD99&amp;IF(VLOOKUP('.'!AD99,Recipes!$A:$D,4,FALSE)="",""," ["&amp;VLOOKUP('.'!AD99,Recipes!$A:$D,4,FALSE)&amp;"]"))</f>
        <v/>
      </c>
      <c r="AE99" s="47"/>
      <c r="AF99" s="47"/>
      <c r="AG99" s="47"/>
      <c r="AH99" s="47"/>
      <c r="AI99" s="47"/>
      <c r="AJ99" s="47"/>
      <c r="AK99" s="47"/>
      <c r="AL99" s="47"/>
      <c r="AM99" s="47"/>
      <c r="AN99" s="47"/>
      <c r="AO99" s="47"/>
      <c r="AP99" s="47"/>
      <c r="AQ99" s="47"/>
      <c r="AR99" s="47"/>
      <c r="AS99" s="47"/>
      <c r="AT99" s="47"/>
      <c r="AU99" s="47"/>
      <c r="AV99" s="47"/>
      <c r="AW99" s="47"/>
      <c r="AX99" s="47"/>
      <c r="AY99" s="47"/>
      <c r="AZ99" s="47"/>
      <c r="BA99" s="47"/>
      <c r="BB99" s="47"/>
      <c r="BC99" s="47"/>
      <c r="BD99" s="47"/>
      <c r="BE99" s="47"/>
      <c r="BF99" s="47"/>
      <c r="BG99" s="47"/>
      <c r="BH99" s="47"/>
      <c r="BI99" s="47"/>
      <c r="BJ99" s="47"/>
      <c r="BK99" s="47"/>
      <c r="BL99" s="47"/>
      <c r="BM99" s="47"/>
      <c r="BN99" s="47"/>
      <c r="BO99" s="47"/>
      <c r="BP99" s="47"/>
      <c r="BQ99" s="47"/>
      <c r="BR99" s="47"/>
      <c r="BS99" s="47"/>
      <c r="BT99" s="47"/>
      <c r="BU99" s="47"/>
      <c r="BV99" s="47"/>
      <c r="BW99" s="47"/>
      <c r="BX99" s="47"/>
      <c r="BY99" s="47"/>
      <c r="BZ99" s="47"/>
    </row>
    <row r="100" spans="1:78" ht="13">
      <c r="A100" s="48" t="str">
        <f ca="1">'.'!A100</f>
        <v>Chanterelle</v>
      </c>
      <c r="B100" s="46" t="str">
        <f t="array" aca="1" ref="B100" ca="1">IF('.'!B100="","",'.'!B100&amp;IF(VLOOKUP('.'!B100,Recipes!$A:$D,4,FALSE)="",""," ["&amp;VLOOKUP('.'!B100,Recipes!$A:$D,4,FALSE)&amp;"]"))</f>
        <v>Netherswap Scroll [-80]</v>
      </c>
      <c r="C100" s="46" t="str">
        <f t="array" aca="1" ref="C100" ca="1">IF('.'!C100="","",'.'!C100&amp;IF(VLOOKUP('.'!C100,Recipes!$A:$D,4,FALSE)="",""," ["&amp;VLOOKUP('.'!C100,Recipes!$A:$D,4,FALSE)&amp;"]"))</f>
        <v>Invisibility Potion [-30]</v>
      </c>
      <c r="D100" s="46" t="str">
        <f t="array" ref="D100">IF('.'!D100="","",'.'!D100&amp;IF(VLOOKUP('.'!D100,Recipes!$A:$D,4,FALSE)="",""," ["&amp;VLOOKUP('.'!D100,Recipes!$A:$D,4,FALSE)&amp;"]"))</f>
        <v/>
      </c>
      <c r="E100" s="46" t="str">
        <f t="array" ref="E100">IF('.'!E100="","",'.'!E100&amp;IF(VLOOKUP('.'!E100,Recipes!$A:$D,4,FALSE)="",""," ["&amp;VLOOKUP('.'!E100,Recipes!$A:$D,4,FALSE)&amp;"]"))</f>
        <v/>
      </c>
      <c r="F100" s="46" t="str">
        <f t="array" ref="F100">IF('.'!F100="","",'.'!F100&amp;IF(VLOOKUP('.'!F100,Recipes!$A:$D,4,FALSE)="",""," ["&amp;VLOOKUP('.'!F100,Recipes!$A:$D,4,FALSE)&amp;"]"))</f>
        <v/>
      </c>
      <c r="G100" s="46" t="str">
        <f t="array" ref="G100">IF('.'!G100="","",'.'!G100&amp;IF(VLOOKUP('.'!G100,Recipes!$A:$D,4,FALSE)="",""," ["&amp;VLOOKUP('.'!G100,Recipes!$A:$D,4,FALSE)&amp;"]"))</f>
        <v/>
      </c>
      <c r="H100" s="46" t="str">
        <f t="array" ref="H100">IF('.'!H100="","",'.'!H100&amp;IF(VLOOKUP('.'!H100,Recipes!$A:$D,4,FALSE)="",""," ["&amp;VLOOKUP('.'!H100,Recipes!$A:$D,4,FALSE)&amp;"]"))</f>
        <v/>
      </c>
      <c r="I100" s="46" t="str">
        <f t="array" ref="I100">IF('.'!I100="","",'.'!I100&amp;IF(VLOOKUP('.'!I100,Recipes!$A:$D,4,FALSE)="",""," ["&amp;VLOOKUP('.'!I100,Recipes!$A:$D,4,FALSE)&amp;"]"))</f>
        <v/>
      </c>
      <c r="J100" s="46" t="str">
        <f t="array" ref="J100">IF('.'!J100="","",'.'!J100&amp;IF(VLOOKUP('.'!J100,Recipes!$A:$D,4,FALSE)="",""," ["&amp;VLOOKUP('.'!J100,Recipes!$A:$D,4,FALSE)&amp;"]"))</f>
        <v/>
      </c>
      <c r="K100" s="46" t="str">
        <f t="array" ref="K100">IF('.'!K100="","",'.'!K100&amp;IF(VLOOKUP('.'!K100,Recipes!$A:$D,4,FALSE)="",""," ["&amp;VLOOKUP('.'!K100,Recipes!$A:$D,4,FALSE)&amp;"]"))</f>
        <v/>
      </c>
      <c r="L100" s="46" t="str">
        <f t="array" ref="L100">IF('.'!L100="","",'.'!L100&amp;IF(VLOOKUP('.'!L100,Recipes!$A:$D,4,FALSE)="",""," ["&amp;VLOOKUP('.'!L100,Recipes!$A:$D,4,FALSE)&amp;"]"))</f>
        <v/>
      </c>
      <c r="M100" s="46" t="str">
        <f t="array" ref="M100">IF('.'!M100="","",'.'!M100&amp;IF(VLOOKUP('.'!M100,Recipes!$A:$D,4,FALSE)="",""," ["&amp;VLOOKUP('.'!M100,Recipes!$A:$D,4,FALSE)&amp;"]"))</f>
        <v/>
      </c>
      <c r="N100" s="46" t="str">
        <f t="array" ref="N100">IF('.'!N100="","",'.'!N100&amp;IF(VLOOKUP('.'!N100,Recipes!$A:$D,4,FALSE)="",""," ["&amp;VLOOKUP('.'!N100,Recipes!$A:$D,4,FALSE)&amp;"]"))</f>
        <v/>
      </c>
      <c r="O100" s="46" t="str">
        <f t="array" ref="O100">IF('.'!O100="","",'.'!O100&amp;IF(VLOOKUP('.'!O100,Recipes!$A:$D,4,FALSE)="",""," ["&amp;VLOOKUP('.'!O100,Recipes!$A:$D,4,FALSE)&amp;"]"))</f>
        <v/>
      </c>
      <c r="P100" s="46" t="str">
        <f t="array" ref="P100">IF('.'!P100="","",'.'!P100&amp;IF(VLOOKUP('.'!P100,Recipes!$A:$D,4,FALSE)="",""," ["&amp;VLOOKUP('.'!P100,Recipes!$A:$D,4,FALSE)&amp;"]"))</f>
        <v/>
      </c>
      <c r="Q100" s="46" t="str">
        <f t="array" ref="Q100">IF('.'!Q100="","",'.'!Q100&amp;IF(VLOOKUP('.'!Q100,Recipes!$A:$D,4,FALSE)="",""," ["&amp;VLOOKUP('.'!Q100,Recipes!$A:$D,4,FALSE)&amp;"]"))</f>
        <v/>
      </c>
      <c r="R100" s="46" t="str">
        <f t="array" ref="R100">IF('.'!R100="","",'.'!R100&amp;IF(VLOOKUP('.'!R100,Recipes!$A:$D,4,FALSE)="",""," ["&amp;VLOOKUP('.'!R100,Recipes!$A:$D,4,FALSE)&amp;"]"))</f>
        <v/>
      </c>
      <c r="S100" s="46" t="str">
        <f t="array" ref="S100">IF('.'!S100="","",'.'!S100&amp;IF(VLOOKUP('.'!S100,Recipes!$A:$D,4,FALSE)="",""," ["&amp;VLOOKUP('.'!S100,Recipes!$A:$D,4,FALSE)&amp;"]"))</f>
        <v/>
      </c>
      <c r="T100" s="46" t="str">
        <f t="array" ref="T100">IF('.'!T100="","",'.'!T100&amp;IF(VLOOKUP('.'!T100,Recipes!$A:$D,4,FALSE)="",""," ["&amp;VLOOKUP('.'!T100,Recipes!$A:$D,4,FALSE)&amp;"]"))</f>
        <v/>
      </c>
      <c r="U100" s="46" t="str">
        <f t="array" ref="U100">IF('.'!U100="","",'.'!U100&amp;IF(VLOOKUP('.'!U100,Recipes!$A:$D,4,FALSE)="",""," ["&amp;VLOOKUP('.'!U100,Recipes!$A:$D,4,FALSE)&amp;"]"))</f>
        <v/>
      </c>
      <c r="V100" s="46" t="str">
        <f t="array" ref="V100">IF('.'!V100="","",'.'!V100&amp;IF(VLOOKUP('.'!V100,Recipes!$A:$D,4,FALSE)="",""," ["&amp;VLOOKUP('.'!V100,Recipes!$A:$D,4,FALSE)&amp;"]"))</f>
        <v/>
      </c>
      <c r="W100" s="46" t="str">
        <f t="array" ref="W100">IF('.'!W100="","",'.'!W100&amp;IF(VLOOKUP('.'!W100,Recipes!$A:$D,4,FALSE)="",""," ["&amp;VLOOKUP('.'!W100,Recipes!$A:$D,4,FALSE)&amp;"]"))</f>
        <v/>
      </c>
      <c r="X100" s="46" t="str">
        <f t="array" ref="X100">IF('.'!X100="","",'.'!X100&amp;IF(VLOOKUP('.'!X100,Recipes!$A:$D,4,FALSE)="",""," ["&amp;VLOOKUP('.'!X100,Recipes!$A:$D,4,FALSE)&amp;"]"))</f>
        <v/>
      </c>
      <c r="Y100" s="46" t="str">
        <f t="array" ref="Y100">IF('.'!Y100="","",'.'!Y100&amp;IF(VLOOKUP('.'!Y100,Recipes!$A:$D,4,FALSE)="",""," ["&amp;VLOOKUP('.'!Y100,Recipes!$A:$D,4,FALSE)&amp;"]"))</f>
        <v/>
      </c>
      <c r="Z100" s="46" t="str">
        <f t="array" ref="Z100">IF('.'!Z100="","",'.'!Z100&amp;IF(VLOOKUP('.'!Z100,Recipes!$A:$D,4,FALSE)="",""," ["&amp;VLOOKUP('.'!Z100,Recipes!$A:$D,4,FALSE)&amp;"]"))</f>
        <v/>
      </c>
      <c r="AA100" s="46" t="str">
        <f t="array" ref="AA100">IF('.'!AA100="","",'.'!AA100&amp;IF(VLOOKUP('.'!AA100,Recipes!$A:$D,4,FALSE)="",""," ["&amp;VLOOKUP('.'!AA100,Recipes!$A:$D,4,FALSE)&amp;"]"))</f>
        <v/>
      </c>
      <c r="AB100" s="46" t="str">
        <f t="array" ref="AB100">IF('.'!AB100="","",'.'!AB100&amp;IF(VLOOKUP('.'!AB100,Recipes!$A:$D,4,FALSE)="",""," ["&amp;VLOOKUP('.'!AB100,Recipes!$A:$D,4,FALSE)&amp;"]"))</f>
        <v/>
      </c>
      <c r="AC100" s="46" t="str">
        <f t="array" ref="AC100">IF('.'!AC100="","",'.'!AC100&amp;IF(VLOOKUP('.'!AC100,Recipes!$A:$D,4,FALSE)="",""," ["&amp;VLOOKUP('.'!AC100,Recipes!$A:$D,4,FALSE)&amp;"]"))</f>
        <v/>
      </c>
      <c r="AD100" s="46" t="str">
        <f t="array" ref="AD100">IF('.'!AD100="","",'.'!AD100&amp;IF(VLOOKUP('.'!AD100,Recipes!$A:$D,4,FALSE)="",""," ["&amp;VLOOKUP('.'!AD100,Recipes!$A:$D,4,FALSE)&amp;"]"))</f>
        <v/>
      </c>
      <c r="AE100" s="47"/>
      <c r="AF100" s="47"/>
      <c r="AG100" s="47"/>
      <c r="AH100" s="47"/>
      <c r="AI100" s="47"/>
      <c r="AJ100" s="47"/>
      <c r="AK100" s="47"/>
      <c r="AL100" s="47"/>
      <c r="AM100" s="47"/>
      <c r="AN100" s="47"/>
      <c r="AO100" s="47"/>
      <c r="AP100" s="47"/>
      <c r="AQ100" s="47"/>
      <c r="AR100" s="47"/>
      <c r="AS100" s="47"/>
      <c r="AT100" s="47"/>
      <c r="AU100" s="47"/>
      <c r="AV100" s="47"/>
      <c r="AW100" s="47"/>
      <c r="AX100" s="47"/>
      <c r="AY100" s="47"/>
      <c r="AZ100" s="47"/>
      <c r="BA100" s="47"/>
      <c r="BB100" s="47"/>
      <c r="BC100" s="47"/>
      <c r="BD100" s="47"/>
      <c r="BE100" s="47"/>
      <c r="BF100" s="47"/>
      <c r="BG100" s="47"/>
      <c r="BH100" s="47"/>
      <c r="BI100" s="47"/>
      <c r="BJ100" s="47"/>
      <c r="BK100" s="47"/>
      <c r="BL100" s="47"/>
      <c r="BM100" s="47"/>
      <c r="BN100" s="47"/>
      <c r="BO100" s="47"/>
      <c r="BP100" s="47"/>
      <c r="BQ100" s="47"/>
      <c r="BR100" s="47"/>
      <c r="BS100" s="47"/>
      <c r="BT100" s="47"/>
      <c r="BU100" s="47"/>
      <c r="BV100" s="47"/>
      <c r="BW100" s="47"/>
      <c r="BX100" s="47"/>
      <c r="BY100" s="47"/>
      <c r="BZ100" s="47"/>
    </row>
    <row r="101" spans="1:78" ht="13">
      <c r="A101" s="48" t="str">
        <f ca="1">'.'!A101</f>
        <v>Charm Scroll</v>
      </c>
      <c r="B101" s="46" t="str">
        <f t="array" aca="1" ref="B101" ca="1">IF('.'!B101="","",'.'!B101&amp;IF(VLOOKUP('.'!B101,Recipes!$A:$D,4,FALSE)="",""," ["&amp;VLOOKUP('.'!B101,Recipes!$A:$D,4,FALSE)&amp;"]"))</f>
        <v>Dominate Mind Skillbook [200]</v>
      </c>
      <c r="C101" s="46" t="str">
        <f t="array" ref="C101">IF('.'!C101="","",'.'!C101&amp;IF(VLOOKUP('.'!C101,Recipes!$A:$D,4,FALSE)="",""," ["&amp;VLOOKUP('.'!C101,Recipes!$A:$D,4,FALSE)&amp;"]"))</f>
        <v/>
      </c>
      <c r="D101" s="46" t="str">
        <f t="array" ref="D101">IF('.'!D101="","",'.'!D101&amp;IF(VLOOKUP('.'!D101,Recipes!$A:$D,4,FALSE)="",""," ["&amp;VLOOKUP('.'!D101,Recipes!$A:$D,4,FALSE)&amp;"]"))</f>
        <v/>
      </c>
      <c r="E101" s="46" t="str">
        <f t="array" ref="E101">IF('.'!E101="","",'.'!E101&amp;IF(VLOOKUP('.'!E101,Recipes!$A:$D,4,FALSE)="",""," ["&amp;VLOOKUP('.'!E101,Recipes!$A:$D,4,FALSE)&amp;"]"))</f>
        <v/>
      </c>
      <c r="F101" s="46" t="str">
        <f t="array" ref="F101">IF('.'!F101="","",'.'!F101&amp;IF(VLOOKUP('.'!F101,Recipes!$A:$D,4,FALSE)="",""," ["&amp;VLOOKUP('.'!F101,Recipes!$A:$D,4,FALSE)&amp;"]"))</f>
        <v/>
      </c>
      <c r="G101" s="46" t="str">
        <f t="array" ref="G101">IF('.'!G101="","",'.'!G101&amp;IF(VLOOKUP('.'!G101,Recipes!$A:$D,4,FALSE)="",""," ["&amp;VLOOKUP('.'!G101,Recipes!$A:$D,4,FALSE)&amp;"]"))</f>
        <v/>
      </c>
      <c r="H101" s="46" t="str">
        <f t="array" ref="H101">IF('.'!H101="","",'.'!H101&amp;IF(VLOOKUP('.'!H101,Recipes!$A:$D,4,FALSE)="",""," ["&amp;VLOOKUP('.'!H101,Recipes!$A:$D,4,FALSE)&amp;"]"))</f>
        <v/>
      </c>
      <c r="I101" s="46" t="str">
        <f t="array" ref="I101">IF('.'!I101="","",'.'!I101&amp;IF(VLOOKUP('.'!I101,Recipes!$A:$D,4,FALSE)="",""," ["&amp;VLOOKUP('.'!I101,Recipes!$A:$D,4,FALSE)&amp;"]"))</f>
        <v/>
      </c>
      <c r="J101" s="46" t="str">
        <f t="array" ref="J101">IF('.'!J101="","",'.'!J101&amp;IF(VLOOKUP('.'!J101,Recipes!$A:$D,4,FALSE)="",""," ["&amp;VLOOKUP('.'!J101,Recipes!$A:$D,4,FALSE)&amp;"]"))</f>
        <v/>
      </c>
      <c r="K101" s="46" t="str">
        <f t="array" ref="K101">IF('.'!K101="","",'.'!K101&amp;IF(VLOOKUP('.'!K101,Recipes!$A:$D,4,FALSE)="",""," ["&amp;VLOOKUP('.'!K101,Recipes!$A:$D,4,FALSE)&amp;"]"))</f>
        <v/>
      </c>
      <c r="L101" s="46" t="str">
        <f t="array" ref="L101">IF('.'!L101="","",'.'!L101&amp;IF(VLOOKUP('.'!L101,Recipes!$A:$D,4,FALSE)="",""," ["&amp;VLOOKUP('.'!L101,Recipes!$A:$D,4,FALSE)&amp;"]"))</f>
        <v/>
      </c>
      <c r="M101" s="46" t="str">
        <f t="array" ref="M101">IF('.'!M101="","",'.'!M101&amp;IF(VLOOKUP('.'!M101,Recipes!$A:$D,4,FALSE)="",""," ["&amp;VLOOKUP('.'!M101,Recipes!$A:$D,4,FALSE)&amp;"]"))</f>
        <v/>
      </c>
      <c r="N101" s="46" t="str">
        <f t="array" ref="N101">IF('.'!N101="","",'.'!N101&amp;IF(VLOOKUP('.'!N101,Recipes!$A:$D,4,FALSE)="",""," ["&amp;VLOOKUP('.'!N101,Recipes!$A:$D,4,FALSE)&amp;"]"))</f>
        <v/>
      </c>
      <c r="O101" s="46" t="str">
        <f t="array" ref="O101">IF('.'!O101="","",'.'!O101&amp;IF(VLOOKUP('.'!O101,Recipes!$A:$D,4,FALSE)="",""," ["&amp;VLOOKUP('.'!O101,Recipes!$A:$D,4,FALSE)&amp;"]"))</f>
        <v/>
      </c>
      <c r="P101" s="46" t="str">
        <f t="array" ref="P101">IF('.'!P101="","",'.'!P101&amp;IF(VLOOKUP('.'!P101,Recipes!$A:$D,4,FALSE)="",""," ["&amp;VLOOKUP('.'!P101,Recipes!$A:$D,4,FALSE)&amp;"]"))</f>
        <v/>
      </c>
      <c r="Q101" s="46" t="str">
        <f t="array" ref="Q101">IF('.'!Q101="","",'.'!Q101&amp;IF(VLOOKUP('.'!Q101,Recipes!$A:$D,4,FALSE)="",""," ["&amp;VLOOKUP('.'!Q101,Recipes!$A:$D,4,FALSE)&amp;"]"))</f>
        <v/>
      </c>
      <c r="R101" s="46" t="str">
        <f t="array" ref="R101">IF('.'!R101="","",'.'!R101&amp;IF(VLOOKUP('.'!R101,Recipes!$A:$D,4,FALSE)="",""," ["&amp;VLOOKUP('.'!R101,Recipes!$A:$D,4,FALSE)&amp;"]"))</f>
        <v/>
      </c>
      <c r="S101" s="46" t="str">
        <f t="array" ref="S101">IF('.'!S101="","",'.'!S101&amp;IF(VLOOKUP('.'!S101,Recipes!$A:$D,4,FALSE)="",""," ["&amp;VLOOKUP('.'!S101,Recipes!$A:$D,4,FALSE)&amp;"]"))</f>
        <v/>
      </c>
      <c r="T101" s="46" t="str">
        <f t="array" ref="T101">IF('.'!T101="","",'.'!T101&amp;IF(VLOOKUP('.'!T101,Recipes!$A:$D,4,FALSE)="",""," ["&amp;VLOOKUP('.'!T101,Recipes!$A:$D,4,FALSE)&amp;"]"))</f>
        <v/>
      </c>
      <c r="U101" s="46" t="str">
        <f t="array" ref="U101">IF('.'!U101="","",'.'!U101&amp;IF(VLOOKUP('.'!U101,Recipes!$A:$D,4,FALSE)="",""," ["&amp;VLOOKUP('.'!U101,Recipes!$A:$D,4,FALSE)&amp;"]"))</f>
        <v/>
      </c>
      <c r="V101" s="46" t="str">
        <f t="array" ref="V101">IF('.'!V101="","",'.'!V101&amp;IF(VLOOKUP('.'!V101,Recipes!$A:$D,4,FALSE)="",""," ["&amp;VLOOKUP('.'!V101,Recipes!$A:$D,4,FALSE)&amp;"]"))</f>
        <v/>
      </c>
      <c r="W101" s="46" t="str">
        <f t="array" ref="W101">IF('.'!W101="","",'.'!W101&amp;IF(VLOOKUP('.'!W101,Recipes!$A:$D,4,FALSE)="",""," ["&amp;VLOOKUP('.'!W101,Recipes!$A:$D,4,FALSE)&amp;"]"))</f>
        <v/>
      </c>
      <c r="X101" s="46" t="str">
        <f t="array" ref="X101">IF('.'!X101="","",'.'!X101&amp;IF(VLOOKUP('.'!X101,Recipes!$A:$D,4,FALSE)="",""," ["&amp;VLOOKUP('.'!X101,Recipes!$A:$D,4,FALSE)&amp;"]"))</f>
        <v/>
      </c>
      <c r="Y101" s="46" t="str">
        <f t="array" ref="Y101">IF('.'!Y101="","",'.'!Y101&amp;IF(VLOOKUP('.'!Y101,Recipes!$A:$D,4,FALSE)="",""," ["&amp;VLOOKUP('.'!Y101,Recipes!$A:$D,4,FALSE)&amp;"]"))</f>
        <v/>
      </c>
      <c r="Z101" s="46" t="str">
        <f t="array" ref="Z101">IF('.'!Z101="","",'.'!Z101&amp;IF(VLOOKUP('.'!Z101,Recipes!$A:$D,4,FALSE)="",""," ["&amp;VLOOKUP('.'!Z101,Recipes!$A:$D,4,FALSE)&amp;"]"))</f>
        <v/>
      </c>
      <c r="AA101" s="46" t="str">
        <f t="array" ref="AA101">IF('.'!AA101="","",'.'!AA101&amp;IF(VLOOKUP('.'!AA101,Recipes!$A:$D,4,FALSE)="",""," ["&amp;VLOOKUP('.'!AA101,Recipes!$A:$D,4,FALSE)&amp;"]"))</f>
        <v/>
      </c>
      <c r="AB101" s="46" t="str">
        <f t="array" ref="AB101">IF('.'!AB101="","",'.'!AB101&amp;IF(VLOOKUP('.'!AB101,Recipes!$A:$D,4,FALSE)="",""," ["&amp;VLOOKUP('.'!AB101,Recipes!$A:$D,4,FALSE)&amp;"]"))</f>
        <v/>
      </c>
      <c r="AC101" s="46" t="str">
        <f t="array" ref="AC101">IF('.'!AC101="","",'.'!AC101&amp;IF(VLOOKUP('.'!AC101,Recipes!$A:$D,4,FALSE)="",""," ["&amp;VLOOKUP('.'!AC101,Recipes!$A:$D,4,FALSE)&amp;"]"))</f>
        <v/>
      </c>
      <c r="AD101" s="46" t="str">
        <f t="array" ref="AD101">IF('.'!AD101="","",'.'!AD101&amp;IF(VLOOKUP('.'!AD101,Recipes!$A:$D,4,FALSE)="",""," ["&amp;VLOOKUP('.'!AD101,Recipes!$A:$D,4,FALSE)&amp;"]"))</f>
        <v/>
      </c>
      <c r="AE101" s="47"/>
      <c r="AF101" s="47"/>
      <c r="AG101" s="47"/>
      <c r="AH101" s="47"/>
      <c r="AI101" s="47"/>
      <c r="AJ101" s="47"/>
      <c r="AK101" s="47"/>
      <c r="AL101" s="47"/>
      <c r="AM101" s="47"/>
      <c r="AN101" s="47"/>
      <c r="AO101" s="47"/>
      <c r="AP101" s="47"/>
      <c r="AQ101" s="47"/>
      <c r="AR101" s="47"/>
      <c r="AS101" s="47"/>
      <c r="AT101" s="47"/>
      <c r="AU101" s="47"/>
      <c r="AV101" s="47"/>
      <c r="AW101" s="47"/>
      <c r="AX101" s="47"/>
      <c r="AY101" s="47"/>
      <c r="AZ101" s="47"/>
      <c r="BA101" s="47"/>
      <c r="BB101" s="47"/>
      <c r="BC101" s="47"/>
      <c r="BD101" s="47"/>
      <c r="BE101" s="47"/>
      <c r="BF101" s="47"/>
      <c r="BG101" s="47"/>
      <c r="BH101" s="47"/>
      <c r="BI101" s="47"/>
      <c r="BJ101" s="47"/>
      <c r="BK101" s="47"/>
      <c r="BL101" s="47"/>
      <c r="BM101" s="47"/>
      <c r="BN101" s="47"/>
      <c r="BO101" s="47"/>
      <c r="BP101" s="47"/>
      <c r="BQ101" s="47"/>
      <c r="BR101" s="47"/>
      <c r="BS101" s="47"/>
      <c r="BT101" s="47"/>
      <c r="BU101" s="47"/>
      <c r="BV101" s="47"/>
      <c r="BW101" s="47"/>
      <c r="BX101" s="47"/>
      <c r="BY101" s="47"/>
      <c r="BZ101" s="47"/>
    </row>
    <row r="102" spans="1:78" ht="13">
      <c r="A102" s="48" t="str">
        <f ca="1">'.'!A102</f>
        <v>Charming Arrowhead</v>
      </c>
      <c r="B102" s="46" t="str">
        <f t="array" aca="1" ref="B102" ca="1">IF('.'!B102="","",'.'!B102&amp;IF(VLOOKUP('.'!B102,Recipes!$A:$D,4,FALSE)="",""," ["&amp;VLOOKUP('.'!B102,Recipes!$A:$D,4,FALSE)&amp;"]"))</f>
        <v>Charming Arrow [19]</v>
      </c>
      <c r="C102" s="46" t="str">
        <f t="array" ref="C102">IF('.'!C102="","",'.'!C102&amp;IF(VLOOKUP('.'!C102,Recipes!$A:$D,4,FALSE)="",""," ["&amp;VLOOKUP('.'!C102,Recipes!$A:$D,4,FALSE)&amp;"]"))</f>
        <v/>
      </c>
      <c r="D102" s="46" t="str">
        <f t="array" ref="D102">IF('.'!D102="","",'.'!D102&amp;IF(VLOOKUP('.'!D102,Recipes!$A:$D,4,FALSE)="",""," ["&amp;VLOOKUP('.'!D102,Recipes!$A:$D,4,FALSE)&amp;"]"))</f>
        <v/>
      </c>
      <c r="E102" s="46" t="str">
        <f t="array" ref="E102">IF('.'!E102="","",'.'!E102&amp;IF(VLOOKUP('.'!E102,Recipes!$A:$D,4,FALSE)="",""," ["&amp;VLOOKUP('.'!E102,Recipes!$A:$D,4,FALSE)&amp;"]"))</f>
        <v/>
      </c>
      <c r="F102" s="46" t="str">
        <f t="array" ref="F102">IF('.'!F102="","",'.'!F102&amp;IF(VLOOKUP('.'!F102,Recipes!$A:$D,4,FALSE)="",""," ["&amp;VLOOKUP('.'!F102,Recipes!$A:$D,4,FALSE)&amp;"]"))</f>
        <v/>
      </c>
      <c r="G102" s="46" t="str">
        <f t="array" ref="G102">IF('.'!G102="","",'.'!G102&amp;IF(VLOOKUP('.'!G102,Recipes!$A:$D,4,FALSE)="",""," ["&amp;VLOOKUP('.'!G102,Recipes!$A:$D,4,FALSE)&amp;"]"))</f>
        <v/>
      </c>
      <c r="H102" s="46" t="str">
        <f t="array" ref="H102">IF('.'!H102="","",'.'!H102&amp;IF(VLOOKUP('.'!H102,Recipes!$A:$D,4,FALSE)="",""," ["&amp;VLOOKUP('.'!H102,Recipes!$A:$D,4,FALSE)&amp;"]"))</f>
        <v/>
      </c>
      <c r="I102" s="46" t="str">
        <f t="array" ref="I102">IF('.'!I102="","",'.'!I102&amp;IF(VLOOKUP('.'!I102,Recipes!$A:$D,4,FALSE)="",""," ["&amp;VLOOKUP('.'!I102,Recipes!$A:$D,4,FALSE)&amp;"]"))</f>
        <v/>
      </c>
      <c r="J102" s="46" t="str">
        <f t="array" ref="J102">IF('.'!J102="","",'.'!J102&amp;IF(VLOOKUP('.'!J102,Recipes!$A:$D,4,FALSE)="",""," ["&amp;VLOOKUP('.'!J102,Recipes!$A:$D,4,FALSE)&amp;"]"))</f>
        <v/>
      </c>
      <c r="K102" s="46" t="str">
        <f t="array" ref="K102">IF('.'!K102="","",'.'!K102&amp;IF(VLOOKUP('.'!K102,Recipes!$A:$D,4,FALSE)="",""," ["&amp;VLOOKUP('.'!K102,Recipes!$A:$D,4,FALSE)&amp;"]"))</f>
        <v/>
      </c>
      <c r="L102" s="46" t="str">
        <f t="array" ref="L102">IF('.'!L102="","",'.'!L102&amp;IF(VLOOKUP('.'!L102,Recipes!$A:$D,4,FALSE)="",""," ["&amp;VLOOKUP('.'!L102,Recipes!$A:$D,4,FALSE)&amp;"]"))</f>
        <v/>
      </c>
      <c r="M102" s="46" t="str">
        <f t="array" ref="M102">IF('.'!M102="","",'.'!M102&amp;IF(VLOOKUP('.'!M102,Recipes!$A:$D,4,FALSE)="",""," ["&amp;VLOOKUP('.'!M102,Recipes!$A:$D,4,FALSE)&amp;"]"))</f>
        <v/>
      </c>
      <c r="N102" s="46" t="str">
        <f t="array" ref="N102">IF('.'!N102="","",'.'!N102&amp;IF(VLOOKUP('.'!N102,Recipes!$A:$D,4,FALSE)="",""," ["&amp;VLOOKUP('.'!N102,Recipes!$A:$D,4,FALSE)&amp;"]"))</f>
        <v/>
      </c>
      <c r="O102" s="46" t="str">
        <f t="array" ref="O102">IF('.'!O102="","",'.'!O102&amp;IF(VLOOKUP('.'!O102,Recipes!$A:$D,4,FALSE)="",""," ["&amp;VLOOKUP('.'!O102,Recipes!$A:$D,4,FALSE)&amp;"]"))</f>
        <v/>
      </c>
      <c r="P102" s="46" t="str">
        <f t="array" ref="P102">IF('.'!P102="","",'.'!P102&amp;IF(VLOOKUP('.'!P102,Recipes!$A:$D,4,FALSE)="",""," ["&amp;VLOOKUP('.'!P102,Recipes!$A:$D,4,FALSE)&amp;"]"))</f>
        <v/>
      </c>
      <c r="Q102" s="46" t="str">
        <f t="array" ref="Q102">IF('.'!Q102="","",'.'!Q102&amp;IF(VLOOKUP('.'!Q102,Recipes!$A:$D,4,FALSE)="",""," ["&amp;VLOOKUP('.'!Q102,Recipes!$A:$D,4,FALSE)&amp;"]"))</f>
        <v/>
      </c>
      <c r="R102" s="46" t="str">
        <f t="array" ref="R102">IF('.'!R102="","",'.'!R102&amp;IF(VLOOKUP('.'!R102,Recipes!$A:$D,4,FALSE)="",""," ["&amp;VLOOKUP('.'!R102,Recipes!$A:$D,4,FALSE)&amp;"]"))</f>
        <v/>
      </c>
      <c r="S102" s="46" t="str">
        <f t="array" ref="S102">IF('.'!S102="","",'.'!S102&amp;IF(VLOOKUP('.'!S102,Recipes!$A:$D,4,FALSE)="",""," ["&amp;VLOOKUP('.'!S102,Recipes!$A:$D,4,FALSE)&amp;"]"))</f>
        <v/>
      </c>
      <c r="T102" s="46" t="str">
        <f t="array" ref="T102">IF('.'!T102="","",'.'!T102&amp;IF(VLOOKUP('.'!T102,Recipes!$A:$D,4,FALSE)="",""," ["&amp;VLOOKUP('.'!T102,Recipes!$A:$D,4,FALSE)&amp;"]"))</f>
        <v/>
      </c>
      <c r="U102" s="46" t="str">
        <f t="array" ref="U102">IF('.'!U102="","",'.'!U102&amp;IF(VLOOKUP('.'!U102,Recipes!$A:$D,4,FALSE)="",""," ["&amp;VLOOKUP('.'!U102,Recipes!$A:$D,4,FALSE)&amp;"]"))</f>
        <v/>
      </c>
      <c r="V102" s="46" t="str">
        <f t="array" ref="V102">IF('.'!V102="","",'.'!V102&amp;IF(VLOOKUP('.'!V102,Recipes!$A:$D,4,FALSE)="",""," ["&amp;VLOOKUP('.'!V102,Recipes!$A:$D,4,FALSE)&amp;"]"))</f>
        <v/>
      </c>
      <c r="W102" s="46" t="str">
        <f t="array" ref="W102">IF('.'!W102="","",'.'!W102&amp;IF(VLOOKUP('.'!W102,Recipes!$A:$D,4,FALSE)="",""," ["&amp;VLOOKUP('.'!W102,Recipes!$A:$D,4,FALSE)&amp;"]"))</f>
        <v/>
      </c>
      <c r="X102" s="46" t="str">
        <f t="array" ref="X102">IF('.'!X102="","",'.'!X102&amp;IF(VLOOKUP('.'!X102,Recipes!$A:$D,4,FALSE)="",""," ["&amp;VLOOKUP('.'!X102,Recipes!$A:$D,4,FALSE)&amp;"]"))</f>
        <v/>
      </c>
      <c r="Y102" s="46" t="str">
        <f t="array" ref="Y102">IF('.'!Y102="","",'.'!Y102&amp;IF(VLOOKUP('.'!Y102,Recipes!$A:$D,4,FALSE)="",""," ["&amp;VLOOKUP('.'!Y102,Recipes!$A:$D,4,FALSE)&amp;"]"))</f>
        <v/>
      </c>
      <c r="Z102" s="46" t="str">
        <f t="array" ref="Z102">IF('.'!Z102="","",'.'!Z102&amp;IF(VLOOKUP('.'!Z102,Recipes!$A:$D,4,FALSE)="",""," ["&amp;VLOOKUP('.'!Z102,Recipes!$A:$D,4,FALSE)&amp;"]"))</f>
        <v/>
      </c>
      <c r="AA102" s="46" t="str">
        <f t="array" ref="AA102">IF('.'!AA102="","",'.'!AA102&amp;IF(VLOOKUP('.'!AA102,Recipes!$A:$D,4,FALSE)="",""," ["&amp;VLOOKUP('.'!AA102,Recipes!$A:$D,4,FALSE)&amp;"]"))</f>
        <v/>
      </c>
      <c r="AB102" s="46" t="str">
        <f t="array" ref="AB102">IF('.'!AB102="","",'.'!AB102&amp;IF(VLOOKUP('.'!AB102,Recipes!$A:$D,4,FALSE)="",""," ["&amp;VLOOKUP('.'!AB102,Recipes!$A:$D,4,FALSE)&amp;"]"))</f>
        <v/>
      </c>
      <c r="AC102" s="46" t="str">
        <f t="array" ref="AC102">IF('.'!AC102="","",'.'!AC102&amp;IF(VLOOKUP('.'!AC102,Recipes!$A:$D,4,FALSE)="",""," ["&amp;VLOOKUP('.'!AC102,Recipes!$A:$D,4,FALSE)&amp;"]"))</f>
        <v/>
      </c>
      <c r="AD102" s="46" t="str">
        <f t="array" ref="AD102">IF('.'!AD102="","",'.'!AD102&amp;IF(VLOOKUP('.'!AD102,Recipes!$A:$D,4,FALSE)="",""," ["&amp;VLOOKUP('.'!AD102,Recipes!$A:$D,4,FALSE)&amp;"]"))</f>
        <v/>
      </c>
      <c r="AE102" s="47"/>
      <c r="AF102" s="47"/>
      <c r="AG102" s="47"/>
      <c r="AH102" s="47"/>
      <c r="AI102" s="47"/>
      <c r="AJ102" s="47"/>
      <c r="AK102" s="47"/>
      <c r="AL102" s="47"/>
      <c r="AM102" s="47"/>
      <c r="AN102" s="47"/>
      <c r="AO102" s="47"/>
      <c r="AP102" s="47"/>
      <c r="AQ102" s="47"/>
      <c r="AR102" s="47"/>
      <c r="AS102" s="47"/>
      <c r="AT102" s="47"/>
      <c r="AU102" s="47"/>
      <c r="AV102" s="47"/>
      <c r="AW102" s="47"/>
      <c r="AX102" s="47"/>
      <c r="AY102" s="47"/>
      <c r="AZ102" s="47"/>
      <c r="BA102" s="47"/>
      <c r="BB102" s="47"/>
      <c r="BC102" s="47"/>
      <c r="BD102" s="47"/>
      <c r="BE102" s="47"/>
      <c r="BF102" s="47"/>
      <c r="BG102" s="47"/>
      <c r="BH102" s="47"/>
      <c r="BI102" s="47"/>
      <c r="BJ102" s="47"/>
      <c r="BK102" s="47"/>
      <c r="BL102" s="47"/>
      <c r="BM102" s="47"/>
      <c r="BN102" s="47"/>
      <c r="BO102" s="47"/>
      <c r="BP102" s="47"/>
      <c r="BQ102" s="47"/>
      <c r="BR102" s="47"/>
      <c r="BS102" s="47"/>
      <c r="BT102" s="47"/>
      <c r="BU102" s="47"/>
      <c r="BV102" s="47"/>
      <c r="BW102" s="47"/>
      <c r="BX102" s="47"/>
      <c r="BY102" s="47"/>
      <c r="BZ102" s="47"/>
    </row>
    <row r="103" spans="1:78" ht="13">
      <c r="A103" s="48" t="str">
        <f ca="1">'.'!A103</f>
        <v>Cheese</v>
      </c>
      <c r="B103" s="46" t="str">
        <f t="array" aca="1" ref="B103" ca="1">IF('.'!B103="","",'.'!B103&amp;IF(VLOOKUP('.'!B103,Recipes!$A:$D,4,FALSE)="",""," ["&amp;VLOOKUP('.'!B103,Recipes!$A:$D,4,FALSE)&amp;"]"))</f>
        <v>Cheese Bread Dough [-1]</v>
      </c>
      <c r="C103" s="46" t="str">
        <f t="array" ref="C103">IF('.'!C103="","",'.'!C103&amp;IF(VLOOKUP('.'!C103,Recipes!$A:$D,4,FALSE)="",""," ["&amp;VLOOKUP('.'!C103,Recipes!$A:$D,4,FALSE)&amp;"]"))</f>
        <v/>
      </c>
      <c r="D103" s="46" t="str">
        <f t="array" ref="D103">IF('.'!D103="","",'.'!D103&amp;IF(VLOOKUP('.'!D103,Recipes!$A:$D,4,FALSE)="",""," ["&amp;VLOOKUP('.'!D103,Recipes!$A:$D,4,FALSE)&amp;"]"))</f>
        <v/>
      </c>
      <c r="E103" s="46" t="str">
        <f t="array" ref="E103">IF('.'!E103="","",'.'!E103&amp;IF(VLOOKUP('.'!E103,Recipes!$A:$D,4,FALSE)="",""," ["&amp;VLOOKUP('.'!E103,Recipes!$A:$D,4,FALSE)&amp;"]"))</f>
        <v/>
      </c>
      <c r="F103" s="46" t="str">
        <f t="array" ref="F103">IF('.'!F103="","",'.'!F103&amp;IF(VLOOKUP('.'!F103,Recipes!$A:$D,4,FALSE)="",""," ["&amp;VLOOKUP('.'!F103,Recipes!$A:$D,4,FALSE)&amp;"]"))</f>
        <v/>
      </c>
      <c r="G103" s="46" t="str">
        <f t="array" ref="G103">IF('.'!G103="","",'.'!G103&amp;IF(VLOOKUP('.'!G103,Recipes!$A:$D,4,FALSE)="",""," ["&amp;VLOOKUP('.'!G103,Recipes!$A:$D,4,FALSE)&amp;"]"))</f>
        <v/>
      </c>
      <c r="H103" s="46" t="str">
        <f t="array" ref="H103">IF('.'!H103="","",'.'!H103&amp;IF(VLOOKUP('.'!H103,Recipes!$A:$D,4,FALSE)="",""," ["&amp;VLOOKUP('.'!H103,Recipes!$A:$D,4,FALSE)&amp;"]"))</f>
        <v/>
      </c>
      <c r="I103" s="46" t="str">
        <f t="array" ref="I103">IF('.'!I103="","",'.'!I103&amp;IF(VLOOKUP('.'!I103,Recipes!$A:$D,4,FALSE)="",""," ["&amp;VLOOKUP('.'!I103,Recipes!$A:$D,4,FALSE)&amp;"]"))</f>
        <v/>
      </c>
      <c r="J103" s="46" t="str">
        <f t="array" ref="J103">IF('.'!J103="","",'.'!J103&amp;IF(VLOOKUP('.'!J103,Recipes!$A:$D,4,FALSE)="",""," ["&amp;VLOOKUP('.'!J103,Recipes!$A:$D,4,FALSE)&amp;"]"))</f>
        <v/>
      </c>
      <c r="K103" s="46" t="str">
        <f t="array" ref="K103">IF('.'!K103="","",'.'!K103&amp;IF(VLOOKUP('.'!K103,Recipes!$A:$D,4,FALSE)="",""," ["&amp;VLOOKUP('.'!K103,Recipes!$A:$D,4,FALSE)&amp;"]"))</f>
        <v/>
      </c>
      <c r="L103" s="46" t="str">
        <f t="array" ref="L103">IF('.'!L103="","",'.'!L103&amp;IF(VLOOKUP('.'!L103,Recipes!$A:$D,4,FALSE)="",""," ["&amp;VLOOKUP('.'!L103,Recipes!$A:$D,4,FALSE)&amp;"]"))</f>
        <v/>
      </c>
      <c r="M103" s="46" t="str">
        <f t="array" ref="M103">IF('.'!M103="","",'.'!M103&amp;IF(VLOOKUP('.'!M103,Recipes!$A:$D,4,FALSE)="",""," ["&amp;VLOOKUP('.'!M103,Recipes!$A:$D,4,FALSE)&amp;"]"))</f>
        <v/>
      </c>
      <c r="N103" s="46" t="str">
        <f t="array" ref="N103">IF('.'!N103="","",'.'!N103&amp;IF(VLOOKUP('.'!N103,Recipes!$A:$D,4,FALSE)="",""," ["&amp;VLOOKUP('.'!N103,Recipes!$A:$D,4,FALSE)&amp;"]"))</f>
        <v/>
      </c>
      <c r="O103" s="46" t="str">
        <f t="array" ref="O103">IF('.'!O103="","",'.'!O103&amp;IF(VLOOKUP('.'!O103,Recipes!$A:$D,4,FALSE)="",""," ["&amp;VLOOKUP('.'!O103,Recipes!$A:$D,4,FALSE)&amp;"]"))</f>
        <v/>
      </c>
      <c r="P103" s="46" t="str">
        <f t="array" ref="P103">IF('.'!P103="","",'.'!P103&amp;IF(VLOOKUP('.'!P103,Recipes!$A:$D,4,FALSE)="",""," ["&amp;VLOOKUP('.'!P103,Recipes!$A:$D,4,FALSE)&amp;"]"))</f>
        <v/>
      </c>
      <c r="Q103" s="46" t="str">
        <f t="array" ref="Q103">IF('.'!Q103="","",'.'!Q103&amp;IF(VLOOKUP('.'!Q103,Recipes!$A:$D,4,FALSE)="",""," ["&amp;VLOOKUP('.'!Q103,Recipes!$A:$D,4,FALSE)&amp;"]"))</f>
        <v/>
      </c>
      <c r="R103" s="46" t="str">
        <f t="array" ref="R103">IF('.'!R103="","",'.'!R103&amp;IF(VLOOKUP('.'!R103,Recipes!$A:$D,4,FALSE)="",""," ["&amp;VLOOKUP('.'!R103,Recipes!$A:$D,4,FALSE)&amp;"]"))</f>
        <v/>
      </c>
      <c r="S103" s="46" t="str">
        <f t="array" ref="S103">IF('.'!S103="","",'.'!S103&amp;IF(VLOOKUP('.'!S103,Recipes!$A:$D,4,FALSE)="",""," ["&amp;VLOOKUP('.'!S103,Recipes!$A:$D,4,FALSE)&amp;"]"))</f>
        <v/>
      </c>
      <c r="T103" s="46" t="str">
        <f t="array" ref="T103">IF('.'!T103="","",'.'!T103&amp;IF(VLOOKUP('.'!T103,Recipes!$A:$D,4,FALSE)="",""," ["&amp;VLOOKUP('.'!T103,Recipes!$A:$D,4,FALSE)&amp;"]"))</f>
        <v/>
      </c>
      <c r="U103" s="46" t="str">
        <f t="array" ref="U103">IF('.'!U103="","",'.'!U103&amp;IF(VLOOKUP('.'!U103,Recipes!$A:$D,4,FALSE)="",""," ["&amp;VLOOKUP('.'!U103,Recipes!$A:$D,4,FALSE)&amp;"]"))</f>
        <v/>
      </c>
      <c r="V103" s="46" t="str">
        <f t="array" ref="V103">IF('.'!V103="","",'.'!V103&amp;IF(VLOOKUP('.'!V103,Recipes!$A:$D,4,FALSE)="",""," ["&amp;VLOOKUP('.'!V103,Recipes!$A:$D,4,FALSE)&amp;"]"))</f>
        <v/>
      </c>
      <c r="W103" s="46" t="str">
        <f t="array" ref="W103">IF('.'!W103="","",'.'!W103&amp;IF(VLOOKUP('.'!W103,Recipes!$A:$D,4,FALSE)="",""," ["&amp;VLOOKUP('.'!W103,Recipes!$A:$D,4,FALSE)&amp;"]"))</f>
        <v/>
      </c>
      <c r="X103" s="46" t="str">
        <f t="array" ref="X103">IF('.'!X103="","",'.'!X103&amp;IF(VLOOKUP('.'!X103,Recipes!$A:$D,4,FALSE)="",""," ["&amp;VLOOKUP('.'!X103,Recipes!$A:$D,4,FALSE)&amp;"]"))</f>
        <v/>
      </c>
      <c r="Y103" s="46" t="str">
        <f t="array" ref="Y103">IF('.'!Y103="","",'.'!Y103&amp;IF(VLOOKUP('.'!Y103,Recipes!$A:$D,4,FALSE)="",""," ["&amp;VLOOKUP('.'!Y103,Recipes!$A:$D,4,FALSE)&amp;"]"))</f>
        <v/>
      </c>
      <c r="Z103" s="46" t="str">
        <f t="array" ref="Z103">IF('.'!Z103="","",'.'!Z103&amp;IF(VLOOKUP('.'!Z103,Recipes!$A:$D,4,FALSE)="",""," ["&amp;VLOOKUP('.'!Z103,Recipes!$A:$D,4,FALSE)&amp;"]"))</f>
        <v/>
      </c>
      <c r="AA103" s="46" t="str">
        <f t="array" ref="AA103">IF('.'!AA103="","",'.'!AA103&amp;IF(VLOOKUP('.'!AA103,Recipes!$A:$D,4,FALSE)="",""," ["&amp;VLOOKUP('.'!AA103,Recipes!$A:$D,4,FALSE)&amp;"]"))</f>
        <v/>
      </c>
      <c r="AB103" s="46" t="str">
        <f t="array" ref="AB103">IF('.'!AB103="","",'.'!AB103&amp;IF(VLOOKUP('.'!AB103,Recipes!$A:$D,4,FALSE)="",""," ["&amp;VLOOKUP('.'!AB103,Recipes!$A:$D,4,FALSE)&amp;"]"))</f>
        <v/>
      </c>
      <c r="AC103" s="46" t="str">
        <f t="array" ref="AC103">IF('.'!AC103="","",'.'!AC103&amp;IF(VLOOKUP('.'!AC103,Recipes!$A:$D,4,FALSE)="",""," ["&amp;VLOOKUP('.'!AC103,Recipes!$A:$D,4,FALSE)&amp;"]"))</f>
        <v/>
      </c>
      <c r="AD103" s="46" t="str">
        <f t="array" ref="AD103">IF('.'!AD103="","",'.'!AD103&amp;IF(VLOOKUP('.'!AD103,Recipes!$A:$D,4,FALSE)="",""," ["&amp;VLOOKUP('.'!AD103,Recipes!$A:$D,4,FALSE)&amp;"]"))</f>
        <v/>
      </c>
      <c r="AE103" s="47"/>
      <c r="AF103" s="47"/>
      <c r="AG103" s="47"/>
      <c r="AH103" s="47"/>
      <c r="AI103" s="47"/>
      <c r="AJ103" s="47"/>
      <c r="AK103" s="47"/>
      <c r="AL103" s="47"/>
      <c r="AM103" s="47"/>
      <c r="AN103" s="47"/>
      <c r="AO103" s="47"/>
      <c r="AP103" s="47"/>
      <c r="AQ103" s="47"/>
      <c r="AR103" s="47"/>
      <c r="AS103" s="47"/>
      <c r="AT103" s="47"/>
      <c r="AU103" s="47"/>
      <c r="AV103" s="47"/>
      <c r="AW103" s="47"/>
      <c r="AX103" s="47"/>
      <c r="AY103" s="47"/>
      <c r="AZ103" s="47"/>
      <c r="BA103" s="47"/>
      <c r="BB103" s="47"/>
      <c r="BC103" s="47"/>
      <c r="BD103" s="47"/>
      <c r="BE103" s="47"/>
      <c r="BF103" s="47"/>
      <c r="BG103" s="47"/>
      <c r="BH103" s="47"/>
      <c r="BI103" s="47"/>
      <c r="BJ103" s="47"/>
      <c r="BK103" s="47"/>
      <c r="BL103" s="47"/>
      <c r="BM103" s="47"/>
      <c r="BN103" s="47"/>
      <c r="BO103" s="47"/>
      <c r="BP103" s="47"/>
      <c r="BQ103" s="47"/>
      <c r="BR103" s="47"/>
      <c r="BS103" s="47"/>
      <c r="BT103" s="47"/>
      <c r="BU103" s="47"/>
      <c r="BV103" s="47"/>
      <c r="BW103" s="47"/>
      <c r="BX103" s="47"/>
      <c r="BY103" s="47"/>
      <c r="BZ103" s="47"/>
    </row>
    <row r="104" spans="1:78" ht="13">
      <c r="A104" s="48" t="str">
        <f ca="1">'.'!A104</f>
        <v>Cheese Bread Dough</v>
      </c>
      <c r="B104" s="46" t="str">
        <f t="array" aca="1" ref="B104" ca="1">IF('.'!B104="","",'.'!B104&amp;IF(VLOOKUP('.'!B104,Recipes!$A:$D,4,FALSE)="",""," ["&amp;VLOOKUP('.'!B104,Recipes!$A:$D,4,FALSE)&amp;"]"))</f>
        <v>Cheese Bread [5]</v>
      </c>
      <c r="C104" s="46" t="str">
        <f t="array" ref="C104">IF('.'!C104="","",'.'!C104&amp;IF(VLOOKUP('.'!C104,Recipes!$A:$D,4,FALSE)="",""," ["&amp;VLOOKUP('.'!C104,Recipes!$A:$D,4,FALSE)&amp;"]"))</f>
        <v/>
      </c>
      <c r="D104" s="46" t="str">
        <f t="array" ref="D104">IF('.'!D104="","",'.'!D104&amp;IF(VLOOKUP('.'!D104,Recipes!$A:$D,4,FALSE)="",""," ["&amp;VLOOKUP('.'!D104,Recipes!$A:$D,4,FALSE)&amp;"]"))</f>
        <v/>
      </c>
      <c r="E104" s="46" t="str">
        <f t="array" ref="E104">IF('.'!E104="","",'.'!E104&amp;IF(VLOOKUP('.'!E104,Recipes!$A:$D,4,FALSE)="",""," ["&amp;VLOOKUP('.'!E104,Recipes!$A:$D,4,FALSE)&amp;"]"))</f>
        <v/>
      </c>
      <c r="F104" s="46" t="str">
        <f t="array" ref="F104">IF('.'!F104="","",'.'!F104&amp;IF(VLOOKUP('.'!F104,Recipes!$A:$D,4,FALSE)="",""," ["&amp;VLOOKUP('.'!F104,Recipes!$A:$D,4,FALSE)&amp;"]"))</f>
        <v/>
      </c>
      <c r="G104" s="46" t="str">
        <f t="array" ref="G104">IF('.'!G104="","",'.'!G104&amp;IF(VLOOKUP('.'!G104,Recipes!$A:$D,4,FALSE)="",""," ["&amp;VLOOKUP('.'!G104,Recipes!$A:$D,4,FALSE)&amp;"]"))</f>
        <v/>
      </c>
      <c r="H104" s="46" t="str">
        <f t="array" ref="H104">IF('.'!H104="","",'.'!H104&amp;IF(VLOOKUP('.'!H104,Recipes!$A:$D,4,FALSE)="",""," ["&amp;VLOOKUP('.'!H104,Recipes!$A:$D,4,FALSE)&amp;"]"))</f>
        <v/>
      </c>
      <c r="I104" s="46" t="str">
        <f t="array" ref="I104">IF('.'!I104="","",'.'!I104&amp;IF(VLOOKUP('.'!I104,Recipes!$A:$D,4,FALSE)="",""," ["&amp;VLOOKUP('.'!I104,Recipes!$A:$D,4,FALSE)&amp;"]"))</f>
        <v/>
      </c>
      <c r="J104" s="46" t="str">
        <f t="array" ref="J104">IF('.'!J104="","",'.'!J104&amp;IF(VLOOKUP('.'!J104,Recipes!$A:$D,4,FALSE)="",""," ["&amp;VLOOKUP('.'!J104,Recipes!$A:$D,4,FALSE)&amp;"]"))</f>
        <v/>
      </c>
      <c r="K104" s="46" t="str">
        <f t="array" ref="K104">IF('.'!K104="","",'.'!K104&amp;IF(VLOOKUP('.'!K104,Recipes!$A:$D,4,FALSE)="",""," ["&amp;VLOOKUP('.'!K104,Recipes!$A:$D,4,FALSE)&amp;"]"))</f>
        <v/>
      </c>
      <c r="L104" s="46" t="str">
        <f t="array" ref="L104">IF('.'!L104="","",'.'!L104&amp;IF(VLOOKUP('.'!L104,Recipes!$A:$D,4,FALSE)="",""," ["&amp;VLOOKUP('.'!L104,Recipes!$A:$D,4,FALSE)&amp;"]"))</f>
        <v/>
      </c>
      <c r="M104" s="46" t="str">
        <f t="array" ref="M104">IF('.'!M104="","",'.'!M104&amp;IF(VLOOKUP('.'!M104,Recipes!$A:$D,4,FALSE)="",""," ["&amp;VLOOKUP('.'!M104,Recipes!$A:$D,4,FALSE)&amp;"]"))</f>
        <v/>
      </c>
      <c r="N104" s="46" t="str">
        <f t="array" ref="N104">IF('.'!N104="","",'.'!N104&amp;IF(VLOOKUP('.'!N104,Recipes!$A:$D,4,FALSE)="",""," ["&amp;VLOOKUP('.'!N104,Recipes!$A:$D,4,FALSE)&amp;"]"))</f>
        <v/>
      </c>
      <c r="O104" s="46" t="str">
        <f t="array" ref="O104">IF('.'!O104="","",'.'!O104&amp;IF(VLOOKUP('.'!O104,Recipes!$A:$D,4,FALSE)="",""," ["&amp;VLOOKUP('.'!O104,Recipes!$A:$D,4,FALSE)&amp;"]"))</f>
        <v/>
      </c>
      <c r="P104" s="46" t="str">
        <f t="array" ref="P104">IF('.'!P104="","",'.'!P104&amp;IF(VLOOKUP('.'!P104,Recipes!$A:$D,4,FALSE)="",""," ["&amp;VLOOKUP('.'!P104,Recipes!$A:$D,4,FALSE)&amp;"]"))</f>
        <v/>
      </c>
      <c r="Q104" s="46" t="str">
        <f t="array" ref="Q104">IF('.'!Q104="","",'.'!Q104&amp;IF(VLOOKUP('.'!Q104,Recipes!$A:$D,4,FALSE)="",""," ["&amp;VLOOKUP('.'!Q104,Recipes!$A:$D,4,FALSE)&amp;"]"))</f>
        <v/>
      </c>
      <c r="R104" s="46" t="str">
        <f t="array" ref="R104">IF('.'!R104="","",'.'!R104&amp;IF(VLOOKUP('.'!R104,Recipes!$A:$D,4,FALSE)="",""," ["&amp;VLOOKUP('.'!R104,Recipes!$A:$D,4,FALSE)&amp;"]"))</f>
        <v/>
      </c>
      <c r="S104" s="46" t="str">
        <f t="array" ref="S104">IF('.'!S104="","",'.'!S104&amp;IF(VLOOKUP('.'!S104,Recipes!$A:$D,4,FALSE)="",""," ["&amp;VLOOKUP('.'!S104,Recipes!$A:$D,4,FALSE)&amp;"]"))</f>
        <v/>
      </c>
      <c r="T104" s="46" t="str">
        <f t="array" ref="T104">IF('.'!T104="","",'.'!T104&amp;IF(VLOOKUP('.'!T104,Recipes!$A:$D,4,FALSE)="",""," ["&amp;VLOOKUP('.'!T104,Recipes!$A:$D,4,FALSE)&amp;"]"))</f>
        <v/>
      </c>
      <c r="U104" s="46" t="str">
        <f t="array" ref="U104">IF('.'!U104="","",'.'!U104&amp;IF(VLOOKUP('.'!U104,Recipes!$A:$D,4,FALSE)="",""," ["&amp;VLOOKUP('.'!U104,Recipes!$A:$D,4,FALSE)&amp;"]"))</f>
        <v/>
      </c>
      <c r="V104" s="46" t="str">
        <f t="array" ref="V104">IF('.'!V104="","",'.'!V104&amp;IF(VLOOKUP('.'!V104,Recipes!$A:$D,4,FALSE)="",""," ["&amp;VLOOKUP('.'!V104,Recipes!$A:$D,4,FALSE)&amp;"]"))</f>
        <v/>
      </c>
      <c r="W104" s="46" t="str">
        <f t="array" ref="W104">IF('.'!W104="","",'.'!W104&amp;IF(VLOOKUP('.'!W104,Recipes!$A:$D,4,FALSE)="",""," ["&amp;VLOOKUP('.'!W104,Recipes!$A:$D,4,FALSE)&amp;"]"))</f>
        <v/>
      </c>
      <c r="X104" s="46" t="str">
        <f t="array" ref="X104">IF('.'!X104="","",'.'!X104&amp;IF(VLOOKUP('.'!X104,Recipes!$A:$D,4,FALSE)="",""," ["&amp;VLOOKUP('.'!X104,Recipes!$A:$D,4,FALSE)&amp;"]"))</f>
        <v/>
      </c>
      <c r="Y104" s="46" t="str">
        <f t="array" ref="Y104">IF('.'!Y104="","",'.'!Y104&amp;IF(VLOOKUP('.'!Y104,Recipes!$A:$D,4,FALSE)="",""," ["&amp;VLOOKUP('.'!Y104,Recipes!$A:$D,4,FALSE)&amp;"]"))</f>
        <v/>
      </c>
      <c r="Z104" s="46" t="str">
        <f t="array" ref="Z104">IF('.'!Z104="","",'.'!Z104&amp;IF(VLOOKUP('.'!Z104,Recipes!$A:$D,4,FALSE)="",""," ["&amp;VLOOKUP('.'!Z104,Recipes!$A:$D,4,FALSE)&amp;"]"))</f>
        <v/>
      </c>
      <c r="AA104" s="46" t="str">
        <f t="array" ref="AA104">IF('.'!AA104="","",'.'!AA104&amp;IF(VLOOKUP('.'!AA104,Recipes!$A:$D,4,FALSE)="",""," ["&amp;VLOOKUP('.'!AA104,Recipes!$A:$D,4,FALSE)&amp;"]"))</f>
        <v/>
      </c>
      <c r="AB104" s="46" t="str">
        <f t="array" ref="AB104">IF('.'!AB104="","",'.'!AB104&amp;IF(VLOOKUP('.'!AB104,Recipes!$A:$D,4,FALSE)="",""," ["&amp;VLOOKUP('.'!AB104,Recipes!$A:$D,4,FALSE)&amp;"]"))</f>
        <v/>
      </c>
      <c r="AC104" s="46" t="str">
        <f t="array" ref="AC104">IF('.'!AC104="","",'.'!AC104&amp;IF(VLOOKUP('.'!AC104,Recipes!$A:$D,4,FALSE)="",""," ["&amp;VLOOKUP('.'!AC104,Recipes!$A:$D,4,FALSE)&amp;"]"))</f>
        <v/>
      </c>
      <c r="AD104" s="46" t="str">
        <f t="array" ref="AD104">IF('.'!AD104="","",'.'!AD104&amp;IF(VLOOKUP('.'!AD104,Recipes!$A:$D,4,FALSE)="",""," ["&amp;VLOOKUP('.'!AD104,Recipes!$A:$D,4,FALSE)&amp;"]"))</f>
        <v/>
      </c>
      <c r="AE104" s="47"/>
      <c r="AF104" s="47"/>
      <c r="AG104" s="47"/>
      <c r="AH104" s="47"/>
      <c r="AI104" s="47"/>
      <c r="AJ104" s="47"/>
      <c r="AK104" s="47"/>
      <c r="AL104" s="47"/>
      <c r="AM104" s="47"/>
      <c r="AN104" s="47"/>
      <c r="AO104" s="47"/>
      <c r="AP104" s="47"/>
      <c r="AQ104" s="47"/>
      <c r="AR104" s="47"/>
      <c r="AS104" s="47"/>
      <c r="AT104" s="47"/>
      <c r="AU104" s="47"/>
      <c r="AV104" s="47"/>
      <c r="AW104" s="47"/>
      <c r="AX104" s="47"/>
      <c r="AY104" s="47"/>
      <c r="AZ104" s="47"/>
      <c r="BA104" s="47"/>
      <c r="BB104" s="47"/>
      <c r="BC104" s="47"/>
      <c r="BD104" s="47"/>
      <c r="BE104" s="47"/>
      <c r="BF104" s="47"/>
      <c r="BG104" s="47"/>
      <c r="BH104" s="47"/>
      <c r="BI104" s="47"/>
      <c r="BJ104" s="47"/>
      <c r="BK104" s="47"/>
      <c r="BL104" s="47"/>
      <c r="BM104" s="47"/>
      <c r="BN104" s="47"/>
      <c r="BO104" s="47"/>
      <c r="BP104" s="47"/>
      <c r="BQ104" s="47"/>
      <c r="BR104" s="47"/>
      <c r="BS104" s="47"/>
      <c r="BT104" s="47"/>
      <c r="BU104" s="47"/>
      <c r="BV104" s="47"/>
      <c r="BW104" s="47"/>
      <c r="BX104" s="47"/>
      <c r="BY104" s="47"/>
      <c r="BZ104" s="47"/>
    </row>
    <row r="105" spans="1:78" ht="13">
      <c r="A105" s="48" t="str">
        <f ca="1">'.'!A105</f>
        <v>Chest Armor</v>
      </c>
      <c r="B105" s="46" t="str">
        <f t="array" aca="1" ref="B105" ca="1">IF('.'!B105="","",'.'!B105&amp;IF(VLOOKUP('.'!B105,Recipes!$A:$D,4,FALSE)="",""," ["&amp;VLOOKUP('.'!B105,Recipes!$A:$D,4,FALSE)&amp;"]"))</f>
        <v>Boost Chest Armor [-700]</v>
      </c>
      <c r="C105" s="46" t="str">
        <f t="array" ref="C105">IF('.'!C105="","",'.'!C105&amp;IF(VLOOKUP('.'!C105,Recipes!$A:$D,4,FALSE)="",""," ["&amp;VLOOKUP('.'!C105,Recipes!$A:$D,4,FALSE)&amp;"]"))</f>
        <v/>
      </c>
      <c r="D105" s="46" t="str">
        <f t="array" ref="D105">IF('.'!D105="","",'.'!D105&amp;IF(VLOOKUP('.'!D105,Recipes!$A:$D,4,FALSE)="",""," ["&amp;VLOOKUP('.'!D105,Recipes!$A:$D,4,FALSE)&amp;"]"))</f>
        <v/>
      </c>
      <c r="E105" s="46" t="str">
        <f t="array" ref="E105">IF('.'!E105="","",'.'!E105&amp;IF(VLOOKUP('.'!E105,Recipes!$A:$D,4,FALSE)="",""," ["&amp;VLOOKUP('.'!E105,Recipes!$A:$D,4,FALSE)&amp;"]"))</f>
        <v/>
      </c>
      <c r="F105" s="46" t="str">
        <f t="array" ref="F105">IF('.'!F105="","",'.'!F105&amp;IF(VLOOKUP('.'!F105,Recipes!$A:$D,4,FALSE)="",""," ["&amp;VLOOKUP('.'!F105,Recipes!$A:$D,4,FALSE)&amp;"]"))</f>
        <v/>
      </c>
      <c r="G105" s="46" t="str">
        <f t="array" ref="G105">IF('.'!G105="","",'.'!G105&amp;IF(VLOOKUP('.'!G105,Recipes!$A:$D,4,FALSE)="",""," ["&amp;VLOOKUP('.'!G105,Recipes!$A:$D,4,FALSE)&amp;"]"))</f>
        <v/>
      </c>
      <c r="H105" s="46" t="str">
        <f t="array" ref="H105">IF('.'!H105="","",'.'!H105&amp;IF(VLOOKUP('.'!H105,Recipes!$A:$D,4,FALSE)="",""," ["&amp;VLOOKUP('.'!H105,Recipes!$A:$D,4,FALSE)&amp;"]"))</f>
        <v/>
      </c>
      <c r="I105" s="46" t="str">
        <f t="array" ref="I105">IF('.'!I105="","",'.'!I105&amp;IF(VLOOKUP('.'!I105,Recipes!$A:$D,4,FALSE)="",""," ["&amp;VLOOKUP('.'!I105,Recipes!$A:$D,4,FALSE)&amp;"]"))</f>
        <v/>
      </c>
      <c r="J105" s="46" t="str">
        <f t="array" ref="J105">IF('.'!J105="","",'.'!J105&amp;IF(VLOOKUP('.'!J105,Recipes!$A:$D,4,FALSE)="",""," ["&amp;VLOOKUP('.'!J105,Recipes!$A:$D,4,FALSE)&amp;"]"))</f>
        <v/>
      </c>
      <c r="K105" s="46" t="str">
        <f t="array" ref="K105">IF('.'!K105="","",'.'!K105&amp;IF(VLOOKUP('.'!K105,Recipes!$A:$D,4,FALSE)="",""," ["&amp;VLOOKUP('.'!K105,Recipes!$A:$D,4,FALSE)&amp;"]"))</f>
        <v/>
      </c>
      <c r="L105" s="46" t="str">
        <f t="array" ref="L105">IF('.'!L105="","",'.'!L105&amp;IF(VLOOKUP('.'!L105,Recipes!$A:$D,4,FALSE)="",""," ["&amp;VLOOKUP('.'!L105,Recipes!$A:$D,4,FALSE)&amp;"]"))</f>
        <v/>
      </c>
      <c r="M105" s="46" t="str">
        <f t="array" ref="M105">IF('.'!M105="","",'.'!M105&amp;IF(VLOOKUP('.'!M105,Recipes!$A:$D,4,FALSE)="",""," ["&amp;VLOOKUP('.'!M105,Recipes!$A:$D,4,FALSE)&amp;"]"))</f>
        <v/>
      </c>
      <c r="N105" s="46" t="str">
        <f t="array" ref="N105">IF('.'!N105="","",'.'!N105&amp;IF(VLOOKUP('.'!N105,Recipes!$A:$D,4,FALSE)="",""," ["&amp;VLOOKUP('.'!N105,Recipes!$A:$D,4,FALSE)&amp;"]"))</f>
        <v/>
      </c>
      <c r="O105" s="46" t="str">
        <f t="array" ref="O105">IF('.'!O105="","",'.'!O105&amp;IF(VLOOKUP('.'!O105,Recipes!$A:$D,4,FALSE)="",""," ["&amp;VLOOKUP('.'!O105,Recipes!$A:$D,4,FALSE)&amp;"]"))</f>
        <v/>
      </c>
      <c r="P105" s="46" t="str">
        <f t="array" ref="P105">IF('.'!P105="","",'.'!P105&amp;IF(VLOOKUP('.'!P105,Recipes!$A:$D,4,FALSE)="",""," ["&amp;VLOOKUP('.'!P105,Recipes!$A:$D,4,FALSE)&amp;"]"))</f>
        <v/>
      </c>
      <c r="Q105" s="46" t="str">
        <f t="array" ref="Q105">IF('.'!Q105="","",'.'!Q105&amp;IF(VLOOKUP('.'!Q105,Recipes!$A:$D,4,FALSE)="",""," ["&amp;VLOOKUP('.'!Q105,Recipes!$A:$D,4,FALSE)&amp;"]"))</f>
        <v/>
      </c>
      <c r="R105" s="46" t="str">
        <f t="array" ref="R105">IF('.'!R105="","",'.'!R105&amp;IF(VLOOKUP('.'!R105,Recipes!$A:$D,4,FALSE)="",""," ["&amp;VLOOKUP('.'!R105,Recipes!$A:$D,4,FALSE)&amp;"]"))</f>
        <v/>
      </c>
      <c r="S105" s="46" t="str">
        <f t="array" ref="S105">IF('.'!S105="","",'.'!S105&amp;IF(VLOOKUP('.'!S105,Recipes!$A:$D,4,FALSE)="",""," ["&amp;VLOOKUP('.'!S105,Recipes!$A:$D,4,FALSE)&amp;"]"))</f>
        <v/>
      </c>
      <c r="T105" s="46" t="str">
        <f t="array" ref="T105">IF('.'!T105="","",'.'!T105&amp;IF(VLOOKUP('.'!T105,Recipes!$A:$D,4,FALSE)="",""," ["&amp;VLOOKUP('.'!T105,Recipes!$A:$D,4,FALSE)&amp;"]"))</f>
        <v/>
      </c>
      <c r="U105" s="46" t="str">
        <f t="array" ref="U105">IF('.'!U105="","",'.'!U105&amp;IF(VLOOKUP('.'!U105,Recipes!$A:$D,4,FALSE)="",""," ["&amp;VLOOKUP('.'!U105,Recipes!$A:$D,4,FALSE)&amp;"]"))</f>
        <v/>
      </c>
      <c r="V105" s="46" t="str">
        <f t="array" ref="V105">IF('.'!V105="","",'.'!V105&amp;IF(VLOOKUP('.'!V105,Recipes!$A:$D,4,FALSE)="",""," ["&amp;VLOOKUP('.'!V105,Recipes!$A:$D,4,FALSE)&amp;"]"))</f>
        <v/>
      </c>
      <c r="W105" s="46" t="str">
        <f t="array" ref="W105">IF('.'!W105="","",'.'!W105&amp;IF(VLOOKUP('.'!W105,Recipes!$A:$D,4,FALSE)="",""," ["&amp;VLOOKUP('.'!W105,Recipes!$A:$D,4,FALSE)&amp;"]"))</f>
        <v/>
      </c>
      <c r="X105" s="46" t="str">
        <f t="array" ref="X105">IF('.'!X105="","",'.'!X105&amp;IF(VLOOKUP('.'!X105,Recipes!$A:$D,4,FALSE)="",""," ["&amp;VLOOKUP('.'!X105,Recipes!$A:$D,4,FALSE)&amp;"]"))</f>
        <v/>
      </c>
      <c r="Y105" s="46" t="str">
        <f t="array" ref="Y105">IF('.'!Y105="","",'.'!Y105&amp;IF(VLOOKUP('.'!Y105,Recipes!$A:$D,4,FALSE)="",""," ["&amp;VLOOKUP('.'!Y105,Recipes!$A:$D,4,FALSE)&amp;"]"))</f>
        <v/>
      </c>
      <c r="Z105" s="46" t="str">
        <f t="array" ref="Z105">IF('.'!Z105="","",'.'!Z105&amp;IF(VLOOKUP('.'!Z105,Recipes!$A:$D,4,FALSE)="",""," ["&amp;VLOOKUP('.'!Z105,Recipes!$A:$D,4,FALSE)&amp;"]"))</f>
        <v/>
      </c>
      <c r="AA105" s="46" t="str">
        <f t="array" ref="AA105">IF('.'!AA105="","",'.'!AA105&amp;IF(VLOOKUP('.'!AA105,Recipes!$A:$D,4,FALSE)="",""," ["&amp;VLOOKUP('.'!AA105,Recipes!$A:$D,4,FALSE)&amp;"]"))</f>
        <v/>
      </c>
      <c r="AB105" s="46" t="str">
        <f t="array" ref="AB105">IF('.'!AB105="","",'.'!AB105&amp;IF(VLOOKUP('.'!AB105,Recipes!$A:$D,4,FALSE)="",""," ["&amp;VLOOKUP('.'!AB105,Recipes!$A:$D,4,FALSE)&amp;"]"))</f>
        <v/>
      </c>
      <c r="AC105" s="46" t="str">
        <f t="array" ref="AC105">IF('.'!AC105="","",'.'!AC105&amp;IF(VLOOKUP('.'!AC105,Recipes!$A:$D,4,FALSE)="",""," ["&amp;VLOOKUP('.'!AC105,Recipes!$A:$D,4,FALSE)&amp;"]"))</f>
        <v/>
      </c>
      <c r="AD105" s="46" t="str">
        <f t="array" ref="AD105">IF('.'!AD105="","",'.'!AD105&amp;IF(VLOOKUP('.'!AD105,Recipes!$A:$D,4,FALSE)="",""," ["&amp;VLOOKUP('.'!AD105,Recipes!$A:$D,4,FALSE)&amp;"]"))</f>
        <v/>
      </c>
      <c r="AE105" s="47"/>
      <c r="AF105" s="47"/>
      <c r="AG105" s="47"/>
      <c r="AH105" s="47"/>
      <c r="AI105" s="47"/>
      <c r="AJ105" s="47"/>
      <c r="AK105" s="47"/>
      <c r="AL105" s="47"/>
      <c r="AM105" s="47"/>
      <c r="AN105" s="47"/>
      <c r="AO105" s="47"/>
      <c r="AP105" s="47"/>
      <c r="AQ105" s="47"/>
      <c r="AR105" s="47"/>
      <c r="AS105" s="47"/>
      <c r="AT105" s="47"/>
      <c r="AU105" s="47"/>
      <c r="AV105" s="47"/>
      <c r="AW105" s="47"/>
      <c r="AX105" s="47"/>
      <c r="AY105" s="47"/>
      <c r="AZ105" s="47"/>
      <c r="BA105" s="47"/>
      <c r="BB105" s="47"/>
      <c r="BC105" s="47"/>
      <c r="BD105" s="47"/>
      <c r="BE105" s="47"/>
      <c r="BF105" s="47"/>
      <c r="BG105" s="47"/>
      <c r="BH105" s="47"/>
      <c r="BI105" s="47"/>
      <c r="BJ105" s="47"/>
      <c r="BK105" s="47"/>
      <c r="BL105" s="47"/>
      <c r="BM105" s="47"/>
      <c r="BN105" s="47"/>
      <c r="BO105" s="47"/>
      <c r="BP105" s="47"/>
      <c r="BQ105" s="47"/>
      <c r="BR105" s="47"/>
      <c r="BS105" s="47"/>
      <c r="BT105" s="47"/>
      <c r="BU105" s="47"/>
      <c r="BV105" s="47"/>
      <c r="BW105" s="47"/>
      <c r="BX105" s="47"/>
      <c r="BY105" s="47"/>
      <c r="BZ105" s="47"/>
    </row>
    <row r="106" spans="1:78" ht="13">
      <c r="A106" s="48" t="str">
        <f ca="1">'.'!A106</f>
        <v>Chicken Claw Scroll</v>
      </c>
      <c r="B106" s="46" t="str">
        <f t="array" aca="1" ref="B106" ca="1">IF('.'!B106="","",'.'!B106&amp;IF(VLOOKUP('.'!B106,Recipes!$A:$D,4,FALSE)="",""," ["&amp;VLOOKUP('.'!B106,Recipes!$A:$D,4,FALSE)&amp;"]"))</f>
        <v>Chicken Claw Skillbook [-200]</v>
      </c>
      <c r="C106" s="46" t="str">
        <f t="array" ref="C106">IF('.'!C106="","",'.'!C106&amp;IF(VLOOKUP('.'!C106,Recipes!$A:$D,4,FALSE)="",""," ["&amp;VLOOKUP('.'!C106,Recipes!$A:$D,4,FALSE)&amp;"]"))</f>
        <v/>
      </c>
      <c r="D106" s="46" t="str">
        <f t="array" ref="D106">IF('.'!D106="","",'.'!D106&amp;IF(VLOOKUP('.'!D106,Recipes!$A:$D,4,FALSE)="",""," ["&amp;VLOOKUP('.'!D106,Recipes!$A:$D,4,FALSE)&amp;"]"))</f>
        <v/>
      </c>
      <c r="E106" s="46" t="str">
        <f t="array" ref="E106">IF('.'!E106="","",'.'!E106&amp;IF(VLOOKUP('.'!E106,Recipes!$A:$D,4,FALSE)="",""," ["&amp;VLOOKUP('.'!E106,Recipes!$A:$D,4,FALSE)&amp;"]"))</f>
        <v/>
      </c>
      <c r="F106" s="46" t="str">
        <f t="array" ref="F106">IF('.'!F106="","",'.'!F106&amp;IF(VLOOKUP('.'!F106,Recipes!$A:$D,4,FALSE)="",""," ["&amp;VLOOKUP('.'!F106,Recipes!$A:$D,4,FALSE)&amp;"]"))</f>
        <v/>
      </c>
      <c r="G106" s="46" t="str">
        <f t="array" ref="G106">IF('.'!G106="","",'.'!G106&amp;IF(VLOOKUP('.'!G106,Recipes!$A:$D,4,FALSE)="",""," ["&amp;VLOOKUP('.'!G106,Recipes!$A:$D,4,FALSE)&amp;"]"))</f>
        <v/>
      </c>
      <c r="H106" s="46" t="str">
        <f t="array" ref="H106">IF('.'!H106="","",'.'!H106&amp;IF(VLOOKUP('.'!H106,Recipes!$A:$D,4,FALSE)="",""," ["&amp;VLOOKUP('.'!H106,Recipes!$A:$D,4,FALSE)&amp;"]"))</f>
        <v/>
      </c>
      <c r="I106" s="46" t="str">
        <f t="array" ref="I106">IF('.'!I106="","",'.'!I106&amp;IF(VLOOKUP('.'!I106,Recipes!$A:$D,4,FALSE)="",""," ["&amp;VLOOKUP('.'!I106,Recipes!$A:$D,4,FALSE)&amp;"]"))</f>
        <v/>
      </c>
      <c r="J106" s="46" t="str">
        <f t="array" ref="J106">IF('.'!J106="","",'.'!J106&amp;IF(VLOOKUP('.'!J106,Recipes!$A:$D,4,FALSE)="",""," ["&amp;VLOOKUP('.'!J106,Recipes!$A:$D,4,FALSE)&amp;"]"))</f>
        <v/>
      </c>
      <c r="K106" s="46" t="str">
        <f t="array" ref="K106">IF('.'!K106="","",'.'!K106&amp;IF(VLOOKUP('.'!K106,Recipes!$A:$D,4,FALSE)="",""," ["&amp;VLOOKUP('.'!K106,Recipes!$A:$D,4,FALSE)&amp;"]"))</f>
        <v/>
      </c>
      <c r="L106" s="46" t="str">
        <f t="array" ref="L106">IF('.'!L106="","",'.'!L106&amp;IF(VLOOKUP('.'!L106,Recipes!$A:$D,4,FALSE)="",""," ["&amp;VLOOKUP('.'!L106,Recipes!$A:$D,4,FALSE)&amp;"]"))</f>
        <v/>
      </c>
      <c r="M106" s="46" t="str">
        <f t="array" ref="M106">IF('.'!M106="","",'.'!M106&amp;IF(VLOOKUP('.'!M106,Recipes!$A:$D,4,FALSE)="",""," ["&amp;VLOOKUP('.'!M106,Recipes!$A:$D,4,FALSE)&amp;"]"))</f>
        <v/>
      </c>
      <c r="N106" s="46" t="str">
        <f t="array" ref="N106">IF('.'!N106="","",'.'!N106&amp;IF(VLOOKUP('.'!N106,Recipes!$A:$D,4,FALSE)="",""," ["&amp;VLOOKUP('.'!N106,Recipes!$A:$D,4,FALSE)&amp;"]"))</f>
        <v/>
      </c>
      <c r="O106" s="46" t="str">
        <f t="array" ref="O106">IF('.'!O106="","",'.'!O106&amp;IF(VLOOKUP('.'!O106,Recipes!$A:$D,4,FALSE)="",""," ["&amp;VLOOKUP('.'!O106,Recipes!$A:$D,4,FALSE)&amp;"]"))</f>
        <v/>
      </c>
      <c r="P106" s="46" t="str">
        <f t="array" ref="P106">IF('.'!P106="","",'.'!P106&amp;IF(VLOOKUP('.'!P106,Recipes!$A:$D,4,FALSE)="",""," ["&amp;VLOOKUP('.'!P106,Recipes!$A:$D,4,FALSE)&amp;"]"))</f>
        <v/>
      </c>
      <c r="Q106" s="46" t="str">
        <f t="array" ref="Q106">IF('.'!Q106="","",'.'!Q106&amp;IF(VLOOKUP('.'!Q106,Recipes!$A:$D,4,FALSE)="",""," ["&amp;VLOOKUP('.'!Q106,Recipes!$A:$D,4,FALSE)&amp;"]"))</f>
        <v/>
      </c>
      <c r="R106" s="46" t="str">
        <f t="array" ref="R106">IF('.'!R106="","",'.'!R106&amp;IF(VLOOKUP('.'!R106,Recipes!$A:$D,4,FALSE)="",""," ["&amp;VLOOKUP('.'!R106,Recipes!$A:$D,4,FALSE)&amp;"]"))</f>
        <v/>
      </c>
      <c r="S106" s="46" t="str">
        <f t="array" ref="S106">IF('.'!S106="","",'.'!S106&amp;IF(VLOOKUP('.'!S106,Recipes!$A:$D,4,FALSE)="",""," ["&amp;VLOOKUP('.'!S106,Recipes!$A:$D,4,FALSE)&amp;"]"))</f>
        <v/>
      </c>
      <c r="T106" s="46" t="str">
        <f t="array" ref="T106">IF('.'!T106="","",'.'!T106&amp;IF(VLOOKUP('.'!T106,Recipes!$A:$D,4,FALSE)="",""," ["&amp;VLOOKUP('.'!T106,Recipes!$A:$D,4,FALSE)&amp;"]"))</f>
        <v/>
      </c>
      <c r="U106" s="46" t="str">
        <f t="array" ref="U106">IF('.'!U106="","",'.'!U106&amp;IF(VLOOKUP('.'!U106,Recipes!$A:$D,4,FALSE)="",""," ["&amp;VLOOKUP('.'!U106,Recipes!$A:$D,4,FALSE)&amp;"]"))</f>
        <v/>
      </c>
      <c r="V106" s="46" t="str">
        <f t="array" ref="V106">IF('.'!V106="","",'.'!V106&amp;IF(VLOOKUP('.'!V106,Recipes!$A:$D,4,FALSE)="",""," ["&amp;VLOOKUP('.'!V106,Recipes!$A:$D,4,FALSE)&amp;"]"))</f>
        <v/>
      </c>
      <c r="W106" s="46" t="str">
        <f t="array" ref="W106">IF('.'!W106="","",'.'!W106&amp;IF(VLOOKUP('.'!W106,Recipes!$A:$D,4,FALSE)="",""," ["&amp;VLOOKUP('.'!W106,Recipes!$A:$D,4,FALSE)&amp;"]"))</f>
        <v/>
      </c>
      <c r="X106" s="46" t="str">
        <f t="array" ref="X106">IF('.'!X106="","",'.'!X106&amp;IF(VLOOKUP('.'!X106,Recipes!$A:$D,4,FALSE)="",""," ["&amp;VLOOKUP('.'!X106,Recipes!$A:$D,4,FALSE)&amp;"]"))</f>
        <v/>
      </c>
      <c r="Y106" s="46" t="str">
        <f t="array" ref="Y106">IF('.'!Y106="","",'.'!Y106&amp;IF(VLOOKUP('.'!Y106,Recipes!$A:$D,4,FALSE)="",""," ["&amp;VLOOKUP('.'!Y106,Recipes!$A:$D,4,FALSE)&amp;"]"))</f>
        <v/>
      </c>
      <c r="Z106" s="46" t="str">
        <f t="array" ref="Z106">IF('.'!Z106="","",'.'!Z106&amp;IF(VLOOKUP('.'!Z106,Recipes!$A:$D,4,FALSE)="",""," ["&amp;VLOOKUP('.'!Z106,Recipes!$A:$D,4,FALSE)&amp;"]"))</f>
        <v/>
      </c>
      <c r="AA106" s="46" t="str">
        <f t="array" ref="AA106">IF('.'!AA106="","",'.'!AA106&amp;IF(VLOOKUP('.'!AA106,Recipes!$A:$D,4,FALSE)="",""," ["&amp;VLOOKUP('.'!AA106,Recipes!$A:$D,4,FALSE)&amp;"]"))</f>
        <v/>
      </c>
      <c r="AB106" s="46" t="str">
        <f t="array" ref="AB106">IF('.'!AB106="","",'.'!AB106&amp;IF(VLOOKUP('.'!AB106,Recipes!$A:$D,4,FALSE)="",""," ["&amp;VLOOKUP('.'!AB106,Recipes!$A:$D,4,FALSE)&amp;"]"))</f>
        <v/>
      </c>
      <c r="AC106" s="46" t="str">
        <f t="array" ref="AC106">IF('.'!AC106="","",'.'!AC106&amp;IF(VLOOKUP('.'!AC106,Recipes!$A:$D,4,FALSE)="",""," ["&amp;VLOOKUP('.'!AC106,Recipes!$A:$D,4,FALSE)&amp;"]"))</f>
        <v/>
      </c>
      <c r="AD106" s="46" t="str">
        <f t="array" ref="AD106">IF('.'!AD106="","",'.'!AD106&amp;IF(VLOOKUP('.'!AD106,Recipes!$A:$D,4,FALSE)="",""," ["&amp;VLOOKUP('.'!AD106,Recipes!$A:$D,4,FALSE)&amp;"]"))</f>
        <v/>
      </c>
      <c r="AE106" s="47"/>
      <c r="AF106" s="47"/>
      <c r="AG106" s="47"/>
      <c r="AH106" s="47"/>
      <c r="AI106" s="47"/>
      <c r="AJ106" s="47"/>
      <c r="AK106" s="47"/>
      <c r="AL106" s="47"/>
      <c r="AM106" s="47"/>
      <c r="AN106" s="47"/>
      <c r="AO106" s="47"/>
      <c r="AP106" s="47"/>
      <c r="AQ106" s="47"/>
      <c r="AR106" s="47"/>
      <c r="AS106" s="47"/>
      <c r="AT106" s="47"/>
      <c r="AU106" s="47"/>
      <c r="AV106" s="47"/>
      <c r="AW106" s="47"/>
      <c r="AX106" s="47"/>
      <c r="AY106" s="47"/>
      <c r="AZ106" s="47"/>
      <c r="BA106" s="47"/>
      <c r="BB106" s="47"/>
      <c r="BC106" s="47"/>
      <c r="BD106" s="47"/>
      <c r="BE106" s="47"/>
      <c r="BF106" s="47"/>
      <c r="BG106" s="47"/>
      <c r="BH106" s="47"/>
      <c r="BI106" s="47"/>
      <c r="BJ106" s="47"/>
      <c r="BK106" s="47"/>
      <c r="BL106" s="47"/>
      <c r="BM106" s="47"/>
      <c r="BN106" s="47"/>
      <c r="BO106" s="47"/>
      <c r="BP106" s="47"/>
      <c r="BQ106" s="47"/>
      <c r="BR106" s="47"/>
      <c r="BS106" s="47"/>
      <c r="BT106" s="47"/>
      <c r="BU106" s="47"/>
      <c r="BV106" s="47"/>
      <c r="BW106" s="47"/>
      <c r="BX106" s="47"/>
      <c r="BY106" s="47"/>
      <c r="BZ106" s="47"/>
    </row>
    <row r="107" spans="1:78" ht="13">
      <c r="A107" s="48" t="str">
        <f ca="1">'.'!A107</f>
        <v>Chicken Foot</v>
      </c>
      <c r="B107" s="46" t="str">
        <f t="array" aca="1" ref="B107" ca="1">IF('.'!B107="","",'.'!B107&amp;IF(VLOOKUP('.'!B107,Recipes!$A:$D,4,FALSE)="",""," ["&amp;VLOOKUP('.'!B107,Recipes!$A:$D,4,FALSE)&amp;"]"))</f>
        <v>Chicken Claw Scroll [-10]</v>
      </c>
      <c r="C107" s="46" t="str">
        <f t="array" ref="C107">IF('.'!C107="","",'.'!C107&amp;IF(VLOOKUP('.'!C107,Recipes!$A:$D,4,FALSE)="",""," ["&amp;VLOOKUP('.'!C107,Recipes!$A:$D,4,FALSE)&amp;"]"))</f>
        <v/>
      </c>
      <c r="D107" s="46" t="str">
        <f t="array" ref="D107">IF('.'!D107="","",'.'!D107&amp;IF(VLOOKUP('.'!D107,Recipes!$A:$D,4,FALSE)="",""," ["&amp;VLOOKUP('.'!D107,Recipes!$A:$D,4,FALSE)&amp;"]"))</f>
        <v/>
      </c>
      <c r="E107" s="46" t="str">
        <f t="array" ref="E107">IF('.'!E107="","",'.'!E107&amp;IF(VLOOKUP('.'!E107,Recipes!$A:$D,4,FALSE)="",""," ["&amp;VLOOKUP('.'!E107,Recipes!$A:$D,4,FALSE)&amp;"]"))</f>
        <v/>
      </c>
      <c r="F107" s="46" t="str">
        <f t="array" ref="F107">IF('.'!F107="","",'.'!F107&amp;IF(VLOOKUP('.'!F107,Recipes!$A:$D,4,FALSE)="",""," ["&amp;VLOOKUP('.'!F107,Recipes!$A:$D,4,FALSE)&amp;"]"))</f>
        <v/>
      </c>
      <c r="G107" s="46" t="str">
        <f t="array" ref="G107">IF('.'!G107="","",'.'!G107&amp;IF(VLOOKUP('.'!G107,Recipes!$A:$D,4,FALSE)="",""," ["&amp;VLOOKUP('.'!G107,Recipes!$A:$D,4,FALSE)&amp;"]"))</f>
        <v/>
      </c>
      <c r="H107" s="46" t="str">
        <f t="array" ref="H107">IF('.'!H107="","",'.'!H107&amp;IF(VLOOKUP('.'!H107,Recipes!$A:$D,4,FALSE)="",""," ["&amp;VLOOKUP('.'!H107,Recipes!$A:$D,4,FALSE)&amp;"]"))</f>
        <v/>
      </c>
      <c r="I107" s="46" t="str">
        <f t="array" ref="I107">IF('.'!I107="","",'.'!I107&amp;IF(VLOOKUP('.'!I107,Recipes!$A:$D,4,FALSE)="",""," ["&amp;VLOOKUP('.'!I107,Recipes!$A:$D,4,FALSE)&amp;"]"))</f>
        <v/>
      </c>
      <c r="J107" s="46" t="str">
        <f t="array" ref="J107">IF('.'!J107="","",'.'!J107&amp;IF(VLOOKUP('.'!J107,Recipes!$A:$D,4,FALSE)="",""," ["&amp;VLOOKUP('.'!J107,Recipes!$A:$D,4,FALSE)&amp;"]"))</f>
        <v/>
      </c>
      <c r="K107" s="46" t="str">
        <f t="array" ref="K107">IF('.'!K107="","",'.'!K107&amp;IF(VLOOKUP('.'!K107,Recipes!$A:$D,4,FALSE)="",""," ["&amp;VLOOKUP('.'!K107,Recipes!$A:$D,4,FALSE)&amp;"]"))</f>
        <v/>
      </c>
      <c r="L107" s="46" t="str">
        <f t="array" ref="L107">IF('.'!L107="","",'.'!L107&amp;IF(VLOOKUP('.'!L107,Recipes!$A:$D,4,FALSE)="",""," ["&amp;VLOOKUP('.'!L107,Recipes!$A:$D,4,FALSE)&amp;"]"))</f>
        <v/>
      </c>
      <c r="M107" s="46" t="str">
        <f t="array" ref="M107">IF('.'!M107="","",'.'!M107&amp;IF(VLOOKUP('.'!M107,Recipes!$A:$D,4,FALSE)="",""," ["&amp;VLOOKUP('.'!M107,Recipes!$A:$D,4,FALSE)&amp;"]"))</f>
        <v/>
      </c>
      <c r="N107" s="46" t="str">
        <f t="array" ref="N107">IF('.'!N107="","",'.'!N107&amp;IF(VLOOKUP('.'!N107,Recipes!$A:$D,4,FALSE)="",""," ["&amp;VLOOKUP('.'!N107,Recipes!$A:$D,4,FALSE)&amp;"]"))</f>
        <v/>
      </c>
      <c r="O107" s="46" t="str">
        <f t="array" ref="O107">IF('.'!O107="","",'.'!O107&amp;IF(VLOOKUP('.'!O107,Recipes!$A:$D,4,FALSE)="",""," ["&amp;VLOOKUP('.'!O107,Recipes!$A:$D,4,FALSE)&amp;"]"))</f>
        <v/>
      </c>
      <c r="P107" s="46" t="str">
        <f t="array" ref="P107">IF('.'!P107="","",'.'!P107&amp;IF(VLOOKUP('.'!P107,Recipes!$A:$D,4,FALSE)="",""," ["&amp;VLOOKUP('.'!P107,Recipes!$A:$D,4,FALSE)&amp;"]"))</f>
        <v/>
      </c>
      <c r="Q107" s="46" t="str">
        <f t="array" ref="Q107">IF('.'!Q107="","",'.'!Q107&amp;IF(VLOOKUP('.'!Q107,Recipes!$A:$D,4,FALSE)="",""," ["&amp;VLOOKUP('.'!Q107,Recipes!$A:$D,4,FALSE)&amp;"]"))</f>
        <v/>
      </c>
      <c r="R107" s="46" t="str">
        <f t="array" ref="R107">IF('.'!R107="","",'.'!R107&amp;IF(VLOOKUP('.'!R107,Recipes!$A:$D,4,FALSE)="",""," ["&amp;VLOOKUP('.'!R107,Recipes!$A:$D,4,FALSE)&amp;"]"))</f>
        <v/>
      </c>
      <c r="S107" s="46" t="str">
        <f t="array" ref="S107">IF('.'!S107="","",'.'!S107&amp;IF(VLOOKUP('.'!S107,Recipes!$A:$D,4,FALSE)="",""," ["&amp;VLOOKUP('.'!S107,Recipes!$A:$D,4,FALSE)&amp;"]"))</f>
        <v/>
      </c>
      <c r="T107" s="46" t="str">
        <f t="array" ref="T107">IF('.'!T107="","",'.'!T107&amp;IF(VLOOKUP('.'!T107,Recipes!$A:$D,4,FALSE)="",""," ["&amp;VLOOKUP('.'!T107,Recipes!$A:$D,4,FALSE)&amp;"]"))</f>
        <v/>
      </c>
      <c r="U107" s="46" t="str">
        <f t="array" ref="U107">IF('.'!U107="","",'.'!U107&amp;IF(VLOOKUP('.'!U107,Recipes!$A:$D,4,FALSE)="",""," ["&amp;VLOOKUP('.'!U107,Recipes!$A:$D,4,FALSE)&amp;"]"))</f>
        <v/>
      </c>
      <c r="V107" s="46" t="str">
        <f t="array" ref="V107">IF('.'!V107="","",'.'!V107&amp;IF(VLOOKUP('.'!V107,Recipes!$A:$D,4,FALSE)="",""," ["&amp;VLOOKUP('.'!V107,Recipes!$A:$D,4,FALSE)&amp;"]"))</f>
        <v/>
      </c>
      <c r="W107" s="46" t="str">
        <f t="array" ref="W107">IF('.'!W107="","",'.'!W107&amp;IF(VLOOKUP('.'!W107,Recipes!$A:$D,4,FALSE)="",""," ["&amp;VLOOKUP('.'!W107,Recipes!$A:$D,4,FALSE)&amp;"]"))</f>
        <v/>
      </c>
      <c r="X107" s="46" t="str">
        <f t="array" ref="X107">IF('.'!X107="","",'.'!X107&amp;IF(VLOOKUP('.'!X107,Recipes!$A:$D,4,FALSE)="",""," ["&amp;VLOOKUP('.'!X107,Recipes!$A:$D,4,FALSE)&amp;"]"))</f>
        <v/>
      </c>
      <c r="Y107" s="46" t="str">
        <f t="array" ref="Y107">IF('.'!Y107="","",'.'!Y107&amp;IF(VLOOKUP('.'!Y107,Recipes!$A:$D,4,FALSE)="",""," ["&amp;VLOOKUP('.'!Y107,Recipes!$A:$D,4,FALSE)&amp;"]"))</f>
        <v/>
      </c>
      <c r="Z107" s="46" t="str">
        <f t="array" ref="Z107">IF('.'!Z107="","",'.'!Z107&amp;IF(VLOOKUP('.'!Z107,Recipes!$A:$D,4,FALSE)="",""," ["&amp;VLOOKUP('.'!Z107,Recipes!$A:$D,4,FALSE)&amp;"]"))</f>
        <v/>
      </c>
      <c r="AA107" s="46" t="str">
        <f t="array" ref="AA107">IF('.'!AA107="","",'.'!AA107&amp;IF(VLOOKUP('.'!AA107,Recipes!$A:$D,4,FALSE)="",""," ["&amp;VLOOKUP('.'!AA107,Recipes!$A:$D,4,FALSE)&amp;"]"))</f>
        <v/>
      </c>
      <c r="AB107" s="46" t="str">
        <f t="array" ref="AB107">IF('.'!AB107="","",'.'!AB107&amp;IF(VLOOKUP('.'!AB107,Recipes!$A:$D,4,FALSE)="",""," ["&amp;VLOOKUP('.'!AB107,Recipes!$A:$D,4,FALSE)&amp;"]"))</f>
        <v/>
      </c>
      <c r="AC107" s="46" t="str">
        <f t="array" ref="AC107">IF('.'!AC107="","",'.'!AC107&amp;IF(VLOOKUP('.'!AC107,Recipes!$A:$D,4,FALSE)="",""," ["&amp;VLOOKUP('.'!AC107,Recipes!$A:$D,4,FALSE)&amp;"]"))</f>
        <v/>
      </c>
      <c r="AD107" s="46" t="str">
        <f t="array" ref="AD107">IF('.'!AD107="","",'.'!AD107&amp;IF(VLOOKUP('.'!AD107,Recipes!$A:$D,4,FALSE)="",""," ["&amp;VLOOKUP('.'!AD107,Recipes!$A:$D,4,FALSE)&amp;"]"))</f>
        <v/>
      </c>
      <c r="AE107" s="47"/>
      <c r="AF107" s="47"/>
      <c r="AG107" s="47"/>
      <c r="AH107" s="47"/>
      <c r="AI107" s="47"/>
      <c r="AJ107" s="47"/>
      <c r="AK107" s="47"/>
      <c r="AL107" s="47"/>
      <c r="AM107" s="47"/>
      <c r="AN107" s="47"/>
      <c r="AO107" s="47"/>
      <c r="AP107" s="47"/>
      <c r="AQ107" s="47"/>
      <c r="AR107" s="47"/>
      <c r="AS107" s="47"/>
      <c r="AT107" s="47"/>
      <c r="AU107" s="47"/>
      <c r="AV107" s="47"/>
      <c r="AW107" s="47"/>
      <c r="AX107" s="47"/>
      <c r="AY107" s="47"/>
      <c r="AZ107" s="47"/>
      <c r="BA107" s="47"/>
      <c r="BB107" s="47"/>
      <c r="BC107" s="47"/>
      <c r="BD107" s="47"/>
      <c r="BE107" s="47"/>
      <c r="BF107" s="47"/>
      <c r="BG107" s="47"/>
      <c r="BH107" s="47"/>
      <c r="BI107" s="47"/>
      <c r="BJ107" s="47"/>
      <c r="BK107" s="47"/>
      <c r="BL107" s="47"/>
      <c r="BM107" s="47"/>
      <c r="BN107" s="47"/>
      <c r="BO107" s="47"/>
      <c r="BP107" s="47"/>
      <c r="BQ107" s="47"/>
      <c r="BR107" s="47"/>
      <c r="BS107" s="47"/>
      <c r="BT107" s="47"/>
      <c r="BU107" s="47"/>
      <c r="BV107" s="47"/>
      <c r="BW107" s="47"/>
      <c r="BX107" s="47"/>
      <c r="BY107" s="47"/>
      <c r="BZ107" s="47"/>
    </row>
    <row r="108" spans="1:78" ht="13">
      <c r="A108" s="48" t="str">
        <f ca="1">'.'!A108</f>
        <v>Chub Fish</v>
      </c>
      <c r="B108" s="46" t="str">
        <f t="array" aca="1" ref="B108" ca="1">IF('.'!B108="","",'.'!B108&amp;IF(VLOOKUP('.'!B108,Recipes!$A:$D,4,FALSE)="",""," ["&amp;VLOOKUP('.'!B108,Recipes!$A:$D,4,FALSE)&amp;"]"))</f>
        <v>Hail Strike Scroll [113]</v>
      </c>
      <c r="C108" s="46" t="str">
        <f t="array" aca="1" ref="C108" ca="1">IF('.'!C108="","",'.'!C108&amp;IF(VLOOKUP('.'!C108,Recipes!$A:$D,4,FALSE)="",""," ["&amp;VLOOKUP('.'!C108,Recipes!$A:$D,4,FALSE)&amp;"]"))</f>
        <v>Steam Lance Scroll [-1092]</v>
      </c>
      <c r="D108" s="46" t="str">
        <f t="array" ref="D108">IF('.'!D108="","",'.'!D108&amp;IF(VLOOKUP('.'!D108,Recipes!$A:$D,4,FALSE)="",""," ["&amp;VLOOKUP('.'!D108,Recipes!$A:$D,4,FALSE)&amp;"]"))</f>
        <v/>
      </c>
      <c r="E108" s="46" t="str">
        <f t="array" ref="E108">IF('.'!E108="","",'.'!E108&amp;IF(VLOOKUP('.'!E108,Recipes!$A:$D,4,FALSE)="",""," ["&amp;VLOOKUP('.'!E108,Recipes!$A:$D,4,FALSE)&amp;"]"))</f>
        <v/>
      </c>
      <c r="F108" s="46" t="str">
        <f t="array" ref="F108">IF('.'!F108="","",'.'!F108&amp;IF(VLOOKUP('.'!F108,Recipes!$A:$D,4,FALSE)="",""," ["&amp;VLOOKUP('.'!F108,Recipes!$A:$D,4,FALSE)&amp;"]"))</f>
        <v/>
      </c>
      <c r="G108" s="46" t="str">
        <f t="array" ref="G108">IF('.'!G108="","",'.'!G108&amp;IF(VLOOKUP('.'!G108,Recipes!$A:$D,4,FALSE)="",""," ["&amp;VLOOKUP('.'!G108,Recipes!$A:$D,4,FALSE)&amp;"]"))</f>
        <v/>
      </c>
      <c r="H108" s="46" t="str">
        <f t="array" ref="H108">IF('.'!H108="","",'.'!H108&amp;IF(VLOOKUP('.'!H108,Recipes!$A:$D,4,FALSE)="",""," ["&amp;VLOOKUP('.'!H108,Recipes!$A:$D,4,FALSE)&amp;"]"))</f>
        <v/>
      </c>
      <c r="I108" s="46" t="str">
        <f t="array" ref="I108">IF('.'!I108="","",'.'!I108&amp;IF(VLOOKUP('.'!I108,Recipes!$A:$D,4,FALSE)="",""," ["&amp;VLOOKUP('.'!I108,Recipes!$A:$D,4,FALSE)&amp;"]"))</f>
        <v/>
      </c>
      <c r="J108" s="46" t="str">
        <f t="array" ref="J108">IF('.'!J108="","",'.'!J108&amp;IF(VLOOKUP('.'!J108,Recipes!$A:$D,4,FALSE)="",""," ["&amp;VLOOKUP('.'!J108,Recipes!$A:$D,4,FALSE)&amp;"]"))</f>
        <v/>
      </c>
      <c r="K108" s="46" t="str">
        <f t="array" ref="K108">IF('.'!K108="","",'.'!K108&amp;IF(VLOOKUP('.'!K108,Recipes!$A:$D,4,FALSE)="",""," ["&amp;VLOOKUP('.'!K108,Recipes!$A:$D,4,FALSE)&amp;"]"))</f>
        <v/>
      </c>
      <c r="L108" s="46" t="str">
        <f t="array" ref="L108">IF('.'!L108="","",'.'!L108&amp;IF(VLOOKUP('.'!L108,Recipes!$A:$D,4,FALSE)="",""," ["&amp;VLOOKUP('.'!L108,Recipes!$A:$D,4,FALSE)&amp;"]"))</f>
        <v/>
      </c>
      <c r="M108" s="46" t="str">
        <f t="array" ref="M108">IF('.'!M108="","",'.'!M108&amp;IF(VLOOKUP('.'!M108,Recipes!$A:$D,4,FALSE)="",""," ["&amp;VLOOKUP('.'!M108,Recipes!$A:$D,4,FALSE)&amp;"]"))</f>
        <v/>
      </c>
      <c r="N108" s="46" t="str">
        <f t="array" ref="N108">IF('.'!N108="","",'.'!N108&amp;IF(VLOOKUP('.'!N108,Recipes!$A:$D,4,FALSE)="",""," ["&amp;VLOOKUP('.'!N108,Recipes!$A:$D,4,FALSE)&amp;"]"))</f>
        <v/>
      </c>
      <c r="O108" s="46" t="str">
        <f t="array" ref="O108">IF('.'!O108="","",'.'!O108&amp;IF(VLOOKUP('.'!O108,Recipes!$A:$D,4,FALSE)="",""," ["&amp;VLOOKUP('.'!O108,Recipes!$A:$D,4,FALSE)&amp;"]"))</f>
        <v/>
      </c>
      <c r="P108" s="46" t="str">
        <f t="array" ref="P108">IF('.'!P108="","",'.'!P108&amp;IF(VLOOKUP('.'!P108,Recipes!$A:$D,4,FALSE)="",""," ["&amp;VLOOKUP('.'!P108,Recipes!$A:$D,4,FALSE)&amp;"]"))</f>
        <v/>
      </c>
      <c r="Q108" s="46" t="str">
        <f t="array" ref="Q108">IF('.'!Q108="","",'.'!Q108&amp;IF(VLOOKUP('.'!Q108,Recipes!$A:$D,4,FALSE)="",""," ["&amp;VLOOKUP('.'!Q108,Recipes!$A:$D,4,FALSE)&amp;"]"))</f>
        <v/>
      </c>
      <c r="R108" s="46" t="str">
        <f t="array" ref="R108">IF('.'!R108="","",'.'!R108&amp;IF(VLOOKUP('.'!R108,Recipes!$A:$D,4,FALSE)="",""," ["&amp;VLOOKUP('.'!R108,Recipes!$A:$D,4,FALSE)&amp;"]"))</f>
        <v/>
      </c>
      <c r="S108" s="46" t="str">
        <f t="array" ref="S108">IF('.'!S108="","",'.'!S108&amp;IF(VLOOKUP('.'!S108,Recipes!$A:$D,4,FALSE)="",""," ["&amp;VLOOKUP('.'!S108,Recipes!$A:$D,4,FALSE)&amp;"]"))</f>
        <v/>
      </c>
      <c r="T108" s="46" t="str">
        <f t="array" ref="T108">IF('.'!T108="","",'.'!T108&amp;IF(VLOOKUP('.'!T108,Recipes!$A:$D,4,FALSE)="",""," ["&amp;VLOOKUP('.'!T108,Recipes!$A:$D,4,FALSE)&amp;"]"))</f>
        <v/>
      </c>
      <c r="U108" s="46" t="str">
        <f t="array" ref="U108">IF('.'!U108="","",'.'!U108&amp;IF(VLOOKUP('.'!U108,Recipes!$A:$D,4,FALSE)="",""," ["&amp;VLOOKUP('.'!U108,Recipes!$A:$D,4,FALSE)&amp;"]"))</f>
        <v/>
      </c>
      <c r="V108" s="46" t="str">
        <f t="array" ref="V108">IF('.'!V108="","",'.'!V108&amp;IF(VLOOKUP('.'!V108,Recipes!$A:$D,4,FALSE)="",""," ["&amp;VLOOKUP('.'!V108,Recipes!$A:$D,4,FALSE)&amp;"]"))</f>
        <v/>
      </c>
      <c r="W108" s="46" t="str">
        <f t="array" ref="W108">IF('.'!W108="","",'.'!W108&amp;IF(VLOOKUP('.'!W108,Recipes!$A:$D,4,FALSE)="",""," ["&amp;VLOOKUP('.'!W108,Recipes!$A:$D,4,FALSE)&amp;"]"))</f>
        <v/>
      </c>
      <c r="X108" s="46" t="str">
        <f t="array" ref="X108">IF('.'!X108="","",'.'!X108&amp;IF(VLOOKUP('.'!X108,Recipes!$A:$D,4,FALSE)="",""," ["&amp;VLOOKUP('.'!X108,Recipes!$A:$D,4,FALSE)&amp;"]"))</f>
        <v/>
      </c>
      <c r="Y108" s="46" t="str">
        <f t="array" ref="Y108">IF('.'!Y108="","",'.'!Y108&amp;IF(VLOOKUP('.'!Y108,Recipes!$A:$D,4,FALSE)="",""," ["&amp;VLOOKUP('.'!Y108,Recipes!$A:$D,4,FALSE)&amp;"]"))</f>
        <v/>
      </c>
      <c r="Z108" s="46" t="str">
        <f t="array" ref="Z108">IF('.'!Z108="","",'.'!Z108&amp;IF(VLOOKUP('.'!Z108,Recipes!$A:$D,4,FALSE)="",""," ["&amp;VLOOKUP('.'!Z108,Recipes!$A:$D,4,FALSE)&amp;"]"))</f>
        <v/>
      </c>
      <c r="AA108" s="46" t="str">
        <f t="array" ref="AA108">IF('.'!AA108="","",'.'!AA108&amp;IF(VLOOKUP('.'!AA108,Recipes!$A:$D,4,FALSE)="",""," ["&amp;VLOOKUP('.'!AA108,Recipes!$A:$D,4,FALSE)&amp;"]"))</f>
        <v/>
      </c>
      <c r="AB108" s="46" t="str">
        <f t="array" ref="AB108">IF('.'!AB108="","",'.'!AB108&amp;IF(VLOOKUP('.'!AB108,Recipes!$A:$D,4,FALSE)="",""," ["&amp;VLOOKUP('.'!AB108,Recipes!$A:$D,4,FALSE)&amp;"]"))</f>
        <v/>
      </c>
      <c r="AC108" s="46" t="str">
        <f t="array" ref="AC108">IF('.'!AC108="","",'.'!AC108&amp;IF(VLOOKUP('.'!AC108,Recipes!$A:$D,4,FALSE)="",""," ["&amp;VLOOKUP('.'!AC108,Recipes!$A:$D,4,FALSE)&amp;"]"))</f>
        <v/>
      </c>
      <c r="AD108" s="46" t="str">
        <f t="array" ref="AD108">IF('.'!AD108="","",'.'!AD108&amp;IF(VLOOKUP('.'!AD108,Recipes!$A:$D,4,FALSE)="",""," ["&amp;VLOOKUP('.'!AD108,Recipes!$A:$D,4,FALSE)&amp;"]"))</f>
        <v/>
      </c>
      <c r="AE108" s="47"/>
      <c r="AF108" s="47"/>
      <c r="AG108" s="47"/>
      <c r="AH108" s="47"/>
      <c r="AI108" s="47"/>
      <c r="AJ108" s="47"/>
      <c r="AK108" s="47"/>
      <c r="AL108" s="47"/>
      <c r="AM108" s="47"/>
      <c r="AN108" s="47"/>
      <c r="AO108" s="47"/>
      <c r="AP108" s="47"/>
      <c r="AQ108" s="47"/>
      <c r="AR108" s="47"/>
      <c r="AS108" s="47"/>
      <c r="AT108" s="47"/>
      <c r="AU108" s="47"/>
      <c r="AV108" s="47"/>
      <c r="AW108" s="47"/>
      <c r="AX108" s="47"/>
      <c r="AY108" s="47"/>
      <c r="AZ108" s="47"/>
      <c r="BA108" s="47"/>
      <c r="BB108" s="47"/>
      <c r="BC108" s="47"/>
      <c r="BD108" s="47"/>
      <c r="BE108" s="47"/>
      <c r="BF108" s="47"/>
      <c r="BG108" s="47"/>
      <c r="BH108" s="47"/>
      <c r="BI108" s="47"/>
      <c r="BJ108" s="47"/>
      <c r="BK108" s="47"/>
      <c r="BL108" s="47"/>
      <c r="BM108" s="47"/>
      <c r="BN108" s="47"/>
      <c r="BO108" s="47"/>
      <c r="BP108" s="47"/>
      <c r="BQ108" s="47"/>
      <c r="BR108" s="47"/>
      <c r="BS108" s="47"/>
      <c r="BT108" s="47"/>
      <c r="BU108" s="47"/>
      <c r="BV108" s="47"/>
      <c r="BW108" s="47"/>
      <c r="BX108" s="47"/>
      <c r="BY108" s="47"/>
      <c r="BZ108" s="47"/>
    </row>
    <row r="109" spans="1:78" ht="13">
      <c r="A109" s="48" t="str">
        <f ca="1">'.'!A109</f>
        <v>Claw</v>
      </c>
      <c r="B109" s="46" t="str">
        <f t="array" aca="1" ref="B109" ca="1">IF('.'!B109="","",'.'!B109&amp;IF(VLOOKUP('.'!B109,Recipes!$A:$D,4,FALSE)="",""," ["&amp;VLOOKUP('.'!B109,Recipes!$A:$D,4,FALSE)&amp;"]"))</f>
        <v>Haste Scroll [-65]</v>
      </c>
      <c r="C109" s="46" t="str">
        <f t="array" ref="C109">IF('.'!C109="","",'.'!C109&amp;IF(VLOOKUP('.'!C109,Recipes!$A:$D,4,FALSE)="",""," ["&amp;VLOOKUP('.'!C109,Recipes!$A:$D,4,FALSE)&amp;"]"))</f>
        <v/>
      </c>
      <c r="D109" s="46" t="str">
        <f t="array" ref="D109">IF('.'!D109="","",'.'!D109&amp;IF(VLOOKUP('.'!D109,Recipes!$A:$D,4,FALSE)="",""," ["&amp;VLOOKUP('.'!D109,Recipes!$A:$D,4,FALSE)&amp;"]"))</f>
        <v/>
      </c>
      <c r="E109" s="46" t="str">
        <f t="array" ref="E109">IF('.'!E109="","",'.'!E109&amp;IF(VLOOKUP('.'!E109,Recipes!$A:$D,4,FALSE)="",""," ["&amp;VLOOKUP('.'!E109,Recipes!$A:$D,4,FALSE)&amp;"]"))</f>
        <v/>
      </c>
      <c r="F109" s="46" t="str">
        <f t="array" ref="F109">IF('.'!F109="","",'.'!F109&amp;IF(VLOOKUP('.'!F109,Recipes!$A:$D,4,FALSE)="",""," ["&amp;VLOOKUP('.'!F109,Recipes!$A:$D,4,FALSE)&amp;"]"))</f>
        <v/>
      </c>
      <c r="G109" s="46" t="str">
        <f t="array" ref="G109">IF('.'!G109="","",'.'!G109&amp;IF(VLOOKUP('.'!G109,Recipes!$A:$D,4,FALSE)="",""," ["&amp;VLOOKUP('.'!G109,Recipes!$A:$D,4,FALSE)&amp;"]"))</f>
        <v/>
      </c>
      <c r="H109" s="46" t="str">
        <f t="array" ref="H109">IF('.'!H109="","",'.'!H109&amp;IF(VLOOKUP('.'!H109,Recipes!$A:$D,4,FALSE)="",""," ["&amp;VLOOKUP('.'!H109,Recipes!$A:$D,4,FALSE)&amp;"]"))</f>
        <v/>
      </c>
      <c r="I109" s="46" t="str">
        <f t="array" ref="I109">IF('.'!I109="","",'.'!I109&amp;IF(VLOOKUP('.'!I109,Recipes!$A:$D,4,FALSE)="",""," ["&amp;VLOOKUP('.'!I109,Recipes!$A:$D,4,FALSE)&amp;"]"))</f>
        <v/>
      </c>
      <c r="J109" s="46" t="str">
        <f t="array" ref="J109">IF('.'!J109="","",'.'!J109&amp;IF(VLOOKUP('.'!J109,Recipes!$A:$D,4,FALSE)="",""," ["&amp;VLOOKUP('.'!J109,Recipes!$A:$D,4,FALSE)&amp;"]"))</f>
        <v/>
      </c>
      <c r="K109" s="46" t="str">
        <f t="array" ref="K109">IF('.'!K109="","",'.'!K109&amp;IF(VLOOKUP('.'!K109,Recipes!$A:$D,4,FALSE)="",""," ["&amp;VLOOKUP('.'!K109,Recipes!$A:$D,4,FALSE)&amp;"]"))</f>
        <v/>
      </c>
      <c r="L109" s="46" t="str">
        <f t="array" ref="L109">IF('.'!L109="","",'.'!L109&amp;IF(VLOOKUP('.'!L109,Recipes!$A:$D,4,FALSE)="",""," ["&amp;VLOOKUP('.'!L109,Recipes!$A:$D,4,FALSE)&amp;"]"))</f>
        <v/>
      </c>
      <c r="M109" s="46" t="str">
        <f t="array" ref="M109">IF('.'!M109="","",'.'!M109&amp;IF(VLOOKUP('.'!M109,Recipes!$A:$D,4,FALSE)="",""," ["&amp;VLOOKUP('.'!M109,Recipes!$A:$D,4,FALSE)&amp;"]"))</f>
        <v/>
      </c>
      <c r="N109" s="46" t="str">
        <f t="array" ref="N109">IF('.'!N109="","",'.'!N109&amp;IF(VLOOKUP('.'!N109,Recipes!$A:$D,4,FALSE)="",""," ["&amp;VLOOKUP('.'!N109,Recipes!$A:$D,4,FALSE)&amp;"]"))</f>
        <v/>
      </c>
      <c r="O109" s="46" t="str">
        <f t="array" ref="O109">IF('.'!O109="","",'.'!O109&amp;IF(VLOOKUP('.'!O109,Recipes!$A:$D,4,FALSE)="",""," ["&amp;VLOOKUP('.'!O109,Recipes!$A:$D,4,FALSE)&amp;"]"))</f>
        <v/>
      </c>
      <c r="P109" s="46" t="str">
        <f t="array" ref="P109">IF('.'!P109="","",'.'!P109&amp;IF(VLOOKUP('.'!P109,Recipes!$A:$D,4,FALSE)="",""," ["&amp;VLOOKUP('.'!P109,Recipes!$A:$D,4,FALSE)&amp;"]"))</f>
        <v/>
      </c>
      <c r="Q109" s="46" t="str">
        <f t="array" ref="Q109">IF('.'!Q109="","",'.'!Q109&amp;IF(VLOOKUP('.'!Q109,Recipes!$A:$D,4,FALSE)="",""," ["&amp;VLOOKUP('.'!Q109,Recipes!$A:$D,4,FALSE)&amp;"]"))</f>
        <v/>
      </c>
      <c r="R109" s="46" t="str">
        <f t="array" ref="R109">IF('.'!R109="","",'.'!R109&amp;IF(VLOOKUP('.'!R109,Recipes!$A:$D,4,FALSE)="",""," ["&amp;VLOOKUP('.'!R109,Recipes!$A:$D,4,FALSE)&amp;"]"))</f>
        <v/>
      </c>
      <c r="S109" s="46" t="str">
        <f t="array" ref="S109">IF('.'!S109="","",'.'!S109&amp;IF(VLOOKUP('.'!S109,Recipes!$A:$D,4,FALSE)="",""," ["&amp;VLOOKUP('.'!S109,Recipes!$A:$D,4,FALSE)&amp;"]"))</f>
        <v/>
      </c>
      <c r="T109" s="46" t="str">
        <f t="array" ref="T109">IF('.'!T109="","",'.'!T109&amp;IF(VLOOKUP('.'!T109,Recipes!$A:$D,4,FALSE)="",""," ["&amp;VLOOKUP('.'!T109,Recipes!$A:$D,4,FALSE)&amp;"]"))</f>
        <v/>
      </c>
      <c r="U109" s="46" t="str">
        <f t="array" ref="U109">IF('.'!U109="","",'.'!U109&amp;IF(VLOOKUP('.'!U109,Recipes!$A:$D,4,FALSE)="",""," ["&amp;VLOOKUP('.'!U109,Recipes!$A:$D,4,FALSE)&amp;"]"))</f>
        <v/>
      </c>
      <c r="V109" s="46" t="str">
        <f t="array" ref="V109">IF('.'!V109="","",'.'!V109&amp;IF(VLOOKUP('.'!V109,Recipes!$A:$D,4,FALSE)="",""," ["&amp;VLOOKUP('.'!V109,Recipes!$A:$D,4,FALSE)&amp;"]"))</f>
        <v/>
      </c>
      <c r="W109" s="46" t="str">
        <f t="array" ref="W109">IF('.'!W109="","",'.'!W109&amp;IF(VLOOKUP('.'!W109,Recipes!$A:$D,4,FALSE)="",""," ["&amp;VLOOKUP('.'!W109,Recipes!$A:$D,4,FALSE)&amp;"]"))</f>
        <v/>
      </c>
      <c r="X109" s="46" t="str">
        <f t="array" ref="X109">IF('.'!X109="","",'.'!X109&amp;IF(VLOOKUP('.'!X109,Recipes!$A:$D,4,FALSE)="",""," ["&amp;VLOOKUP('.'!X109,Recipes!$A:$D,4,FALSE)&amp;"]"))</f>
        <v/>
      </c>
      <c r="Y109" s="46" t="str">
        <f t="array" ref="Y109">IF('.'!Y109="","",'.'!Y109&amp;IF(VLOOKUP('.'!Y109,Recipes!$A:$D,4,FALSE)="",""," ["&amp;VLOOKUP('.'!Y109,Recipes!$A:$D,4,FALSE)&amp;"]"))</f>
        <v/>
      </c>
      <c r="Z109" s="46" t="str">
        <f t="array" ref="Z109">IF('.'!Z109="","",'.'!Z109&amp;IF(VLOOKUP('.'!Z109,Recipes!$A:$D,4,FALSE)="",""," ["&amp;VLOOKUP('.'!Z109,Recipes!$A:$D,4,FALSE)&amp;"]"))</f>
        <v/>
      </c>
      <c r="AA109" s="46" t="str">
        <f t="array" ref="AA109">IF('.'!AA109="","",'.'!AA109&amp;IF(VLOOKUP('.'!AA109,Recipes!$A:$D,4,FALSE)="",""," ["&amp;VLOOKUP('.'!AA109,Recipes!$A:$D,4,FALSE)&amp;"]"))</f>
        <v/>
      </c>
      <c r="AB109" s="46" t="str">
        <f t="array" ref="AB109">IF('.'!AB109="","",'.'!AB109&amp;IF(VLOOKUP('.'!AB109,Recipes!$A:$D,4,FALSE)="",""," ["&amp;VLOOKUP('.'!AB109,Recipes!$A:$D,4,FALSE)&amp;"]"))</f>
        <v/>
      </c>
      <c r="AC109" s="46" t="str">
        <f t="array" ref="AC109">IF('.'!AC109="","",'.'!AC109&amp;IF(VLOOKUP('.'!AC109,Recipes!$A:$D,4,FALSE)="",""," ["&amp;VLOOKUP('.'!AC109,Recipes!$A:$D,4,FALSE)&amp;"]"))</f>
        <v/>
      </c>
      <c r="AD109" s="46" t="str">
        <f t="array" ref="AD109">IF('.'!AD109="","",'.'!AD109&amp;IF(VLOOKUP('.'!AD109,Recipes!$A:$D,4,FALSE)="",""," ["&amp;VLOOKUP('.'!AD109,Recipes!$A:$D,4,FALSE)&amp;"]"))</f>
        <v/>
      </c>
      <c r="AE109" s="47"/>
      <c r="AF109" s="47"/>
      <c r="AG109" s="47"/>
      <c r="AH109" s="47"/>
      <c r="AI109" s="47"/>
      <c r="AJ109" s="47"/>
      <c r="AK109" s="47"/>
      <c r="AL109" s="47"/>
      <c r="AM109" s="47"/>
      <c r="AN109" s="47"/>
      <c r="AO109" s="47"/>
      <c r="AP109" s="47"/>
      <c r="AQ109" s="47"/>
      <c r="AR109" s="47"/>
      <c r="AS109" s="47"/>
      <c r="AT109" s="47"/>
      <c r="AU109" s="47"/>
      <c r="AV109" s="47"/>
      <c r="AW109" s="47"/>
      <c r="AX109" s="47"/>
      <c r="AY109" s="47"/>
      <c r="AZ109" s="47"/>
      <c r="BA109" s="47"/>
      <c r="BB109" s="47"/>
      <c r="BC109" s="47"/>
      <c r="BD109" s="47"/>
      <c r="BE109" s="47"/>
      <c r="BF109" s="47"/>
      <c r="BG109" s="47"/>
      <c r="BH109" s="47"/>
      <c r="BI109" s="47"/>
      <c r="BJ109" s="47"/>
      <c r="BK109" s="47"/>
      <c r="BL109" s="47"/>
      <c r="BM109" s="47"/>
      <c r="BN109" s="47"/>
      <c r="BO109" s="47"/>
      <c r="BP109" s="47"/>
      <c r="BQ109" s="47"/>
      <c r="BR109" s="47"/>
      <c r="BS109" s="47"/>
      <c r="BT109" s="47"/>
      <c r="BU109" s="47"/>
      <c r="BV109" s="47"/>
      <c r="BW109" s="47"/>
      <c r="BX109" s="47"/>
      <c r="BY109" s="47"/>
      <c r="BZ109" s="47"/>
    </row>
    <row r="110" spans="1:78" ht="13">
      <c r="A110" s="48" t="str">
        <f ca="1">'.'!A110</f>
        <v>Clay</v>
      </c>
      <c r="B110" s="46" t="str">
        <f t="array" aca="1" ref="B110" ca="1">IF('.'!B110="","",'.'!B110&amp;IF(VLOOKUP('.'!B110,Recipes!$A:$D,4,FALSE)="",""," ["&amp;VLOOKUP('.'!B110,Recipes!$A:$D,4,FALSE)&amp;"]"))</f>
        <v>Earthquake Scroll [139]</v>
      </c>
      <c r="C110" s="46" t="str">
        <f t="array" ref="C110">IF('.'!C110="","",'.'!C110&amp;IF(VLOOKUP('.'!C110,Recipes!$A:$D,4,FALSE)="",""," ["&amp;VLOOKUP('.'!C110,Recipes!$A:$D,4,FALSE)&amp;"]"))</f>
        <v/>
      </c>
      <c r="D110" s="46" t="str">
        <f t="array" ref="D110">IF('.'!D110="","",'.'!D110&amp;IF(VLOOKUP('.'!D110,Recipes!$A:$D,4,FALSE)="",""," ["&amp;VLOOKUP('.'!D110,Recipes!$A:$D,4,FALSE)&amp;"]"))</f>
        <v/>
      </c>
      <c r="E110" s="46" t="str">
        <f t="array" ref="E110">IF('.'!E110="","",'.'!E110&amp;IF(VLOOKUP('.'!E110,Recipes!$A:$D,4,FALSE)="",""," ["&amp;VLOOKUP('.'!E110,Recipes!$A:$D,4,FALSE)&amp;"]"))</f>
        <v/>
      </c>
      <c r="F110" s="46" t="str">
        <f t="array" ref="F110">IF('.'!F110="","",'.'!F110&amp;IF(VLOOKUP('.'!F110,Recipes!$A:$D,4,FALSE)="",""," ["&amp;VLOOKUP('.'!F110,Recipes!$A:$D,4,FALSE)&amp;"]"))</f>
        <v/>
      </c>
      <c r="G110" s="46" t="str">
        <f t="array" ref="G110">IF('.'!G110="","",'.'!G110&amp;IF(VLOOKUP('.'!G110,Recipes!$A:$D,4,FALSE)="",""," ["&amp;VLOOKUP('.'!G110,Recipes!$A:$D,4,FALSE)&amp;"]"))</f>
        <v/>
      </c>
      <c r="H110" s="46" t="str">
        <f t="array" ref="H110">IF('.'!H110="","",'.'!H110&amp;IF(VLOOKUP('.'!H110,Recipes!$A:$D,4,FALSE)="",""," ["&amp;VLOOKUP('.'!H110,Recipes!$A:$D,4,FALSE)&amp;"]"))</f>
        <v/>
      </c>
      <c r="I110" s="46" t="str">
        <f t="array" ref="I110">IF('.'!I110="","",'.'!I110&amp;IF(VLOOKUP('.'!I110,Recipes!$A:$D,4,FALSE)="",""," ["&amp;VLOOKUP('.'!I110,Recipes!$A:$D,4,FALSE)&amp;"]"))</f>
        <v/>
      </c>
      <c r="J110" s="46" t="str">
        <f t="array" ref="J110">IF('.'!J110="","",'.'!J110&amp;IF(VLOOKUP('.'!J110,Recipes!$A:$D,4,FALSE)="",""," ["&amp;VLOOKUP('.'!J110,Recipes!$A:$D,4,FALSE)&amp;"]"))</f>
        <v/>
      </c>
      <c r="K110" s="46" t="str">
        <f t="array" ref="K110">IF('.'!K110="","",'.'!K110&amp;IF(VLOOKUP('.'!K110,Recipes!$A:$D,4,FALSE)="",""," ["&amp;VLOOKUP('.'!K110,Recipes!$A:$D,4,FALSE)&amp;"]"))</f>
        <v/>
      </c>
      <c r="L110" s="46" t="str">
        <f t="array" ref="L110">IF('.'!L110="","",'.'!L110&amp;IF(VLOOKUP('.'!L110,Recipes!$A:$D,4,FALSE)="",""," ["&amp;VLOOKUP('.'!L110,Recipes!$A:$D,4,FALSE)&amp;"]"))</f>
        <v/>
      </c>
      <c r="M110" s="46" t="str">
        <f t="array" ref="M110">IF('.'!M110="","",'.'!M110&amp;IF(VLOOKUP('.'!M110,Recipes!$A:$D,4,FALSE)="",""," ["&amp;VLOOKUP('.'!M110,Recipes!$A:$D,4,FALSE)&amp;"]"))</f>
        <v/>
      </c>
      <c r="N110" s="46" t="str">
        <f t="array" ref="N110">IF('.'!N110="","",'.'!N110&amp;IF(VLOOKUP('.'!N110,Recipes!$A:$D,4,FALSE)="",""," ["&amp;VLOOKUP('.'!N110,Recipes!$A:$D,4,FALSE)&amp;"]"))</f>
        <v/>
      </c>
      <c r="O110" s="46" t="str">
        <f t="array" ref="O110">IF('.'!O110="","",'.'!O110&amp;IF(VLOOKUP('.'!O110,Recipes!$A:$D,4,FALSE)="",""," ["&amp;VLOOKUP('.'!O110,Recipes!$A:$D,4,FALSE)&amp;"]"))</f>
        <v/>
      </c>
      <c r="P110" s="46" t="str">
        <f t="array" ref="P110">IF('.'!P110="","",'.'!P110&amp;IF(VLOOKUP('.'!P110,Recipes!$A:$D,4,FALSE)="",""," ["&amp;VLOOKUP('.'!P110,Recipes!$A:$D,4,FALSE)&amp;"]"))</f>
        <v/>
      </c>
      <c r="Q110" s="46" t="str">
        <f t="array" ref="Q110">IF('.'!Q110="","",'.'!Q110&amp;IF(VLOOKUP('.'!Q110,Recipes!$A:$D,4,FALSE)="",""," ["&amp;VLOOKUP('.'!Q110,Recipes!$A:$D,4,FALSE)&amp;"]"))</f>
        <v/>
      </c>
      <c r="R110" s="46" t="str">
        <f t="array" ref="R110">IF('.'!R110="","",'.'!R110&amp;IF(VLOOKUP('.'!R110,Recipes!$A:$D,4,FALSE)="",""," ["&amp;VLOOKUP('.'!R110,Recipes!$A:$D,4,FALSE)&amp;"]"))</f>
        <v/>
      </c>
      <c r="S110" s="46" t="str">
        <f t="array" ref="S110">IF('.'!S110="","",'.'!S110&amp;IF(VLOOKUP('.'!S110,Recipes!$A:$D,4,FALSE)="",""," ["&amp;VLOOKUP('.'!S110,Recipes!$A:$D,4,FALSE)&amp;"]"))</f>
        <v/>
      </c>
      <c r="T110" s="46" t="str">
        <f t="array" ref="T110">IF('.'!T110="","",'.'!T110&amp;IF(VLOOKUP('.'!T110,Recipes!$A:$D,4,FALSE)="",""," ["&amp;VLOOKUP('.'!T110,Recipes!$A:$D,4,FALSE)&amp;"]"))</f>
        <v/>
      </c>
      <c r="U110" s="46" t="str">
        <f t="array" ref="U110">IF('.'!U110="","",'.'!U110&amp;IF(VLOOKUP('.'!U110,Recipes!$A:$D,4,FALSE)="",""," ["&amp;VLOOKUP('.'!U110,Recipes!$A:$D,4,FALSE)&amp;"]"))</f>
        <v/>
      </c>
      <c r="V110" s="46" t="str">
        <f t="array" ref="V110">IF('.'!V110="","",'.'!V110&amp;IF(VLOOKUP('.'!V110,Recipes!$A:$D,4,FALSE)="",""," ["&amp;VLOOKUP('.'!V110,Recipes!$A:$D,4,FALSE)&amp;"]"))</f>
        <v/>
      </c>
      <c r="W110" s="46" t="str">
        <f t="array" ref="W110">IF('.'!W110="","",'.'!W110&amp;IF(VLOOKUP('.'!W110,Recipes!$A:$D,4,FALSE)="",""," ["&amp;VLOOKUP('.'!W110,Recipes!$A:$D,4,FALSE)&amp;"]"))</f>
        <v/>
      </c>
      <c r="X110" s="46" t="str">
        <f t="array" ref="X110">IF('.'!X110="","",'.'!X110&amp;IF(VLOOKUP('.'!X110,Recipes!$A:$D,4,FALSE)="",""," ["&amp;VLOOKUP('.'!X110,Recipes!$A:$D,4,FALSE)&amp;"]"))</f>
        <v/>
      </c>
      <c r="Y110" s="46" t="str">
        <f t="array" ref="Y110">IF('.'!Y110="","",'.'!Y110&amp;IF(VLOOKUP('.'!Y110,Recipes!$A:$D,4,FALSE)="",""," ["&amp;VLOOKUP('.'!Y110,Recipes!$A:$D,4,FALSE)&amp;"]"))</f>
        <v/>
      </c>
      <c r="Z110" s="46" t="str">
        <f t="array" ref="Z110">IF('.'!Z110="","",'.'!Z110&amp;IF(VLOOKUP('.'!Z110,Recipes!$A:$D,4,FALSE)="",""," ["&amp;VLOOKUP('.'!Z110,Recipes!$A:$D,4,FALSE)&amp;"]"))</f>
        <v/>
      </c>
      <c r="AA110" s="46" t="str">
        <f t="array" ref="AA110">IF('.'!AA110="","",'.'!AA110&amp;IF(VLOOKUP('.'!AA110,Recipes!$A:$D,4,FALSE)="",""," ["&amp;VLOOKUP('.'!AA110,Recipes!$A:$D,4,FALSE)&amp;"]"))</f>
        <v/>
      </c>
      <c r="AB110" s="46" t="str">
        <f t="array" ref="AB110">IF('.'!AB110="","",'.'!AB110&amp;IF(VLOOKUP('.'!AB110,Recipes!$A:$D,4,FALSE)="",""," ["&amp;VLOOKUP('.'!AB110,Recipes!$A:$D,4,FALSE)&amp;"]"))</f>
        <v/>
      </c>
      <c r="AC110" s="46" t="str">
        <f t="array" ref="AC110">IF('.'!AC110="","",'.'!AC110&amp;IF(VLOOKUP('.'!AC110,Recipes!$A:$D,4,FALSE)="",""," ["&amp;VLOOKUP('.'!AC110,Recipes!$A:$D,4,FALSE)&amp;"]"))</f>
        <v/>
      </c>
      <c r="AD110" s="46" t="str">
        <f t="array" ref="AD110">IF('.'!AD110="","",'.'!AD110&amp;IF(VLOOKUP('.'!AD110,Recipes!$A:$D,4,FALSE)="",""," ["&amp;VLOOKUP('.'!AD110,Recipes!$A:$D,4,FALSE)&amp;"]"))</f>
        <v/>
      </c>
      <c r="AE110" s="47"/>
      <c r="AF110" s="47"/>
      <c r="AG110" s="47"/>
      <c r="AH110" s="47"/>
      <c r="AI110" s="47"/>
      <c r="AJ110" s="47"/>
      <c r="AK110" s="47"/>
      <c r="AL110" s="47"/>
      <c r="AM110" s="47"/>
      <c r="AN110" s="47"/>
      <c r="AO110" s="47"/>
      <c r="AP110" s="47"/>
      <c r="AQ110" s="47"/>
      <c r="AR110" s="47"/>
      <c r="AS110" s="47"/>
      <c r="AT110" s="47"/>
      <c r="AU110" s="47"/>
      <c r="AV110" s="47"/>
      <c r="AW110" s="47"/>
      <c r="AX110" s="47"/>
      <c r="AY110" s="47"/>
      <c r="AZ110" s="47"/>
      <c r="BA110" s="47"/>
      <c r="BB110" s="47"/>
      <c r="BC110" s="47"/>
      <c r="BD110" s="47"/>
      <c r="BE110" s="47"/>
      <c r="BF110" s="47"/>
      <c r="BG110" s="47"/>
      <c r="BH110" s="47"/>
      <c r="BI110" s="47"/>
      <c r="BJ110" s="47"/>
      <c r="BK110" s="47"/>
      <c r="BL110" s="47"/>
      <c r="BM110" s="47"/>
      <c r="BN110" s="47"/>
      <c r="BO110" s="47"/>
      <c r="BP110" s="47"/>
      <c r="BQ110" s="47"/>
      <c r="BR110" s="47"/>
      <c r="BS110" s="47"/>
      <c r="BT110" s="47"/>
      <c r="BU110" s="47"/>
      <c r="BV110" s="47"/>
      <c r="BW110" s="47"/>
      <c r="BX110" s="47"/>
      <c r="BY110" s="47"/>
      <c r="BZ110" s="47"/>
    </row>
    <row r="111" spans="1:78" ht="13">
      <c r="A111" s="48" t="str">
        <f ca="1">'.'!A111</f>
        <v>Closed Circuit Scroll</v>
      </c>
      <c r="B111" s="46" t="str">
        <f t="array" aca="1" ref="B111" ca="1">IF('.'!B111="","",'.'!B111&amp;IF(VLOOKUP('.'!B111,Recipes!$A:$D,4,FALSE)="",""," ["&amp;VLOOKUP('.'!B111,Recipes!$A:$D,4,FALSE)&amp;"]"))</f>
        <v>Closed Circuit Skillbook [0]</v>
      </c>
      <c r="C111" s="46" t="str">
        <f t="array" ref="C111">IF('.'!C111="","",'.'!C111&amp;IF(VLOOKUP('.'!C111,Recipes!$A:$D,4,FALSE)="",""," ["&amp;VLOOKUP('.'!C111,Recipes!$A:$D,4,FALSE)&amp;"]"))</f>
        <v/>
      </c>
      <c r="D111" s="46" t="str">
        <f t="array" ref="D111">IF('.'!D111="","",'.'!D111&amp;IF(VLOOKUP('.'!D111,Recipes!$A:$D,4,FALSE)="",""," ["&amp;VLOOKUP('.'!D111,Recipes!$A:$D,4,FALSE)&amp;"]"))</f>
        <v/>
      </c>
      <c r="E111" s="46" t="str">
        <f t="array" ref="E111">IF('.'!E111="","",'.'!E111&amp;IF(VLOOKUP('.'!E111,Recipes!$A:$D,4,FALSE)="",""," ["&amp;VLOOKUP('.'!E111,Recipes!$A:$D,4,FALSE)&amp;"]"))</f>
        <v/>
      </c>
      <c r="F111" s="46" t="str">
        <f t="array" ref="F111">IF('.'!F111="","",'.'!F111&amp;IF(VLOOKUP('.'!F111,Recipes!$A:$D,4,FALSE)="",""," ["&amp;VLOOKUP('.'!F111,Recipes!$A:$D,4,FALSE)&amp;"]"))</f>
        <v/>
      </c>
      <c r="G111" s="46" t="str">
        <f t="array" ref="G111">IF('.'!G111="","",'.'!G111&amp;IF(VLOOKUP('.'!G111,Recipes!$A:$D,4,FALSE)="",""," ["&amp;VLOOKUP('.'!G111,Recipes!$A:$D,4,FALSE)&amp;"]"))</f>
        <v/>
      </c>
      <c r="H111" s="46" t="str">
        <f t="array" ref="H111">IF('.'!H111="","",'.'!H111&amp;IF(VLOOKUP('.'!H111,Recipes!$A:$D,4,FALSE)="",""," ["&amp;VLOOKUP('.'!H111,Recipes!$A:$D,4,FALSE)&amp;"]"))</f>
        <v/>
      </c>
      <c r="I111" s="46" t="str">
        <f t="array" ref="I111">IF('.'!I111="","",'.'!I111&amp;IF(VLOOKUP('.'!I111,Recipes!$A:$D,4,FALSE)="",""," ["&amp;VLOOKUP('.'!I111,Recipes!$A:$D,4,FALSE)&amp;"]"))</f>
        <v/>
      </c>
      <c r="J111" s="46" t="str">
        <f t="array" ref="J111">IF('.'!J111="","",'.'!J111&amp;IF(VLOOKUP('.'!J111,Recipes!$A:$D,4,FALSE)="",""," ["&amp;VLOOKUP('.'!J111,Recipes!$A:$D,4,FALSE)&amp;"]"))</f>
        <v/>
      </c>
      <c r="K111" s="46" t="str">
        <f t="array" ref="K111">IF('.'!K111="","",'.'!K111&amp;IF(VLOOKUP('.'!K111,Recipes!$A:$D,4,FALSE)="",""," ["&amp;VLOOKUP('.'!K111,Recipes!$A:$D,4,FALSE)&amp;"]"))</f>
        <v/>
      </c>
      <c r="L111" s="46" t="str">
        <f t="array" ref="L111">IF('.'!L111="","",'.'!L111&amp;IF(VLOOKUP('.'!L111,Recipes!$A:$D,4,FALSE)="",""," ["&amp;VLOOKUP('.'!L111,Recipes!$A:$D,4,FALSE)&amp;"]"))</f>
        <v/>
      </c>
      <c r="M111" s="46" t="str">
        <f t="array" ref="M111">IF('.'!M111="","",'.'!M111&amp;IF(VLOOKUP('.'!M111,Recipes!$A:$D,4,FALSE)="",""," ["&amp;VLOOKUP('.'!M111,Recipes!$A:$D,4,FALSE)&amp;"]"))</f>
        <v/>
      </c>
      <c r="N111" s="46" t="str">
        <f t="array" ref="N111">IF('.'!N111="","",'.'!N111&amp;IF(VLOOKUP('.'!N111,Recipes!$A:$D,4,FALSE)="",""," ["&amp;VLOOKUP('.'!N111,Recipes!$A:$D,4,FALSE)&amp;"]"))</f>
        <v/>
      </c>
      <c r="O111" s="46" t="str">
        <f t="array" ref="O111">IF('.'!O111="","",'.'!O111&amp;IF(VLOOKUP('.'!O111,Recipes!$A:$D,4,FALSE)="",""," ["&amp;VLOOKUP('.'!O111,Recipes!$A:$D,4,FALSE)&amp;"]"))</f>
        <v/>
      </c>
      <c r="P111" s="46" t="str">
        <f t="array" ref="P111">IF('.'!P111="","",'.'!P111&amp;IF(VLOOKUP('.'!P111,Recipes!$A:$D,4,FALSE)="",""," ["&amp;VLOOKUP('.'!P111,Recipes!$A:$D,4,FALSE)&amp;"]"))</f>
        <v/>
      </c>
      <c r="Q111" s="46" t="str">
        <f t="array" ref="Q111">IF('.'!Q111="","",'.'!Q111&amp;IF(VLOOKUP('.'!Q111,Recipes!$A:$D,4,FALSE)="",""," ["&amp;VLOOKUP('.'!Q111,Recipes!$A:$D,4,FALSE)&amp;"]"))</f>
        <v/>
      </c>
      <c r="R111" s="46" t="str">
        <f t="array" ref="R111">IF('.'!R111="","",'.'!R111&amp;IF(VLOOKUP('.'!R111,Recipes!$A:$D,4,FALSE)="",""," ["&amp;VLOOKUP('.'!R111,Recipes!$A:$D,4,FALSE)&amp;"]"))</f>
        <v/>
      </c>
      <c r="S111" s="46" t="str">
        <f t="array" ref="S111">IF('.'!S111="","",'.'!S111&amp;IF(VLOOKUP('.'!S111,Recipes!$A:$D,4,FALSE)="",""," ["&amp;VLOOKUP('.'!S111,Recipes!$A:$D,4,FALSE)&amp;"]"))</f>
        <v/>
      </c>
      <c r="T111" s="46" t="str">
        <f t="array" ref="T111">IF('.'!T111="","",'.'!T111&amp;IF(VLOOKUP('.'!T111,Recipes!$A:$D,4,FALSE)="",""," ["&amp;VLOOKUP('.'!T111,Recipes!$A:$D,4,FALSE)&amp;"]"))</f>
        <v/>
      </c>
      <c r="U111" s="46" t="str">
        <f t="array" ref="U111">IF('.'!U111="","",'.'!U111&amp;IF(VLOOKUP('.'!U111,Recipes!$A:$D,4,FALSE)="",""," ["&amp;VLOOKUP('.'!U111,Recipes!$A:$D,4,FALSE)&amp;"]"))</f>
        <v/>
      </c>
      <c r="V111" s="46" t="str">
        <f t="array" ref="V111">IF('.'!V111="","",'.'!V111&amp;IF(VLOOKUP('.'!V111,Recipes!$A:$D,4,FALSE)="",""," ["&amp;VLOOKUP('.'!V111,Recipes!$A:$D,4,FALSE)&amp;"]"))</f>
        <v/>
      </c>
      <c r="W111" s="46" t="str">
        <f t="array" ref="W111">IF('.'!W111="","",'.'!W111&amp;IF(VLOOKUP('.'!W111,Recipes!$A:$D,4,FALSE)="",""," ["&amp;VLOOKUP('.'!W111,Recipes!$A:$D,4,FALSE)&amp;"]"))</f>
        <v/>
      </c>
      <c r="X111" s="46" t="str">
        <f t="array" ref="X111">IF('.'!X111="","",'.'!X111&amp;IF(VLOOKUP('.'!X111,Recipes!$A:$D,4,FALSE)="",""," ["&amp;VLOOKUP('.'!X111,Recipes!$A:$D,4,FALSE)&amp;"]"))</f>
        <v/>
      </c>
      <c r="Y111" s="46" t="str">
        <f t="array" ref="Y111">IF('.'!Y111="","",'.'!Y111&amp;IF(VLOOKUP('.'!Y111,Recipes!$A:$D,4,FALSE)="",""," ["&amp;VLOOKUP('.'!Y111,Recipes!$A:$D,4,FALSE)&amp;"]"))</f>
        <v/>
      </c>
      <c r="Z111" s="46" t="str">
        <f t="array" ref="Z111">IF('.'!Z111="","",'.'!Z111&amp;IF(VLOOKUP('.'!Z111,Recipes!$A:$D,4,FALSE)="",""," ["&amp;VLOOKUP('.'!Z111,Recipes!$A:$D,4,FALSE)&amp;"]"))</f>
        <v/>
      </c>
      <c r="AA111" s="46" t="str">
        <f t="array" ref="AA111">IF('.'!AA111="","",'.'!AA111&amp;IF(VLOOKUP('.'!AA111,Recipes!$A:$D,4,FALSE)="",""," ["&amp;VLOOKUP('.'!AA111,Recipes!$A:$D,4,FALSE)&amp;"]"))</f>
        <v/>
      </c>
      <c r="AB111" s="46" t="str">
        <f t="array" ref="AB111">IF('.'!AB111="","",'.'!AB111&amp;IF(VLOOKUP('.'!AB111,Recipes!$A:$D,4,FALSE)="",""," ["&amp;VLOOKUP('.'!AB111,Recipes!$A:$D,4,FALSE)&amp;"]"))</f>
        <v/>
      </c>
      <c r="AC111" s="46" t="str">
        <f t="array" ref="AC111">IF('.'!AC111="","",'.'!AC111&amp;IF(VLOOKUP('.'!AC111,Recipes!$A:$D,4,FALSE)="",""," ["&amp;VLOOKUP('.'!AC111,Recipes!$A:$D,4,FALSE)&amp;"]"))</f>
        <v/>
      </c>
      <c r="AD111" s="46" t="str">
        <f t="array" ref="AD111">IF('.'!AD111="","",'.'!AD111&amp;IF(VLOOKUP('.'!AD111,Recipes!$A:$D,4,FALSE)="",""," ["&amp;VLOOKUP('.'!AD111,Recipes!$A:$D,4,FALSE)&amp;"]"))</f>
        <v/>
      </c>
      <c r="AE111" s="47"/>
      <c r="AF111" s="47"/>
      <c r="AG111" s="47"/>
      <c r="AH111" s="47"/>
      <c r="AI111" s="47"/>
      <c r="AJ111" s="47"/>
      <c r="AK111" s="47"/>
      <c r="AL111" s="47"/>
      <c r="AM111" s="47"/>
      <c r="AN111" s="47"/>
      <c r="AO111" s="47"/>
      <c r="AP111" s="47"/>
      <c r="AQ111" s="47"/>
      <c r="AR111" s="47"/>
      <c r="AS111" s="47"/>
      <c r="AT111" s="47"/>
      <c r="AU111" s="47"/>
      <c r="AV111" s="47"/>
      <c r="AW111" s="47"/>
      <c r="AX111" s="47"/>
      <c r="AY111" s="47"/>
      <c r="AZ111" s="47"/>
      <c r="BA111" s="47"/>
      <c r="BB111" s="47"/>
      <c r="BC111" s="47"/>
      <c r="BD111" s="47"/>
      <c r="BE111" s="47"/>
      <c r="BF111" s="47"/>
      <c r="BG111" s="47"/>
      <c r="BH111" s="47"/>
      <c r="BI111" s="47"/>
      <c r="BJ111" s="47"/>
      <c r="BK111" s="47"/>
      <c r="BL111" s="47"/>
      <c r="BM111" s="47"/>
      <c r="BN111" s="47"/>
      <c r="BO111" s="47"/>
      <c r="BP111" s="47"/>
      <c r="BQ111" s="47"/>
      <c r="BR111" s="47"/>
      <c r="BS111" s="47"/>
      <c r="BT111" s="47"/>
      <c r="BU111" s="47"/>
      <c r="BV111" s="47"/>
      <c r="BW111" s="47"/>
      <c r="BX111" s="47"/>
      <c r="BY111" s="47"/>
      <c r="BZ111" s="47"/>
    </row>
    <row r="112" spans="1:78" ht="13">
      <c r="A112" s="48" t="str">
        <f ca="1">'.'!A112</f>
        <v>Cloth Scraps</v>
      </c>
      <c r="B112" s="46" t="str">
        <f t="array" aca="1" ref="B112" ca="1">IF('.'!B112="","",'.'!B112&amp;IF(VLOOKUP('.'!B112,Recipes!$A:$D,4,FALSE)="",""," ["&amp;VLOOKUP('.'!B112,Recipes!$A:$D,4,FALSE)&amp;"]"))</f>
        <v>Handmade Cloth Shirt [V]</v>
      </c>
      <c r="C112" s="46" t="str">
        <f t="array" aca="1" ref="C112" ca="1">IF('.'!C112="","",'.'!C112&amp;IF(VLOOKUP('.'!C112,Recipes!$A:$D,4,FALSE)="",""," ["&amp;VLOOKUP('.'!C112,Recipes!$A:$D,4,FALSE)&amp;"]"))</f>
        <v>Handmade Mage Armour [V]</v>
      </c>
      <c r="D112" s="46" t="str">
        <f t="array" aca="1" ref="D112" ca="1">IF('.'!D112="","",'.'!D112&amp;IF(VLOOKUP('.'!D112,Recipes!$A:$D,4,FALSE)="",""," ["&amp;VLOOKUP('.'!D112,Recipes!$A:$D,4,FALSE)&amp;"]"))</f>
        <v>Big Tongs Roped Together [V]</v>
      </c>
      <c r="E112" s="46" t="str">
        <f t="array" aca="1" ref="E112" ca="1">IF('.'!E112="","",'.'!E112&amp;IF(VLOOKUP('.'!E112,Recipes!$A:$D,4,FALSE)="",""," ["&amp;VLOOKUP('.'!E112,Recipes!$A:$D,4,FALSE)&amp;"]"))</f>
        <v>Makeshift Club [2H] [V]</v>
      </c>
      <c r="F112" s="46" t="str">
        <f t="array" aca="1" ref="F112" ca="1">IF('.'!F112="","",'.'!F112&amp;IF(VLOOKUP('.'!F112,Recipes!$A:$D,4,FALSE)="",""," ["&amp;VLOOKUP('.'!F112,Recipes!$A:$D,4,FALSE)&amp;"]"))</f>
        <v>Shiv [V]</v>
      </c>
      <c r="G112" s="46" t="str">
        <f t="array" ref="G112">IF('.'!G112="","",'.'!G112&amp;IF(VLOOKUP('.'!G112,Recipes!$A:$D,4,FALSE)="",""," ["&amp;VLOOKUP('.'!G112,Recipes!$A:$D,4,FALSE)&amp;"]"))</f>
        <v/>
      </c>
      <c r="H112" s="46" t="str">
        <f t="array" ref="H112">IF('.'!H112="","",'.'!H112&amp;IF(VLOOKUP('.'!H112,Recipes!$A:$D,4,FALSE)="",""," ["&amp;VLOOKUP('.'!H112,Recipes!$A:$D,4,FALSE)&amp;"]"))</f>
        <v/>
      </c>
      <c r="I112" s="46" t="str">
        <f t="array" ref="I112">IF('.'!I112="","",'.'!I112&amp;IF(VLOOKUP('.'!I112,Recipes!$A:$D,4,FALSE)="",""," ["&amp;VLOOKUP('.'!I112,Recipes!$A:$D,4,FALSE)&amp;"]"))</f>
        <v/>
      </c>
      <c r="J112" s="46" t="str">
        <f t="array" ref="J112">IF('.'!J112="","",'.'!J112&amp;IF(VLOOKUP('.'!J112,Recipes!$A:$D,4,FALSE)="",""," ["&amp;VLOOKUP('.'!J112,Recipes!$A:$D,4,FALSE)&amp;"]"))</f>
        <v/>
      </c>
      <c r="K112" s="46" t="str">
        <f t="array" ref="K112">IF('.'!K112="","",'.'!K112&amp;IF(VLOOKUP('.'!K112,Recipes!$A:$D,4,FALSE)="",""," ["&amp;VLOOKUP('.'!K112,Recipes!$A:$D,4,FALSE)&amp;"]"))</f>
        <v/>
      </c>
      <c r="L112" s="46" t="str">
        <f t="array" ref="L112">IF('.'!L112="","",'.'!L112&amp;IF(VLOOKUP('.'!L112,Recipes!$A:$D,4,FALSE)="",""," ["&amp;VLOOKUP('.'!L112,Recipes!$A:$D,4,FALSE)&amp;"]"))</f>
        <v/>
      </c>
      <c r="M112" s="46" t="str">
        <f t="array" ref="M112">IF('.'!M112="","",'.'!M112&amp;IF(VLOOKUP('.'!M112,Recipes!$A:$D,4,FALSE)="",""," ["&amp;VLOOKUP('.'!M112,Recipes!$A:$D,4,FALSE)&amp;"]"))</f>
        <v/>
      </c>
      <c r="N112" s="46" t="str">
        <f t="array" ref="N112">IF('.'!N112="","",'.'!N112&amp;IF(VLOOKUP('.'!N112,Recipes!$A:$D,4,FALSE)="",""," ["&amp;VLOOKUP('.'!N112,Recipes!$A:$D,4,FALSE)&amp;"]"))</f>
        <v/>
      </c>
      <c r="O112" s="46" t="str">
        <f t="array" ref="O112">IF('.'!O112="","",'.'!O112&amp;IF(VLOOKUP('.'!O112,Recipes!$A:$D,4,FALSE)="",""," ["&amp;VLOOKUP('.'!O112,Recipes!$A:$D,4,FALSE)&amp;"]"))</f>
        <v/>
      </c>
      <c r="P112" s="46" t="str">
        <f t="array" ref="P112">IF('.'!P112="","",'.'!P112&amp;IF(VLOOKUP('.'!P112,Recipes!$A:$D,4,FALSE)="",""," ["&amp;VLOOKUP('.'!P112,Recipes!$A:$D,4,FALSE)&amp;"]"))</f>
        <v/>
      </c>
      <c r="Q112" s="46" t="str">
        <f t="array" ref="Q112">IF('.'!Q112="","",'.'!Q112&amp;IF(VLOOKUP('.'!Q112,Recipes!$A:$D,4,FALSE)="",""," ["&amp;VLOOKUP('.'!Q112,Recipes!$A:$D,4,FALSE)&amp;"]"))</f>
        <v/>
      </c>
      <c r="R112" s="46" t="str">
        <f t="array" ref="R112">IF('.'!R112="","",'.'!R112&amp;IF(VLOOKUP('.'!R112,Recipes!$A:$D,4,FALSE)="",""," ["&amp;VLOOKUP('.'!R112,Recipes!$A:$D,4,FALSE)&amp;"]"))</f>
        <v/>
      </c>
      <c r="S112" s="46" t="str">
        <f t="array" ref="S112">IF('.'!S112="","",'.'!S112&amp;IF(VLOOKUP('.'!S112,Recipes!$A:$D,4,FALSE)="",""," ["&amp;VLOOKUP('.'!S112,Recipes!$A:$D,4,FALSE)&amp;"]"))</f>
        <v/>
      </c>
      <c r="T112" s="46" t="str">
        <f t="array" ref="T112">IF('.'!T112="","",'.'!T112&amp;IF(VLOOKUP('.'!T112,Recipes!$A:$D,4,FALSE)="",""," ["&amp;VLOOKUP('.'!T112,Recipes!$A:$D,4,FALSE)&amp;"]"))</f>
        <v/>
      </c>
      <c r="U112" s="46" t="str">
        <f t="array" ref="U112">IF('.'!U112="","",'.'!U112&amp;IF(VLOOKUP('.'!U112,Recipes!$A:$D,4,FALSE)="",""," ["&amp;VLOOKUP('.'!U112,Recipes!$A:$D,4,FALSE)&amp;"]"))</f>
        <v/>
      </c>
      <c r="V112" s="46" t="str">
        <f t="array" ref="V112">IF('.'!V112="","",'.'!V112&amp;IF(VLOOKUP('.'!V112,Recipes!$A:$D,4,FALSE)="",""," ["&amp;VLOOKUP('.'!V112,Recipes!$A:$D,4,FALSE)&amp;"]"))</f>
        <v/>
      </c>
      <c r="W112" s="46" t="str">
        <f t="array" ref="W112">IF('.'!W112="","",'.'!W112&amp;IF(VLOOKUP('.'!W112,Recipes!$A:$D,4,FALSE)="",""," ["&amp;VLOOKUP('.'!W112,Recipes!$A:$D,4,FALSE)&amp;"]"))</f>
        <v/>
      </c>
      <c r="X112" s="46" t="str">
        <f t="array" ref="X112">IF('.'!X112="","",'.'!X112&amp;IF(VLOOKUP('.'!X112,Recipes!$A:$D,4,FALSE)="",""," ["&amp;VLOOKUP('.'!X112,Recipes!$A:$D,4,FALSE)&amp;"]"))</f>
        <v/>
      </c>
      <c r="Y112" s="46" t="str">
        <f t="array" ref="Y112">IF('.'!Y112="","",'.'!Y112&amp;IF(VLOOKUP('.'!Y112,Recipes!$A:$D,4,FALSE)="",""," ["&amp;VLOOKUP('.'!Y112,Recipes!$A:$D,4,FALSE)&amp;"]"))</f>
        <v/>
      </c>
      <c r="Z112" s="46" t="str">
        <f t="array" ref="Z112">IF('.'!Z112="","",'.'!Z112&amp;IF(VLOOKUP('.'!Z112,Recipes!$A:$D,4,FALSE)="",""," ["&amp;VLOOKUP('.'!Z112,Recipes!$A:$D,4,FALSE)&amp;"]"))</f>
        <v/>
      </c>
      <c r="AA112" s="46" t="str">
        <f t="array" ref="AA112">IF('.'!AA112="","",'.'!AA112&amp;IF(VLOOKUP('.'!AA112,Recipes!$A:$D,4,FALSE)="",""," ["&amp;VLOOKUP('.'!AA112,Recipes!$A:$D,4,FALSE)&amp;"]"))</f>
        <v/>
      </c>
      <c r="AB112" s="46" t="str">
        <f t="array" ref="AB112">IF('.'!AB112="","",'.'!AB112&amp;IF(VLOOKUP('.'!AB112,Recipes!$A:$D,4,FALSE)="",""," ["&amp;VLOOKUP('.'!AB112,Recipes!$A:$D,4,FALSE)&amp;"]"))</f>
        <v/>
      </c>
      <c r="AC112" s="46" t="str">
        <f t="array" ref="AC112">IF('.'!AC112="","",'.'!AC112&amp;IF(VLOOKUP('.'!AC112,Recipes!$A:$D,4,FALSE)="",""," ["&amp;VLOOKUP('.'!AC112,Recipes!$A:$D,4,FALSE)&amp;"]"))</f>
        <v/>
      </c>
      <c r="AD112" s="46" t="str">
        <f t="array" ref="AD112">IF('.'!AD112="","",'.'!AD112&amp;IF(VLOOKUP('.'!AD112,Recipes!$A:$D,4,FALSE)="",""," ["&amp;VLOOKUP('.'!AD112,Recipes!$A:$D,4,FALSE)&amp;"]"))</f>
        <v/>
      </c>
      <c r="AE112" s="47"/>
      <c r="AF112" s="47"/>
      <c r="AG112" s="47"/>
      <c r="AH112" s="47"/>
      <c r="AI112" s="47"/>
      <c r="AJ112" s="47"/>
      <c r="AK112" s="47"/>
      <c r="AL112" s="47"/>
      <c r="AM112" s="47"/>
      <c r="AN112" s="47"/>
      <c r="AO112" s="47"/>
      <c r="AP112" s="47"/>
      <c r="AQ112" s="47"/>
      <c r="AR112" s="47"/>
      <c r="AS112" s="47"/>
      <c r="AT112" s="47"/>
      <c r="AU112" s="47"/>
      <c r="AV112" s="47"/>
      <c r="AW112" s="47"/>
      <c r="AX112" s="47"/>
      <c r="AY112" s="47"/>
      <c r="AZ112" s="47"/>
      <c r="BA112" s="47"/>
      <c r="BB112" s="47"/>
      <c r="BC112" s="47"/>
      <c r="BD112" s="47"/>
      <c r="BE112" s="47"/>
      <c r="BF112" s="47"/>
      <c r="BG112" s="47"/>
      <c r="BH112" s="47"/>
      <c r="BI112" s="47"/>
      <c r="BJ112" s="47"/>
      <c r="BK112" s="47"/>
      <c r="BL112" s="47"/>
      <c r="BM112" s="47"/>
      <c r="BN112" s="47"/>
      <c r="BO112" s="47"/>
      <c r="BP112" s="47"/>
      <c r="BQ112" s="47"/>
      <c r="BR112" s="47"/>
      <c r="BS112" s="47"/>
      <c r="BT112" s="47"/>
      <c r="BU112" s="47"/>
      <c r="BV112" s="47"/>
      <c r="BW112" s="47"/>
      <c r="BX112" s="47"/>
      <c r="BY112" s="47"/>
      <c r="BZ112" s="47"/>
    </row>
    <row r="113" spans="1:78" ht="13">
      <c r="A113" s="48" t="str">
        <f ca="1">'.'!A113</f>
        <v>Cluster Grenade</v>
      </c>
      <c r="B113" s="46" t="str">
        <f t="array" aca="1" ref="B113" ca="1">IF('.'!B113="","",'.'!B113&amp;IF(VLOOKUP('.'!B113,Recipes!$A:$D,4,FALSE)="",""," ["&amp;VLOOKUP('.'!B113,Recipes!$A:$D,4,FALSE)&amp;"]"))</f>
        <v>Cursed Cluster Grenade [-1300]</v>
      </c>
      <c r="C113" s="46" t="str">
        <f t="array" ref="C113">IF('.'!C113="","",'.'!C113&amp;IF(VLOOKUP('.'!C113,Recipes!$A:$D,4,FALSE)="",""," ["&amp;VLOOKUP('.'!C113,Recipes!$A:$D,4,FALSE)&amp;"]"))</f>
        <v/>
      </c>
      <c r="D113" s="46" t="str">
        <f t="array" ref="D113">IF('.'!D113="","",'.'!D113&amp;IF(VLOOKUP('.'!D113,Recipes!$A:$D,4,FALSE)="",""," ["&amp;VLOOKUP('.'!D113,Recipes!$A:$D,4,FALSE)&amp;"]"))</f>
        <v/>
      </c>
      <c r="E113" s="46" t="str">
        <f t="array" ref="E113">IF('.'!E113="","",'.'!E113&amp;IF(VLOOKUP('.'!E113,Recipes!$A:$D,4,FALSE)="",""," ["&amp;VLOOKUP('.'!E113,Recipes!$A:$D,4,FALSE)&amp;"]"))</f>
        <v/>
      </c>
      <c r="F113" s="46" t="str">
        <f t="array" ref="F113">IF('.'!F113="","",'.'!F113&amp;IF(VLOOKUP('.'!F113,Recipes!$A:$D,4,FALSE)="",""," ["&amp;VLOOKUP('.'!F113,Recipes!$A:$D,4,FALSE)&amp;"]"))</f>
        <v/>
      </c>
      <c r="G113" s="46" t="str">
        <f t="array" ref="G113">IF('.'!G113="","",'.'!G113&amp;IF(VLOOKUP('.'!G113,Recipes!$A:$D,4,FALSE)="",""," ["&amp;VLOOKUP('.'!G113,Recipes!$A:$D,4,FALSE)&amp;"]"))</f>
        <v/>
      </c>
      <c r="H113" s="46" t="str">
        <f t="array" ref="H113">IF('.'!H113="","",'.'!H113&amp;IF(VLOOKUP('.'!H113,Recipes!$A:$D,4,FALSE)="",""," ["&amp;VLOOKUP('.'!H113,Recipes!$A:$D,4,FALSE)&amp;"]"))</f>
        <v/>
      </c>
      <c r="I113" s="46" t="str">
        <f t="array" ref="I113">IF('.'!I113="","",'.'!I113&amp;IF(VLOOKUP('.'!I113,Recipes!$A:$D,4,FALSE)="",""," ["&amp;VLOOKUP('.'!I113,Recipes!$A:$D,4,FALSE)&amp;"]"))</f>
        <v/>
      </c>
      <c r="J113" s="46" t="str">
        <f t="array" ref="J113">IF('.'!J113="","",'.'!J113&amp;IF(VLOOKUP('.'!J113,Recipes!$A:$D,4,FALSE)="",""," ["&amp;VLOOKUP('.'!J113,Recipes!$A:$D,4,FALSE)&amp;"]"))</f>
        <v/>
      </c>
      <c r="K113" s="46" t="str">
        <f t="array" ref="K113">IF('.'!K113="","",'.'!K113&amp;IF(VLOOKUP('.'!K113,Recipes!$A:$D,4,FALSE)="",""," ["&amp;VLOOKUP('.'!K113,Recipes!$A:$D,4,FALSE)&amp;"]"))</f>
        <v/>
      </c>
      <c r="L113" s="46" t="str">
        <f t="array" ref="L113">IF('.'!L113="","",'.'!L113&amp;IF(VLOOKUP('.'!L113,Recipes!$A:$D,4,FALSE)="",""," ["&amp;VLOOKUP('.'!L113,Recipes!$A:$D,4,FALSE)&amp;"]"))</f>
        <v/>
      </c>
      <c r="M113" s="46" t="str">
        <f t="array" ref="M113">IF('.'!M113="","",'.'!M113&amp;IF(VLOOKUP('.'!M113,Recipes!$A:$D,4,FALSE)="",""," ["&amp;VLOOKUP('.'!M113,Recipes!$A:$D,4,FALSE)&amp;"]"))</f>
        <v/>
      </c>
      <c r="N113" s="46" t="str">
        <f t="array" ref="N113">IF('.'!N113="","",'.'!N113&amp;IF(VLOOKUP('.'!N113,Recipes!$A:$D,4,FALSE)="",""," ["&amp;VLOOKUP('.'!N113,Recipes!$A:$D,4,FALSE)&amp;"]"))</f>
        <v/>
      </c>
      <c r="O113" s="46" t="str">
        <f t="array" ref="O113">IF('.'!O113="","",'.'!O113&amp;IF(VLOOKUP('.'!O113,Recipes!$A:$D,4,FALSE)="",""," ["&amp;VLOOKUP('.'!O113,Recipes!$A:$D,4,FALSE)&amp;"]"))</f>
        <v/>
      </c>
      <c r="P113" s="46" t="str">
        <f t="array" ref="P113">IF('.'!P113="","",'.'!P113&amp;IF(VLOOKUP('.'!P113,Recipes!$A:$D,4,FALSE)="",""," ["&amp;VLOOKUP('.'!P113,Recipes!$A:$D,4,FALSE)&amp;"]"))</f>
        <v/>
      </c>
      <c r="Q113" s="46" t="str">
        <f t="array" ref="Q113">IF('.'!Q113="","",'.'!Q113&amp;IF(VLOOKUP('.'!Q113,Recipes!$A:$D,4,FALSE)="",""," ["&amp;VLOOKUP('.'!Q113,Recipes!$A:$D,4,FALSE)&amp;"]"))</f>
        <v/>
      </c>
      <c r="R113" s="46" t="str">
        <f t="array" ref="R113">IF('.'!R113="","",'.'!R113&amp;IF(VLOOKUP('.'!R113,Recipes!$A:$D,4,FALSE)="",""," ["&amp;VLOOKUP('.'!R113,Recipes!$A:$D,4,FALSE)&amp;"]"))</f>
        <v/>
      </c>
      <c r="S113" s="46" t="str">
        <f t="array" ref="S113">IF('.'!S113="","",'.'!S113&amp;IF(VLOOKUP('.'!S113,Recipes!$A:$D,4,FALSE)="",""," ["&amp;VLOOKUP('.'!S113,Recipes!$A:$D,4,FALSE)&amp;"]"))</f>
        <v/>
      </c>
      <c r="T113" s="46" t="str">
        <f t="array" ref="T113">IF('.'!T113="","",'.'!T113&amp;IF(VLOOKUP('.'!T113,Recipes!$A:$D,4,FALSE)="",""," ["&amp;VLOOKUP('.'!T113,Recipes!$A:$D,4,FALSE)&amp;"]"))</f>
        <v/>
      </c>
      <c r="U113" s="46" t="str">
        <f t="array" ref="U113">IF('.'!U113="","",'.'!U113&amp;IF(VLOOKUP('.'!U113,Recipes!$A:$D,4,FALSE)="",""," ["&amp;VLOOKUP('.'!U113,Recipes!$A:$D,4,FALSE)&amp;"]"))</f>
        <v/>
      </c>
      <c r="V113" s="46" t="str">
        <f t="array" ref="V113">IF('.'!V113="","",'.'!V113&amp;IF(VLOOKUP('.'!V113,Recipes!$A:$D,4,FALSE)="",""," ["&amp;VLOOKUP('.'!V113,Recipes!$A:$D,4,FALSE)&amp;"]"))</f>
        <v/>
      </c>
      <c r="W113" s="46" t="str">
        <f t="array" ref="W113">IF('.'!W113="","",'.'!W113&amp;IF(VLOOKUP('.'!W113,Recipes!$A:$D,4,FALSE)="",""," ["&amp;VLOOKUP('.'!W113,Recipes!$A:$D,4,FALSE)&amp;"]"))</f>
        <v/>
      </c>
      <c r="X113" s="46" t="str">
        <f t="array" ref="X113">IF('.'!X113="","",'.'!X113&amp;IF(VLOOKUP('.'!X113,Recipes!$A:$D,4,FALSE)="",""," ["&amp;VLOOKUP('.'!X113,Recipes!$A:$D,4,FALSE)&amp;"]"))</f>
        <v/>
      </c>
      <c r="Y113" s="46" t="str">
        <f t="array" ref="Y113">IF('.'!Y113="","",'.'!Y113&amp;IF(VLOOKUP('.'!Y113,Recipes!$A:$D,4,FALSE)="",""," ["&amp;VLOOKUP('.'!Y113,Recipes!$A:$D,4,FALSE)&amp;"]"))</f>
        <v/>
      </c>
      <c r="Z113" s="46" t="str">
        <f t="array" ref="Z113">IF('.'!Z113="","",'.'!Z113&amp;IF(VLOOKUP('.'!Z113,Recipes!$A:$D,4,FALSE)="",""," ["&amp;VLOOKUP('.'!Z113,Recipes!$A:$D,4,FALSE)&amp;"]"))</f>
        <v/>
      </c>
      <c r="AA113" s="46" t="str">
        <f t="array" ref="AA113">IF('.'!AA113="","",'.'!AA113&amp;IF(VLOOKUP('.'!AA113,Recipes!$A:$D,4,FALSE)="",""," ["&amp;VLOOKUP('.'!AA113,Recipes!$A:$D,4,FALSE)&amp;"]"))</f>
        <v/>
      </c>
      <c r="AB113" s="46" t="str">
        <f t="array" ref="AB113">IF('.'!AB113="","",'.'!AB113&amp;IF(VLOOKUP('.'!AB113,Recipes!$A:$D,4,FALSE)="",""," ["&amp;VLOOKUP('.'!AB113,Recipes!$A:$D,4,FALSE)&amp;"]"))</f>
        <v/>
      </c>
      <c r="AC113" s="46" t="str">
        <f t="array" ref="AC113">IF('.'!AC113="","",'.'!AC113&amp;IF(VLOOKUP('.'!AC113,Recipes!$A:$D,4,FALSE)="",""," ["&amp;VLOOKUP('.'!AC113,Recipes!$A:$D,4,FALSE)&amp;"]"))</f>
        <v/>
      </c>
      <c r="AD113" s="46" t="str">
        <f t="array" ref="AD113">IF('.'!AD113="","",'.'!AD113&amp;IF(VLOOKUP('.'!AD113,Recipes!$A:$D,4,FALSE)="",""," ["&amp;VLOOKUP('.'!AD113,Recipes!$A:$D,4,FALSE)&amp;"]"))</f>
        <v/>
      </c>
      <c r="AE113" s="47"/>
      <c r="AF113" s="47"/>
      <c r="AG113" s="47"/>
      <c r="AH113" s="47"/>
      <c r="AI113" s="47"/>
      <c r="AJ113" s="47"/>
      <c r="AK113" s="47"/>
      <c r="AL113" s="47"/>
      <c r="AM113" s="47"/>
      <c r="AN113" s="47"/>
      <c r="AO113" s="47"/>
      <c r="AP113" s="47"/>
      <c r="AQ113" s="47"/>
      <c r="AR113" s="47"/>
      <c r="AS113" s="47"/>
      <c r="AT113" s="47"/>
      <c r="AU113" s="47"/>
      <c r="AV113" s="47"/>
      <c r="AW113" s="47"/>
      <c r="AX113" s="47"/>
      <c r="AY113" s="47"/>
      <c r="AZ113" s="47"/>
      <c r="BA113" s="47"/>
      <c r="BB113" s="47"/>
      <c r="BC113" s="47"/>
      <c r="BD113" s="47"/>
      <c r="BE113" s="47"/>
      <c r="BF113" s="47"/>
      <c r="BG113" s="47"/>
      <c r="BH113" s="47"/>
      <c r="BI113" s="47"/>
      <c r="BJ113" s="47"/>
      <c r="BK113" s="47"/>
      <c r="BL113" s="47"/>
      <c r="BM113" s="47"/>
      <c r="BN113" s="47"/>
      <c r="BO113" s="47"/>
      <c r="BP113" s="47"/>
      <c r="BQ113" s="47"/>
      <c r="BR113" s="47"/>
      <c r="BS113" s="47"/>
      <c r="BT113" s="47"/>
      <c r="BU113" s="47"/>
      <c r="BV113" s="47"/>
      <c r="BW113" s="47"/>
      <c r="BX113" s="47"/>
      <c r="BY113" s="47"/>
      <c r="BZ113" s="47"/>
    </row>
    <row r="114" spans="1:78" ht="13">
      <c r="A114" s="48" t="str">
        <f ca="1">'.'!A114</f>
        <v>Cold Fries</v>
      </c>
      <c r="B114" s="46" t="str">
        <f t="array" aca="1" ref="B114" ca="1">IF('.'!B114="","",'.'!B114&amp;IF(VLOOKUP('.'!B114,Recipes!$A:$D,4,FALSE)="",""," ["&amp;VLOOKUP('.'!B114,Recipes!$A:$D,4,FALSE)&amp;"]"))</f>
        <v>Rivellon Fries [3]</v>
      </c>
      <c r="C114" s="46" t="str">
        <f t="array" ref="C114">IF('.'!C114="","",'.'!C114&amp;IF(VLOOKUP('.'!C114,Recipes!$A:$D,4,FALSE)="",""," ["&amp;VLOOKUP('.'!C114,Recipes!$A:$D,4,FALSE)&amp;"]"))</f>
        <v/>
      </c>
      <c r="D114" s="46" t="str">
        <f t="array" ref="D114">IF('.'!D114="","",'.'!D114&amp;IF(VLOOKUP('.'!D114,Recipes!$A:$D,4,FALSE)="",""," ["&amp;VLOOKUP('.'!D114,Recipes!$A:$D,4,FALSE)&amp;"]"))</f>
        <v/>
      </c>
      <c r="E114" s="46" t="str">
        <f t="array" ref="E114">IF('.'!E114="","",'.'!E114&amp;IF(VLOOKUP('.'!E114,Recipes!$A:$D,4,FALSE)="",""," ["&amp;VLOOKUP('.'!E114,Recipes!$A:$D,4,FALSE)&amp;"]"))</f>
        <v/>
      </c>
      <c r="F114" s="46" t="str">
        <f t="array" ref="F114">IF('.'!F114="","",'.'!F114&amp;IF(VLOOKUP('.'!F114,Recipes!$A:$D,4,FALSE)="",""," ["&amp;VLOOKUP('.'!F114,Recipes!$A:$D,4,FALSE)&amp;"]"))</f>
        <v/>
      </c>
      <c r="G114" s="46" t="str">
        <f t="array" ref="G114">IF('.'!G114="","",'.'!G114&amp;IF(VLOOKUP('.'!G114,Recipes!$A:$D,4,FALSE)="",""," ["&amp;VLOOKUP('.'!G114,Recipes!$A:$D,4,FALSE)&amp;"]"))</f>
        <v/>
      </c>
      <c r="H114" s="46" t="str">
        <f t="array" ref="H114">IF('.'!H114="","",'.'!H114&amp;IF(VLOOKUP('.'!H114,Recipes!$A:$D,4,FALSE)="",""," ["&amp;VLOOKUP('.'!H114,Recipes!$A:$D,4,FALSE)&amp;"]"))</f>
        <v/>
      </c>
      <c r="I114" s="46" t="str">
        <f t="array" ref="I114">IF('.'!I114="","",'.'!I114&amp;IF(VLOOKUP('.'!I114,Recipes!$A:$D,4,FALSE)="",""," ["&amp;VLOOKUP('.'!I114,Recipes!$A:$D,4,FALSE)&amp;"]"))</f>
        <v/>
      </c>
      <c r="J114" s="46" t="str">
        <f t="array" ref="J114">IF('.'!J114="","",'.'!J114&amp;IF(VLOOKUP('.'!J114,Recipes!$A:$D,4,FALSE)="",""," ["&amp;VLOOKUP('.'!J114,Recipes!$A:$D,4,FALSE)&amp;"]"))</f>
        <v/>
      </c>
      <c r="K114" s="46" t="str">
        <f t="array" ref="K114">IF('.'!K114="","",'.'!K114&amp;IF(VLOOKUP('.'!K114,Recipes!$A:$D,4,FALSE)="",""," ["&amp;VLOOKUP('.'!K114,Recipes!$A:$D,4,FALSE)&amp;"]"))</f>
        <v/>
      </c>
      <c r="L114" s="46" t="str">
        <f t="array" ref="L114">IF('.'!L114="","",'.'!L114&amp;IF(VLOOKUP('.'!L114,Recipes!$A:$D,4,FALSE)="",""," ["&amp;VLOOKUP('.'!L114,Recipes!$A:$D,4,FALSE)&amp;"]"))</f>
        <v/>
      </c>
      <c r="M114" s="46" t="str">
        <f t="array" ref="M114">IF('.'!M114="","",'.'!M114&amp;IF(VLOOKUP('.'!M114,Recipes!$A:$D,4,FALSE)="",""," ["&amp;VLOOKUP('.'!M114,Recipes!$A:$D,4,FALSE)&amp;"]"))</f>
        <v/>
      </c>
      <c r="N114" s="46" t="str">
        <f t="array" ref="N114">IF('.'!N114="","",'.'!N114&amp;IF(VLOOKUP('.'!N114,Recipes!$A:$D,4,FALSE)="",""," ["&amp;VLOOKUP('.'!N114,Recipes!$A:$D,4,FALSE)&amp;"]"))</f>
        <v/>
      </c>
      <c r="O114" s="46" t="str">
        <f t="array" ref="O114">IF('.'!O114="","",'.'!O114&amp;IF(VLOOKUP('.'!O114,Recipes!$A:$D,4,FALSE)="",""," ["&amp;VLOOKUP('.'!O114,Recipes!$A:$D,4,FALSE)&amp;"]"))</f>
        <v/>
      </c>
      <c r="P114" s="46" t="str">
        <f t="array" ref="P114">IF('.'!P114="","",'.'!P114&amp;IF(VLOOKUP('.'!P114,Recipes!$A:$D,4,FALSE)="",""," ["&amp;VLOOKUP('.'!P114,Recipes!$A:$D,4,FALSE)&amp;"]"))</f>
        <v/>
      </c>
      <c r="Q114" s="46" t="str">
        <f t="array" ref="Q114">IF('.'!Q114="","",'.'!Q114&amp;IF(VLOOKUP('.'!Q114,Recipes!$A:$D,4,FALSE)="",""," ["&amp;VLOOKUP('.'!Q114,Recipes!$A:$D,4,FALSE)&amp;"]"))</f>
        <v/>
      </c>
      <c r="R114" s="46" t="str">
        <f t="array" ref="R114">IF('.'!R114="","",'.'!R114&amp;IF(VLOOKUP('.'!R114,Recipes!$A:$D,4,FALSE)="",""," ["&amp;VLOOKUP('.'!R114,Recipes!$A:$D,4,FALSE)&amp;"]"))</f>
        <v/>
      </c>
      <c r="S114" s="46" t="str">
        <f t="array" ref="S114">IF('.'!S114="","",'.'!S114&amp;IF(VLOOKUP('.'!S114,Recipes!$A:$D,4,FALSE)="",""," ["&amp;VLOOKUP('.'!S114,Recipes!$A:$D,4,FALSE)&amp;"]"))</f>
        <v/>
      </c>
      <c r="T114" s="46" t="str">
        <f t="array" ref="T114">IF('.'!T114="","",'.'!T114&amp;IF(VLOOKUP('.'!T114,Recipes!$A:$D,4,FALSE)="",""," ["&amp;VLOOKUP('.'!T114,Recipes!$A:$D,4,FALSE)&amp;"]"))</f>
        <v/>
      </c>
      <c r="U114" s="46" t="str">
        <f t="array" ref="U114">IF('.'!U114="","",'.'!U114&amp;IF(VLOOKUP('.'!U114,Recipes!$A:$D,4,FALSE)="",""," ["&amp;VLOOKUP('.'!U114,Recipes!$A:$D,4,FALSE)&amp;"]"))</f>
        <v/>
      </c>
      <c r="V114" s="46" t="str">
        <f t="array" ref="V114">IF('.'!V114="","",'.'!V114&amp;IF(VLOOKUP('.'!V114,Recipes!$A:$D,4,FALSE)="",""," ["&amp;VLOOKUP('.'!V114,Recipes!$A:$D,4,FALSE)&amp;"]"))</f>
        <v/>
      </c>
      <c r="W114" s="46" t="str">
        <f t="array" ref="W114">IF('.'!W114="","",'.'!W114&amp;IF(VLOOKUP('.'!W114,Recipes!$A:$D,4,FALSE)="",""," ["&amp;VLOOKUP('.'!W114,Recipes!$A:$D,4,FALSE)&amp;"]"))</f>
        <v/>
      </c>
      <c r="X114" s="46" t="str">
        <f t="array" ref="X114">IF('.'!X114="","",'.'!X114&amp;IF(VLOOKUP('.'!X114,Recipes!$A:$D,4,FALSE)="",""," ["&amp;VLOOKUP('.'!X114,Recipes!$A:$D,4,FALSE)&amp;"]"))</f>
        <v/>
      </c>
      <c r="Y114" s="46" t="str">
        <f t="array" ref="Y114">IF('.'!Y114="","",'.'!Y114&amp;IF(VLOOKUP('.'!Y114,Recipes!$A:$D,4,FALSE)="",""," ["&amp;VLOOKUP('.'!Y114,Recipes!$A:$D,4,FALSE)&amp;"]"))</f>
        <v/>
      </c>
      <c r="Z114" s="46" t="str">
        <f t="array" ref="Z114">IF('.'!Z114="","",'.'!Z114&amp;IF(VLOOKUP('.'!Z114,Recipes!$A:$D,4,FALSE)="",""," ["&amp;VLOOKUP('.'!Z114,Recipes!$A:$D,4,FALSE)&amp;"]"))</f>
        <v/>
      </c>
      <c r="AA114" s="46" t="str">
        <f t="array" ref="AA114">IF('.'!AA114="","",'.'!AA114&amp;IF(VLOOKUP('.'!AA114,Recipes!$A:$D,4,FALSE)="",""," ["&amp;VLOOKUP('.'!AA114,Recipes!$A:$D,4,FALSE)&amp;"]"))</f>
        <v/>
      </c>
      <c r="AB114" s="46" t="str">
        <f t="array" ref="AB114">IF('.'!AB114="","",'.'!AB114&amp;IF(VLOOKUP('.'!AB114,Recipes!$A:$D,4,FALSE)="",""," ["&amp;VLOOKUP('.'!AB114,Recipes!$A:$D,4,FALSE)&amp;"]"))</f>
        <v/>
      </c>
      <c r="AC114" s="46" t="str">
        <f t="array" ref="AC114">IF('.'!AC114="","",'.'!AC114&amp;IF(VLOOKUP('.'!AC114,Recipes!$A:$D,4,FALSE)="",""," ["&amp;VLOOKUP('.'!AC114,Recipes!$A:$D,4,FALSE)&amp;"]"))</f>
        <v/>
      </c>
      <c r="AD114" s="46" t="str">
        <f t="array" ref="AD114">IF('.'!AD114="","",'.'!AD114&amp;IF(VLOOKUP('.'!AD114,Recipes!$A:$D,4,FALSE)="",""," ["&amp;VLOOKUP('.'!AD114,Recipes!$A:$D,4,FALSE)&amp;"]"))</f>
        <v/>
      </c>
      <c r="AE114" s="47"/>
      <c r="AF114" s="47"/>
      <c r="AG114" s="47"/>
      <c r="AH114" s="47"/>
      <c r="AI114" s="47"/>
      <c r="AJ114" s="47"/>
      <c r="AK114" s="47"/>
      <c r="AL114" s="47"/>
      <c r="AM114" s="47"/>
      <c r="AN114" s="47"/>
      <c r="AO114" s="47"/>
      <c r="AP114" s="47"/>
      <c r="AQ114" s="47"/>
      <c r="AR114" s="47"/>
      <c r="AS114" s="47"/>
      <c r="AT114" s="47"/>
      <c r="AU114" s="47"/>
      <c r="AV114" s="47"/>
      <c r="AW114" s="47"/>
      <c r="AX114" s="47"/>
      <c r="AY114" s="47"/>
      <c r="AZ114" s="47"/>
      <c r="BA114" s="47"/>
      <c r="BB114" s="47"/>
      <c r="BC114" s="47"/>
      <c r="BD114" s="47"/>
      <c r="BE114" s="47"/>
      <c r="BF114" s="47"/>
      <c r="BG114" s="47"/>
      <c r="BH114" s="47"/>
      <c r="BI114" s="47"/>
      <c r="BJ114" s="47"/>
      <c r="BK114" s="47"/>
      <c r="BL114" s="47"/>
      <c r="BM114" s="47"/>
      <c r="BN114" s="47"/>
      <c r="BO114" s="47"/>
      <c r="BP114" s="47"/>
      <c r="BQ114" s="47"/>
      <c r="BR114" s="47"/>
      <c r="BS114" s="47"/>
      <c r="BT114" s="47"/>
      <c r="BU114" s="47"/>
      <c r="BV114" s="47"/>
      <c r="BW114" s="47"/>
      <c r="BX114" s="47"/>
      <c r="BY114" s="47"/>
      <c r="BZ114" s="47"/>
    </row>
    <row r="115" spans="1:78" ht="13">
      <c r="A115" s="48" t="str">
        <f ca="1">'.'!A115</f>
        <v>Cold Mashed Potatoes</v>
      </c>
      <c r="B115" s="46" t="str">
        <f t="array" aca="1" ref="B115" ca="1">IF('.'!B115="","",'.'!B115&amp;IF(VLOOKUP('.'!B115,Recipes!$A:$D,4,FALSE)="",""," ["&amp;VLOOKUP('.'!B115,Recipes!$A:$D,4,FALSE)&amp;"]"))</f>
        <v>Mashed Potatoes [1]</v>
      </c>
      <c r="C115" s="46" t="str">
        <f t="array" ref="C115">IF('.'!C115="","",'.'!C115&amp;IF(VLOOKUP('.'!C115,Recipes!$A:$D,4,FALSE)="",""," ["&amp;VLOOKUP('.'!C115,Recipes!$A:$D,4,FALSE)&amp;"]"))</f>
        <v/>
      </c>
      <c r="D115" s="46" t="str">
        <f t="array" ref="D115">IF('.'!D115="","",'.'!D115&amp;IF(VLOOKUP('.'!D115,Recipes!$A:$D,4,FALSE)="",""," ["&amp;VLOOKUP('.'!D115,Recipes!$A:$D,4,FALSE)&amp;"]"))</f>
        <v/>
      </c>
      <c r="E115" s="46" t="str">
        <f t="array" ref="E115">IF('.'!E115="","",'.'!E115&amp;IF(VLOOKUP('.'!E115,Recipes!$A:$D,4,FALSE)="",""," ["&amp;VLOOKUP('.'!E115,Recipes!$A:$D,4,FALSE)&amp;"]"))</f>
        <v/>
      </c>
      <c r="F115" s="46" t="str">
        <f t="array" ref="F115">IF('.'!F115="","",'.'!F115&amp;IF(VLOOKUP('.'!F115,Recipes!$A:$D,4,FALSE)="",""," ["&amp;VLOOKUP('.'!F115,Recipes!$A:$D,4,FALSE)&amp;"]"))</f>
        <v/>
      </c>
      <c r="G115" s="46" t="str">
        <f t="array" ref="G115">IF('.'!G115="","",'.'!G115&amp;IF(VLOOKUP('.'!G115,Recipes!$A:$D,4,FALSE)="",""," ["&amp;VLOOKUP('.'!G115,Recipes!$A:$D,4,FALSE)&amp;"]"))</f>
        <v/>
      </c>
      <c r="H115" s="46" t="str">
        <f t="array" ref="H115">IF('.'!H115="","",'.'!H115&amp;IF(VLOOKUP('.'!H115,Recipes!$A:$D,4,FALSE)="",""," ["&amp;VLOOKUP('.'!H115,Recipes!$A:$D,4,FALSE)&amp;"]"))</f>
        <v/>
      </c>
      <c r="I115" s="46" t="str">
        <f t="array" ref="I115">IF('.'!I115="","",'.'!I115&amp;IF(VLOOKUP('.'!I115,Recipes!$A:$D,4,FALSE)="",""," ["&amp;VLOOKUP('.'!I115,Recipes!$A:$D,4,FALSE)&amp;"]"))</f>
        <v/>
      </c>
      <c r="J115" s="46" t="str">
        <f t="array" ref="J115">IF('.'!J115="","",'.'!J115&amp;IF(VLOOKUP('.'!J115,Recipes!$A:$D,4,FALSE)="",""," ["&amp;VLOOKUP('.'!J115,Recipes!$A:$D,4,FALSE)&amp;"]"))</f>
        <v/>
      </c>
      <c r="K115" s="46" t="str">
        <f t="array" ref="K115">IF('.'!K115="","",'.'!K115&amp;IF(VLOOKUP('.'!K115,Recipes!$A:$D,4,FALSE)="",""," ["&amp;VLOOKUP('.'!K115,Recipes!$A:$D,4,FALSE)&amp;"]"))</f>
        <v/>
      </c>
      <c r="L115" s="46" t="str">
        <f t="array" ref="L115">IF('.'!L115="","",'.'!L115&amp;IF(VLOOKUP('.'!L115,Recipes!$A:$D,4,FALSE)="",""," ["&amp;VLOOKUP('.'!L115,Recipes!$A:$D,4,FALSE)&amp;"]"))</f>
        <v/>
      </c>
      <c r="M115" s="46" t="str">
        <f t="array" ref="M115">IF('.'!M115="","",'.'!M115&amp;IF(VLOOKUP('.'!M115,Recipes!$A:$D,4,FALSE)="",""," ["&amp;VLOOKUP('.'!M115,Recipes!$A:$D,4,FALSE)&amp;"]"))</f>
        <v/>
      </c>
      <c r="N115" s="46" t="str">
        <f t="array" ref="N115">IF('.'!N115="","",'.'!N115&amp;IF(VLOOKUP('.'!N115,Recipes!$A:$D,4,FALSE)="",""," ["&amp;VLOOKUP('.'!N115,Recipes!$A:$D,4,FALSE)&amp;"]"))</f>
        <v/>
      </c>
      <c r="O115" s="46" t="str">
        <f t="array" ref="O115">IF('.'!O115="","",'.'!O115&amp;IF(VLOOKUP('.'!O115,Recipes!$A:$D,4,FALSE)="",""," ["&amp;VLOOKUP('.'!O115,Recipes!$A:$D,4,FALSE)&amp;"]"))</f>
        <v/>
      </c>
      <c r="P115" s="46" t="str">
        <f t="array" ref="P115">IF('.'!P115="","",'.'!P115&amp;IF(VLOOKUP('.'!P115,Recipes!$A:$D,4,FALSE)="",""," ["&amp;VLOOKUP('.'!P115,Recipes!$A:$D,4,FALSE)&amp;"]"))</f>
        <v/>
      </c>
      <c r="Q115" s="46" t="str">
        <f t="array" ref="Q115">IF('.'!Q115="","",'.'!Q115&amp;IF(VLOOKUP('.'!Q115,Recipes!$A:$D,4,FALSE)="",""," ["&amp;VLOOKUP('.'!Q115,Recipes!$A:$D,4,FALSE)&amp;"]"))</f>
        <v/>
      </c>
      <c r="R115" s="46" t="str">
        <f t="array" ref="R115">IF('.'!R115="","",'.'!R115&amp;IF(VLOOKUP('.'!R115,Recipes!$A:$D,4,FALSE)="",""," ["&amp;VLOOKUP('.'!R115,Recipes!$A:$D,4,FALSE)&amp;"]"))</f>
        <v/>
      </c>
      <c r="S115" s="46" t="str">
        <f t="array" ref="S115">IF('.'!S115="","",'.'!S115&amp;IF(VLOOKUP('.'!S115,Recipes!$A:$D,4,FALSE)="",""," ["&amp;VLOOKUP('.'!S115,Recipes!$A:$D,4,FALSE)&amp;"]"))</f>
        <v/>
      </c>
      <c r="T115" s="46" t="str">
        <f t="array" ref="T115">IF('.'!T115="","",'.'!T115&amp;IF(VLOOKUP('.'!T115,Recipes!$A:$D,4,FALSE)="",""," ["&amp;VLOOKUP('.'!T115,Recipes!$A:$D,4,FALSE)&amp;"]"))</f>
        <v/>
      </c>
      <c r="U115" s="46" t="str">
        <f t="array" ref="U115">IF('.'!U115="","",'.'!U115&amp;IF(VLOOKUP('.'!U115,Recipes!$A:$D,4,FALSE)="",""," ["&amp;VLOOKUP('.'!U115,Recipes!$A:$D,4,FALSE)&amp;"]"))</f>
        <v/>
      </c>
      <c r="V115" s="46" t="str">
        <f t="array" ref="V115">IF('.'!V115="","",'.'!V115&amp;IF(VLOOKUP('.'!V115,Recipes!$A:$D,4,FALSE)="",""," ["&amp;VLOOKUP('.'!V115,Recipes!$A:$D,4,FALSE)&amp;"]"))</f>
        <v/>
      </c>
      <c r="W115" s="46" t="str">
        <f t="array" ref="W115">IF('.'!W115="","",'.'!W115&amp;IF(VLOOKUP('.'!W115,Recipes!$A:$D,4,FALSE)="",""," ["&amp;VLOOKUP('.'!W115,Recipes!$A:$D,4,FALSE)&amp;"]"))</f>
        <v/>
      </c>
      <c r="X115" s="46" t="str">
        <f t="array" ref="X115">IF('.'!X115="","",'.'!X115&amp;IF(VLOOKUP('.'!X115,Recipes!$A:$D,4,FALSE)="",""," ["&amp;VLOOKUP('.'!X115,Recipes!$A:$D,4,FALSE)&amp;"]"))</f>
        <v/>
      </c>
      <c r="Y115" s="46" t="str">
        <f t="array" ref="Y115">IF('.'!Y115="","",'.'!Y115&amp;IF(VLOOKUP('.'!Y115,Recipes!$A:$D,4,FALSE)="",""," ["&amp;VLOOKUP('.'!Y115,Recipes!$A:$D,4,FALSE)&amp;"]"))</f>
        <v/>
      </c>
      <c r="Z115" s="46" t="str">
        <f t="array" ref="Z115">IF('.'!Z115="","",'.'!Z115&amp;IF(VLOOKUP('.'!Z115,Recipes!$A:$D,4,FALSE)="",""," ["&amp;VLOOKUP('.'!Z115,Recipes!$A:$D,4,FALSE)&amp;"]"))</f>
        <v/>
      </c>
      <c r="AA115" s="46" t="str">
        <f t="array" ref="AA115">IF('.'!AA115="","",'.'!AA115&amp;IF(VLOOKUP('.'!AA115,Recipes!$A:$D,4,FALSE)="",""," ["&amp;VLOOKUP('.'!AA115,Recipes!$A:$D,4,FALSE)&amp;"]"))</f>
        <v/>
      </c>
      <c r="AB115" s="46" t="str">
        <f t="array" ref="AB115">IF('.'!AB115="","",'.'!AB115&amp;IF(VLOOKUP('.'!AB115,Recipes!$A:$D,4,FALSE)="",""," ["&amp;VLOOKUP('.'!AB115,Recipes!$A:$D,4,FALSE)&amp;"]"))</f>
        <v/>
      </c>
      <c r="AC115" s="46" t="str">
        <f t="array" ref="AC115">IF('.'!AC115="","",'.'!AC115&amp;IF(VLOOKUP('.'!AC115,Recipes!$A:$D,4,FALSE)="",""," ["&amp;VLOOKUP('.'!AC115,Recipes!$A:$D,4,FALSE)&amp;"]"))</f>
        <v/>
      </c>
      <c r="AD115" s="46" t="str">
        <f t="array" ref="AD115">IF('.'!AD115="","",'.'!AD115&amp;IF(VLOOKUP('.'!AD115,Recipes!$A:$D,4,FALSE)="",""," ["&amp;VLOOKUP('.'!AD115,Recipes!$A:$D,4,FALSE)&amp;"]"))</f>
        <v/>
      </c>
      <c r="AE115" s="47"/>
      <c r="AF115" s="47"/>
      <c r="AG115" s="47"/>
      <c r="AH115" s="47"/>
      <c r="AI115" s="47"/>
      <c r="AJ115" s="47"/>
      <c r="AK115" s="47"/>
      <c r="AL115" s="47"/>
      <c r="AM115" s="47"/>
      <c r="AN115" s="47"/>
      <c r="AO115" s="47"/>
      <c r="AP115" s="47"/>
      <c r="AQ115" s="47"/>
      <c r="AR115" s="47"/>
      <c r="AS115" s="47"/>
      <c r="AT115" s="47"/>
      <c r="AU115" s="47"/>
      <c r="AV115" s="47"/>
      <c r="AW115" s="47"/>
      <c r="AX115" s="47"/>
      <c r="AY115" s="47"/>
      <c r="AZ115" s="47"/>
      <c r="BA115" s="47"/>
      <c r="BB115" s="47"/>
      <c r="BC115" s="47"/>
      <c r="BD115" s="47"/>
      <c r="BE115" s="47"/>
      <c r="BF115" s="47"/>
      <c r="BG115" s="47"/>
      <c r="BH115" s="47"/>
      <c r="BI115" s="47"/>
      <c r="BJ115" s="47"/>
      <c r="BK115" s="47"/>
      <c r="BL115" s="47"/>
      <c r="BM115" s="47"/>
      <c r="BN115" s="47"/>
      <c r="BO115" s="47"/>
      <c r="BP115" s="47"/>
      <c r="BQ115" s="47"/>
      <c r="BR115" s="47"/>
      <c r="BS115" s="47"/>
      <c r="BT115" s="47"/>
      <c r="BU115" s="47"/>
      <c r="BV115" s="47"/>
      <c r="BW115" s="47"/>
      <c r="BX115" s="47"/>
      <c r="BY115" s="47"/>
      <c r="BZ115" s="47"/>
    </row>
    <row r="116" spans="1:78" ht="13">
      <c r="A116" s="48" t="str">
        <f ca="1">'.'!A116</f>
        <v>Conjure Incarnate Scroll</v>
      </c>
      <c r="B116" s="46" t="str">
        <f t="array" aca="1" ref="B116" ca="1">IF('.'!B116="","",'.'!B116&amp;IF(VLOOKUP('.'!B116,Recipes!$A:$D,4,FALSE)="",""," ["&amp;VLOOKUP('.'!B116,Recipes!$A:$D,4,FALSE)&amp;"]"))</f>
        <v>Conjure Incarnate Skillbook [-130]</v>
      </c>
      <c r="C116" s="46" t="str">
        <f t="array" ref="C116">IF('.'!C116="","",'.'!C116&amp;IF(VLOOKUP('.'!C116,Recipes!$A:$D,4,FALSE)="",""," ["&amp;VLOOKUP('.'!C116,Recipes!$A:$D,4,FALSE)&amp;"]"))</f>
        <v/>
      </c>
      <c r="D116" s="46" t="str">
        <f t="array" ref="D116">IF('.'!D116="","",'.'!D116&amp;IF(VLOOKUP('.'!D116,Recipes!$A:$D,4,FALSE)="",""," ["&amp;VLOOKUP('.'!D116,Recipes!$A:$D,4,FALSE)&amp;"]"))</f>
        <v/>
      </c>
      <c r="E116" s="46" t="str">
        <f t="array" ref="E116">IF('.'!E116="","",'.'!E116&amp;IF(VLOOKUP('.'!E116,Recipes!$A:$D,4,FALSE)="",""," ["&amp;VLOOKUP('.'!E116,Recipes!$A:$D,4,FALSE)&amp;"]"))</f>
        <v/>
      </c>
      <c r="F116" s="46" t="str">
        <f t="array" ref="F116">IF('.'!F116="","",'.'!F116&amp;IF(VLOOKUP('.'!F116,Recipes!$A:$D,4,FALSE)="",""," ["&amp;VLOOKUP('.'!F116,Recipes!$A:$D,4,FALSE)&amp;"]"))</f>
        <v/>
      </c>
      <c r="G116" s="46" t="str">
        <f t="array" ref="G116">IF('.'!G116="","",'.'!G116&amp;IF(VLOOKUP('.'!G116,Recipes!$A:$D,4,FALSE)="",""," ["&amp;VLOOKUP('.'!G116,Recipes!$A:$D,4,FALSE)&amp;"]"))</f>
        <v/>
      </c>
      <c r="H116" s="46" t="str">
        <f t="array" ref="H116">IF('.'!H116="","",'.'!H116&amp;IF(VLOOKUP('.'!H116,Recipes!$A:$D,4,FALSE)="",""," ["&amp;VLOOKUP('.'!H116,Recipes!$A:$D,4,FALSE)&amp;"]"))</f>
        <v/>
      </c>
      <c r="I116" s="46" t="str">
        <f t="array" ref="I116">IF('.'!I116="","",'.'!I116&amp;IF(VLOOKUP('.'!I116,Recipes!$A:$D,4,FALSE)="",""," ["&amp;VLOOKUP('.'!I116,Recipes!$A:$D,4,FALSE)&amp;"]"))</f>
        <v/>
      </c>
      <c r="J116" s="46" t="str">
        <f t="array" ref="J116">IF('.'!J116="","",'.'!J116&amp;IF(VLOOKUP('.'!J116,Recipes!$A:$D,4,FALSE)="",""," ["&amp;VLOOKUP('.'!J116,Recipes!$A:$D,4,FALSE)&amp;"]"))</f>
        <v/>
      </c>
      <c r="K116" s="46" t="str">
        <f t="array" ref="K116">IF('.'!K116="","",'.'!K116&amp;IF(VLOOKUP('.'!K116,Recipes!$A:$D,4,FALSE)="",""," ["&amp;VLOOKUP('.'!K116,Recipes!$A:$D,4,FALSE)&amp;"]"))</f>
        <v/>
      </c>
      <c r="L116" s="46" t="str">
        <f t="array" ref="L116">IF('.'!L116="","",'.'!L116&amp;IF(VLOOKUP('.'!L116,Recipes!$A:$D,4,FALSE)="",""," ["&amp;VLOOKUP('.'!L116,Recipes!$A:$D,4,FALSE)&amp;"]"))</f>
        <v/>
      </c>
      <c r="M116" s="46" t="str">
        <f t="array" ref="M116">IF('.'!M116="","",'.'!M116&amp;IF(VLOOKUP('.'!M116,Recipes!$A:$D,4,FALSE)="",""," ["&amp;VLOOKUP('.'!M116,Recipes!$A:$D,4,FALSE)&amp;"]"))</f>
        <v/>
      </c>
      <c r="N116" s="46" t="str">
        <f t="array" ref="N116">IF('.'!N116="","",'.'!N116&amp;IF(VLOOKUP('.'!N116,Recipes!$A:$D,4,FALSE)="",""," ["&amp;VLOOKUP('.'!N116,Recipes!$A:$D,4,FALSE)&amp;"]"))</f>
        <v/>
      </c>
      <c r="O116" s="46" t="str">
        <f t="array" ref="O116">IF('.'!O116="","",'.'!O116&amp;IF(VLOOKUP('.'!O116,Recipes!$A:$D,4,FALSE)="",""," ["&amp;VLOOKUP('.'!O116,Recipes!$A:$D,4,FALSE)&amp;"]"))</f>
        <v/>
      </c>
      <c r="P116" s="46" t="str">
        <f t="array" ref="P116">IF('.'!P116="","",'.'!P116&amp;IF(VLOOKUP('.'!P116,Recipes!$A:$D,4,FALSE)="",""," ["&amp;VLOOKUP('.'!P116,Recipes!$A:$D,4,FALSE)&amp;"]"))</f>
        <v/>
      </c>
      <c r="Q116" s="46" t="str">
        <f t="array" ref="Q116">IF('.'!Q116="","",'.'!Q116&amp;IF(VLOOKUP('.'!Q116,Recipes!$A:$D,4,FALSE)="",""," ["&amp;VLOOKUP('.'!Q116,Recipes!$A:$D,4,FALSE)&amp;"]"))</f>
        <v/>
      </c>
      <c r="R116" s="46" t="str">
        <f t="array" ref="R116">IF('.'!R116="","",'.'!R116&amp;IF(VLOOKUP('.'!R116,Recipes!$A:$D,4,FALSE)="",""," ["&amp;VLOOKUP('.'!R116,Recipes!$A:$D,4,FALSE)&amp;"]"))</f>
        <v/>
      </c>
      <c r="S116" s="46" t="str">
        <f t="array" ref="S116">IF('.'!S116="","",'.'!S116&amp;IF(VLOOKUP('.'!S116,Recipes!$A:$D,4,FALSE)="",""," ["&amp;VLOOKUP('.'!S116,Recipes!$A:$D,4,FALSE)&amp;"]"))</f>
        <v/>
      </c>
      <c r="T116" s="46" t="str">
        <f t="array" ref="T116">IF('.'!T116="","",'.'!T116&amp;IF(VLOOKUP('.'!T116,Recipes!$A:$D,4,FALSE)="",""," ["&amp;VLOOKUP('.'!T116,Recipes!$A:$D,4,FALSE)&amp;"]"))</f>
        <v/>
      </c>
      <c r="U116" s="46" t="str">
        <f t="array" ref="U116">IF('.'!U116="","",'.'!U116&amp;IF(VLOOKUP('.'!U116,Recipes!$A:$D,4,FALSE)="",""," ["&amp;VLOOKUP('.'!U116,Recipes!$A:$D,4,FALSE)&amp;"]"))</f>
        <v/>
      </c>
      <c r="V116" s="46" t="str">
        <f t="array" ref="V116">IF('.'!V116="","",'.'!V116&amp;IF(VLOOKUP('.'!V116,Recipes!$A:$D,4,FALSE)="",""," ["&amp;VLOOKUP('.'!V116,Recipes!$A:$D,4,FALSE)&amp;"]"))</f>
        <v/>
      </c>
      <c r="W116" s="46" t="str">
        <f t="array" ref="W116">IF('.'!W116="","",'.'!W116&amp;IF(VLOOKUP('.'!W116,Recipes!$A:$D,4,FALSE)="",""," ["&amp;VLOOKUP('.'!W116,Recipes!$A:$D,4,FALSE)&amp;"]"))</f>
        <v/>
      </c>
      <c r="X116" s="46" t="str">
        <f t="array" ref="X116">IF('.'!X116="","",'.'!X116&amp;IF(VLOOKUP('.'!X116,Recipes!$A:$D,4,FALSE)="",""," ["&amp;VLOOKUP('.'!X116,Recipes!$A:$D,4,FALSE)&amp;"]"))</f>
        <v/>
      </c>
      <c r="Y116" s="46" t="str">
        <f t="array" ref="Y116">IF('.'!Y116="","",'.'!Y116&amp;IF(VLOOKUP('.'!Y116,Recipes!$A:$D,4,FALSE)="",""," ["&amp;VLOOKUP('.'!Y116,Recipes!$A:$D,4,FALSE)&amp;"]"))</f>
        <v/>
      </c>
      <c r="Z116" s="46" t="str">
        <f t="array" ref="Z116">IF('.'!Z116="","",'.'!Z116&amp;IF(VLOOKUP('.'!Z116,Recipes!$A:$D,4,FALSE)="",""," ["&amp;VLOOKUP('.'!Z116,Recipes!$A:$D,4,FALSE)&amp;"]"))</f>
        <v/>
      </c>
      <c r="AA116" s="46" t="str">
        <f t="array" ref="AA116">IF('.'!AA116="","",'.'!AA116&amp;IF(VLOOKUP('.'!AA116,Recipes!$A:$D,4,FALSE)="",""," ["&amp;VLOOKUP('.'!AA116,Recipes!$A:$D,4,FALSE)&amp;"]"))</f>
        <v/>
      </c>
      <c r="AB116" s="46" t="str">
        <f t="array" ref="AB116">IF('.'!AB116="","",'.'!AB116&amp;IF(VLOOKUP('.'!AB116,Recipes!$A:$D,4,FALSE)="",""," ["&amp;VLOOKUP('.'!AB116,Recipes!$A:$D,4,FALSE)&amp;"]"))</f>
        <v/>
      </c>
      <c r="AC116" s="46" t="str">
        <f t="array" ref="AC116">IF('.'!AC116="","",'.'!AC116&amp;IF(VLOOKUP('.'!AC116,Recipes!$A:$D,4,FALSE)="",""," ["&amp;VLOOKUP('.'!AC116,Recipes!$A:$D,4,FALSE)&amp;"]"))</f>
        <v/>
      </c>
      <c r="AD116" s="46" t="str">
        <f t="array" ref="AD116">IF('.'!AD116="","",'.'!AD116&amp;IF(VLOOKUP('.'!AD116,Recipes!$A:$D,4,FALSE)="",""," ["&amp;VLOOKUP('.'!AD116,Recipes!$A:$D,4,FALSE)&amp;"]"))</f>
        <v/>
      </c>
      <c r="AE116" s="47"/>
      <c r="AF116" s="47"/>
      <c r="AG116" s="47"/>
      <c r="AH116" s="47"/>
      <c r="AI116" s="47"/>
      <c r="AJ116" s="47"/>
      <c r="AK116" s="47"/>
      <c r="AL116" s="47"/>
      <c r="AM116" s="47"/>
      <c r="AN116" s="47"/>
      <c r="AO116" s="47"/>
      <c r="AP116" s="47"/>
      <c r="AQ116" s="47"/>
      <c r="AR116" s="47"/>
      <c r="AS116" s="47"/>
      <c r="AT116" s="47"/>
      <c r="AU116" s="47"/>
      <c r="AV116" s="47"/>
      <c r="AW116" s="47"/>
      <c r="AX116" s="47"/>
      <c r="AY116" s="47"/>
      <c r="AZ116" s="47"/>
      <c r="BA116" s="47"/>
      <c r="BB116" s="47"/>
      <c r="BC116" s="47"/>
      <c r="BD116" s="47"/>
      <c r="BE116" s="47"/>
      <c r="BF116" s="47"/>
      <c r="BG116" s="47"/>
      <c r="BH116" s="47"/>
      <c r="BI116" s="47"/>
      <c r="BJ116" s="47"/>
      <c r="BK116" s="47"/>
      <c r="BL116" s="47"/>
      <c r="BM116" s="47"/>
      <c r="BN116" s="47"/>
      <c r="BO116" s="47"/>
      <c r="BP116" s="47"/>
      <c r="BQ116" s="47"/>
      <c r="BR116" s="47"/>
      <c r="BS116" s="47"/>
      <c r="BT116" s="47"/>
      <c r="BU116" s="47"/>
      <c r="BV116" s="47"/>
      <c r="BW116" s="47"/>
      <c r="BX116" s="47"/>
      <c r="BY116" s="47"/>
      <c r="BZ116" s="47"/>
    </row>
    <row r="117" spans="1:78" ht="13">
      <c r="A117" s="48" t="str">
        <f ca="1">'.'!A117</f>
        <v>Contamination Scroll</v>
      </c>
      <c r="B117" s="46" t="str">
        <f t="array" aca="1" ref="B117" ca="1">IF('.'!B117="","",'.'!B117&amp;IF(VLOOKUP('.'!B117,Recipes!$A:$D,4,FALSE)="",""," ["&amp;VLOOKUP('.'!B117,Recipes!$A:$D,4,FALSE)&amp;"]"))</f>
        <v>Contamination Skillbook [-190]</v>
      </c>
      <c r="C117" s="46" t="str">
        <f t="array" ref="C117">IF('.'!C117="","",'.'!C117&amp;IF(VLOOKUP('.'!C117,Recipes!$A:$D,4,FALSE)="",""," ["&amp;VLOOKUP('.'!C117,Recipes!$A:$D,4,FALSE)&amp;"]"))</f>
        <v/>
      </c>
      <c r="D117" s="46" t="str">
        <f t="array" ref="D117">IF('.'!D117="","",'.'!D117&amp;IF(VLOOKUP('.'!D117,Recipes!$A:$D,4,FALSE)="",""," ["&amp;VLOOKUP('.'!D117,Recipes!$A:$D,4,FALSE)&amp;"]"))</f>
        <v/>
      </c>
      <c r="E117" s="46" t="str">
        <f t="array" ref="E117">IF('.'!E117="","",'.'!E117&amp;IF(VLOOKUP('.'!E117,Recipes!$A:$D,4,FALSE)="",""," ["&amp;VLOOKUP('.'!E117,Recipes!$A:$D,4,FALSE)&amp;"]"))</f>
        <v/>
      </c>
      <c r="F117" s="46" t="str">
        <f t="array" ref="F117">IF('.'!F117="","",'.'!F117&amp;IF(VLOOKUP('.'!F117,Recipes!$A:$D,4,FALSE)="",""," ["&amp;VLOOKUP('.'!F117,Recipes!$A:$D,4,FALSE)&amp;"]"))</f>
        <v/>
      </c>
      <c r="G117" s="46" t="str">
        <f t="array" ref="G117">IF('.'!G117="","",'.'!G117&amp;IF(VLOOKUP('.'!G117,Recipes!$A:$D,4,FALSE)="",""," ["&amp;VLOOKUP('.'!G117,Recipes!$A:$D,4,FALSE)&amp;"]"))</f>
        <v/>
      </c>
      <c r="H117" s="46" t="str">
        <f t="array" ref="H117">IF('.'!H117="","",'.'!H117&amp;IF(VLOOKUP('.'!H117,Recipes!$A:$D,4,FALSE)="",""," ["&amp;VLOOKUP('.'!H117,Recipes!$A:$D,4,FALSE)&amp;"]"))</f>
        <v/>
      </c>
      <c r="I117" s="46" t="str">
        <f t="array" ref="I117">IF('.'!I117="","",'.'!I117&amp;IF(VLOOKUP('.'!I117,Recipes!$A:$D,4,FALSE)="",""," ["&amp;VLOOKUP('.'!I117,Recipes!$A:$D,4,FALSE)&amp;"]"))</f>
        <v/>
      </c>
      <c r="J117" s="46" t="str">
        <f t="array" ref="J117">IF('.'!J117="","",'.'!J117&amp;IF(VLOOKUP('.'!J117,Recipes!$A:$D,4,FALSE)="",""," ["&amp;VLOOKUP('.'!J117,Recipes!$A:$D,4,FALSE)&amp;"]"))</f>
        <v/>
      </c>
      <c r="K117" s="46" t="str">
        <f t="array" ref="K117">IF('.'!K117="","",'.'!K117&amp;IF(VLOOKUP('.'!K117,Recipes!$A:$D,4,FALSE)="",""," ["&amp;VLOOKUP('.'!K117,Recipes!$A:$D,4,FALSE)&amp;"]"))</f>
        <v/>
      </c>
      <c r="L117" s="46" t="str">
        <f t="array" ref="L117">IF('.'!L117="","",'.'!L117&amp;IF(VLOOKUP('.'!L117,Recipes!$A:$D,4,FALSE)="",""," ["&amp;VLOOKUP('.'!L117,Recipes!$A:$D,4,FALSE)&amp;"]"))</f>
        <v/>
      </c>
      <c r="M117" s="46" t="str">
        <f t="array" ref="M117">IF('.'!M117="","",'.'!M117&amp;IF(VLOOKUP('.'!M117,Recipes!$A:$D,4,FALSE)="",""," ["&amp;VLOOKUP('.'!M117,Recipes!$A:$D,4,FALSE)&amp;"]"))</f>
        <v/>
      </c>
      <c r="N117" s="46" t="str">
        <f t="array" ref="N117">IF('.'!N117="","",'.'!N117&amp;IF(VLOOKUP('.'!N117,Recipes!$A:$D,4,FALSE)="",""," ["&amp;VLOOKUP('.'!N117,Recipes!$A:$D,4,FALSE)&amp;"]"))</f>
        <v/>
      </c>
      <c r="O117" s="46" t="str">
        <f t="array" ref="O117">IF('.'!O117="","",'.'!O117&amp;IF(VLOOKUP('.'!O117,Recipes!$A:$D,4,FALSE)="",""," ["&amp;VLOOKUP('.'!O117,Recipes!$A:$D,4,FALSE)&amp;"]"))</f>
        <v/>
      </c>
      <c r="P117" s="46" t="str">
        <f t="array" ref="P117">IF('.'!P117="","",'.'!P117&amp;IF(VLOOKUP('.'!P117,Recipes!$A:$D,4,FALSE)="",""," ["&amp;VLOOKUP('.'!P117,Recipes!$A:$D,4,FALSE)&amp;"]"))</f>
        <v/>
      </c>
      <c r="Q117" s="46" t="str">
        <f t="array" ref="Q117">IF('.'!Q117="","",'.'!Q117&amp;IF(VLOOKUP('.'!Q117,Recipes!$A:$D,4,FALSE)="",""," ["&amp;VLOOKUP('.'!Q117,Recipes!$A:$D,4,FALSE)&amp;"]"))</f>
        <v/>
      </c>
      <c r="R117" s="46" t="str">
        <f t="array" ref="R117">IF('.'!R117="","",'.'!R117&amp;IF(VLOOKUP('.'!R117,Recipes!$A:$D,4,FALSE)="",""," ["&amp;VLOOKUP('.'!R117,Recipes!$A:$D,4,FALSE)&amp;"]"))</f>
        <v/>
      </c>
      <c r="S117" s="46" t="str">
        <f t="array" ref="S117">IF('.'!S117="","",'.'!S117&amp;IF(VLOOKUP('.'!S117,Recipes!$A:$D,4,FALSE)="",""," ["&amp;VLOOKUP('.'!S117,Recipes!$A:$D,4,FALSE)&amp;"]"))</f>
        <v/>
      </c>
      <c r="T117" s="46" t="str">
        <f t="array" ref="T117">IF('.'!T117="","",'.'!T117&amp;IF(VLOOKUP('.'!T117,Recipes!$A:$D,4,FALSE)="",""," ["&amp;VLOOKUP('.'!T117,Recipes!$A:$D,4,FALSE)&amp;"]"))</f>
        <v/>
      </c>
      <c r="U117" s="46" t="str">
        <f t="array" ref="U117">IF('.'!U117="","",'.'!U117&amp;IF(VLOOKUP('.'!U117,Recipes!$A:$D,4,FALSE)="",""," ["&amp;VLOOKUP('.'!U117,Recipes!$A:$D,4,FALSE)&amp;"]"))</f>
        <v/>
      </c>
      <c r="V117" s="46" t="str">
        <f t="array" ref="V117">IF('.'!V117="","",'.'!V117&amp;IF(VLOOKUP('.'!V117,Recipes!$A:$D,4,FALSE)="",""," ["&amp;VLOOKUP('.'!V117,Recipes!$A:$D,4,FALSE)&amp;"]"))</f>
        <v/>
      </c>
      <c r="W117" s="46" t="str">
        <f t="array" ref="W117">IF('.'!W117="","",'.'!W117&amp;IF(VLOOKUP('.'!W117,Recipes!$A:$D,4,FALSE)="",""," ["&amp;VLOOKUP('.'!W117,Recipes!$A:$D,4,FALSE)&amp;"]"))</f>
        <v/>
      </c>
      <c r="X117" s="46" t="str">
        <f t="array" ref="X117">IF('.'!X117="","",'.'!X117&amp;IF(VLOOKUP('.'!X117,Recipes!$A:$D,4,FALSE)="",""," ["&amp;VLOOKUP('.'!X117,Recipes!$A:$D,4,FALSE)&amp;"]"))</f>
        <v/>
      </c>
      <c r="Y117" s="46" t="str">
        <f t="array" ref="Y117">IF('.'!Y117="","",'.'!Y117&amp;IF(VLOOKUP('.'!Y117,Recipes!$A:$D,4,FALSE)="",""," ["&amp;VLOOKUP('.'!Y117,Recipes!$A:$D,4,FALSE)&amp;"]"))</f>
        <v/>
      </c>
      <c r="Z117" s="46" t="str">
        <f t="array" ref="Z117">IF('.'!Z117="","",'.'!Z117&amp;IF(VLOOKUP('.'!Z117,Recipes!$A:$D,4,FALSE)="",""," ["&amp;VLOOKUP('.'!Z117,Recipes!$A:$D,4,FALSE)&amp;"]"))</f>
        <v/>
      </c>
      <c r="AA117" s="46" t="str">
        <f t="array" ref="AA117">IF('.'!AA117="","",'.'!AA117&amp;IF(VLOOKUP('.'!AA117,Recipes!$A:$D,4,FALSE)="",""," ["&amp;VLOOKUP('.'!AA117,Recipes!$A:$D,4,FALSE)&amp;"]"))</f>
        <v/>
      </c>
      <c r="AB117" s="46" t="str">
        <f t="array" ref="AB117">IF('.'!AB117="","",'.'!AB117&amp;IF(VLOOKUP('.'!AB117,Recipes!$A:$D,4,FALSE)="",""," ["&amp;VLOOKUP('.'!AB117,Recipes!$A:$D,4,FALSE)&amp;"]"))</f>
        <v/>
      </c>
      <c r="AC117" s="46" t="str">
        <f t="array" ref="AC117">IF('.'!AC117="","",'.'!AC117&amp;IF(VLOOKUP('.'!AC117,Recipes!$A:$D,4,FALSE)="",""," ["&amp;VLOOKUP('.'!AC117,Recipes!$A:$D,4,FALSE)&amp;"]"))</f>
        <v/>
      </c>
      <c r="AD117" s="46" t="str">
        <f t="array" ref="AD117">IF('.'!AD117="","",'.'!AD117&amp;IF(VLOOKUP('.'!AD117,Recipes!$A:$D,4,FALSE)="",""," ["&amp;VLOOKUP('.'!AD117,Recipes!$A:$D,4,FALSE)&amp;"]"))</f>
        <v/>
      </c>
      <c r="AE117" s="47"/>
      <c r="AF117" s="47"/>
      <c r="AG117" s="47"/>
      <c r="AH117" s="47"/>
      <c r="AI117" s="47"/>
      <c r="AJ117" s="47"/>
      <c r="AK117" s="47"/>
      <c r="AL117" s="47"/>
      <c r="AM117" s="47"/>
      <c r="AN117" s="47"/>
      <c r="AO117" s="47"/>
      <c r="AP117" s="47"/>
      <c r="AQ117" s="47"/>
      <c r="AR117" s="47"/>
      <c r="AS117" s="47"/>
      <c r="AT117" s="47"/>
      <c r="AU117" s="47"/>
      <c r="AV117" s="47"/>
      <c r="AW117" s="47"/>
      <c r="AX117" s="47"/>
      <c r="AY117" s="47"/>
      <c r="AZ117" s="47"/>
      <c r="BA117" s="47"/>
      <c r="BB117" s="47"/>
      <c r="BC117" s="47"/>
      <c r="BD117" s="47"/>
      <c r="BE117" s="47"/>
      <c r="BF117" s="47"/>
      <c r="BG117" s="47"/>
      <c r="BH117" s="47"/>
      <c r="BI117" s="47"/>
      <c r="BJ117" s="47"/>
      <c r="BK117" s="47"/>
      <c r="BL117" s="47"/>
      <c r="BM117" s="47"/>
      <c r="BN117" s="47"/>
      <c r="BO117" s="47"/>
      <c r="BP117" s="47"/>
      <c r="BQ117" s="47"/>
      <c r="BR117" s="47"/>
      <c r="BS117" s="47"/>
      <c r="BT117" s="47"/>
      <c r="BU117" s="47"/>
      <c r="BV117" s="47"/>
      <c r="BW117" s="47"/>
      <c r="BX117" s="47"/>
      <c r="BY117" s="47"/>
      <c r="BZ117" s="47"/>
    </row>
    <row r="118" spans="1:78" ht="13">
      <c r="A118" s="48" t="str">
        <f ca="1">'.'!A118</f>
        <v>Cooking Pot</v>
      </c>
      <c r="B118" s="46" t="e">
        <f t="array" aca="1" ref="B118" ca="1">IF('.'!B118="","",'.'!B118&amp;IF(VLOOKUP('.'!B118,Recipes!$A:$D,4,FALSE)="",""," ["&amp;VLOOKUP('.'!B118,Recipes!$A:$D,4,FALSE)&amp;"]"))</f>
        <v>#VALUE!</v>
      </c>
      <c r="C118" s="46" t="str">
        <f t="array" ref="C118">IF('.'!C118="","",'.'!C118&amp;IF(VLOOKUP('.'!C118,Recipes!$A:$D,4,FALSE)="",""," ["&amp;VLOOKUP('.'!C118,Recipes!$A:$D,4,FALSE)&amp;"]"))</f>
        <v/>
      </c>
      <c r="D118" s="46" t="str">
        <f t="array" ref="D118">IF('.'!D118="","",'.'!D118&amp;IF(VLOOKUP('.'!D118,Recipes!$A:$D,4,FALSE)="",""," ["&amp;VLOOKUP('.'!D118,Recipes!$A:$D,4,FALSE)&amp;"]"))</f>
        <v/>
      </c>
      <c r="E118" s="46" t="str">
        <f t="array" ref="E118">IF('.'!E118="","",'.'!E118&amp;IF(VLOOKUP('.'!E118,Recipes!$A:$D,4,FALSE)="",""," ["&amp;VLOOKUP('.'!E118,Recipes!$A:$D,4,FALSE)&amp;"]"))</f>
        <v/>
      </c>
      <c r="F118" s="46" t="str">
        <f t="array" ref="F118">IF('.'!F118="","",'.'!F118&amp;IF(VLOOKUP('.'!F118,Recipes!$A:$D,4,FALSE)="",""," ["&amp;VLOOKUP('.'!F118,Recipes!$A:$D,4,FALSE)&amp;"]"))</f>
        <v/>
      </c>
      <c r="G118" s="46" t="str">
        <f t="array" ref="G118">IF('.'!G118="","",'.'!G118&amp;IF(VLOOKUP('.'!G118,Recipes!$A:$D,4,FALSE)="",""," ["&amp;VLOOKUP('.'!G118,Recipes!$A:$D,4,FALSE)&amp;"]"))</f>
        <v/>
      </c>
      <c r="H118" s="46" t="str">
        <f t="array" ref="H118">IF('.'!H118="","",'.'!H118&amp;IF(VLOOKUP('.'!H118,Recipes!$A:$D,4,FALSE)="",""," ["&amp;VLOOKUP('.'!H118,Recipes!$A:$D,4,FALSE)&amp;"]"))</f>
        <v/>
      </c>
      <c r="I118" s="46" t="str">
        <f t="array" ref="I118">IF('.'!I118="","",'.'!I118&amp;IF(VLOOKUP('.'!I118,Recipes!$A:$D,4,FALSE)="",""," ["&amp;VLOOKUP('.'!I118,Recipes!$A:$D,4,FALSE)&amp;"]"))</f>
        <v/>
      </c>
      <c r="J118" s="46" t="str">
        <f t="array" ref="J118">IF('.'!J118="","",'.'!J118&amp;IF(VLOOKUP('.'!J118,Recipes!$A:$D,4,FALSE)="",""," ["&amp;VLOOKUP('.'!J118,Recipes!$A:$D,4,FALSE)&amp;"]"))</f>
        <v/>
      </c>
      <c r="K118" s="46" t="str">
        <f t="array" ref="K118">IF('.'!K118="","",'.'!K118&amp;IF(VLOOKUP('.'!K118,Recipes!$A:$D,4,FALSE)="",""," ["&amp;VLOOKUP('.'!K118,Recipes!$A:$D,4,FALSE)&amp;"]"))</f>
        <v/>
      </c>
      <c r="L118" s="46" t="str">
        <f t="array" ref="L118">IF('.'!L118="","",'.'!L118&amp;IF(VLOOKUP('.'!L118,Recipes!$A:$D,4,FALSE)="",""," ["&amp;VLOOKUP('.'!L118,Recipes!$A:$D,4,FALSE)&amp;"]"))</f>
        <v/>
      </c>
      <c r="M118" s="46" t="str">
        <f t="array" ref="M118">IF('.'!M118="","",'.'!M118&amp;IF(VLOOKUP('.'!M118,Recipes!$A:$D,4,FALSE)="",""," ["&amp;VLOOKUP('.'!M118,Recipes!$A:$D,4,FALSE)&amp;"]"))</f>
        <v/>
      </c>
      <c r="N118" s="46" t="str">
        <f t="array" ref="N118">IF('.'!N118="","",'.'!N118&amp;IF(VLOOKUP('.'!N118,Recipes!$A:$D,4,FALSE)="",""," ["&amp;VLOOKUP('.'!N118,Recipes!$A:$D,4,FALSE)&amp;"]"))</f>
        <v/>
      </c>
      <c r="O118" s="46" t="str">
        <f t="array" ref="O118">IF('.'!O118="","",'.'!O118&amp;IF(VLOOKUP('.'!O118,Recipes!$A:$D,4,FALSE)="",""," ["&amp;VLOOKUP('.'!O118,Recipes!$A:$D,4,FALSE)&amp;"]"))</f>
        <v/>
      </c>
      <c r="P118" s="46" t="str">
        <f t="array" ref="P118">IF('.'!P118="","",'.'!P118&amp;IF(VLOOKUP('.'!P118,Recipes!$A:$D,4,FALSE)="",""," ["&amp;VLOOKUP('.'!P118,Recipes!$A:$D,4,FALSE)&amp;"]"))</f>
        <v/>
      </c>
      <c r="Q118" s="46" t="str">
        <f t="array" ref="Q118">IF('.'!Q118="","",'.'!Q118&amp;IF(VLOOKUP('.'!Q118,Recipes!$A:$D,4,FALSE)="",""," ["&amp;VLOOKUP('.'!Q118,Recipes!$A:$D,4,FALSE)&amp;"]"))</f>
        <v/>
      </c>
      <c r="R118" s="46" t="str">
        <f t="array" ref="R118">IF('.'!R118="","",'.'!R118&amp;IF(VLOOKUP('.'!R118,Recipes!$A:$D,4,FALSE)="",""," ["&amp;VLOOKUP('.'!R118,Recipes!$A:$D,4,FALSE)&amp;"]"))</f>
        <v/>
      </c>
      <c r="S118" s="46" t="str">
        <f t="array" ref="S118">IF('.'!S118="","",'.'!S118&amp;IF(VLOOKUP('.'!S118,Recipes!$A:$D,4,FALSE)="",""," ["&amp;VLOOKUP('.'!S118,Recipes!$A:$D,4,FALSE)&amp;"]"))</f>
        <v/>
      </c>
      <c r="T118" s="46" t="str">
        <f t="array" ref="T118">IF('.'!T118="","",'.'!T118&amp;IF(VLOOKUP('.'!T118,Recipes!$A:$D,4,FALSE)="",""," ["&amp;VLOOKUP('.'!T118,Recipes!$A:$D,4,FALSE)&amp;"]"))</f>
        <v/>
      </c>
      <c r="U118" s="46" t="str">
        <f t="array" ref="U118">IF('.'!U118="","",'.'!U118&amp;IF(VLOOKUP('.'!U118,Recipes!$A:$D,4,FALSE)="",""," ["&amp;VLOOKUP('.'!U118,Recipes!$A:$D,4,FALSE)&amp;"]"))</f>
        <v/>
      </c>
      <c r="V118" s="46" t="str">
        <f t="array" ref="V118">IF('.'!V118="","",'.'!V118&amp;IF(VLOOKUP('.'!V118,Recipes!$A:$D,4,FALSE)="",""," ["&amp;VLOOKUP('.'!V118,Recipes!$A:$D,4,FALSE)&amp;"]"))</f>
        <v/>
      </c>
      <c r="W118" s="46" t="str">
        <f t="array" ref="W118">IF('.'!W118="","",'.'!W118&amp;IF(VLOOKUP('.'!W118,Recipes!$A:$D,4,FALSE)="",""," ["&amp;VLOOKUP('.'!W118,Recipes!$A:$D,4,FALSE)&amp;"]"))</f>
        <v/>
      </c>
      <c r="X118" s="46" t="str">
        <f t="array" ref="X118">IF('.'!X118="","",'.'!X118&amp;IF(VLOOKUP('.'!X118,Recipes!$A:$D,4,FALSE)="",""," ["&amp;VLOOKUP('.'!X118,Recipes!$A:$D,4,FALSE)&amp;"]"))</f>
        <v/>
      </c>
      <c r="Y118" s="46" t="str">
        <f t="array" ref="Y118">IF('.'!Y118="","",'.'!Y118&amp;IF(VLOOKUP('.'!Y118,Recipes!$A:$D,4,FALSE)="",""," ["&amp;VLOOKUP('.'!Y118,Recipes!$A:$D,4,FALSE)&amp;"]"))</f>
        <v/>
      </c>
      <c r="Z118" s="46" t="str">
        <f t="array" ref="Z118">IF('.'!Z118="","",'.'!Z118&amp;IF(VLOOKUP('.'!Z118,Recipes!$A:$D,4,FALSE)="",""," ["&amp;VLOOKUP('.'!Z118,Recipes!$A:$D,4,FALSE)&amp;"]"))</f>
        <v/>
      </c>
      <c r="AA118" s="46" t="str">
        <f t="array" ref="AA118">IF('.'!AA118="","",'.'!AA118&amp;IF(VLOOKUP('.'!AA118,Recipes!$A:$D,4,FALSE)="",""," ["&amp;VLOOKUP('.'!AA118,Recipes!$A:$D,4,FALSE)&amp;"]"))</f>
        <v/>
      </c>
      <c r="AB118" s="46" t="str">
        <f t="array" ref="AB118">IF('.'!AB118="","",'.'!AB118&amp;IF(VLOOKUP('.'!AB118,Recipes!$A:$D,4,FALSE)="",""," ["&amp;VLOOKUP('.'!AB118,Recipes!$A:$D,4,FALSE)&amp;"]"))</f>
        <v/>
      </c>
      <c r="AC118" s="46" t="str">
        <f t="array" ref="AC118">IF('.'!AC118="","",'.'!AC118&amp;IF(VLOOKUP('.'!AC118,Recipes!$A:$D,4,FALSE)="",""," ["&amp;VLOOKUP('.'!AC118,Recipes!$A:$D,4,FALSE)&amp;"]"))</f>
        <v/>
      </c>
      <c r="AD118" s="46" t="str">
        <f t="array" ref="AD118">IF('.'!AD118="","",'.'!AD118&amp;IF(VLOOKUP('.'!AD118,Recipes!$A:$D,4,FALSE)="",""," ["&amp;VLOOKUP('.'!AD118,Recipes!$A:$D,4,FALSE)&amp;"]"))</f>
        <v/>
      </c>
      <c r="AE118" s="47"/>
      <c r="AF118" s="47"/>
      <c r="AG118" s="47"/>
      <c r="AH118" s="47"/>
      <c r="AI118" s="47"/>
      <c r="AJ118" s="47"/>
      <c r="AK118" s="47"/>
      <c r="AL118" s="47"/>
      <c r="AM118" s="47"/>
      <c r="AN118" s="47"/>
      <c r="AO118" s="47"/>
      <c r="AP118" s="47"/>
      <c r="AQ118" s="47"/>
      <c r="AR118" s="47"/>
      <c r="AS118" s="47"/>
      <c r="AT118" s="47"/>
      <c r="AU118" s="47"/>
      <c r="AV118" s="47"/>
      <c r="AW118" s="47"/>
      <c r="AX118" s="47"/>
      <c r="AY118" s="47"/>
      <c r="AZ118" s="47"/>
      <c r="BA118" s="47"/>
      <c r="BB118" s="47"/>
      <c r="BC118" s="47"/>
      <c r="BD118" s="47"/>
      <c r="BE118" s="47"/>
      <c r="BF118" s="47"/>
      <c r="BG118" s="47"/>
      <c r="BH118" s="47"/>
      <c r="BI118" s="47"/>
      <c r="BJ118" s="47"/>
      <c r="BK118" s="47"/>
      <c r="BL118" s="47"/>
      <c r="BM118" s="47"/>
      <c r="BN118" s="47"/>
      <c r="BO118" s="47"/>
      <c r="BP118" s="47"/>
      <c r="BQ118" s="47"/>
      <c r="BR118" s="47"/>
      <c r="BS118" s="47"/>
      <c r="BT118" s="47"/>
      <c r="BU118" s="47"/>
      <c r="BV118" s="47"/>
      <c r="BW118" s="47"/>
      <c r="BX118" s="47"/>
      <c r="BY118" s="47"/>
      <c r="BZ118" s="47"/>
    </row>
    <row r="119" spans="1:78" ht="13">
      <c r="A119" s="48" t="str">
        <f ca="1">'.'!A119</f>
        <v>Crab's Claw</v>
      </c>
      <c r="B119" s="46" t="str">
        <f t="array" aca="1" ref="B119" ca="1">IF('.'!B119="","",'.'!B119&amp;IF(VLOOKUP('.'!B119,Recipes!$A:$D,4,FALSE)="",""," ["&amp;VLOOKUP('.'!B119,Recipes!$A:$D,4,FALSE)&amp;"]"))</f>
        <v>Peace of Mind Scroll [8]</v>
      </c>
      <c r="C119" s="46" t="str">
        <f t="array" ref="C119">IF('.'!C119="","",'.'!C119&amp;IF(VLOOKUP('.'!C119,Recipes!$A:$D,4,FALSE)="",""," ["&amp;VLOOKUP('.'!C119,Recipes!$A:$D,4,FALSE)&amp;"]"))</f>
        <v/>
      </c>
      <c r="D119" s="46" t="str">
        <f t="array" ref="D119">IF('.'!D119="","",'.'!D119&amp;IF(VLOOKUP('.'!D119,Recipes!$A:$D,4,FALSE)="",""," ["&amp;VLOOKUP('.'!D119,Recipes!$A:$D,4,FALSE)&amp;"]"))</f>
        <v/>
      </c>
      <c r="E119" s="46" t="str">
        <f t="array" ref="E119">IF('.'!E119="","",'.'!E119&amp;IF(VLOOKUP('.'!E119,Recipes!$A:$D,4,FALSE)="",""," ["&amp;VLOOKUP('.'!E119,Recipes!$A:$D,4,FALSE)&amp;"]"))</f>
        <v/>
      </c>
      <c r="F119" s="46" t="str">
        <f t="array" ref="F119">IF('.'!F119="","",'.'!F119&amp;IF(VLOOKUP('.'!F119,Recipes!$A:$D,4,FALSE)="",""," ["&amp;VLOOKUP('.'!F119,Recipes!$A:$D,4,FALSE)&amp;"]"))</f>
        <v/>
      </c>
      <c r="G119" s="46" t="str">
        <f t="array" ref="G119">IF('.'!G119="","",'.'!G119&amp;IF(VLOOKUP('.'!G119,Recipes!$A:$D,4,FALSE)="",""," ["&amp;VLOOKUP('.'!G119,Recipes!$A:$D,4,FALSE)&amp;"]"))</f>
        <v/>
      </c>
      <c r="H119" s="46" t="str">
        <f t="array" ref="H119">IF('.'!H119="","",'.'!H119&amp;IF(VLOOKUP('.'!H119,Recipes!$A:$D,4,FALSE)="",""," ["&amp;VLOOKUP('.'!H119,Recipes!$A:$D,4,FALSE)&amp;"]"))</f>
        <v/>
      </c>
      <c r="I119" s="46" t="str">
        <f t="array" ref="I119">IF('.'!I119="","",'.'!I119&amp;IF(VLOOKUP('.'!I119,Recipes!$A:$D,4,FALSE)="",""," ["&amp;VLOOKUP('.'!I119,Recipes!$A:$D,4,FALSE)&amp;"]"))</f>
        <v/>
      </c>
      <c r="J119" s="46" t="str">
        <f t="array" ref="J119">IF('.'!J119="","",'.'!J119&amp;IF(VLOOKUP('.'!J119,Recipes!$A:$D,4,FALSE)="",""," ["&amp;VLOOKUP('.'!J119,Recipes!$A:$D,4,FALSE)&amp;"]"))</f>
        <v/>
      </c>
      <c r="K119" s="46" t="str">
        <f t="array" ref="K119">IF('.'!K119="","",'.'!K119&amp;IF(VLOOKUP('.'!K119,Recipes!$A:$D,4,FALSE)="",""," ["&amp;VLOOKUP('.'!K119,Recipes!$A:$D,4,FALSE)&amp;"]"))</f>
        <v/>
      </c>
      <c r="L119" s="46" t="str">
        <f t="array" ref="L119">IF('.'!L119="","",'.'!L119&amp;IF(VLOOKUP('.'!L119,Recipes!$A:$D,4,FALSE)="",""," ["&amp;VLOOKUP('.'!L119,Recipes!$A:$D,4,FALSE)&amp;"]"))</f>
        <v/>
      </c>
      <c r="M119" s="46" t="str">
        <f t="array" ref="M119">IF('.'!M119="","",'.'!M119&amp;IF(VLOOKUP('.'!M119,Recipes!$A:$D,4,FALSE)="",""," ["&amp;VLOOKUP('.'!M119,Recipes!$A:$D,4,FALSE)&amp;"]"))</f>
        <v/>
      </c>
      <c r="N119" s="46" t="str">
        <f t="array" ref="N119">IF('.'!N119="","",'.'!N119&amp;IF(VLOOKUP('.'!N119,Recipes!$A:$D,4,FALSE)="",""," ["&amp;VLOOKUP('.'!N119,Recipes!$A:$D,4,FALSE)&amp;"]"))</f>
        <v/>
      </c>
      <c r="O119" s="46" t="str">
        <f t="array" ref="O119">IF('.'!O119="","",'.'!O119&amp;IF(VLOOKUP('.'!O119,Recipes!$A:$D,4,FALSE)="",""," ["&amp;VLOOKUP('.'!O119,Recipes!$A:$D,4,FALSE)&amp;"]"))</f>
        <v/>
      </c>
      <c r="P119" s="46" t="str">
        <f t="array" ref="P119">IF('.'!P119="","",'.'!P119&amp;IF(VLOOKUP('.'!P119,Recipes!$A:$D,4,FALSE)="",""," ["&amp;VLOOKUP('.'!P119,Recipes!$A:$D,4,FALSE)&amp;"]"))</f>
        <v/>
      </c>
      <c r="Q119" s="46" t="str">
        <f t="array" ref="Q119">IF('.'!Q119="","",'.'!Q119&amp;IF(VLOOKUP('.'!Q119,Recipes!$A:$D,4,FALSE)="",""," ["&amp;VLOOKUP('.'!Q119,Recipes!$A:$D,4,FALSE)&amp;"]"))</f>
        <v/>
      </c>
      <c r="R119" s="46" t="str">
        <f t="array" ref="R119">IF('.'!R119="","",'.'!R119&amp;IF(VLOOKUP('.'!R119,Recipes!$A:$D,4,FALSE)="",""," ["&amp;VLOOKUP('.'!R119,Recipes!$A:$D,4,FALSE)&amp;"]"))</f>
        <v/>
      </c>
      <c r="S119" s="46" t="str">
        <f t="array" ref="S119">IF('.'!S119="","",'.'!S119&amp;IF(VLOOKUP('.'!S119,Recipes!$A:$D,4,FALSE)="",""," ["&amp;VLOOKUP('.'!S119,Recipes!$A:$D,4,FALSE)&amp;"]"))</f>
        <v/>
      </c>
      <c r="T119" s="46" t="str">
        <f t="array" ref="T119">IF('.'!T119="","",'.'!T119&amp;IF(VLOOKUP('.'!T119,Recipes!$A:$D,4,FALSE)="",""," ["&amp;VLOOKUP('.'!T119,Recipes!$A:$D,4,FALSE)&amp;"]"))</f>
        <v/>
      </c>
      <c r="U119" s="46" t="str">
        <f t="array" ref="U119">IF('.'!U119="","",'.'!U119&amp;IF(VLOOKUP('.'!U119,Recipes!$A:$D,4,FALSE)="",""," ["&amp;VLOOKUP('.'!U119,Recipes!$A:$D,4,FALSE)&amp;"]"))</f>
        <v/>
      </c>
      <c r="V119" s="46" t="str">
        <f t="array" ref="V119">IF('.'!V119="","",'.'!V119&amp;IF(VLOOKUP('.'!V119,Recipes!$A:$D,4,FALSE)="",""," ["&amp;VLOOKUP('.'!V119,Recipes!$A:$D,4,FALSE)&amp;"]"))</f>
        <v/>
      </c>
      <c r="W119" s="46" t="str">
        <f t="array" ref="W119">IF('.'!W119="","",'.'!W119&amp;IF(VLOOKUP('.'!W119,Recipes!$A:$D,4,FALSE)="",""," ["&amp;VLOOKUP('.'!W119,Recipes!$A:$D,4,FALSE)&amp;"]"))</f>
        <v/>
      </c>
      <c r="X119" s="46" t="str">
        <f t="array" ref="X119">IF('.'!X119="","",'.'!X119&amp;IF(VLOOKUP('.'!X119,Recipes!$A:$D,4,FALSE)="",""," ["&amp;VLOOKUP('.'!X119,Recipes!$A:$D,4,FALSE)&amp;"]"))</f>
        <v/>
      </c>
      <c r="Y119" s="46" t="str">
        <f t="array" ref="Y119">IF('.'!Y119="","",'.'!Y119&amp;IF(VLOOKUP('.'!Y119,Recipes!$A:$D,4,FALSE)="",""," ["&amp;VLOOKUP('.'!Y119,Recipes!$A:$D,4,FALSE)&amp;"]"))</f>
        <v/>
      </c>
      <c r="Z119" s="46" t="str">
        <f t="array" ref="Z119">IF('.'!Z119="","",'.'!Z119&amp;IF(VLOOKUP('.'!Z119,Recipes!$A:$D,4,FALSE)="",""," ["&amp;VLOOKUP('.'!Z119,Recipes!$A:$D,4,FALSE)&amp;"]"))</f>
        <v/>
      </c>
      <c r="AA119" s="46" t="str">
        <f t="array" ref="AA119">IF('.'!AA119="","",'.'!AA119&amp;IF(VLOOKUP('.'!AA119,Recipes!$A:$D,4,FALSE)="",""," ["&amp;VLOOKUP('.'!AA119,Recipes!$A:$D,4,FALSE)&amp;"]"))</f>
        <v/>
      </c>
      <c r="AB119" s="46" t="str">
        <f t="array" ref="AB119">IF('.'!AB119="","",'.'!AB119&amp;IF(VLOOKUP('.'!AB119,Recipes!$A:$D,4,FALSE)="",""," ["&amp;VLOOKUP('.'!AB119,Recipes!$A:$D,4,FALSE)&amp;"]"))</f>
        <v/>
      </c>
      <c r="AC119" s="46" t="str">
        <f t="array" ref="AC119">IF('.'!AC119="","",'.'!AC119&amp;IF(VLOOKUP('.'!AC119,Recipes!$A:$D,4,FALSE)="",""," ["&amp;VLOOKUP('.'!AC119,Recipes!$A:$D,4,FALSE)&amp;"]"))</f>
        <v/>
      </c>
      <c r="AD119" s="46" t="str">
        <f t="array" ref="AD119">IF('.'!AD119="","",'.'!AD119&amp;IF(VLOOKUP('.'!AD119,Recipes!$A:$D,4,FALSE)="",""," ["&amp;VLOOKUP('.'!AD119,Recipes!$A:$D,4,FALSE)&amp;"]"))</f>
        <v/>
      </c>
      <c r="AE119" s="47"/>
      <c r="AF119" s="47"/>
      <c r="AG119" s="47"/>
      <c r="AH119" s="47"/>
      <c r="AI119" s="47"/>
      <c r="AJ119" s="47"/>
      <c r="AK119" s="47"/>
      <c r="AL119" s="47"/>
      <c r="AM119" s="47"/>
      <c r="AN119" s="47"/>
      <c r="AO119" s="47"/>
      <c r="AP119" s="47"/>
      <c r="AQ119" s="47"/>
      <c r="AR119" s="47"/>
      <c r="AS119" s="47"/>
      <c r="AT119" s="47"/>
      <c r="AU119" s="47"/>
      <c r="AV119" s="47"/>
      <c r="AW119" s="47"/>
      <c r="AX119" s="47"/>
      <c r="AY119" s="47"/>
      <c r="AZ119" s="47"/>
      <c r="BA119" s="47"/>
      <c r="BB119" s="47"/>
      <c r="BC119" s="47"/>
      <c r="BD119" s="47"/>
      <c r="BE119" s="47"/>
      <c r="BF119" s="47"/>
      <c r="BG119" s="47"/>
      <c r="BH119" s="47"/>
      <c r="BI119" s="47"/>
      <c r="BJ119" s="47"/>
      <c r="BK119" s="47"/>
      <c r="BL119" s="47"/>
      <c r="BM119" s="47"/>
      <c r="BN119" s="47"/>
      <c r="BO119" s="47"/>
      <c r="BP119" s="47"/>
      <c r="BQ119" s="47"/>
      <c r="BR119" s="47"/>
      <c r="BS119" s="47"/>
      <c r="BT119" s="47"/>
      <c r="BU119" s="47"/>
      <c r="BV119" s="47"/>
      <c r="BW119" s="47"/>
      <c r="BX119" s="47"/>
      <c r="BY119" s="47"/>
      <c r="BZ119" s="47"/>
    </row>
    <row r="120" spans="1:78" ht="13">
      <c r="A120" s="48" t="str">
        <f ca="1">'.'!A120</f>
        <v>Creepy Eye</v>
      </c>
      <c r="B120" s="46" t="str">
        <f t="array" aca="1" ref="B120" ca="1">IF('.'!B120="","",'.'!B120&amp;IF(VLOOKUP('.'!B120,Recipes!$A:$D,4,FALSE)="",""," ["&amp;VLOOKUP('.'!B120,Recipes!$A:$D,4,FALSE)&amp;"]"))</f>
        <v>Black Shroud Scroll [-1265]</v>
      </c>
      <c r="C120" s="46" t="str">
        <f t="array" ref="C120">IF('.'!C120="","",'.'!C120&amp;IF(VLOOKUP('.'!C120,Recipes!$A:$D,4,FALSE)="",""," ["&amp;VLOOKUP('.'!C120,Recipes!$A:$D,4,FALSE)&amp;"]"))</f>
        <v/>
      </c>
      <c r="D120" s="46" t="str">
        <f t="array" ref="D120">IF('.'!D120="","",'.'!D120&amp;IF(VLOOKUP('.'!D120,Recipes!$A:$D,4,FALSE)="",""," ["&amp;VLOOKUP('.'!D120,Recipes!$A:$D,4,FALSE)&amp;"]"))</f>
        <v/>
      </c>
      <c r="E120" s="46" t="str">
        <f t="array" ref="E120">IF('.'!E120="","",'.'!E120&amp;IF(VLOOKUP('.'!E120,Recipes!$A:$D,4,FALSE)="",""," ["&amp;VLOOKUP('.'!E120,Recipes!$A:$D,4,FALSE)&amp;"]"))</f>
        <v/>
      </c>
      <c r="F120" s="46" t="str">
        <f t="array" ref="F120">IF('.'!F120="","",'.'!F120&amp;IF(VLOOKUP('.'!F120,Recipes!$A:$D,4,FALSE)="",""," ["&amp;VLOOKUP('.'!F120,Recipes!$A:$D,4,FALSE)&amp;"]"))</f>
        <v/>
      </c>
      <c r="G120" s="46" t="str">
        <f t="array" ref="G120">IF('.'!G120="","",'.'!G120&amp;IF(VLOOKUP('.'!G120,Recipes!$A:$D,4,FALSE)="",""," ["&amp;VLOOKUP('.'!G120,Recipes!$A:$D,4,FALSE)&amp;"]"))</f>
        <v/>
      </c>
      <c r="H120" s="46" t="str">
        <f t="array" ref="H120">IF('.'!H120="","",'.'!H120&amp;IF(VLOOKUP('.'!H120,Recipes!$A:$D,4,FALSE)="",""," ["&amp;VLOOKUP('.'!H120,Recipes!$A:$D,4,FALSE)&amp;"]"))</f>
        <v/>
      </c>
      <c r="I120" s="46" t="str">
        <f t="array" ref="I120">IF('.'!I120="","",'.'!I120&amp;IF(VLOOKUP('.'!I120,Recipes!$A:$D,4,FALSE)="",""," ["&amp;VLOOKUP('.'!I120,Recipes!$A:$D,4,FALSE)&amp;"]"))</f>
        <v/>
      </c>
      <c r="J120" s="46" t="str">
        <f t="array" ref="J120">IF('.'!J120="","",'.'!J120&amp;IF(VLOOKUP('.'!J120,Recipes!$A:$D,4,FALSE)="",""," ["&amp;VLOOKUP('.'!J120,Recipes!$A:$D,4,FALSE)&amp;"]"))</f>
        <v/>
      </c>
      <c r="K120" s="46" t="str">
        <f t="array" ref="K120">IF('.'!K120="","",'.'!K120&amp;IF(VLOOKUP('.'!K120,Recipes!$A:$D,4,FALSE)="",""," ["&amp;VLOOKUP('.'!K120,Recipes!$A:$D,4,FALSE)&amp;"]"))</f>
        <v/>
      </c>
      <c r="L120" s="46" t="str">
        <f t="array" ref="L120">IF('.'!L120="","",'.'!L120&amp;IF(VLOOKUP('.'!L120,Recipes!$A:$D,4,FALSE)="",""," ["&amp;VLOOKUP('.'!L120,Recipes!$A:$D,4,FALSE)&amp;"]"))</f>
        <v/>
      </c>
      <c r="M120" s="46" t="str">
        <f t="array" ref="M120">IF('.'!M120="","",'.'!M120&amp;IF(VLOOKUP('.'!M120,Recipes!$A:$D,4,FALSE)="",""," ["&amp;VLOOKUP('.'!M120,Recipes!$A:$D,4,FALSE)&amp;"]"))</f>
        <v/>
      </c>
      <c r="N120" s="46" t="str">
        <f t="array" ref="N120">IF('.'!N120="","",'.'!N120&amp;IF(VLOOKUP('.'!N120,Recipes!$A:$D,4,FALSE)="",""," ["&amp;VLOOKUP('.'!N120,Recipes!$A:$D,4,FALSE)&amp;"]"))</f>
        <v/>
      </c>
      <c r="O120" s="46" t="str">
        <f t="array" ref="O120">IF('.'!O120="","",'.'!O120&amp;IF(VLOOKUP('.'!O120,Recipes!$A:$D,4,FALSE)="",""," ["&amp;VLOOKUP('.'!O120,Recipes!$A:$D,4,FALSE)&amp;"]"))</f>
        <v/>
      </c>
      <c r="P120" s="46" t="str">
        <f t="array" ref="P120">IF('.'!P120="","",'.'!P120&amp;IF(VLOOKUP('.'!P120,Recipes!$A:$D,4,FALSE)="",""," ["&amp;VLOOKUP('.'!P120,Recipes!$A:$D,4,FALSE)&amp;"]"))</f>
        <v/>
      </c>
      <c r="Q120" s="46" t="str">
        <f t="array" ref="Q120">IF('.'!Q120="","",'.'!Q120&amp;IF(VLOOKUP('.'!Q120,Recipes!$A:$D,4,FALSE)="",""," ["&amp;VLOOKUP('.'!Q120,Recipes!$A:$D,4,FALSE)&amp;"]"))</f>
        <v/>
      </c>
      <c r="R120" s="46" t="str">
        <f t="array" ref="R120">IF('.'!R120="","",'.'!R120&amp;IF(VLOOKUP('.'!R120,Recipes!$A:$D,4,FALSE)="",""," ["&amp;VLOOKUP('.'!R120,Recipes!$A:$D,4,FALSE)&amp;"]"))</f>
        <v/>
      </c>
      <c r="S120" s="46" t="str">
        <f t="array" ref="S120">IF('.'!S120="","",'.'!S120&amp;IF(VLOOKUP('.'!S120,Recipes!$A:$D,4,FALSE)="",""," ["&amp;VLOOKUP('.'!S120,Recipes!$A:$D,4,FALSE)&amp;"]"))</f>
        <v/>
      </c>
      <c r="T120" s="46" t="str">
        <f t="array" ref="T120">IF('.'!T120="","",'.'!T120&amp;IF(VLOOKUP('.'!T120,Recipes!$A:$D,4,FALSE)="",""," ["&amp;VLOOKUP('.'!T120,Recipes!$A:$D,4,FALSE)&amp;"]"))</f>
        <v/>
      </c>
      <c r="U120" s="46" t="str">
        <f t="array" ref="U120">IF('.'!U120="","",'.'!U120&amp;IF(VLOOKUP('.'!U120,Recipes!$A:$D,4,FALSE)="",""," ["&amp;VLOOKUP('.'!U120,Recipes!$A:$D,4,FALSE)&amp;"]"))</f>
        <v/>
      </c>
      <c r="V120" s="46" t="str">
        <f t="array" ref="V120">IF('.'!V120="","",'.'!V120&amp;IF(VLOOKUP('.'!V120,Recipes!$A:$D,4,FALSE)="",""," ["&amp;VLOOKUP('.'!V120,Recipes!$A:$D,4,FALSE)&amp;"]"))</f>
        <v/>
      </c>
      <c r="W120" s="46" t="str">
        <f t="array" ref="W120">IF('.'!W120="","",'.'!W120&amp;IF(VLOOKUP('.'!W120,Recipes!$A:$D,4,FALSE)="",""," ["&amp;VLOOKUP('.'!W120,Recipes!$A:$D,4,FALSE)&amp;"]"))</f>
        <v/>
      </c>
      <c r="X120" s="46" t="str">
        <f t="array" ref="X120">IF('.'!X120="","",'.'!X120&amp;IF(VLOOKUP('.'!X120,Recipes!$A:$D,4,FALSE)="",""," ["&amp;VLOOKUP('.'!X120,Recipes!$A:$D,4,FALSE)&amp;"]"))</f>
        <v/>
      </c>
      <c r="Y120" s="46" t="str">
        <f t="array" ref="Y120">IF('.'!Y120="","",'.'!Y120&amp;IF(VLOOKUP('.'!Y120,Recipes!$A:$D,4,FALSE)="",""," ["&amp;VLOOKUP('.'!Y120,Recipes!$A:$D,4,FALSE)&amp;"]"))</f>
        <v/>
      </c>
      <c r="Z120" s="46" t="str">
        <f t="array" ref="Z120">IF('.'!Z120="","",'.'!Z120&amp;IF(VLOOKUP('.'!Z120,Recipes!$A:$D,4,FALSE)="",""," ["&amp;VLOOKUP('.'!Z120,Recipes!$A:$D,4,FALSE)&amp;"]"))</f>
        <v/>
      </c>
      <c r="AA120" s="46" t="str">
        <f t="array" ref="AA120">IF('.'!AA120="","",'.'!AA120&amp;IF(VLOOKUP('.'!AA120,Recipes!$A:$D,4,FALSE)="",""," ["&amp;VLOOKUP('.'!AA120,Recipes!$A:$D,4,FALSE)&amp;"]"))</f>
        <v/>
      </c>
      <c r="AB120" s="46" t="str">
        <f t="array" ref="AB120">IF('.'!AB120="","",'.'!AB120&amp;IF(VLOOKUP('.'!AB120,Recipes!$A:$D,4,FALSE)="",""," ["&amp;VLOOKUP('.'!AB120,Recipes!$A:$D,4,FALSE)&amp;"]"))</f>
        <v/>
      </c>
      <c r="AC120" s="46" t="str">
        <f t="array" ref="AC120">IF('.'!AC120="","",'.'!AC120&amp;IF(VLOOKUP('.'!AC120,Recipes!$A:$D,4,FALSE)="",""," ["&amp;VLOOKUP('.'!AC120,Recipes!$A:$D,4,FALSE)&amp;"]"))</f>
        <v/>
      </c>
      <c r="AD120" s="46" t="str">
        <f t="array" ref="AD120">IF('.'!AD120="","",'.'!AD120&amp;IF(VLOOKUP('.'!AD120,Recipes!$A:$D,4,FALSE)="",""," ["&amp;VLOOKUP('.'!AD120,Recipes!$A:$D,4,FALSE)&amp;"]"))</f>
        <v/>
      </c>
      <c r="AE120" s="47"/>
      <c r="AF120" s="47"/>
      <c r="AG120" s="47"/>
      <c r="AH120" s="47"/>
      <c r="AI120" s="47"/>
      <c r="AJ120" s="47"/>
      <c r="AK120" s="47"/>
      <c r="AL120" s="47"/>
      <c r="AM120" s="47"/>
      <c r="AN120" s="47"/>
      <c r="AO120" s="47"/>
      <c r="AP120" s="47"/>
      <c r="AQ120" s="47"/>
      <c r="AR120" s="47"/>
      <c r="AS120" s="47"/>
      <c r="AT120" s="47"/>
      <c r="AU120" s="47"/>
      <c r="AV120" s="47"/>
      <c r="AW120" s="47"/>
      <c r="AX120" s="47"/>
      <c r="AY120" s="47"/>
      <c r="AZ120" s="47"/>
      <c r="BA120" s="47"/>
      <c r="BB120" s="47"/>
      <c r="BC120" s="47"/>
      <c r="BD120" s="47"/>
      <c r="BE120" s="47"/>
      <c r="BF120" s="47"/>
      <c r="BG120" s="47"/>
      <c r="BH120" s="47"/>
      <c r="BI120" s="47"/>
      <c r="BJ120" s="47"/>
      <c r="BK120" s="47"/>
      <c r="BL120" s="47"/>
      <c r="BM120" s="47"/>
      <c r="BN120" s="47"/>
      <c r="BO120" s="47"/>
      <c r="BP120" s="47"/>
      <c r="BQ120" s="47"/>
      <c r="BR120" s="47"/>
      <c r="BS120" s="47"/>
      <c r="BT120" s="47"/>
      <c r="BU120" s="47"/>
      <c r="BV120" s="47"/>
      <c r="BW120" s="47"/>
      <c r="BX120" s="47"/>
      <c r="BY120" s="47"/>
      <c r="BZ120" s="47"/>
    </row>
    <row r="121" spans="1:78" ht="13">
      <c r="A121" s="48" t="str">
        <f ca="1">'.'!A121</f>
        <v>Crossbow Without Bowstring</v>
      </c>
      <c r="B121" s="46" t="str">
        <f t="array" aca="1" ref="B121" ca="1">IF('.'!B121="","",'.'!B121&amp;IF(VLOOKUP('.'!B121,Recipes!$A:$D,4,FALSE)="",""," ["&amp;VLOOKUP('.'!B121,Recipes!$A:$D,4,FALSE)&amp;"]"))</f>
        <v>Crossbow [V]</v>
      </c>
      <c r="C121" s="46" t="str">
        <f t="array" ref="C121">IF('.'!C121="","",'.'!C121&amp;IF(VLOOKUP('.'!C121,Recipes!$A:$D,4,FALSE)="",""," ["&amp;VLOOKUP('.'!C121,Recipes!$A:$D,4,FALSE)&amp;"]"))</f>
        <v/>
      </c>
      <c r="D121" s="46" t="str">
        <f t="array" ref="D121">IF('.'!D121="","",'.'!D121&amp;IF(VLOOKUP('.'!D121,Recipes!$A:$D,4,FALSE)="",""," ["&amp;VLOOKUP('.'!D121,Recipes!$A:$D,4,FALSE)&amp;"]"))</f>
        <v/>
      </c>
      <c r="E121" s="46" t="str">
        <f t="array" ref="E121">IF('.'!E121="","",'.'!E121&amp;IF(VLOOKUP('.'!E121,Recipes!$A:$D,4,FALSE)="",""," ["&amp;VLOOKUP('.'!E121,Recipes!$A:$D,4,FALSE)&amp;"]"))</f>
        <v/>
      </c>
      <c r="F121" s="46" t="str">
        <f t="array" ref="F121">IF('.'!F121="","",'.'!F121&amp;IF(VLOOKUP('.'!F121,Recipes!$A:$D,4,FALSE)="",""," ["&amp;VLOOKUP('.'!F121,Recipes!$A:$D,4,FALSE)&amp;"]"))</f>
        <v/>
      </c>
      <c r="G121" s="46" t="str">
        <f t="array" ref="G121">IF('.'!G121="","",'.'!G121&amp;IF(VLOOKUP('.'!G121,Recipes!$A:$D,4,FALSE)="",""," ["&amp;VLOOKUP('.'!G121,Recipes!$A:$D,4,FALSE)&amp;"]"))</f>
        <v/>
      </c>
      <c r="H121" s="46" t="str">
        <f t="array" ref="H121">IF('.'!H121="","",'.'!H121&amp;IF(VLOOKUP('.'!H121,Recipes!$A:$D,4,FALSE)="",""," ["&amp;VLOOKUP('.'!H121,Recipes!$A:$D,4,FALSE)&amp;"]"))</f>
        <v/>
      </c>
      <c r="I121" s="46" t="str">
        <f t="array" ref="I121">IF('.'!I121="","",'.'!I121&amp;IF(VLOOKUP('.'!I121,Recipes!$A:$D,4,FALSE)="",""," ["&amp;VLOOKUP('.'!I121,Recipes!$A:$D,4,FALSE)&amp;"]"))</f>
        <v/>
      </c>
      <c r="J121" s="46" t="str">
        <f t="array" ref="J121">IF('.'!J121="","",'.'!J121&amp;IF(VLOOKUP('.'!J121,Recipes!$A:$D,4,FALSE)="",""," ["&amp;VLOOKUP('.'!J121,Recipes!$A:$D,4,FALSE)&amp;"]"))</f>
        <v/>
      </c>
      <c r="K121" s="46" t="str">
        <f t="array" ref="K121">IF('.'!K121="","",'.'!K121&amp;IF(VLOOKUP('.'!K121,Recipes!$A:$D,4,FALSE)="",""," ["&amp;VLOOKUP('.'!K121,Recipes!$A:$D,4,FALSE)&amp;"]"))</f>
        <v/>
      </c>
      <c r="L121" s="46" t="str">
        <f t="array" ref="L121">IF('.'!L121="","",'.'!L121&amp;IF(VLOOKUP('.'!L121,Recipes!$A:$D,4,FALSE)="",""," ["&amp;VLOOKUP('.'!L121,Recipes!$A:$D,4,FALSE)&amp;"]"))</f>
        <v/>
      </c>
      <c r="M121" s="46" t="str">
        <f t="array" ref="M121">IF('.'!M121="","",'.'!M121&amp;IF(VLOOKUP('.'!M121,Recipes!$A:$D,4,FALSE)="",""," ["&amp;VLOOKUP('.'!M121,Recipes!$A:$D,4,FALSE)&amp;"]"))</f>
        <v/>
      </c>
      <c r="N121" s="46" t="str">
        <f t="array" ref="N121">IF('.'!N121="","",'.'!N121&amp;IF(VLOOKUP('.'!N121,Recipes!$A:$D,4,FALSE)="",""," ["&amp;VLOOKUP('.'!N121,Recipes!$A:$D,4,FALSE)&amp;"]"))</f>
        <v/>
      </c>
      <c r="O121" s="46" t="str">
        <f t="array" ref="O121">IF('.'!O121="","",'.'!O121&amp;IF(VLOOKUP('.'!O121,Recipes!$A:$D,4,FALSE)="",""," ["&amp;VLOOKUP('.'!O121,Recipes!$A:$D,4,FALSE)&amp;"]"))</f>
        <v/>
      </c>
      <c r="P121" s="46" t="str">
        <f t="array" ref="P121">IF('.'!P121="","",'.'!P121&amp;IF(VLOOKUP('.'!P121,Recipes!$A:$D,4,FALSE)="",""," ["&amp;VLOOKUP('.'!P121,Recipes!$A:$D,4,FALSE)&amp;"]"))</f>
        <v/>
      </c>
      <c r="Q121" s="46" t="str">
        <f t="array" ref="Q121">IF('.'!Q121="","",'.'!Q121&amp;IF(VLOOKUP('.'!Q121,Recipes!$A:$D,4,FALSE)="",""," ["&amp;VLOOKUP('.'!Q121,Recipes!$A:$D,4,FALSE)&amp;"]"))</f>
        <v/>
      </c>
      <c r="R121" s="46" t="str">
        <f t="array" ref="R121">IF('.'!R121="","",'.'!R121&amp;IF(VLOOKUP('.'!R121,Recipes!$A:$D,4,FALSE)="",""," ["&amp;VLOOKUP('.'!R121,Recipes!$A:$D,4,FALSE)&amp;"]"))</f>
        <v/>
      </c>
      <c r="S121" s="46" t="str">
        <f t="array" ref="S121">IF('.'!S121="","",'.'!S121&amp;IF(VLOOKUP('.'!S121,Recipes!$A:$D,4,FALSE)="",""," ["&amp;VLOOKUP('.'!S121,Recipes!$A:$D,4,FALSE)&amp;"]"))</f>
        <v/>
      </c>
      <c r="T121" s="46" t="str">
        <f t="array" ref="T121">IF('.'!T121="","",'.'!T121&amp;IF(VLOOKUP('.'!T121,Recipes!$A:$D,4,FALSE)="",""," ["&amp;VLOOKUP('.'!T121,Recipes!$A:$D,4,FALSE)&amp;"]"))</f>
        <v/>
      </c>
      <c r="U121" s="46" t="str">
        <f t="array" ref="U121">IF('.'!U121="","",'.'!U121&amp;IF(VLOOKUP('.'!U121,Recipes!$A:$D,4,FALSE)="",""," ["&amp;VLOOKUP('.'!U121,Recipes!$A:$D,4,FALSE)&amp;"]"))</f>
        <v/>
      </c>
      <c r="V121" s="46" t="str">
        <f t="array" ref="V121">IF('.'!V121="","",'.'!V121&amp;IF(VLOOKUP('.'!V121,Recipes!$A:$D,4,FALSE)="",""," ["&amp;VLOOKUP('.'!V121,Recipes!$A:$D,4,FALSE)&amp;"]"))</f>
        <v/>
      </c>
      <c r="W121" s="46" t="str">
        <f t="array" ref="W121">IF('.'!W121="","",'.'!W121&amp;IF(VLOOKUP('.'!W121,Recipes!$A:$D,4,FALSE)="",""," ["&amp;VLOOKUP('.'!W121,Recipes!$A:$D,4,FALSE)&amp;"]"))</f>
        <v/>
      </c>
      <c r="X121" s="46" t="str">
        <f t="array" ref="X121">IF('.'!X121="","",'.'!X121&amp;IF(VLOOKUP('.'!X121,Recipes!$A:$D,4,FALSE)="",""," ["&amp;VLOOKUP('.'!X121,Recipes!$A:$D,4,FALSE)&amp;"]"))</f>
        <v/>
      </c>
      <c r="Y121" s="46" t="str">
        <f t="array" ref="Y121">IF('.'!Y121="","",'.'!Y121&amp;IF(VLOOKUP('.'!Y121,Recipes!$A:$D,4,FALSE)="",""," ["&amp;VLOOKUP('.'!Y121,Recipes!$A:$D,4,FALSE)&amp;"]"))</f>
        <v/>
      </c>
      <c r="Z121" s="46" t="str">
        <f t="array" ref="Z121">IF('.'!Z121="","",'.'!Z121&amp;IF(VLOOKUP('.'!Z121,Recipes!$A:$D,4,FALSE)="",""," ["&amp;VLOOKUP('.'!Z121,Recipes!$A:$D,4,FALSE)&amp;"]"))</f>
        <v/>
      </c>
      <c r="AA121" s="46" t="str">
        <f t="array" ref="AA121">IF('.'!AA121="","",'.'!AA121&amp;IF(VLOOKUP('.'!AA121,Recipes!$A:$D,4,FALSE)="",""," ["&amp;VLOOKUP('.'!AA121,Recipes!$A:$D,4,FALSE)&amp;"]"))</f>
        <v/>
      </c>
      <c r="AB121" s="46" t="str">
        <f t="array" ref="AB121">IF('.'!AB121="","",'.'!AB121&amp;IF(VLOOKUP('.'!AB121,Recipes!$A:$D,4,FALSE)="",""," ["&amp;VLOOKUP('.'!AB121,Recipes!$A:$D,4,FALSE)&amp;"]"))</f>
        <v/>
      </c>
      <c r="AC121" s="46" t="str">
        <f t="array" ref="AC121">IF('.'!AC121="","",'.'!AC121&amp;IF(VLOOKUP('.'!AC121,Recipes!$A:$D,4,FALSE)="",""," ["&amp;VLOOKUP('.'!AC121,Recipes!$A:$D,4,FALSE)&amp;"]"))</f>
        <v/>
      </c>
      <c r="AD121" s="46" t="str">
        <f t="array" ref="AD121">IF('.'!AD121="","",'.'!AD121&amp;IF(VLOOKUP('.'!AD121,Recipes!$A:$D,4,FALSE)="",""," ["&amp;VLOOKUP('.'!AD121,Recipes!$A:$D,4,FALSE)&amp;"]"))</f>
        <v/>
      </c>
      <c r="AE121" s="47"/>
      <c r="AF121" s="47"/>
      <c r="AG121" s="47"/>
      <c r="AH121" s="47"/>
      <c r="AI121" s="47"/>
      <c r="AJ121" s="47"/>
      <c r="AK121" s="47"/>
      <c r="AL121" s="47"/>
      <c r="AM121" s="47"/>
      <c r="AN121" s="47"/>
      <c r="AO121" s="47"/>
      <c r="AP121" s="47"/>
      <c r="AQ121" s="47"/>
      <c r="AR121" s="47"/>
      <c r="AS121" s="47"/>
      <c r="AT121" s="47"/>
      <c r="AU121" s="47"/>
      <c r="AV121" s="47"/>
      <c r="AW121" s="47"/>
      <c r="AX121" s="47"/>
      <c r="AY121" s="47"/>
      <c r="AZ121" s="47"/>
      <c r="BA121" s="47"/>
      <c r="BB121" s="47"/>
      <c r="BC121" s="47"/>
      <c r="BD121" s="47"/>
      <c r="BE121" s="47"/>
      <c r="BF121" s="47"/>
      <c r="BG121" s="47"/>
      <c r="BH121" s="47"/>
      <c r="BI121" s="47"/>
      <c r="BJ121" s="47"/>
      <c r="BK121" s="47"/>
      <c r="BL121" s="47"/>
      <c r="BM121" s="47"/>
      <c r="BN121" s="47"/>
      <c r="BO121" s="47"/>
      <c r="BP121" s="47"/>
      <c r="BQ121" s="47"/>
      <c r="BR121" s="47"/>
      <c r="BS121" s="47"/>
      <c r="BT121" s="47"/>
      <c r="BU121" s="47"/>
      <c r="BV121" s="47"/>
      <c r="BW121" s="47"/>
      <c r="BX121" s="47"/>
      <c r="BY121" s="47"/>
      <c r="BZ121" s="47"/>
    </row>
    <row r="122" spans="1:78" ht="13">
      <c r="A122" s="48" t="str">
        <f ca="1">'.'!A122</f>
        <v>Cryogenic Stasis Scroll</v>
      </c>
      <c r="B122" s="46" t="str">
        <f t="array" aca="1" ref="B122" ca="1">IF('.'!B122="","",'.'!B122&amp;IF(VLOOKUP('.'!B122,Recipes!$A:$D,4,FALSE)="",""," ["&amp;VLOOKUP('.'!B122,Recipes!$A:$D,4,FALSE)&amp;"]"))</f>
        <v>Cryogenic Stasis Skillbook [250]</v>
      </c>
      <c r="C122" s="46" t="str">
        <f t="array" ref="C122">IF('.'!C122="","",'.'!C122&amp;IF(VLOOKUP('.'!C122,Recipes!$A:$D,4,FALSE)="",""," ["&amp;VLOOKUP('.'!C122,Recipes!$A:$D,4,FALSE)&amp;"]"))</f>
        <v/>
      </c>
      <c r="D122" s="46" t="str">
        <f t="array" ref="D122">IF('.'!D122="","",'.'!D122&amp;IF(VLOOKUP('.'!D122,Recipes!$A:$D,4,FALSE)="",""," ["&amp;VLOOKUP('.'!D122,Recipes!$A:$D,4,FALSE)&amp;"]"))</f>
        <v/>
      </c>
      <c r="E122" s="46" t="str">
        <f t="array" ref="E122">IF('.'!E122="","",'.'!E122&amp;IF(VLOOKUP('.'!E122,Recipes!$A:$D,4,FALSE)="",""," ["&amp;VLOOKUP('.'!E122,Recipes!$A:$D,4,FALSE)&amp;"]"))</f>
        <v/>
      </c>
      <c r="F122" s="46" t="str">
        <f t="array" ref="F122">IF('.'!F122="","",'.'!F122&amp;IF(VLOOKUP('.'!F122,Recipes!$A:$D,4,FALSE)="",""," ["&amp;VLOOKUP('.'!F122,Recipes!$A:$D,4,FALSE)&amp;"]"))</f>
        <v/>
      </c>
      <c r="G122" s="46" t="str">
        <f t="array" ref="G122">IF('.'!G122="","",'.'!G122&amp;IF(VLOOKUP('.'!G122,Recipes!$A:$D,4,FALSE)="",""," ["&amp;VLOOKUP('.'!G122,Recipes!$A:$D,4,FALSE)&amp;"]"))</f>
        <v/>
      </c>
      <c r="H122" s="46" t="str">
        <f t="array" ref="H122">IF('.'!H122="","",'.'!H122&amp;IF(VLOOKUP('.'!H122,Recipes!$A:$D,4,FALSE)="",""," ["&amp;VLOOKUP('.'!H122,Recipes!$A:$D,4,FALSE)&amp;"]"))</f>
        <v/>
      </c>
      <c r="I122" s="46" t="str">
        <f t="array" ref="I122">IF('.'!I122="","",'.'!I122&amp;IF(VLOOKUP('.'!I122,Recipes!$A:$D,4,FALSE)="",""," ["&amp;VLOOKUP('.'!I122,Recipes!$A:$D,4,FALSE)&amp;"]"))</f>
        <v/>
      </c>
      <c r="J122" s="46" t="str">
        <f t="array" ref="J122">IF('.'!J122="","",'.'!J122&amp;IF(VLOOKUP('.'!J122,Recipes!$A:$D,4,FALSE)="",""," ["&amp;VLOOKUP('.'!J122,Recipes!$A:$D,4,FALSE)&amp;"]"))</f>
        <v/>
      </c>
      <c r="K122" s="46" t="str">
        <f t="array" ref="K122">IF('.'!K122="","",'.'!K122&amp;IF(VLOOKUP('.'!K122,Recipes!$A:$D,4,FALSE)="",""," ["&amp;VLOOKUP('.'!K122,Recipes!$A:$D,4,FALSE)&amp;"]"))</f>
        <v/>
      </c>
      <c r="L122" s="46" t="str">
        <f t="array" ref="L122">IF('.'!L122="","",'.'!L122&amp;IF(VLOOKUP('.'!L122,Recipes!$A:$D,4,FALSE)="",""," ["&amp;VLOOKUP('.'!L122,Recipes!$A:$D,4,FALSE)&amp;"]"))</f>
        <v/>
      </c>
      <c r="M122" s="46" t="str">
        <f t="array" ref="M122">IF('.'!M122="","",'.'!M122&amp;IF(VLOOKUP('.'!M122,Recipes!$A:$D,4,FALSE)="",""," ["&amp;VLOOKUP('.'!M122,Recipes!$A:$D,4,FALSE)&amp;"]"))</f>
        <v/>
      </c>
      <c r="N122" s="46" t="str">
        <f t="array" ref="N122">IF('.'!N122="","",'.'!N122&amp;IF(VLOOKUP('.'!N122,Recipes!$A:$D,4,FALSE)="",""," ["&amp;VLOOKUP('.'!N122,Recipes!$A:$D,4,FALSE)&amp;"]"))</f>
        <v/>
      </c>
      <c r="O122" s="46" t="str">
        <f t="array" ref="O122">IF('.'!O122="","",'.'!O122&amp;IF(VLOOKUP('.'!O122,Recipes!$A:$D,4,FALSE)="",""," ["&amp;VLOOKUP('.'!O122,Recipes!$A:$D,4,FALSE)&amp;"]"))</f>
        <v/>
      </c>
      <c r="P122" s="46" t="str">
        <f t="array" ref="P122">IF('.'!P122="","",'.'!P122&amp;IF(VLOOKUP('.'!P122,Recipes!$A:$D,4,FALSE)="",""," ["&amp;VLOOKUP('.'!P122,Recipes!$A:$D,4,FALSE)&amp;"]"))</f>
        <v/>
      </c>
      <c r="Q122" s="46" t="str">
        <f t="array" ref="Q122">IF('.'!Q122="","",'.'!Q122&amp;IF(VLOOKUP('.'!Q122,Recipes!$A:$D,4,FALSE)="",""," ["&amp;VLOOKUP('.'!Q122,Recipes!$A:$D,4,FALSE)&amp;"]"))</f>
        <v/>
      </c>
      <c r="R122" s="46" t="str">
        <f t="array" ref="R122">IF('.'!R122="","",'.'!R122&amp;IF(VLOOKUP('.'!R122,Recipes!$A:$D,4,FALSE)="",""," ["&amp;VLOOKUP('.'!R122,Recipes!$A:$D,4,FALSE)&amp;"]"))</f>
        <v/>
      </c>
      <c r="S122" s="46" t="str">
        <f t="array" ref="S122">IF('.'!S122="","",'.'!S122&amp;IF(VLOOKUP('.'!S122,Recipes!$A:$D,4,FALSE)="",""," ["&amp;VLOOKUP('.'!S122,Recipes!$A:$D,4,FALSE)&amp;"]"))</f>
        <v/>
      </c>
      <c r="T122" s="46" t="str">
        <f t="array" ref="T122">IF('.'!T122="","",'.'!T122&amp;IF(VLOOKUP('.'!T122,Recipes!$A:$D,4,FALSE)="",""," ["&amp;VLOOKUP('.'!T122,Recipes!$A:$D,4,FALSE)&amp;"]"))</f>
        <v/>
      </c>
      <c r="U122" s="46" t="str">
        <f t="array" ref="U122">IF('.'!U122="","",'.'!U122&amp;IF(VLOOKUP('.'!U122,Recipes!$A:$D,4,FALSE)="",""," ["&amp;VLOOKUP('.'!U122,Recipes!$A:$D,4,FALSE)&amp;"]"))</f>
        <v/>
      </c>
      <c r="V122" s="46" t="str">
        <f t="array" ref="V122">IF('.'!V122="","",'.'!V122&amp;IF(VLOOKUP('.'!V122,Recipes!$A:$D,4,FALSE)="",""," ["&amp;VLOOKUP('.'!V122,Recipes!$A:$D,4,FALSE)&amp;"]"))</f>
        <v/>
      </c>
      <c r="W122" s="46" t="str">
        <f t="array" ref="W122">IF('.'!W122="","",'.'!W122&amp;IF(VLOOKUP('.'!W122,Recipes!$A:$D,4,FALSE)="",""," ["&amp;VLOOKUP('.'!W122,Recipes!$A:$D,4,FALSE)&amp;"]"))</f>
        <v/>
      </c>
      <c r="X122" s="46" t="str">
        <f t="array" ref="X122">IF('.'!X122="","",'.'!X122&amp;IF(VLOOKUP('.'!X122,Recipes!$A:$D,4,FALSE)="",""," ["&amp;VLOOKUP('.'!X122,Recipes!$A:$D,4,FALSE)&amp;"]"))</f>
        <v/>
      </c>
      <c r="Y122" s="46" t="str">
        <f t="array" ref="Y122">IF('.'!Y122="","",'.'!Y122&amp;IF(VLOOKUP('.'!Y122,Recipes!$A:$D,4,FALSE)="",""," ["&amp;VLOOKUP('.'!Y122,Recipes!$A:$D,4,FALSE)&amp;"]"))</f>
        <v/>
      </c>
      <c r="Z122" s="46" t="str">
        <f t="array" ref="Z122">IF('.'!Z122="","",'.'!Z122&amp;IF(VLOOKUP('.'!Z122,Recipes!$A:$D,4,FALSE)="",""," ["&amp;VLOOKUP('.'!Z122,Recipes!$A:$D,4,FALSE)&amp;"]"))</f>
        <v/>
      </c>
      <c r="AA122" s="46" t="str">
        <f t="array" ref="AA122">IF('.'!AA122="","",'.'!AA122&amp;IF(VLOOKUP('.'!AA122,Recipes!$A:$D,4,FALSE)="",""," ["&amp;VLOOKUP('.'!AA122,Recipes!$A:$D,4,FALSE)&amp;"]"))</f>
        <v/>
      </c>
      <c r="AB122" s="46" t="str">
        <f t="array" ref="AB122">IF('.'!AB122="","",'.'!AB122&amp;IF(VLOOKUP('.'!AB122,Recipes!$A:$D,4,FALSE)="",""," ["&amp;VLOOKUP('.'!AB122,Recipes!$A:$D,4,FALSE)&amp;"]"))</f>
        <v/>
      </c>
      <c r="AC122" s="46" t="str">
        <f t="array" ref="AC122">IF('.'!AC122="","",'.'!AC122&amp;IF(VLOOKUP('.'!AC122,Recipes!$A:$D,4,FALSE)="",""," ["&amp;VLOOKUP('.'!AC122,Recipes!$A:$D,4,FALSE)&amp;"]"))</f>
        <v/>
      </c>
      <c r="AD122" s="46" t="str">
        <f t="array" ref="AD122">IF('.'!AD122="","",'.'!AD122&amp;IF(VLOOKUP('.'!AD122,Recipes!$A:$D,4,FALSE)="",""," ["&amp;VLOOKUP('.'!AD122,Recipes!$A:$D,4,FALSE)&amp;"]"))</f>
        <v/>
      </c>
      <c r="AE122" s="47"/>
      <c r="AF122" s="47"/>
      <c r="AG122" s="47"/>
      <c r="AH122" s="47"/>
      <c r="AI122" s="47"/>
      <c r="AJ122" s="47"/>
      <c r="AK122" s="47"/>
      <c r="AL122" s="47"/>
      <c r="AM122" s="47"/>
      <c r="AN122" s="47"/>
      <c r="AO122" s="47"/>
      <c r="AP122" s="47"/>
      <c r="AQ122" s="47"/>
      <c r="AR122" s="47"/>
      <c r="AS122" s="47"/>
      <c r="AT122" s="47"/>
      <c r="AU122" s="47"/>
      <c r="AV122" s="47"/>
      <c r="AW122" s="47"/>
      <c r="AX122" s="47"/>
      <c r="AY122" s="47"/>
      <c r="AZ122" s="47"/>
      <c r="BA122" s="47"/>
      <c r="BB122" s="47"/>
      <c r="BC122" s="47"/>
      <c r="BD122" s="47"/>
      <c r="BE122" s="47"/>
      <c r="BF122" s="47"/>
      <c r="BG122" s="47"/>
      <c r="BH122" s="47"/>
      <c r="BI122" s="47"/>
      <c r="BJ122" s="47"/>
      <c r="BK122" s="47"/>
      <c r="BL122" s="47"/>
      <c r="BM122" s="47"/>
      <c r="BN122" s="47"/>
      <c r="BO122" s="47"/>
      <c r="BP122" s="47"/>
      <c r="BQ122" s="47"/>
      <c r="BR122" s="47"/>
      <c r="BS122" s="47"/>
      <c r="BT122" s="47"/>
      <c r="BU122" s="47"/>
      <c r="BV122" s="47"/>
      <c r="BW122" s="47"/>
      <c r="BX122" s="47"/>
      <c r="BY122" s="47"/>
      <c r="BZ122" s="47"/>
    </row>
    <row r="123" spans="1:78" ht="13">
      <c r="A123" s="48" t="str">
        <f ca="1">'.'!A123</f>
        <v>Cup of Water</v>
      </c>
      <c r="B123" s="46" t="e">
        <f t="array" aca="1" ref="B123" ca="1">IF('.'!B123="","",'.'!B123&amp;IF(VLOOKUP('.'!B123,Recipes!$A:$D,4,FALSE)="",""," ["&amp;VLOOKUP('.'!B123,Recipes!$A:$D,4,FALSE)&amp;"]"))</f>
        <v>#VALUE!</v>
      </c>
      <c r="C123" s="46" t="str">
        <f t="array" ref="C123">IF('.'!C123="","",'.'!C123&amp;IF(VLOOKUP('.'!C123,Recipes!$A:$D,4,FALSE)="",""," ["&amp;VLOOKUP('.'!C123,Recipes!$A:$D,4,FALSE)&amp;"]"))</f>
        <v/>
      </c>
      <c r="D123" s="46" t="str">
        <f t="array" ref="D123">IF('.'!D123="","",'.'!D123&amp;IF(VLOOKUP('.'!D123,Recipes!$A:$D,4,FALSE)="",""," ["&amp;VLOOKUP('.'!D123,Recipes!$A:$D,4,FALSE)&amp;"]"))</f>
        <v/>
      </c>
      <c r="E123" s="46" t="str">
        <f t="array" ref="E123">IF('.'!E123="","",'.'!E123&amp;IF(VLOOKUP('.'!E123,Recipes!$A:$D,4,FALSE)="",""," ["&amp;VLOOKUP('.'!E123,Recipes!$A:$D,4,FALSE)&amp;"]"))</f>
        <v/>
      </c>
      <c r="F123" s="46" t="str">
        <f t="array" ref="F123">IF('.'!F123="","",'.'!F123&amp;IF(VLOOKUP('.'!F123,Recipes!$A:$D,4,FALSE)="",""," ["&amp;VLOOKUP('.'!F123,Recipes!$A:$D,4,FALSE)&amp;"]"))</f>
        <v/>
      </c>
      <c r="G123" s="46" t="str">
        <f t="array" ref="G123">IF('.'!G123="","",'.'!G123&amp;IF(VLOOKUP('.'!G123,Recipes!$A:$D,4,FALSE)="",""," ["&amp;VLOOKUP('.'!G123,Recipes!$A:$D,4,FALSE)&amp;"]"))</f>
        <v/>
      </c>
      <c r="H123" s="46" t="str">
        <f t="array" ref="H123">IF('.'!H123="","",'.'!H123&amp;IF(VLOOKUP('.'!H123,Recipes!$A:$D,4,FALSE)="",""," ["&amp;VLOOKUP('.'!H123,Recipes!$A:$D,4,FALSE)&amp;"]"))</f>
        <v/>
      </c>
      <c r="I123" s="46" t="str">
        <f t="array" ref="I123">IF('.'!I123="","",'.'!I123&amp;IF(VLOOKUP('.'!I123,Recipes!$A:$D,4,FALSE)="",""," ["&amp;VLOOKUP('.'!I123,Recipes!$A:$D,4,FALSE)&amp;"]"))</f>
        <v/>
      </c>
      <c r="J123" s="46" t="str">
        <f t="array" ref="J123">IF('.'!J123="","",'.'!J123&amp;IF(VLOOKUP('.'!J123,Recipes!$A:$D,4,FALSE)="",""," ["&amp;VLOOKUP('.'!J123,Recipes!$A:$D,4,FALSE)&amp;"]"))</f>
        <v/>
      </c>
      <c r="K123" s="46" t="str">
        <f t="array" ref="K123">IF('.'!K123="","",'.'!K123&amp;IF(VLOOKUP('.'!K123,Recipes!$A:$D,4,FALSE)="",""," ["&amp;VLOOKUP('.'!K123,Recipes!$A:$D,4,FALSE)&amp;"]"))</f>
        <v/>
      </c>
      <c r="L123" s="46" t="str">
        <f t="array" ref="L123">IF('.'!L123="","",'.'!L123&amp;IF(VLOOKUP('.'!L123,Recipes!$A:$D,4,FALSE)="",""," ["&amp;VLOOKUP('.'!L123,Recipes!$A:$D,4,FALSE)&amp;"]"))</f>
        <v/>
      </c>
      <c r="M123" s="46" t="str">
        <f t="array" ref="M123">IF('.'!M123="","",'.'!M123&amp;IF(VLOOKUP('.'!M123,Recipes!$A:$D,4,FALSE)="",""," ["&amp;VLOOKUP('.'!M123,Recipes!$A:$D,4,FALSE)&amp;"]"))</f>
        <v/>
      </c>
      <c r="N123" s="46" t="str">
        <f t="array" ref="N123">IF('.'!N123="","",'.'!N123&amp;IF(VLOOKUP('.'!N123,Recipes!$A:$D,4,FALSE)="",""," ["&amp;VLOOKUP('.'!N123,Recipes!$A:$D,4,FALSE)&amp;"]"))</f>
        <v/>
      </c>
      <c r="O123" s="46" t="str">
        <f t="array" ref="O123">IF('.'!O123="","",'.'!O123&amp;IF(VLOOKUP('.'!O123,Recipes!$A:$D,4,FALSE)="",""," ["&amp;VLOOKUP('.'!O123,Recipes!$A:$D,4,FALSE)&amp;"]"))</f>
        <v/>
      </c>
      <c r="P123" s="46" t="str">
        <f t="array" ref="P123">IF('.'!P123="","",'.'!P123&amp;IF(VLOOKUP('.'!P123,Recipes!$A:$D,4,FALSE)="",""," ["&amp;VLOOKUP('.'!P123,Recipes!$A:$D,4,FALSE)&amp;"]"))</f>
        <v/>
      </c>
      <c r="Q123" s="46" t="str">
        <f t="array" ref="Q123">IF('.'!Q123="","",'.'!Q123&amp;IF(VLOOKUP('.'!Q123,Recipes!$A:$D,4,FALSE)="",""," ["&amp;VLOOKUP('.'!Q123,Recipes!$A:$D,4,FALSE)&amp;"]"))</f>
        <v/>
      </c>
      <c r="R123" s="46" t="str">
        <f t="array" ref="R123">IF('.'!R123="","",'.'!R123&amp;IF(VLOOKUP('.'!R123,Recipes!$A:$D,4,FALSE)="",""," ["&amp;VLOOKUP('.'!R123,Recipes!$A:$D,4,FALSE)&amp;"]"))</f>
        <v/>
      </c>
      <c r="S123" s="46" t="str">
        <f t="array" ref="S123">IF('.'!S123="","",'.'!S123&amp;IF(VLOOKUP('.'!S123,Recipes!$A:$D,4,FALSE)="",""," ["&amp;VLOOKUP('.'!S123,Recipes!$A:$D,4,FALSE)&amp;"]"))</f>
        <v/>
      </c>
      <c r="T123" s="46" t="str">
        <f t="array" ref="T123">IF('.'!T123="","",'.'!T123&amp;IF(VLOOKUP('.'!T123,Recipes!$A:$D,4,FALSE)="",""," ["&amp;VLOOKUP('.'!T123,Recipes!$A:$D,4,FALSE)&amp;"]"))</f>
        <v/>
      </c>
      <c r="U123" s="46" t="str">
        <f t="array" ref="U123">IF('.'!U123="","",'.'!U123&amp;IF(VLOOKUP('.'!U123,Recipes!$A:$D,4,FALSE)="",""," ["&amp;VLOOKUP('.'!U123,Recipes!$A:$D,4,FALSE)&amp;"]"))</f>
        <v/>
      </c>
      <c r="V123" s="46" t="str">
        <f t="array" ref="V123">IF('.'!V123="","",'.'!V123&amp;IF(VLOOKUP('.'!V123,Recipes!$A:$D,4,FALSE)="",""," ["&amp;VLOOKUP('.'!V123,Recipes!$A:$D,4,FALSE)&amp;"]"))</f>
        <v/>
      </c>
      <c r="W123" s="46" t="str">
        <f t="array" ref="W123">IF('.'!W123="","",'.'!W123&amp;IF(VLOOKUP('.'!W123,Recipes!$A:$D,4,FALSE)="",""," ["&amp;VLOOKUP('.'!W123,Recipes!$A:$D,4,FALSE)&amp;"]"))</f>
        <v/>
      </c>
      <c r="X123" s="46" t="str">
        <f t="array" ref="X123">IF('.'!X123="","",'.'!X123&amp;IF(VLOOKUP('.'!X123,Recipes!$A:$D,4,FALSE)="",""," ["&amp;VLOOKUP('.'!X123,Recipes!$A:$D,4,FALSE)&amp;"]"))</f>
        <v/>
      </c>
      <c r="Y123" s="46" t="str">
        <f t="array" ref="Y123">IF('.'!Y123="","",'.'!Y123&amp;IF(VLOOKUP('.'!Y123,Recipes!$A:$D,4,FALSE)="",""," ["&amp;VLOOKUP('.'!Y123,Recipes!$A:$D,4,FALSE)&amp;"]"))</f>
        <v/>
      </c>
      <c r="Z123" s="46" t="str">
        <f t="array" ref="Z123">IF('.'!Z123="","",'.'!Z123&amp;IF(VLOOKUP('.'!Z123,Recipes!$A:$D,4,FALSE)="",""," ["&amp;VLOOKUP('.'!Z123,Recipes!$A:$D,4,FALSE)&amp;"]"))</f>
        <v/>
      </c>
      <c r="AA123" s="46" t="str">
        <f t="array" ref="AA123">IF('.'!AA123="","",'.'!AA123&amp;IF(VLOOKUP('.'!AA123,Recipes!$A:$D,4,FALSE)="",""," ["&amp;VLOOKUP('.'!AA123,Recipes!$A:$D,4,FALSE)&amp;"]"))</f>
        <v/>
      </c>
      <c r="AB123" s="46" t="str">
        <f t="array" ref="AB123">IF('.'!AB123="","",'.'!AB123&amp;IF(VLOOKUP('.'!AB123,Recipes!$A:$D,4,FALSE)="",""," ["&amp;VLOOKUP('.'!AB123,Recipes!$A:$D,4,FALSE)&amp;"]"))</f>
        <v/>
      </c>
      <c r="AC123" s="46" t="str">
        <f t="array" ref="AC123">IF('.'!AC123="","",'.'!AC123&amp;IF(VLOOKUP('.'!AC123,Recipes!$A:$D,4,FALSE)="",""," ["&amp;VLOOKUP('.'!AC123,Recipes!$A:$D,4,FALSE)&amp;"]"))</f>
        <v/>
      </c>
      <c r="AD123" s="46" t="str">
        <f t="array" ref="AD123">IF('.'!AD123="","",'.'!AD123&amp;IF(VLOOKUP('.'!AD123,Recipes!$A:$D,4,FALSE)="",""," ["&amp;VLOOKUP('.'!AD123,Recipes!$A:$D,4,FALSE)&amp;"]"))</f>
        <v/>
      </c>
      <c r="AE123" s="47"/>
      <c r="AF123" s="47"/>
      <c r="AG123" s="47"/>
      <c r="AH123" s="47"/>
      <c r="AI123" s="47"/>
      <c r="AJ123" s="47"/>
      <c r="AK123" s="47"/>
      <c r="AL123" s="47"/>
      <c r="AM123" s="47"/>
      <c r="AN123" s="47"/>
      <c r="AO123" s="47"/>
      <c r="AP123" s="47"/>
      <c r="AQ123" s="47"/>
      <c r="AR123" s="47"/>
      <c r="AS123" s="47"/>
      <c r="AT123" s="47"/>
      <c r="AU123" s="47"/>
      <c r="AV123" s="47"/>
      <c r="AW123" s="47"/>
      <c r="AX123" s="47"/>
      <c r="AY123" s="47"/>
      <c r="AZ123" s="47"/>
      <c r="BA123" s="47"/>
      <c r="BB123" s="47"/>
      <c r="BC123" s="47"/>
      <c r="BD123" s="47"/>
      <c r="BE123" s="47"/>
      <c r="BF123" s="47"/>
      <c r="BG123" s="47"/>
      <c r="BH123" s="47"/>
      <c r="BI123" s="47"/>
      <c r="BJ123" s="47"/>
      <c r="BK123" s="47"/>
      <c r="BL123" s="47"/>
      <c r="BM123" s="47"/>
      <c r="BN123" s="47"/>
      <c r="BO123" s="47"/>
      <c r="BP123" s="47"/>
      <c r="BQ123" s="47"/>
      <c r="BR123" s="47"/>
      <c r="BS123" s="47"/>
      <c r="BT123" s="47"/>
      <c r="BU123" s="47"/>
      <c r="BV123" s="47"/>
      <c r="BW123" s="47"/>
      <c r="BX123" s="47"/>
      <c r="BY123" s="47"/>
      <c r="BZ123" s="47"/>
    </row>
    <row r="124" spans="1:78" ht="13">
      <c r="A124" s="48" t="str">
        <f ca="1">'.'!A124</f>
        <v>Cursed Fire Arrowhead</v>
      </c>
      <c r="B124" s="46" t="str">
        <f t="array" aca="1" ref="B124" ca="1">IF('.'!B124="","",'.'!B124&amp;IF(VLOOKUP('.'!B124,Recipes!$A:$D,4,FALSE)="",""," ["&amp;VLOOKUP('.'!B124,Recipes!$A:$D,4,FALSE)&amp;"]"))</f>
        <v>Cursed Fire Arrow [-1050]</v>
      </c>
      <c r="C124" s="46" t="str">
        <f t="array" ref="C124">IF('.'!C124="","",'.'!C124&amp;IF(VLOOKUP('.'!C124,Recipes!$A:$D,4,FALSE)="",""," ["&amp;VLOOKUP('.'!C124,Recipes!$A:$D,4,FALSE)&amp;"]"))</f>
        <v/>
      </c>
      <c r="D124" s="46" t="str">
        <f t="array" ref="D124">IF('.'!D124="","",'.'!D124&amp;IF(VLOOKUP('.'!D124,Recipes!$A:$D,4,FALSE)="",""," ["&amp;VLOOKUP('.'!D124,Recipes!$A:$D,4,FALSE)&amp;"]"))</f>
        <v/>
      </c>
      <c r="E124" s="46" t="str">
        <f t="array" ref="E124">IF('.'!E124="","",'.'!E124&amp;IF(VLOOKUP('.'!E124,Recipes!$A:$D,4,FALSE)="",""," ["&amp;VLOOKUP('.'!E124,Recipes!$A:$D,4,FALSE)&amp;"]"))</f>
        <v/>
      </c>
      <c r="F124" s="46" t="str">
        <f t="array" ref="F124">IF('.'!F124="","",'.'!F124&amp;IF(VLOOKUP('.'!F124,Recipes!$A:$D,4,FALSE)="",""," ["&amp;VLOOKUP('.'!F124,Recipes!$A:$D,4,FALSE)&amp;"]"))</f>
        <v/>
      </c>
      <c r="G124" s="46" t="str">
        <f t="array" ref="G124">IF('.'!G124="","",'.'!G124&amp;IF(VLOOKUP('.'!G124,Recipes!$A:$D,4,FALSE)="",""," ["&amp;VLOOKUP('.'!G124,Recipes!$A:$D,4,FALSE)&amp;"]"))</f>
        <v/>
      </c>
      <c r="H124" s="46" t="str">
        <f t="array" ref="H124">IF('.'!H124="","",'.'!H124&amp;IF(VLOOKUP('.'!H124,Recipes!$A:$D,4,FALSE)="",""," ["&amp;VLOOKUP('.'!H124,Recipes!$A:$D,4,FALSE)&amp;"]"))</f>
        <v/>
      </c>
      <c r="I124" s="46" t="str">
        <f t="array" ref="I124">IF('.'!I124="","",'.'!I124&amp;IF(VLOOKUP('.'!I124,Recipes!$A:$D,4,FALSE)="",""," ["&amp;VLOOKUP('.'!I124,Recipes!$A:$D,4,FALSE)&amp;"]"))</f>
        <v/>
      </c>
      <c r="J124" s="46" t="str">
        <f t="array" ref="J124">IF('.'!J124="","",'.'!J124&amp;IF(VLOOKUP('.'!J124,Recipes!$A:$D,4,FALSE)="",""," ["&amp;VLOOKUP('.'!J124,Recipes!$A:$D,4,FALSE)&amp;"]"))</f>
        <v/>
      </c>
      <c r="K124" s="46" t="str">
        <f t="array" ref="K124">IF('.'!K124="","",'.'!K124&amp;IF(VLOOKUP('.'!K124,Recipes!$A:$D,4,FALSE)="",""," ["&amp;VLOOKUP('.'!K124,Recipes!$A:$D,4,FALSE)&amp;"]"))</f>
        <v/>
      </c>
      <c r="L124" s="46" t="str">
        <f t="array" ref="L124">IF('.'!L124="","",'.'!L124&amp;IF(VLOOKUP('.'!L124,Recipes!$A:$D,4,FALSE)="",""," ["&amp;VLOOKUP('.'!L124,Recipes!$A:$D,4,FALSE)&amp;"]"))</f>
        <v/>
      </c>
      <c r="M124" s="46" t="str">
        <f t="array" ref="M124">IF('.'!M124="","",'.'!M124&amp;IF(VLOOKUP('.'!M124,Recipes!$A:$D,4,FALSE)="",""," ["&amp;VLOOKUP('.'!M124,Recipes!$A:$D,4,FALSE)&amp;"]"))</f>
        <v/>
      </c>
      <c r="N124" s="46" t="str">
        <f t="array" ref="N124">IF('.'!N124="","",'.'!N124&amp;IF(VLOOKUP('.'!N124,Recipes!$A:$D,4,FALSE)="",""," ["&amp;VLOOKUP('.'!N124,Recipes!$A:$D,4,FALSE)&amp;"]"))</f>
        <v/>
      </c>
      <c r="O124" s="46" t="str">
        <f t="array" ref="O124">IF('.'!O124="","",'.'!O124&amp;IF(VLOOKUP('.'!O124,Recipes!$A:$D,4,FALSE)="",""," ["&amp;VLOOKUP('.'!O124,Recipes!$A:$D,4,FALSE)&amp;"]"))</f>
        <v/>
      </c>
      <c r="P124" s="46" t="str">
        <f t="array" ref="P124">IF('.'!P124="","",'.'!P124&amp;IF(VLOOKUP('.'!P124,Recipes!$A:$D,4,FALSE)="",""," ["&amp;VLOOKUP('.'!P124,Recipes!$A:$D,4,FALSE)&amp;"]"))</f>
        <v/>
      </c>
      <c r="Q124" s="46" t="str">
        <f t="array" ref="Q124">IF('.'!Q124="","",'.'!Q124&amp;IF(VLOOKUP('.'!Q124,Recipes!$A:$D,4,FALSE)="",""," ["&amp;VLOOKUP('.'!Q124,Recipes!$A:$D,4,FALSE)&amp;"]"))</f>
        <v/>
      </c>
      <c r="R124" s="46" t="str">
        <f t="array" ref="R124">IF('.'!R124="","",'.'!R124&amp;IF(VLOOKUP('.'!R124,Recipes!$A:$D,4,FALSE)="",""," ["&amp;VLOOKUP('.'!R124,Recipes!$A:$D,4,FALSE)&amp;"]"))</f>
        <v/>
      </c>
      <c r="S124" s="46" t="str">
        <f t="array" ref="S124">IF('.'!S124="","",'.'!S124&amp;IF(VLOOKUP('.'!S124,Recipes!$A:$D,4,FALSE)="",""," ["&amp;VLOOKUP('.'!S124,Recipes!$A:$D,4,FALSE)&amp;"]"))</f>
        <v/>
      </c>
      <c r="T124" s="46" t="str">
        <f t="array" ref="T124">IF('.'!T124="","",'.'!T124&amp;IF(VLOOKUP('.'!T124,Recipes!$A:$D,4,FALSE)="",""," ["&amp;VLOOKUP('.'!T124,Recipes!$A:$D,4,FALSE)&amp;"]"))</f>
        <v/>
      </c>
      <c r="U124" s="46" t="str">
        <f t="array" ref="U124">IF('.'!U124="","",'.'!U124&amp;IF(VLOOKUP('.'!U124,Recipes!$A:$D,4,FALSE)="",""," ["&amp;VLOOKUP('.'!U124,Recipes!$A:$D,4,FALSE)&amp;"]"))</f>
        <v/>
      </c>
      <c r="V124" s="46" t="str">
        <f t="array" ref="V124">IF('.'!V124="","",'.'!V124&amp;IF(VLOOKUP('.'!V124,Recipes!$A:$D,4,FALSE)="",""," ["&amp;VLOOKUP('.'!V124,Recipes!$A:$D,4,FALSE)&amp;"]"))</f>
        <v/>
      </c>
      <c r="W124" s="46" t="str">
        <f t="array" ref="W124">IF('.'!W124="","",'.'!W124&amp;IF(VLOOKUP('.'!W124,Recipes!$A:$D,4,FALSE)="",""," ["&amp;VLOOKUP('.'!W124,Recipes!$A:$D,4,FALSE)&amp;"]"))</f>
        <v/>
      </c>
      <c r="X124" s="46" t="str">
        <f t="array" ref="X124">IF('.'!X124="","",'.'!X124&amp;IF(VLOOKUP('.'!X124,Recipes!$A:$D,4,FALSE)="",""," ["&amp;VLOOKUP('.'!X124,Recipes!$A:$D,4,FALSE)&amp;"]"))</f>
        <v/>
      </c>
      <c r="Y124" s="46" t="str">
        <f t="array" ref="Y124">IF('.'!Y124="","",'.'!Y124&amp;IF(VLOOKUP('.'!Y124,Recipes!$A:$D,4,FALSE)="",""," ["&amp;VLOOKUP('.'!Y124,Recipes!$A:$D,4,FALSE)&amp;"]"))</f>
        <v/>
      </c>
      <c r="Z124" s="46" t="str">
        <f t="array" ref="Z124">IF('.'!Z124="","",'.'!Z124&amp;IF(VLOOKUP('.'!Z124,Recipes!$A:$D,4,FALSE)="",""," ["&amp;VLOOKUP('.'!Z124,Recipes!$A:$D,4,FALSE)&amp;"]"))</f>
        <v/>
      </c>
      <c r="AA124" s="46" t="str">
        <f t="array" ref="AA124">IF('.'!AA124="","",'.'!AA124&amp;IF(VLOOKUP('.'!AA124,Recipes!$A:$D,4,FALSE)="",""," ["&amp;VLOOKUP('.'!AA124,Recipes!$A:$D,4,FALSE)&amp;"]"))</f>
        <v/>
      </c>
      <c r="AB124" s="46" t="str">
        <f t="array" ref="AB124">IF('.'!AB124="","",'.'!AB124&amp;IF(VLOOKUP('.'!AB124,Recipes!$A:$D,4,FALSE)="",""," ["&amp;VLOOKUP('.'!AB124,Recipes!$A:$D,4,FALSE)&amp;"]"))</f>
        <v/>
      </c>
      <c r="AC124" s="46" t="str">
        <f t="array" ref="AC124">IF('.'!AC124="","",'.'!AC124&amp;IF(VLOOKUP('.'!AC124,Recipes!$A:$D,4,FALSE)="",""," ["&amp;VLOOKUP('.'!AC124,Recipes!$A:$D,4,FALSE)&amp;"]"))</f>
        <v/>
      </c>
      <c r="AD124" s="46" t="str">
        <f t="array" ref="AD124">IF('.'!AD124="","",'.'!AD124&amp;IF(VLOOKUP('.'!AD124,Recipes!$A:$D,4,FALSE)="",""," ["&amp;VLOOKUP('.'!AD124,Recipes!$A:$D,4,FALSE)&amp;"]"))</f>
        <v/>
      </c>
      <c r="AE124" s="47"/>
      <c r="AF124" s="47"/>
      <c r="AG124" s="47"/>
      <c r="AH124" s="47"/>
      <c r="AI124" s="47"/>
      <c r="AJ124" s="47"/>
      <c r="AK124" s="47"/>
      <c r="AL124" s="47"/>
      <c r="AM124" s="47"/>
      <c r="AN124" s="47"/>
      <c r="AO124" s="47"/>
      <c r="AP124" s="47"/>
      <c r="AQ124" s="47"/>
      <c r="AR124" s="47"/>
      <c r="AS124" s="47"/>
      <c r="AT124" s="47"/>
      <c r="AU124" s="47"/>
      <c r="AV124" s="47"/>
      <c r="AW124" s="47"/>
      <c r="AX124" s="47"/>
      <c r="AY124" s="47"/>
      <c r="AZ124" s="47"/>
      <c r="BA124" s="47"/>
      <c r="BB124" s="47"/>
      <c r="BC124" s="47"/>
      <c r="BD124" s="47"/>
      <c r="BE124" s="47"/>
      <c r="BF124" s="47"/>
      <c r="BG124" s="47"/>
      <c r="BH124" s="47"/>
      <c r="BI124" s="47"/>
      <c r="BJ124" s="47"/>
      <c r="BK124" s="47"/>
      <c r="BL124" s="47"/>
      <c r="BM124" s="47"/>
      <c r="BN124" s="47"/>
      <c r="BO124" s="47"/>
      <c r="BP124" s="47"/>
      <c r="BQ124" s="47"/>
      <c r="BR124" s="47"/>
      <c r="BS124" s="47"/>
      <c r="BT124" s="47"/>
      <c r="BU124" s="47"/>
      <c r="BV124" s="47"/>
      <c r="BW124" s="47"/>
      <c r="BX124" s="47"/>
      <c r="BY124" s="47"/>
      <c r="BZ124" s="47"/>
    </row>
    <row r="125" spans="1:78" ht="13">
      <c r="A125" s="48" t="str">
        <f ca="1">'.'!A125</f>
        <v>Cutting Tool</v>
      </c>
      <c r="B125" s="49" t="s">
        <v>1179</v>
      </c>
      <c r="C125" s="46" t="str">
        <f t="array" aca="1" ref="C125" ca="1">IF('.'!C125="","",'.'!C125&amp;IF(VLOOKUP('.'!C125,Recipes!$A:$D,4,FALSE)="",""," ["&amp;VLOOKUP('.'!C125,Recipes!$A:$D,4,FALSE)&amp;"]"))</f>
        <v>Arrow Shaft [0]</v>
      </c>
      <c r="D125" s="46" t="str">
        <f t="array" aca="1" ref="D125" ca="1">IF('.'!D125="","",'.'!D125&amp;IF(VLOOKUP('.'!D125,Recipes!$A:$D,4,FALSE)="",""," ["&amp;VLOOKUP('.'!D125,Recipes!$A:$D,4,FALSE)&amp;"]"))</f>
        <v>Arrowhead [-48]</v>
      </c>
      <c r="E125" s="46" t="str">
        <f t="array" aca="1" ref="E125" ca="1">IF('.'!E125="","",'.'!E125&amp;IF(VLOOKUP('.'!E125,Recipes!$A:$D,4,FALSE)="",""," ["&amp;VLOOKUP('.'!E125,Recipes!$A:$D,4,FALSE)&amp;"]"))</f>
        <v>Knockdown Arrowhead [-20]</v>
      </c>
      <c r="F125" s="46" t="str">
        <f t="array" aca="1" ref="F125" ca="1">IF('.'!F125="","",'.'!F125&amp;IF(VLOOKUP('.'!F125,Recipes!$A:$D,4,FALSE)="",""," ["&amp;VLOOKUP('.'!F125,Recipes!$A:$D,4,FALSE)&amp;"]"))</f>
        <v>Shocking Arrowhead [85]</v>
      </c>
      <c r="G125" s="46" t="str">
        <f t="array" aca="1" ref="G125" ca="1">IF('.'!G125="","",'.'!G125&amp;IF(VLOOKUP('.'!G125,Recipes!$A:$D,4,FALSE)="",""," ["&amp;VLOOKUP('.'!G125,Recipes!$A:$D,4,FALSE)&amp;"]"))</f>
        <v>Cloth Scraps [3]</v>
      </c>
      <c r="H125" s="46" t="str">
        <f t="array" aca="1" ref="H125" ca="1">IF('.'!H125="","",'.'!H125&amp;IF(VLOOKUP('.'!H125,Recipes!$A:$D,4,FALSE)="",""," ["&amp;VLOOKUP('.'!H125,Recipes!$A:$D,4,FALSE)&amp;"]"))</f>
        <v>Feather [0]</v>
      </c>
      <c r="I125" s="46" t="str">
        <f t="array" aca="1" ref="I125" ca="1">IF('.'!I125="","",'.'!I125&amp;IF(VLOOKUP('.'!I125,Recipes!$A:$D,4,FALSE)="",""," ["&amp;VLOOKUP('.'!I125,Recipes!$A:$D,4,FALSE)&amp;"]"))</f>
        <v>Long Branch [-1]</v>
      </c>
      <c r="J125" s="46" t="str">
        <f t="array" aca="1" ref="J125" ca="1">IF('.'!J125="","",'.'!J125&amp;IF(VLOOKUP('.'!J125,Recipes!$A:$D,4,FALSE)="",""," ["&amp;VLOOKUP('.'!J125,Recipes!$A:$D,4,FALSE)&amp;"]"))</f>
        <v>Short Stick [-1]</v>
      </c>
      <c r="K125" s="46" t="str">
        <f t="array" ref="K125">IF('.'!K125="","",'.'!K125&amp;IF(VLOOKUP('.'!K125,Recipes!$A:$D,4,FALSE)="",""," ["&amp;VLOOKUP('.'!K125,Recipes!$A:$D,4,FALSE)&amp;"]"))</f>
        <v/>
      </c>
      <c r="L125" s="46" t="str">
        <f t="array" ref="L125">IF('.'!L125="","",'.'!L125&amp;IF(VLOOKUP('.'!L125,Recipes!$A:$D,4,FALSE)="",""," ["&amp;VLOOKUP('.'!L125,Recipes!$A:$D,4,FALSE)&amp;"]"))</f>
        <v/>
      </c>
      <c r="M125" s="46" t="str">
        <f t="array" ref="M125">IF('.'!M125="","",'.'!M125&amp;IF(VLOOKUP('.'!M125,Recipes!$A:$D,4,FALSE)="",""," ["&amp;VLOOKUP('.'!M125,Recipes!$A:$D,4,FALSE)&amp;"]"))</f>
        <v/>
      </c>
      <c r="N125" s="46" t="str">
        <f t="array" ref="N125">IF('.'!N125="","",'.'!N125&amp;IF(VLOOKUP('.'!N125,Recipes!$A:$D,4,FALSE)="",""," ["&amp;VLOOKUP('.'!N125,Recipes!$A:$D,4,FALSE)&amp;"]"))</f>
        <v/>
      </c>
      <c r="O125" s="46" t="str">
        <f t="array" ref="O125">IF('.'!O125="","",'.'!O125&amp;IF(VLOOKUP('.'!O125,Recipes!$A:$D,4,FALSE)="",""," ["&amp;VLOOKUP('.'!O125,Recipes!$A:$D,4,FALSE)&amp;"]"))</f>
        <v/>
      </c>
      <c r="P125" s="46" t="str">
        <f t="array" ref="P125">IF('.'!P125="","",'.'!P125&amp;IF(VLOOKUP('.'!P125,Recipes!$A:$D,4,FALSE)="",""," ["&amp;VLOOKUP('.'!P125,Recipes!$A:$D,4,FALSE)&amp;"]"))</f>
        <v/>
      </c>
      <c r="Q125" s="46" t="str">
        <f t="array" ref="Q125">IF('.'!Q125="","",'.'!Q125&amp;IF(VLOOKUP('.'!Q125,Recipes!$A:$D,4,FALSE)="",""," ["&amp;VLOOKUP('.'!Q125,Recipes!$A:$D,4,FALSE)&amp;"]"))</f>
        <v/>
      </c>
      <c r="R125" s="46" t="str">
        <f t="array" ref="R125">IF('.'!R125="","",'.'!R125&amp;IF(VLOOKUP('.'!R125,Recipes!$A:$D,4,FALSE)="",""," ["&amp;VLOOKUP('.'!R125,Recipes!$A:$D,4,FALSE)&amp;"]"))</f>
        <v/>
      </c>
      <c r="S125" s="46" t="str">
        <f t="array" ref="S125">IF('.'!S125="","",'.'!S125&amp;IF(VLOOKUP('.'!S125,Recipes!$A:$D,4,FALSE)="",""," ["&amp;VLOOKUP('.'!S125,Recipes!$A:$D,4,FALSE)&amp;"]"))</f>
        <v/>
      </c>
      <c r="T125" s="46" t="str">
        <f t="array" ref="T125">IF('.'!T125="","",'.'!T125&amp;IF(VLOOKUP('.'!T125,Recipes!$A:$D,4,FALSE)="",""," ["&amp;VLOOKUP('.'!T125,Recipes!$A:$D,4,FALSE)&amp;"]"))</f>
        <v/>
      </c>
      <c r="U125" s="46" t="str">
        <f t="array" ref="U125">IF('.'!U125="","",'.'!U125&amp;IF(VLOOKUP('.'!U125,Recipes!$A:$D,4,FALSE)="",""," ["&amp;VLOOKUP('.'!U125,Recipes!$A:$D,4,FALSE)&amp;"]"))</f>
        <v/>
      </c>
      <c r="V125" s="46" t="str">
        <f t="array" ref="V125">IF('.'!V125="","",'.'!V125&amp;IF(VLOOKUP('.'!V125,Recipes!$A:$D,4,FALSE)="",""," ["&amp;VLOOKUP('.'!V125,Recipes!$A:$D,4,FALSE)&amp;"]"))</f>
        <v/>
      </c>
      <c r="W125" s="46" t="str">
        <f t="array" ref="W125">IF('.'!W125="","",'.'!W125&amp;IF(VLOOKUP('.'!W125,Recipes!$A:$D,4,FALSE)="",""," ["&amp;VLOOKUP('.'!W125,Recipes!$A:$D,4,FALSE)&amp;"]"))</f>
        <v/>
      </c>
      <c r="X125" s="46" t="str">
        <f t="array" ref="X125">IF('.'!X125="","",'.'!X125&amp;IF(VLOOKUP('.'!X125,Recipes!$A:$D,4,FALSE)="",""," ["&amp;VLOOKUP('.'!X125,Recipes!$A:$D,4,FALSE)&amp;"]"))</f>
        <v/>
      </c>
      <c r="Y125" s="46" t="str">
        <f t="array" ref="Y125">IF('.'!Y125="","",'.'!Y125&amp;IF(VLOOKUP('.'!Y125,Recipes!$A:$D,4,FALSE)="",""," ["&amp;VLOOKUP('.'!Y125,Recipes!$A:$D,4,FALSE)&amp;"]"))</f>
        <v/>
      </c>
      <c r="Z125" s="46" t="str">
        <f t="array" ref="Z125">IF('.'!Z125="","",'.'!Z125&amp;IF(VLOOKUP('.'!Z125,Recipes!$A:$D,4,FALSE)="",""," ["&amp;VLOOKUP('.'!Z125,Recipes!$A:$D,4,FALSE)&amp;"]"))</f>
        <v/>
      </c>
      <c r="AA125" s="46" t="str">
        <f t="array" ref="AA125">IF('.'!AA125="","",'.'!AA125&amp;IF(VLOOKUP('.'!AA125,Recipes!$A:$D,4,FALSE)="",""," ["&amp;VLOOKUP('.'!AA125,Recipes!$A:$D,4,FALSE)&amp;"]"))</f>
        <v/>
      </c>
      <c r="AB125" s="46" t="str">
        <f t="array" ref="AB125">IF('.'!AB125="","",'.'!AB125&amp;IF(VLOOKUP('.'!AB125,Recipes!$A:$D,4,FALSE)="",""," ["&amp;VLOOKUP('.'!AB125,Recipes!$A:$D,4,FALSE)&amp;"]"))</f>
        <v/>
      </c>
      <c r="AC125" s="46" t="str">
        <f t="array" ref="AC125">IF('.'!AC125="","",'.'!AC125&amp;IF(VLOOKUP('.'!AC125,Recipes!$A:$D,4,FALSE)="",""," ["&amp;VLOOKUP('.'!AC125,Recipes!$A:$D,4,FALSE)&amp;"]"))</f>
        <v/>
      </c>
      <c r="AD125" s="46" t="str">
        <f t="array" ref="AD125">IF('.'!AD125="","",'.'!AD125&amp;IF(VLOOKUP('.'!AD125,Recipes!$A:$D,4,FALSE)="",""," ["&amp;VLOOKUP('.'!AD125,Recipes!$A:$D,4,FALSE)&amp;"]"))</f>
        <v/>
      </c>
      <c r="AE125" s="47"/>
      <c r="AF125" s="47"/>
      <c r="AG125" s="47"/>
      <c r="AH125" s="47"/>
      <c r="AI125" s="47"/>
      <c r="AJ125" s="47"/>
      <c r="AK125" s="47"/>
      <c r="AL125" s="47"/>
      <c r="AM125" s="47"/>
      <c r="AN125" s="47"/>
      <c r="AO125" s="47"/>
      <c r="AP125" s="47"/>
      <c r="AQ125" s="47"/>
      <c r="AR125" s="47"/>
      <c r="AS125" s="47"/>
      <c r="AT125" s="47"/>
      <c r="AU125" s="47"/>
      <c r="AV125" s="47"/>
      <c r="AW125" s="47"/>
      <c r="AX125" s="47"/>
      <c r="AY125" s="47"/>
      <c r="AZ125" s="47"/>
      <c r="BA125" s="47"/>
      <c r="BB125" s="47"/>
      <c r="BC125" s="47"/>
      <c r="BD125" s="47"/>
      <c r="BE125" s="47"/>
      <c r="BF125" s="47"/>
      <c r="BG125" s="47"/>
      <c r="BH125" s="47"/>
      <c r="BI125" s="47"/>
      <c r="BJ125" s="47"/>
      <c r="BK125" s="47"/>
      <c r="BL125" s="47"/>
      <c r="BM125" s="47"/>
      <c r="BN125" s="47"/>
      <c r="BO125" s="47"/>
      <c r="BP125" s="47"/>
      <c r="BQ125" s="47"/>
      <c r="BR125" s="47"/>
      <c r="BS125" s="47"/>
      <c r="BT125" s="47"/>
      <c r="BU125" s="47"/>
      <c r="BV125" s="47"/>
      <c r="BW125" s="47"/>
      <c r="BX125" s="47"/>
      <c r="BY125" s="47"/>
      <c r="BZ125" s="47"/>
    </row>
    <row r="126" spans="1:78" ht="13">
      <c r="A126" s="48" t="str">
        <f ca="1">'.'!A126</f>
        <v>Dagger</v>
      </c>
      <c r="B126" s="46" t="str">
        <f t="array" aca="1" ref="B126" ca="1">IF('.'!B126="","",'.'!B126&amp;IF(VLOOKUP('.'!B126,Recipes!$A:$D,4,FALSE)="",""," ["&amp;VLOOKUP('.'!B126,Recipes!$A:$D,4,FALSE)&amp;"]"))</f>
        <v>Cold Fries [2]</v>
      </c>
      <c r="C126" s="46" t="str">
        <f t="array" aca="1" ref="C126" ca="1">IF('.'!C126="","",'.'!C126&amp;IF(VLOOKUP('.'!C126,Recipes!$A:$D,4,FALSE)="",""," ["&amp;VLOOKUP('.'!C126,Recipes!$A:$D,4,FALSE)&amp;"]"))</f>
        <v>Knife on a Stick [V]</v>
      </c>
      <c r="D126" s="46" t="str">
        <f t="array" aca="1" ref="D126" ca="1">IF('.'!D126="","",'.'!D126&amp;IF(VLOOKUP('.'!D126,Recipes!$A:$D,4,FALSE)="",""," ["&amp;VLOOKUP('.'!D126,Recipes!$A:$D,4,FALSE)&amp;"]"))</f>
        <v>Primitive Harpoon [V]</v>
      </c>
      <c r="E126" s="46" t="str">
        <f t="array" ref="E126">IF('.'!E126="","",'.'!E126&amp;IF(VLOOKUP('.'!E126,Recipes!$A:$D,4,FALSE)="",""," ["&amp;VLOOKUP('.'!E126,Recipes!$A:$D,4,FALSE)&amp;"]"))</f>
        <v/>
      </c>
      <c r="F126" s="46" t="str">
        <f t="array" ref="F126">IF('.'!F126="","",'.'!F126&amp;IF(VLOOKUP('.'!F126,Recipes!$A:$D,4,FALSE)="",""," ["&amp;VLOOKUP('.'!F126,Recipes!$A:$D,4,FALSE)&amp;"]"))</f>
        <v/>
      </c>
      <c r="G126" s="46" t="str">
        <f t="array" ref="G126">IF('.'!G126="","",'.'!G126&amp;IF(VLOOKUP('.'!G126,Recipes!$A:$D,4,FALSE)="",""," ["&amp;VLOOKUP('.'!G126,Recipes!$A:$D,4,FALSE)&amp;"]"))</f>
        <v/>
      </c>
      <c r="H126" s="46" t="str">
        <f t="array" ref="H126">IF('.'!H126="","",'.'!H126&amp;IF(VLOOKUP('.'!H126,Recipes!$A:$D,4,FALSE)="",""," ["&amp;VLOOKUP('.'!H126,Recipes!$A:$D,4,FALSE)&amp;"]"))</f>
        <v/>
      </c>
      <c r="I126" s="46" t="str">
        <f t="array" ref="I126">IF('.'!I126="","",'.'!I126&amp;IF(VLOOKUP('.'!I126,Recipes!$A:$D,4,FALSE)="",""," ["&amp;VLOOKUP('.'!I126,Recipes!$A:$D,4,FALSE)&amp;"]"))</f>
        <v/>
      </c>
      <c r="J126" s="46" t="str">
        <f t="array" ref="J126">IF('.'!J126="","",'.'!J126&amp;IF(VLOOKUP('.'!J126,Recipes!$A:$D,4,FALSE)="",""," ["&amp;VLOOKUP('.'!J126,Recipes!$A:$D,4,FALSE)&amp;"]"))</f>
        <v/>
      </c>
      <c r="K126" s="46" t="str">
        <f t="array" ref="K126">IF('.'!K126="","",'.'!K126&amp;IF(VLOOKUP('.'!K126,Recipes!$A:$D,4,FALSE)="",""," ["&amp;VLOOKUP('.'!K126,Recipes!$A:$D,4,FALSE)&amp;"]"))</f>
        <v/>
      </c>
      <c r="L126" s="46" t="str">
        <f t="array" ref="L126">IF('.'!L126="","",'.'!L126&amp;IF(VLOOKUP('.'!L126,Recipes!$A:$D,4,FALSE)="",""," ["&amp;VLOOKUP('.'!L126,Recipes!$A:$D,4,FALSE)&amp;"]"))</f>
        <v/>
      </c>
      <c r="M126" s="46" t="str">
        <f t="array" ref="M126">IF('.'!M126="","",'.'!M126&amp;IF(VLOOKUP('.'!M126,Recipes!$A:$D,4,FALSE)="",""," ["&amp;VLOOKUP('.'!M126,Recipes!$A:$D,4,FALSE)&amp;"]"))</f>
        <v/>
      </c>
      <c r="N126" s="46" t="str">
        <f t="array" ref="N126">IF('.'!N126="","",'.'!N126&amp;IF(VLOOKUP('.'!N126,Recipes!$A:$D,4,FALSE)="",""," ["&amp;VLOOKUP('.'!N126,Recipes!$A:$D,4,FALSE)&amp;"]"))</f>
        <v/>
      </c>
      <c r="O126" s="46" t="str">
        <f t="array" ref="O126">IF('.'!O126="","",'.'!O126&amp;IF(VLOOKUP('.'!O126,Recipes!$A:$D,4,FALSE)="",""," ["&amp;VLOOKUP('.'!O126,Recipes!$A:$D,4,FALSE)&amp;"]"))</f>
        <v/>
      </c>
      <c r="P126" s="46" t="str">
        <f t="array" ref="P126">IF('.'!P126="","",'.'!P126&amp;IF(VLOOKUP('.'!P126,Recipes!$A:$D,4,FALSE)="",""," ["&amp;VLOOKUP('.'!P126,Recipes!$A:$D,4,FALSE)&amp;"]"))</f>
        <v/>
      </c>
      <c r="Q126" s="46" t="str">
        <f t="array" ref="Q126">IF('.'!Q126="","",'.'!Q126&amp;IF(VLOOKUP('.'!Q126,Recipes!$A:$D,4,FALSE)="",""," ["&amp;VLOOKUP('.'!Q126,Recipes!$A:$D,4,FALSE)&amp;"]"))</f>
        <v/>
      </c>
      <c r="R126" s="46" t="str">
        <f t="array" ref="R126">IF('.'!R126="","",'.'!R126&amp;IF(VLOOKUP('.'!R126,Recipes!$A:$D,4,FALSE)="",""," ["&amp;VLOOKUP('.'!R126,Recipes!$A:$D,4,FALSE)&amp;"]"))</f>
        <v/>
      </c>
      <c r="S126" s="46" t="str">
        <f t="array" ref="S126">IF('.'!S126="","",'.'!S126&amp;IF(VLOOKUP('.'!S126,Recipes!$A:$D,4,FALSE)="",""," ["&amp;VLOOKUP('.'!S126,Recipes!$A:$D,4,FALSE)&amp;"]"))</f>
        <v/>
      </c>
      <c r="T126" s="46" t="str">
        <f t="array" ref="T126">IF('.'!T126="","",'.'!T126&amp;IF(VLOOKUP('.'!T126,Recipes!$A:$D,4,FALSE)="",""," ["&amp;VLOOKUP('.'!T126,Recipes!$A:$D,4,FALSE)&amp;"]"))</f>
        <v/>
      </c>
      <c r="U126" s="46" t="str">
        <f t="array" ref="U126">IF('.'!U126="","",'.'!U126&amp;IF(VLOOKUP('.'!U126,Recipes!$A:$D,4,FALSE)="",""," ["&amp;VLOOKUP('.'!U126,Recipes!$A:$D,4,FALSE)&amp;"]"))</f>
        <v/>
      </c>
      <c r="V126" s="46" t="str">
        <f t="array" ref="V126">IF('.'!V126="","",'.'!V126&amp;IF(VLOOKUP('.'!V126,Recipes!$A:$D,4,FALSE)="",""," ["&amp;VLOOKUP('.'!V126,Recipes!$A:$D,4,FALSE)&amp;"]"))</f>
        <v/>
      </c>
      <c r="W126" s="46" t="str">
        <f t="array" ref="W126">IF('.'!W126="","",'.'!W126&amp;IF(VLOOKUP('.'!W126,Recipes!$A:$D,4,FALSE)="",""," ["&amp;VLOOKUP('.'!W126,Recipes!$A:$D,4,FALSE)&amp;"]"))</f>
        <v/>
      </c>
      <c r="X126" s="46" t="str">
        <f t="array" ref="X126">IF('.'!X126="","",'.'!X126&amp;IF(VLOOKUP('.'!X126,Recipes!$A:$D,4,FALSE)="",""," ["&amp;VLOOKUP('.'!X126,Recipes!$A:$D,4,FALSE)&amp;"]"))</f>
        <v/>
      </c>
      <c r="Y126" s="46" t="str">
        <f t="array" ref="Y126">IF('.'!Y126="","",'.'!Y126&amp;IF(VLOOKUP('.'!Y126,Recipes!$A:$D,4,FALSE)="",""," ["&amp;VLOOKUP('.'!Y126,Recipes!$A:$D,4,FALSE)&amp;"]"))</f>
        <v/>
      </c>
      <c r="Z126" s="46" t="str">
        <f t="array" ref="Z126">IF('.'!Z126="","",'.'!Z126&amp;IF(VLOOKUP('.'!Z126,Recipes!$A:$D,4,FALSE)="",""," ["&amp;VLOOKUP('.'!Z126,Recipes!$A:$D,4,FALSE)&amp;"]"))</f>
        <v/>
      </c>
      <c r="AA126" s="46" t="str">
        <f t="array" ref="AA126">IF('.'!AA126="","",'.'!AA126&amp;IF(VLOOKUP('.'!AA126,Recipes!$A:$D,4,FALSE)="",""," ["&amp;VLOOKUP('.'!AA126,Recipes!$A:$D,4,FALSE)&amp;"]"))</f>
        <v/>
      </c>
      <c r="AB126" s="46" t="str">
        <f t="array" ref="AB126">IF('.'!AB126="","",'.'!AB126&amp;IF(VLOOKUP('.'!AB126,Recipes!$A:$D,4,FALSE)="",""," ["&amp;VLOOKUP('.'!AB126,Recipes!$A:$D,4,FALSE)&amp;"]"))</f>
        <v/>
      </c>
      <c r="AC126" s="46" t="str">
        <f t="array" ref="AC126">IF('.'!AC126="","",'.'!AC126&amp;IF(VLOOKUP('.'!AC126,Recipes!$A:$D,4,FALSE)="",""," ["&amp;VLOOKUP('.'!AC126,Recipes!$A:$D,4,FALSE)&amp;"]"))</f>
        <v/>
      </c>
      <c r="AD126" s="46" t="str">
        <f t="array" ref="AD126">IF('.'!AD126="","",'.'!AD126&amp;IF(VLOOKUP('.'!AD126,Recipes!$A:$D,4,FALSE)="",""," ["&amp;VLOOKUP('.'!AD126,Recipes!$A:$D,4,FALSE)&amp;"]"))</f>
        <v/>
      </c>
      <c r="AE126" s="47"/>
      <c r="AF126" s="47"/>
      <c r="AG126" s="47"/>
      <c r="AH126" s="47"/>
      <c r="AI126" s="47"/>
      <c r="AJ126" s="47"/>
      <c r="AK126" s="47"/>
      <c r="AL126" s="47"/>
      <c r="AM126" s="47"/>
      <c r="AN126" s="47"/>
      <c r="AO126" s="47"/>
      <c r="AP126" s="47"/>
      <c r="AQ126" s="47"/>
      <c r="AR126" s="47"/>
      <c r="AS126" s="47"/>
      <c r="AT126" s="47"/>
      <c r="AU126" s="47"/>
      <c r="AV126" s="47"/>
      <c r="AW126" s="47"/>
      <c r="AX126" s="47"/>
      <c r="AY126" s="47"/>
      <c r="AZ126" s="47"/>
      <c r="BA126" s="47"/>
      <c r="BB126" s="47"/>
      <c r="BC126" s="47"/>
      <c r="BD126" s="47"/>
      <c r="BE126" s="47"/>
      <c r="BF126" s="47"/>
      <c r="BG126" s="47"/>
      <c r="BH126" s="47"/>
      <c r="BI126" s="47"/>
      <c r="BJ126" s="47"/>
      <c r="BK126" s="47"/>
      <c r="BL126" s="47"/>
      <c r="BM126" s="47"/>
      <c r="BN126" s="47"/>
      <c r="BO126" s="47"/>
      <c r="BP126" s="47"/>
      <c r="BQ126" s="47"/>
      <c r="BR126" s="47"/>
      <c r="BS126" s="47"/>
      <c r="BT126" s="47"/>
      <c r="BU126" s="47"/>
      <c r="BV126" s="47"/>
      <c r="BW126" s="47"/>
      <c r="BX126" s="47"/>
      <c r="BY126" s="47"/>
      <c r="BZ126" s="47"/>
    </row>
    <row r="127" spans="1:78" ht="13">
      <c r="A127" s="48" t="str">
        <f ca="1">'.'!A127</f>
        <v>Dazing Bolt Scroll</v>
      </c>
      <c r="B127" s="46" t="str">
        <f t="array" aca="1" ref="B127" ca="1">IF('.'!B127="","",'.'!B127&amp;IF(VLOOKUP('.'!B127,Recipes!$A:$D,4,FALSE)="",""," ["&amp;VLOOKUP('.'!B127,Recipes!$A:$D,4,FALSE)&amp;"]"))</f>
        <v>Dazing Bolt Skillbook [-60]</v>
      </c>
      <c r="C127" s="46" t="str">
        <f t="array" ref="C127">IF('.'!C127="","",'.'!C127&amp;IF(VLOOKUP('.'!C127,Recipes!$A:$D,4,FALSE)="",""," ["&amp;VLOOKUP('.'!C127,Recipes!$A:$D,4,FALSE)&amp;"]"))</f>
        <v/>
      </c>
      <c r="D127" s="46" t="str">
        <f t="array" ref="D127">IF('.'!D127="","",'.'!D127&amp;IF(VLOOKUP('.'!D127,Recipes!$A:$D,4,FALSE)="",""," ["&amp;VLOOKUP('.'!D127,Recipes!$A:$D,4,FALSE)&amp;"]"))</f>
        <v/>
      </c>
      <c r="E127" s="46" t="str">
        <f t="array" ref="E127">IF('.'!E127="","",'.'!E127&amp;IF(VLOOKUP('.'!E127,Recipes!$A:$D,4,FALSE)="",""," ["&amp;VLOOKUP('.'!E127,Recipes!$A:$D,4,FALSE)&amp;"]"))</f>
        <v/>
      </c>
      <c r="F127" s="46" t="str">
        <f t="array" ref="F127">IF('.'!F127="","",'.'!F127&amp;IF(VLOOKUP('.'!F127,Recipes!$A:$D,4,FALSE)="",""," ["&amp;VLOOKUP('.'!F127,Recipes!$A:$D,4,FALSE)&amp;"]"))</f>
        <v/>
      </c>
      <c r="G127" s="46" t="str">
        <f t="array" ref="G127">IF('.'!G127="","",'.'!G127&amp;IF(VLOOKUP('.'!G127,Recipes!$A:$D,4,FALSE)="",""," ["&amp;VLOOKUP('.'!G127,Recipes!$A:$D,4,FALSE)&amp;"]"))</f>
        <v/>
      </c>
      <c r="H127" s="46" t="str">
        <f t="array" ref="H127">IF('.'!H127="","",'.'!H127&amp;IF(VLOOKUP('.'!H127,Recipes!$A:$D,4,FALSE)="",""," ["&amp;VLOOKUP('.'!H127,Recipes!$A:$D,4,FALSE)&amp;"]"))</f>
        <v/>
      </c>
      <c r="I127" s="46" t="str">
        <f t="array" ref="I127">IF('.'!I127="","",'.'!I127&amp;IF(VLOOKUP('.'!I127,Recipes!$A:$D,4,FALSE)="",""," ["&amp;VLOOKUP('.'!I127,Recipes!$A:$D,4,FALSE)&amp;"]"))</f>
        <v/>
      </c>
      <c r="J127" s="46" t="str">
        <f t="array" ref="J127">IF('.'!J127="","",'.'!J127&amp;IF(VLOOKUP('.'!J127,Recipes!$A:$D,4,FALSE)="",""," ["&amp;VLOOKUP('.'!J127,Recipes!$A:$D,4,FALSE)&amp;"]"))</f>
        <v/>
      </c>
      <c r="K127" s="46" t="str">
        <f t="array" ref="K127">IF('.'!K127="","",'.'!K127&amp;IF(VLOOKUP('.'!K127,Recipes!$A:$D,4,FALSE)="",""," ["&amp;VLOOKUP('.'!K127,Recipes!$A:$D,4,FALSE)&amp;"]"))</f>
        <v/>
      </c>
      <c r="L127" s="46" t="str">
        <f t="array" ref="L127">IF('.'!L127="","",'.'!L127&amp;IF(VLOOKUP('.'!L127,Recipes!$A:$D,4,FALSE)="",""," ["&amp;VLOOKUP('.'!L127,Recipes!$A:$D,4,FALSE)&amp;"]"))</f>
        <v/>
      </c>
      <c r="M127" s="46" t="str">
        <f t="array" ref="M127">IF('.'!M127="","",'.'!M127&amp;IF(VLOOKUP('.'!M127,Recipes!$A:$D,4,FALSE)="",""," ["&amp;VLOOKUP('.'!M127,Recipes!$A:$D,4,FALSE)&amp;"]"))</f>
        <v/>
      </c>
      <c r="N127" s="46" t="str">
        <f t="array" ref="N127">IF('.'!N127="","",'.'!N127&amp;IF(VLOOKUP('.'!N127,Recipes!$A:$D,4,FALSE)="",""," ["&amp;VLOOKUP('.'!N127,Recipes!$A:$D,4,FALSE)&amp;"]"))</f>
        <v/>
      </c>
      <c r="O127" s="46" t="str">
        <f t="array" ref="O127">IF('.'!O127="","",'.'!O127&amp;IF(VLOOKUP('.'!O127,Recipes!$A:$D,4,FALSE)="",""," ["&amp;VLOOKUP('.'!O127,Recipes!$A:$D,4,FALSE)&amp;"]"))</f>
        <v/>
      </c>
      <c r="P127" s="46" t="str">
        <f t="array" ref="P127">IF('.'!P127="","",'.'!P127&amp;IF(VLOOKUP('.'!P127,Recipes!$A:$D,4,FALSE)="",""," ["&amp;VLOOKUP('.'!P127,Recipes!$A:$D,4,FALSE)&amp;"]"))</f>
        <v/>
      </c>
      <c r="Q127" s="46" t="str">
        <f t="array" ref="Q127">IF('.'!Q127="","",'.'!Q127&amp;IF(VLOOKUP('.'!Q127,Recipes!$A:$D,4,FALSE)="",""," ["&amp;VLOOKUP('.'!Q127,Recipes!$A:$D,4,FALSE)&amp;"]"))</f>
        <v/>
      </c>
      <c r="R127" s="46" t="str">
        <f t="array" ref="R127">IF('.'!R127="","",'.'!R127&amp;IF(VLOOKUP('.'!R127,Recipes!$A:$D,4,FALSE)="",""," ["&amp;VLOOKUP('.'!R127,Recipes!$A:$D,4,FALSE)&amp;"]"))</f>
        <v/>
      </c>
      <c r="S127" s="46" t="str">
        <f t="array" ref="S127">IF('.'!S127="","",'.'!S127&amp;IF(VLOOKUP('.'!S127,Recipes!$A:$D,4,FALSE)="",""," ["&amp;VLOOKUP('.'!S127,Recipes!$A:$D,4,FALSE)&amp;"]"))</f>
        <v/>
      </c>
      <c r="T127" s="46" t="str">
        <f t="array" ref="T127">IF('.'!T127="","",'.'!T127&amp;IF(VLOOKUP('.'!T127,Recipes!$A:$D,4,FALSE)="",""," ["&amp;VLOOKUP('.'!T127,Recipes!$A:$D,4,FALSE)&amp;"]"))</f>
        <v/>
      </c>
      <c r="U127" s="46" t="str">
        <f t="array" ref="U127">IF('.'!U127="","",'.'!U127&amp;IF(VLOOKUP('.'!U127,Recipes!$A:$D,4,FALSE)="",""," ["&amp;VLOOKUP('.'!U127,Recipes!$A:$D,4,FALSE)&amp;"]"))</f>
        <v/>
      </c>
      <c r="V127" s="46" t="str">
        <f t="array" ref="V127">IF('.'!V127="","",'.'!V127&amp;IF(VLOOKUP('.'!V127,Recipes!$A:$D,4,FALSE)="",""," ["&amp;VLOOKUP('.'!V127,Recipes!$A:$D,4,FALSE)&amp;"]"))</f>
        <v/>
      </c>
      <c r="W127" s="46" t="str">
        <f t="array" ref="W127">IF('.'!W127="","",'.'!W127&amp;IF(VLOOKUP('.'!W127,Recipes!$A:$D,4,FALSE)="",""," ["&amp;VLOOKUP('.'!W127,Recipes!$A:$D,4,FALSE)&amp;"]"))</f>
        <v/>
      </c>
      <c r="X127" s="46" t="str">
        <f t="array" ref="X127">IF('.'!X127="","",'.'!X127&amp;IF(VLOOKUP('.'!X127,Recipes!$A:$D,4,FALSE)="",""," ["&amp;VLOOKUP('.'!X127,Recipes!$A:$D,4,FALSE)&amp;"]"))</f>
        <v/>
      </c>
      <c r="Y127" s="46" t="str">
        <f t="array" ref="Y127">IF('.'!Y127="","",'.'!Y127&amp;IF(VLOOKUP('.'!Y127,Recipes!$A:$D,4,FALSE)="",""," ["&amp;VLOOKUP('.'!Y127,Recipes!$A:$D,4,FALSE)&amp;"]"))</f>
        <v/>
      </c>
      <c r="Z127" s="46" t="str">
        <f t="array" ref="Z127">IF('.'!Z127="","",'.'!Z127&amp;IF(VLOOKUP('.'!Z127,Recipes!$A:$D,4,FALSE)="",""," ["&amp;VLOOKUP('.'!Z127,Recipes!$A:$D,4,FALSE)&amp;"]"))</f>
        <v/>
      </c>
      <c r="AA127" s="46" t="str">
        <f t="array" ref="AA127">IF('.'!AA127="","",'.'!AA127&amp;IF(VLOOKUP('.'!AA127,Recipes!$A:$D,4,FALSE)="",""," ["&amp;VLOOKUP('.'!AA127,Recipes!$A:$D,4,FALSE)&amp;"]"))</f>
        <v/>
      </c>
      <c r="AB127" s="46" t="str">
        <f t="array" ref="AB127">IF('.'!AB127="","",'.'!AB127&amp;IF(VLOOKUP('.'!AB127,Recipes!$A:$D,4,FALSE)="",""," ["&amp;VLOOKUP('.'!AB127,Recipes!$A:$D,4,FALSE)&amp;"]"))</f>
        <v/>
      </c>
      <c r="AC127" s="46" t="str">
        <f t="array" ref="AC127">IF('.'!AC127="","",'.'!AC127&amp;IF(VLOOKUP('.'!AC127,Recipes!$A:$D,4,FALSE)="",""," ["&amp;VLOOKUP('.'!AC127,Recipes!$A:$D,4,FALSE)&amp;"]"))</f>
        <v/>
      </c>
      <c r="AD127" s="46" t="str">
        <f t="array" ref="AD127">IF('.'!AD127="","",'.'!AD127&amp;IF(VLOOKUP('.'!AD127,Recipes!$A:$D,4,FALSE)="",""," ["&amp;VLOOKUP('.'!AD127,Recipes!$A:$D,4,FALSE)&amp;"]"))</f>
        <v/>
      </c>
      <c r="AE127" s="47"/>
      <c r="AF127" s="47"/>
      <c r="AG127" s="47"/>
      <c r="AH127" s="47"/>
      <c r="AI127" s="47"/>
      <c r="AJ127" s="47"/>
      <c r="AK127" s="47"/>
      <c r="AL127" s="47"/>
      <c r="AM127" s="47"/>
      <c r="AN127" s="47"/>
      <c r="AO127" s="47"/>
      <c r="AP127" s="47"/>
      <c r="AQ127" s="47"/>
      <c r="AR127" s="47"/>
      <c r="AS127" s="47"/>
      <c r="AT127" s="47"/>
      <c r="AU127" s="47"/>
      <c r="AV127" s="47"/>
      <c r="AW127" s="47"/>
      <c r="AX127" s="47"/>
      <c r="AY127" s="47"/>
      <c r="AZ127" s="47"/>
      <c r="BA127" s="47"/>
      <c r="BB127" s="47"/>
      <c r="BC127" s="47"/>
      <c r="BD127" s="47"/>
      <c r="BE127" s="47"/>
      <c r="BF127" s="47"/>
      <c r="BG127" s="47"/>
      <c r="BH127" s="47"/>
      <c r="BI127" s="47"/>
      <c r="BJ127" s="47"/>
      <c r="BK127" s="47"/>
      <c r="BL127" s="47"/>
      <c r="BM127" s="47"/>
      <c r="BN127" s="47"/>
      <c r="BO127" s="47"/>
      <c r="BP127" s="47"/>
      <c r="BQ127" s="47"/>
      <c r="BR127" s="47"/>
      <c r="BS127" s="47"/>
      <c r="BT127" s="47"/>
      <c r="BU127" s="47"/>
      <c r="BV127" s="47"/>
      <c r="BW127" s="47"/>
      <c r="BX127" s="47"/>
      <c r="BY127" s="47"/>
      <c r="BZ127" s="47"/>
    </row>
    <row r="128" spans="1:78" ht="13">
      <c r="A128" s="48" t="str">
        <f ca="1">'.'!A128</f>
        <v>Death Wish Scroll</v>
      </c>
      <c r="B128" s="46" t="str">
        <f t="array" aca="1" ref="B128" ca="1">IF('.'!B128="","",'.'!B128&amp;IF(VLOOKUP('.'!B128,Recipes!$A:$D,4,FALSE)="",""," ["&amp;VLOOKUP('.'!B128,Recipes!$A:$D,4,FALSE)&amp;"]"))</f>
        <v>Death Wish Skillbook [-60]</v>
      </c>
      <c r="C128" s="46" t="str">
        <f t="array" ref="C128">IF('.'!C128="","",'.'!C128&amp;IF(VLOOKUP('.'!C128,Recipes!$A:$D,4,FALSE)="",""," ["&amp;VLOOKUP('.'!C128,Recipes!$A:$D,4,FALSE)&amp;"]"))</f>
        <v/>
      </c>
      <c r="D128" s="46" t="str">
        <f t="array" ref="D128">IF('.'!D128="","",'.'!D128&amp;IF(VLOOKUP('.'!D128,Recipes!$A:$D,4,FALSE)="",""," ["&amp;VLOOKUP('.'!D128,Recipes!$A:$D,4,FALSE)&amp;"]"))</f>
        <v/>
      </c>
      <c r="E128" s="46" t="str">
        <f t="array" ref="E128">IF('.'!E128="","",'.'!E128&amp;IF(VLOOKUP('.'!E128,Recipes!$A:$D,4,FALSE)="",""," ["&amp;VLOOKUP('.'!E128,Recipes!$A:$D,4,FALSE)&amp;"]"))</f>
        <v/>
      </c>
      <c r="F128" s="46" t="str">
        <f t="array" ref="F128">IF('.'!F128="","",'.'!F128&amp;IF(VLOOKUP('.'!F128,Recipes!$A:$D,4,FALSE)="",""," ["&amp;VLOOKUP('.'!F128,Recipes!$A:$D,4,FALSE)&amp;"]"))</f>
        <v/>
      </c>
      <c r="G128" s="46" t="str">
        <f t="array" ref="G128">IF('.'!G128="","",'.'!G128&amp;IF(VLOOKUP('.'!G128,Recipes!$A:$D,4,FALSE)="",""," ["&amp;VLOOKUP('.'!G128,Recipes!$A:$D,4,FALSE)&amp;"]"))</f>
        <v/>
      </c>
      <c r="H128" s="46" t="str">
        <f t="array" ref="H128">IF('.'!H128="","",'.'!H128&amp;IF(VLOOKUP('.'!H128,Recipes!$A:$D,4,FALSE)="",""," ["&amp;VLOOKUP('.'!H128,Recipes!$A:$D,4,FALSE)&amp;"]"))</f>
        <v/>
      </c>
      <c r="I128" s="46" t="str">
        <f t="array" ref="I128">IF('.'!I128="","",'.'!I128&amp;IF(VLOOKUP('.'!I128,Recipes!$A:$D,4,FALSE)="",""," ["&amp;VLOOKUP('.'!I128,Recipes!$A:$D,4,FALSE)&amp;"]"))</f>
        <v/>
      </c>
      <c r="J128" s="46" t="str">
        <f t="array" ref="J128">IF('.'!J128="","",'.'!J128&amp;IF(VLOOKUP('.'!J128,Recipes!$A:$D,4,FALSE)="",""," ["&amp;VLOOKUP('.'!J128,Recipes!$A:$D,4,FALSE)&amp;"]"))</f>
        <v/>
      </c>
      <c r="K128" s="46" t="str">
        <f t="array" ref="K128">IF('.'!K128="","",'.'!K128&amp;IF(VLOOKUP('.'!K128,Recipes!$A:$D,4,FALSE)="",""," ["&amp;VLOOKUP('.'!K128,Recipes!$A:$D,4,FALSE)&amp;"]"))</f>
        <v/>
      </c>
      <c r="L128" s="46" t="str">
        <f t="array" ref="L128">IF('.'!L128="","",'.'!L128&amp;IF(VLOOKUP('.'!L128,Recipes!$A:$D,4,FALSE)="",""," ["&amp;VLOOKUP('.'!L128,Recipes!$A:$D,4,FALSE)&amp;"]"))</f>
        <v/>
      </c>
      <c r="M128" s="46" t="str">
        <f t="array" ref="M128">IF('.'!M128="","",'.'!M128&amp;IF(VLOOKUP('.'!M128,Recipes!$A:$D,4,FALSE)="",""," ["&amp;VLOOKUP('.'!M128,Recipes!$A:$D,4,FALSE)&amp;"]"))</f>
        <v/>
      </c>
      <c r="N128" s="46" t="str">
        <f t="array" ref="N128">IF('.'!N128="","",'.'!N128&amp;IF(VLOOKUP('.'!N128,Recipes!$A:$D,4,FALSE)="",""," ["&amp;VLOOKUP('.'!N128,Recipes!$A:$D,4,FALSE)&amp;"]"))</f>
        <v/>
      </c>
      <c r="O128" s="46" t="str">
        <f t="array" ref="O128">IF('.'!O128="","",'.'!O128&amp;IF(VLOOKUP('.'!O128,Recipes!$A:$D,4,FALSE)="",""," ["&amp;VLOOKUP('.'!O128,Recipes!$A:$D,4,FALSE)&amp;"]"))</f>
        <v/>
      </c>
      <c r="P128" s="46" t="str">
        <f t="array" ref="P128">IF('.'!P128="","",'.'!P128&amp;IF(VLOOKUP('.'!P128,Recipes!$A:$D,4,FALSE)="",""," ["&amp;VLOOKUP('.'!P128,Recipes!$A:$D,4,FALSE)&amp;"]"))</f>
        <v/>
      </c>
      <c r="Q128" s="46" t="str">
        <f t="array" ref="Q128">IF('.'!Q128="","",'.'!Q128&amp;IF(VLOOKUP('.'!Q128,Recipes!$A:$D,4,FALSE)="",""," ["&amp;VLOOKUP('.'!Q128,Recipes!$A:$D,4,FALSE)&amp;"]"))</f>
        <v/>
      </c>
      <c r="R128" s="46" t="str">
        <f t="array" ref="R128">IF('.'!R128="","",'.'!R128&amp;IF(VLOOKUP('.'!R128,Recipes!$A:$D,4,FALSE)="",""," ["&amp;VLOOKUP('.'!R128,Recipes!$A:$D,4,FALSE)&amp;"]"))</f>
        <v/>
      </c>
      <c r="S128" s="46" t="str">
        <f t="array" ref="S128">IF('.'!S128="","",'.'!S128&amp;IF(VLOOKUP('.'!S128,Recipes!$A:$D,4,FALSE)="",""," ["&amp;VLOOKUP('.'!S128,Recipes!$A:$D,4,FALSE)&amp;"]"))</f>
        <v/>
      </c>
      <c r="T128" s="46" t="str">
        <f t="array" ref="T128">IF('.'!T128="","",'.'!T128&amp;IF(VLOOKUP('.'!T128,Recipes!$A:$D,4,FALSE)="",""," ["&amp;VLOOKUP('.'!T128,Recipes!$A:$D,4,FALSE)&amp;"]"))</f>
        <v/>
      </c>
      <c r="U128" s="46" t="str">
        <f t="array" ref="U128">IF('.'!U128="","",'.'!U128&amp;IF(VLOOKUP('.'!U128,Recipes!$A:$D,4,FALSE)="",""," ["&amp;VLOOKUP('.'!U128,Recipes!$A:$D,4,FALSE)&amp;"]"))</f>
        <v/>
      </c>
      <c r="V128" s="46" t="str">
        <f t="array" ref="V128">IF('.'!V128="","",'.'!V128&amp;IF(VLOOKUP('.'!V128,Recipes!$A:$D,4,FALSE)="",""," ["&amp;VLOOKUP('.'!V128,Recipes!$A:$D,4,FALSE)&amp;"]"))</f>
        <v/>
      </c>
      <c r="W128" s="46" t="str">
        <f t="array" ref="W128">IF('.'!W128="","",'.'!W128&amp;IF(VLOOKUP('.'!W128,Recipes!$A:$D,4,FALSE)="",""," ["&amp;VLOOKUP('.'!W128,Recipes!$A:$D,4,FALSE)&amp;"]"))</f>
        <v/>
      </c>
      <c r="X128" s="46" t="str">
        <f t="array" ref="X128">IF('.'!X128="","",'.'!X128&amp;IF(VLOOKUP('.'!X128,Recipes!$A:$D,4,FALSE)="",""," ["&amp;VLOOKUP('.'!X128,Recipes!$A:$D,4,FALSE)&amp;"]"))</f>
        <v/>
      </c>
      <c r="Y128" s="46" t="str">
        <f t="array" ref="Y128">IF('.'!Y128="","",'.'!Y128&amp;IF(VLOOKUP('.'!Y128,Recipes!$A:$D,4,FALSE)="",""," ["&amp;VLOOKUP('.'!Y128,Recipes!$A:$D,4,FALSE)&amp;"]"))</f>
        <v/>
      </c>
      <c r="Z128" s="46" t="str">
        <f t="array" ref="Z128">IF('.'!Z128="","",'.'!Z128&amp;IF(VLOOKUP('.'!Z128,Recipes!$A:$D,4,FALSE)="",""," ["&amp;VLOOKUP('.'!Z128,Recipes!$A:$D,4,FALSE)&amp;"]"))</f>
        <v/>
      </c>
      <c r="AA128" s="46" t="str">
        <f t="array" ref="AA128">IF('.'!AA128="","",'.'!AA128&amp;IF(VLOOKUP('.'!AA128,Recipes!$A:$D,4,FALSE)="",""," ["&amp;VLOOKUP('.'!AA128,Recipes!$A:$D,4,FALSE)&amp;"]"))</f>
        <v/>
      </c>
      <c r="AB128" s="46" t="str">
        <f t="array" ref="AB128">IF('.'!AB128="","",'.'!AB128&amp;IF(VLOOKUP('.'!AB128,Recipes!$A:$D,4,FALSE)="",""," ["&amp;VLOOKUP('.'!AB128,Recipes!$A:$D,4,FALSE)&amp;"]"))</f>
        <v/>
      </c>
      <c r="AC128" s="46" t="str">
        <f t="array" ref="AC128">IF('.'!AC128="","",'.'!AC128&amp;IF(VLOOKUP('.'!AC128,Recipes!$A:$D,4,FALSE)="",""," ["&amp;VLOOKUP('.'!AC128,Recipes!$A:$D,4,FALSE)&amp;"]"))</f>
        <v/>
      </c>
      <c r="AD128" s="46" t="str">
        <f t="array" ref="AD128">IF('.'!AD128="","",'.'!AD128&amp;IF(VLOOKUP('.'!AD128,Recipes!$A:$D,4,FALSE)="",""," ["&amp;VLOOKUP('.'!AD128,Recipes!$A:$D,4,FALSE)&amp;"]"))</f>
        <v/>
      </c>
      <c r="AE128" s="47"/>
      <c r="AF128" s="47"/>
      <c r="AG128" s="47"/>
      <c r="AH128" s="47"/>
      <c r="AI128" s="47"/>
      <c r="AJ128" s="47"/>
      <c r="AK128" s="47"/>
      <c r="AL128" s="47"/>
      <c r="AM128" s="47"/>
      <c r="AN128" s="47"/>
      <c r="AO128" s="47"/>
      <c r="AP128" s="47"/>
      <c r="AQ128" s="47"/>
      <c r="AR128" s="47"/>
      <c r="AS128" s="47"/>
      <c r="AT128" s="47"/>
      <c r="AU128" s="47"/>
      <c r="AV128" s="47"/>
      <c r="AW128" s="47"/>
      <c r="AX128" s="47"/>
      <c r="AY128" s="47"/>
      <c r="AZ128" s="47"/>
      <c r="BA128" s="47"/>
      <c r="BB128" s="47"/>
      <c r="BC128" s="47"/>
      <c r="BD128" s="47"/>
      <c r="BE128" s="47"/>
      <c r="BF128" s="47"/>
      <c r="BG128" s="47"/>
      <c r="BH128" s="47"/>
      <c r="BI128" s="47"/>
      <c r="BJ128" s="47"/>
      <c r="BK128" s="47"/>
      <c r="BL128" s="47"/>
      <c r="BM128" s="47"/>
      <c r="BN128" s="47"/>
      <c r="BO128" s="47"/>
      <c r="BP128" s="47"/>
      <c r="BQ128" s="47"/>
      <c r="BR128" s="47"/>
      <c r="BS128" s="47"/>
      <c r="BT128" s="47"/>
      <c r="BU128" s="47"/>
      <c r="BV128" s="47"/>
      <c r="BW128" s="47"/>
      <c r="BX128" s="47"/>
      <c r="BY128" s="47"/>
      <c r="BZ128" s="47"/>
    </row>
    <row r="129" spans="1:78" ht="13">
      <c r="A129" s="48" t="str">
        <f ca="1">'.'!A129</f>
        <v>Decaying Touch Scroll</v>
      </c>
      <c r="B129" s="46" t="str">
        <f t="array" aca="1" ref="B129" ca="1">IF('.'!B129="","",'.'!B129&amp;IF(VLOOKUP('.'!B129,Recipes!$A:$D,4,FALSE)="",""," ["&amp;VLOOKUP('.'!B129,Recipes!$A:$D,4,FALSE)&amp;"]"))</f>
        <v>Decaying Touch Skillbook [-190]</v>
      </c>
      <c r="C129" s="46" t="str">
        <f t="array" ref="C129">IF('.'!C129="","",'.'!C129&amp;IF(VLOOKUP('.'!C129,Recipes!$A:$D,4,FALSE)="",""," ["&amp;VLOOKUP('.'!C129,Recipes!$A:$D,4,FALSE)&amp;"]"))</f>
        <v/>
      </c>
      <c r="D129" s="46" t="str">
        <f t="array" ref="D129">IF('.'!D129="","",'.'!D129&amp;IF(VLOOKUP('.'!D129,Recipes!$A:$D,4,FALSE)="",""," ["&amp;VLOOKUP('.'!D129,Recipes!$A:$D,4,FALSE)&amp;"]"))</f>
        <v/>
      </c>
      <c r="E129" s="46" t="str">
        <f t="array" ref="E129">IF('.'!E129="","",'.'!E129&amp;IF(VLOOKUP('.'!E129,Recipes!$A:$D,4,FALSE)="",""," ["&amp;VLOOKUP('.'!E129,Recipes!$A:$D,4,FALSE)&amp;"]"))</f>
        <v/>
      </c>
      <c r="F129" s="46" t="str">
        <f t="array" ref="F129">IF('.'!F129="","",'.'!F129&amp;IF(VLOOKUP('.'!F129,Recipes!$A:$D,4,FALSE)="",""," ["&amp;VLOOKUP('.'!F129,Recipes!$A:$D,4,FALSE)&amp;"]"))</f>
        <v/>
      </c>
      <c r="G129" s="46" t="str">
        <f t="array" ref="G129">IF('.'!G129="","",'.'!G129&amp;IF(VLOOKUP('.'!G129,Recipes!$A:$D,4,FALSE)="",""," ["&amp;VLOOKUP('.'!G129,Recipes!$A:$D,4,FALSE)&amp;"]"))</f>
        <v/>
      </c>
      <c r="H129" s="46" t="str">
        <f t="array" ref="H129">IF('.'!H129="","",'.'!H129&amp;IF(VLOOKUP('.'!H129,Recipes!$A:$D,4,FALSE)="",""," ["&amp;VLOOKUP('.'!H129,Recipes!$A:$D,4,FALSE)&amp;"]"))</f>
        <v/>
      </c>
      <c r="I129" s="46" t="str">
        <f t="array" ref="I129">IF('.'!I129="","",'.'!I129&amp;IF(VLOOKUP('.'!I129,Recipes!$A:$D,4,FALSE)="",""," ["&amp;VLOOKUP('.'!I129,Recipes!$A:$D,4,FALSE)&amp;"]"))</f>
        <v/>
      </c>
      <c r="J129" s="46" t="str">
        <f t="array" ref="J129">IF('.'!J129="","",'.'!J129&amp;IF(VLOOKUP('.'!J129,Recipes!$A:$D,4,FALSE)="",""," ["&amp;VLOOKUP('.'!J129,Recipes!$A:$D,4,FALSE)&amp;"]"))</f>
        <v/>
      </c>
      <c r="K129" s="46" t="str">
        <f t="array" ref="K129">IF('.'!K129="","",'.'!K129&amp;IF(VLOOKUP('.'!K129,Recipes!$A:$D,4,FALSE)="",""," ["&amp;VLOOKUP('.'!K129,Recipes!$A:$D,4,FALSE)&amp;"]"))</f>
        <v/>
      </c>
      <c r="L129" s="46" t="str">
        <f t="array" ref="L129">IF('.'!L129="","",'.'!L129&amp;IF(VLOOKUP('.'!L129,Recipes!$A:$D,4,FALSE)="",""," ["&amp;VLOOKUP('.'!L129,Recipes!$A:$D,4,FALSE)&amp;"]"))</f>
        <v/>
      </c>
      <c r="M129" s="46" t="str">
        <f t="array" ref="M129">IF('.'!M129="","",'.'!M129&amp;IF(VLOOKUP('.'!M129,Recipes!$A:$D,4,FALSE)="",""," ["&amp;VLOOKUP('.'!M129,Recipes!$A:$D,4,FALSE)&amp;"]"))</f>
        <v/>
      </c>
      <c r="N129" s="46" t="str">
        <f t="array" ref="N129">IF('.'!N129="","",'.'!N129&amp;IF(VLOOKUP('.'!N129,Recipes!$A:$D,4,FALSE)="",""," ["&amp;VLOOKUP('.'!N129,Recipes!$A:$D,4,FALSE)&amp;"]"))</f>
        <v/>
      </c>
      <c r="O129" s="46" t="str">
        <f t="array" ref="O129">IF('.'!O129="","",'.'!O129&amp;IF(VLOOKUP('.'!O129,Recipes!$A:$D,4,FALSE)="",""," ["&amp;VLOOKUP('.'!O129,Recipes!$A:$D,4,FALSE)&amp;"]"))</f>
        <v/>
      </c>
      <c r="P129" s="46" t="str">
        <f t="array" ref="P129">IF('.'!P129="","",'.'!P129&amp;IF(VLOOKUP('.'!P129,Recipes!$A:$D,4,FALSE)="",""," ["&amp;VLOOKUP('.'!P129,Recipes!$A:$D,4,FALSE)&amp;"]"))</f>
        <v/>
      </c>
      <c r="Q129" s="46" t="str">
        <f t="array" ref="Q129">IF('.'!Q129="","",'.'!Q129&amp;IF(VLOOKUP('.'!Q129,Recipes!$A:$D,4,FALSE)="",""," ["&amp;VLOOKUP('.'!Q129,Recipes!$A:$D,4,FALSE)&amp;"]"))</f>
        <v/>
      </c>
      <c r="R129" s="46" t="str">
        <f t="array" ref="R129">IF('.'!R129="","",'.'!R129&amp;IF(VLOOKUP('.'!R129,Recipes!$A:$D,4,FALSE)="",""," ["&amp;VLOOKUP('.'!R129,Recipes!$A:$D,4,FALSE)&amp;"]"))</f>
        <v/>
      </c>
      <c r="S129" s="46" t="str">
        <f t="array" ref="S129">IF('.'!S129="","",'.'!S129&amp;IF(VLOOKUP('.'!S129,Recipes!$A:$D,4,FALSE)="",""," ["&amp;VLOOKUP('.'!S129,Recipes!$A:$D,4,FALSE)&amp;"]"))</f>
        <v/>
      </c>
      <c r="T129" s="46" t="str">
        <f t="array" ref="T129">IF('.'!T129="","",'.'!T129&amp;IF(VLOOKUP('.'!T129,Recipes!$A:$D,4,FALSE)="",""," ["&amp;VLOOKUP('.'!T129,Recipes!$A:$D,4,FALSE)&amp;"]"))</f>
        <v/>
      </c>
      <c r="U129" s="46" t="str">
        <f t="array" ref="U129">IF('.'!U129="","",'.'!U129&amp;IF(VLOOKUP('.'!U129,Recipes!$A:$D,4,FALSE)="",""," ["&amp;VLOOKUP('.'!U129,Recipes!$A:$D,4,FALSE)&amp;"]"))</f>
        <v/>
      </c>
      <c r="V129" s="46" t="str">
        <f t="array" ref="V129">IF('.'!V129="","",'.'!V129&amp;IF(VLOOKUP('.'!V129,Recipes!$A:$D,4,FALSE)="",""," ["&amp;VLOOKUP('.'!V129,Recipes!$A:$D,4,FALSE)&amp;"]"))</f>
        <v/>
      </c>
      <c r="W129" s="46" t="str">
        <f t="array" ref="W129">IF('.'!W129="","",'.'!W129&amp;IF(VLOOKUP('.'!W129,Recipes!$A:$D,4,FALSE)="",""," ["&amp;VLOOKUP('.'!W129,Recipes!$A:$D,4,FALSE)&amp;"]"))</f>
        <v/>
      </c>
      <c r="X129" s="46" t="str">
        <f t="array" ref="X129">IF('.'!X129="","",'.'!X129&amp;IF(VLOOKUP('.'!X129,Recipes!$A:$D,4,FALSE)="",""," ["&amp;VLOOKUP('.'!X129,Recipes!$A:$D,4,FALSE)&amp;"]"))</f>
        <v/>
      </c>
      <c r="Y129" s="46" t="str">
        <f t="array" ref="Y129">IF('.'!Y129="","",'.'!Y129&amp;IF(VLOOKUP('.'!Y129,Recipes!$A:$D,4,FALSE)="",""," ["&amp;VLOOKUP('.'!Y129,Recipes!$A:$D,4,FALSE)&amp;"]"))</f>
        <v/>
      </c>
      <c r="Z129" s="46" t="str">
        <f t="array" ref="Z129">IF('.'!Z129="","",'.'!Z129&amp;IF(VLOOKUP('.'!Z129,Recipes!$A:$D,4,FALSE)="",""," ["&amp;VLOOKUP('.'!Z129,Recipes!$A:$D,4,FALSE)&amp;"]"))</f>
        <v/>
      </c>
      <c r="AA129" s="46" t="str">
        <f t="array" ref="AA129">IF('.'!AA129="","",'.'!AA129&amp;IF(VLOOKUP('.'!AA129,Recipes!$A:$D,4,FALSE)="",""," ["&amp;VLOOKUP('.'!AA129,Recipes!$A:$D,4,FALSE)&amp;"]"))</f>
        <v/>
      </c>
      <c r="AB129" s="46" t="str">
        <f t="array" ref="AB129">IF('.'!AB129="","",'.'!AB129&amp;IF(VLOOKUP('.'!AB129,Recipes!$A:$D,4,FALSE)="",""," ["&amp;VLOOKUP('.'!AB129,Recipes!$A:$D,4,FALSE)&amp;"]"))</f>
        <v/>
      </c>
      <c r="AC129" s="46" t="str">
        <f t="array" ref="AC129">IF('.'!AC129="","",'.'!AC129&amp;IF(VLOOKUP('.'!AC129,Recipes!$A:$D,4,FALSE)="",""," ["&amp;VLOOKUP('.'!AC129,Recipes!$A:$D,4,FALSE)&amp;"]"))</f>
        <v/>
      </c>
      <c r="AD129" s="46" t="str">
        <f t="array" ref="AD129">IF('.'!AD129="","",'.'!AD129&amp;IF(VLOOKUP('.'!AD129,Recipes!$A:$D,4,FALSE)="",""," ["&amp;VLOOKUP('.'!AD129,Recipes!$A:$D,4,FALSE)&amp;"]"))</f>
        <v/>
      </c>
      <c r="AE129" s="47"/>
      <c r="AF129" s="47"/>
      <c r="AG129" s="47"/>
      <c r="AH129" s="47"/>
      <c r="AI129" s="47"/>
      <c r="AJ129" s="47"/>
      <c r="AK129" s="47"/>
      <c r="AL129" s="47"/>
      <c r="AM129" s="47"/>
      <c r="AN129" s="47"/>
      <c r="AO129" s="47"/>
      <c r="AP129" s="47"/>
      <c r="AQ129" s="47"/>
      <c r="AR129" s="47"/>
      <c r="AS129" s="47"/>
      <c r="AT129" s="47"/>
      <c r="AU129" s="47"/>
      <c r="AV129" s="47"/>
      <c r="AW129" s="47"/>
      <c r="AX129" s="47"/>
      <c r="AY129" s="47"/>
      <c r="AZ129" s="47"/>
      <c r="BA129" s="47"/>
      <c r="BB129" s="47"/>
      <c r="BC129" s="47"/>
      <c r="BD129" s="47"/>
      <c r="BE129" s="47"/>
      <c r="BF129" s="47"/>
      <c r="BG129" s="47"/>
      <c r="BH129" s="47"/>
      <c r="BI129" s="47"/>
      <c r="BJ129" s="47"/>
      <c r="BK129" s="47"/>
      <c r="BL129" s="47"/>
      <c r="BM129" s="47"/>
      <c r="BN129" s="47"/>
      <c r="BO129" s="47"/>
      <c r="BP129" s="47"/>
      <c r="BQ129" s="47"/>
      <c r="BR129" s="47"/>
      <c r="BS129" s="47"/>
      <c r="BT129" s="47"/>
      <c r="BU129" s="47"/>
      <c r="BV129" s="47"/>
      <c r="BW129" s="47"/>
      <c r="BX129" s="47"/>
      <c r="BY129" s="47"/>
      <c r="BZ129" s="47"/>
    </row>
    <row r="130" spans="1:78" ht="13">
      <c r="A130" s="48" t="str">
        <f ca="1">'.'!A130</f>
        <v>Deep Freeze Scroll</v>
      </c>
      <c r="B130" s="46" t="str">
        <f t="array" aca="1" ref="B130" ca="1">IF('.'!B130="","",'.'!B130&amp;IF(VLOOKUP('.'!B130,Recipes!$A:$D,4,FALSE)="",""," ["&amp;VLOOKUP('.'!B130,Recipes!$A:$D,4,FALSE)&amp;"]"))</f>
        <v>Deep Freeze Skillbook [650]</v>
      </c>
      <c r="C130" s="46" t="str">
        <f t="array" ref="C130">IF('.'!C130="","",'.'!C130&amp;IF(VLOOKUP('.'!C130,Recipes!$A:$D,4,FALSE)="",""," ["&amp;VLOOKUP('.'!C130,Recipes!$A:$D,4,FALSE)&amp;"]"))</f>
        <v/>
      </c>
      <c r="D130" s="46" t="str">
        <f t="array" ref="D130">IF('.'!D130="","",'.'!D130&amp;IF(VLOOKUP('.'!D130,Recipes!$A:$D,4,FALSE)="",""," ["&amp;VLOOKUP('.'!D130,Recipes!$A:$D,4,FALSE)&amp;"]"))</f>
        <v/>
      </c>
      <c r="E130" s="46" t="str">
        <f t="array" ref="E130">IF('.'!E130="","",'.'!E130&amp;IF(VLOOKUP('.'!E130,Recipes!$A:$D,4,FALSE)="",""," ["&amp;VLOOKUP('.'!E130,Recipes!$A:$D,4,FALSE)&amp;"]"))</f>
        <v/>
      </c>
      <c r="F130" s="46" t="str">
        <f t="array" ref="F130">IF('.'!F130="","",'.'!F130&amp;IF(VLOOKUP('.'!F130,Recipes!$A:$D,4,FALSE)="",""," ["&amp;VLOOKUP('.'!F130,Recipes!$A:$D,4,FALSE)&amp;"]"))</f>
        <v/>
      </c>
      <c r="G130" s="46" t="str">
        <f t="array" ref="G130">IF('.'!G130="","",'.'!G130&amp;IF(VLOOKUP('.'!G130,Recipes!$A:$D,4,FALSE)="",""," ["&amp;VLOOKUP('.'!G130,Recipes!$A:$D,4,FALSE)&amp;"]"))</f>
        <v/>
      </c>
      <c r="H130" s="46" t="str">
        <f t="array" ref="H130">IF('.'!H130="","",'.'!H130&amp;IF(VLOOKUP('.'!H130,Recipes!$A:$D,4,FALSE)="",""," ["&amp;VLOOKUP('.'!H130,Recipes!$A:$D,4,FALSE)&amp;"]"))</f>
        <v/>
      </c>
      <c r="I130" s="46" t="str">
        <f t="array" ref="I130">IF('.'!I130="","",'.'!I130&amp;IF(VLOOKUP('.'!I130,Recipes!$A:$D,4,FALSE)="",""," ["&amp;VLOOKUP('.'!I130,Recipes!$A:$D,4,FALSE)&amp;"]"))</f>
        <v/>
      </c>
      <c r="J130" s="46" t="str">
        <f t="array" ref="J130">IF('.'!J130="","",'.'!J130&amp;IF(VLOOKUP('.'!J130,Recipes!$A:$D,4,FALSE)="",""," ["&amp;VLOOKUP('.'!J130,Recipes!$A:$D,4,FALSE)&amp;"]"))</f>
        <v/>
      </c>
      <c r="K130" s="46" t="str">
        <f t="array" ref="K130">IF('.'!K130="","",'.'!K130&amp;IF(VLOOKUP('.'!K130,Recipes!$A:$D,4,FALSE)="",""," ["&amp;VLOOKUP('.'!K130,Recipes!$A:$D,4,FALSE)&amp;"]"))</f>
        <v/>
      </c>
      <c r="L130" s="46" t="str">
        <f t="array" ref="L130">IF('.'!L130="","",'.'!L130&amp;IF(VLOOKUP('.'!L130,Recipes!$A:$D,4,FALSE)="",""," ["&amp;VLOOKUP('.'!L130,Recipes!$A:$D,4,FALSE)&amp;"]"))</f>
        <v/>
      </c>
      <c r="M130" s="46" t="str">
        <f t="array" ref="M130">IF('.'!M130="","",'.'!M130&amp;IF(VLOOKUP('.'!M130,Recipes!$A:$D,4,FALSE)="",""," ["&amp;VLOOKUP('.'!M130,Recipes!$A:$D,4,FALSE)&amp;"]"))</f>
        <v/>
      </c>
      <c r="N130" s="46" t="str">
        <f t="array" ref="N130">IF('.'!N130="","",'.'!N130&amp;IF(VLOOKUP('.'!N130,Recipes!$A:$D,4,FALSE)="",""," ["&amp;VLOOKUP('.'!N130,Recipes!$A:$D,4,FALSE)&amp;"]"))</f>
        <v/>
      </c>
      <c r="O130" s="46" t="str">
        <f t="array" ref="O130">IF('.'!O130="","",'.'!O130&amp;IF(VLOOKUP('.'!O130,Recipes!$A:$D,4,FALSE)="",""," ["&amp;VLOOKUP('.'!O130,Recipes!$A:$D,4,FALSE)&amp;"]"))</f>
        <v/>
      </c>
      <c r="P130" s="46" t="str">
        <f t="array" ref="P130">IF('.'!P130="","",'.'!P130&amp;IF(VLOOKUP('.'!P130,Recipes!$A:$D,4,FALSE)="",""," ["&amp;VLOOKUP('.'!P130,Recipes!$A:$D,4,FALSE)&amp;"]"))</f>
        <v/>
      </c>
      <c r="Q130" s="46" t="str">
        <f t="array" ref="Q130">IF('.'!Q130="","",'.'!Q130&amp;IF(VLOOKUP('.'!Q130,Recipes!$A:$D,4,FALSE)="",""," ["&amp;VLOOKUP('.'!Q130,Recipes!$A:$D,4,FALSE)&amp;"]"))</f>
        <v/>
      </c>
      <c r="R130" s="46" t="str">
        <f t="array" ref="R130">IF('.'!R130="","",'.'!R130&amp;IF(VLOOKUP('.'!R130,Recipes!$A:$D,4,FALSE)="",""," ["&amp;VLOOKUP('.'!R130,Recipes!$A:$D,4,FALSE)&amp;"]"))</f>
        <v/>
      </c>
      <c r="S130" s="46" t="str">
        <f t="array" ref="S130">IF('.'!S130="","",'.'!S130&amp;IF(VLOOKUP('.'!S130,Recipes!$A:$D,4,FALSE)="",""," ["&amp;VLOOKUP('.'!S130,Recipes!$A:$D,4,FALSE)&amp;"]"))</f>
        <v/>
      </c>
      <c r="T130" s="46" t="str">
        <f t="array" ref="T130">IF('.'!T130="","",'.'!T130&amp;IF(VLOOKUP('.'!T130,Recipes!$A:$D,4,FALSE)="",""," ["&amp;VLOOKUP('.'!T130,Recipes!$A:$D,4,FALSE)&amp;"]"))</f>
        <v/>
      </c>
      <c r="U130" s="46" t="str">
        <f t="array" ref="U130">IF('.'!U130="","",'.'!U130&amp;IF(VLOOKUP('.'!U130,Recipes!$A:$D,4,FALSE)="",""," ["&amp;VLOOKUP('.'!U130,Recipes!$A:$D,4,FALSE)&amp;"]"))</f>
        <v/>
      </c>
      <c r="V130" s="46" t="str">
        <f t="array" ref="V130">IF('.'!V130="","",'.'!V130&amp;IF(VLOOKUP('.'!V130,Recipes!$A:$D,4,FALSE)="",""," ["&amp;VLOOKUP('.'!V130,Recipes!$A:$D,4,FALSE)&amp;"]"))</f>
        <v/>
      </c>
      <c r="W130" s="46" t="str">
        <f t="array" ref="W130">IF('.'!W130="","",'.'!W130&amp;IF(VLOOKUP('.'!W130,Recipes!$A:$D,4,FALSE)="",""," ["&amp;VLOOKUP('.'!W130,Recipes!$A:$D,4,FALSE)&amp;"]"))</f>
        <v/>
      </c>
      <c r="X130" s="46" t="str">
        <f t="array" ref="X130">IF('.'!X130="","",'.'!X130&amp;IF(VLOOKUP('.'!X130,Recipes!$A:$D,4,FALSE)="",""," ["&amp;VLOOKUP('.'!X130,Recipes!$A:$D,4,FALSE)&amp;"]"))</f>
        <v/>
      </c>
      <c r="Y130" s="46" t="str">
        <f t="array" ref="Y130">IF('.'!Y130="","",'.'!Y130&amp;IF(VLOOKUP('.'!Y130,Recipes!$A:$D,4,FALSE)="",""," ["&amp;VLOOKUP('.'!Y130,Recipes!$A:$D,4,FALSE)&amp;"]"))</f>
        <v/>
      </c>
      <c r="Z130" s="46" t="str">
        <f t="array" ref="Z130">IF('.'!Z130="","",'.'!Z130&amp;IF(VLOOKUP('.'!Z130,Recipes!$A:$D,4,FALSE)="",""," ["&amp;VLOOKUP('.'!Z130,Recipes!$A:$D,4,FALSE)&amp;"]"))</f>
        <v/>
      </c>
      <c r="AA130" s="46" t="str">
        <f t="array" ref="AA130">IF('.'!AA130="","",'.'!AA130&amp;IF(VLOOKUP('.'!AA130,Recipes!$A:$D,4,FALSE)="",""," ["&amp;VLOOKUP('.'!AA130,Recipes!$A:$D,4,FALSE)&amp;"]"))</f>
        <v/>
      </c>
      <c r="AB130" s="46" t="str">
        <f t="array" ref="AB130">IF('.'!AB130="","",'.'!AB130&amp;IF(VLOOKUP('.'!AB130,Recipes!$A:$D,4,FALSE)="",""," ["&amp;VLOOKUP('.'!AB130,Recipes!$A:$D,4,FALSE)&amp;"]"))</f>
        <v/>
      </c>
      <c r="AC130" s="46" t="str">
        <f t="array" ref="AC130">IF('.'!AC130="","",'.'!AC130&amp;IF(VLOOKUP('.'!AC130,Recipes!$A:$D,4,FALSE)="",""," ["&amp;VLOOKUP('.'!AC130,Recipes!$A:$D,4,FALSE)&amp;"]"))</f>
        <v/>
      </c>
      <c r="AD130" s="46" t="str">
        <f t="array" ref="AD130">IF('.'!AD130="","",'.'!AD130&amp;IF(VLOOKUP('.'!AD130,Recipes!$A:$D,4,FALSE)="",""," ["&amp;VLOOKUP('.'!AD130,Recipes!$A:$D,4,FALSE)&amp;"]"))</f>
        <v/>
      </c>
      <c r="AE130" s="47"/>
      <c r="AF130" s="47"/>
      <c r="AG130" s="47"/>
      <c r="AH130" s="47"/>
      <c r="AI130" s="47"/>
      <c r="AJ130" s="47"/>
      <c r="AK130" s="47"/>
      <c r="AL130" s="47"/>
      <c r="AM130" s="47"/>
      <c r="AN130" s="47"/>
      <c r="AO130" s="47"/>
      <c r="AP130" s="47"/>
      <c r="AQ130" s="47"/>
      <c r="AR130" s="47"/>
      <c r="AS130" s="47"/>
      <c r="AT130" s="47"/>
      <c r="AU130" s="47"/>
      <c r="AV130" s="47"/>
      <c r="AW130" s="47"/>
      <c r="AX130" s="47"/>
      <c r="AY130" s="47"/>
      <c r="AZ130" s="47"/>
      <c r="BA130" s="47"/>
      <c r="BB130" s="47"/>
      <c r="BC130" s="47"/>
      <c r="BD130" s="47"/>
      <c r="BE130" s="47"/>
      <c r="BF130" s="47"/>
      <c r="BG130" s="47"/>
      <c r="BH130" s="47"/>
      <c r="BI130" s="47"/>
      <c r="BJ130" s="47"/>
      <c r="BK130" s="47"/>
      <c r="BL130" s="47"/>
      <c r="BM130" s="47"/>
      <c r="BN130" s="47"/>
      <c r="BO130" s="47"/>
      <c r="BP130" s="47"/>
      <c r="BQ130" s="47"/>
      <c r="BR130" s="47"/>
      <c r="BS130" s="47"/>
      <c r="BT130" s="47"/>
      <c r="BU130" s="47"/>
      <c r="BV130" s="47"/>
      <c r="BW130" s="47"/>
      <c r="BX130" s="47"/>
      <c r="BY130" s="47"/>
      <c r="BZ130" s="47"/>
    </row>
    <row r="131" spans="1:78" ht="13">
      <c r="A131" s="48" t="str">
        <f ca="1">'.'!A131</f>
        <v>Dimensional Bolt Scroll</v>
      </c>
      <c r="B131" s="46" t="str">
        <f t="array" aca="1" ref="B131" ca="1">IF('.'!B131="","",'.'!B131&amp;IF(VLOOKUP('.'!B131,Recipes!$A:$D,4,FALSE)="",""," ["&amp;VLOOKUP('.'!B131,Recipes!$A:$D,4,FALSE)&amp;"]"))</f>
        <v>Dimensional Bolt Skillbook [-200]</v>
      </c>
      <c r="C131" s="46" t="str">
        <f t="array" ref="C131">IF('.'!C131="","",'.'!C131&amp;IF(VLOOKUP('.'!C131,Recipes!$A:$D,4,FALSE)="",""," ["&amp;VLOOKUP('.'!C131,Recipes!$A:$D,4,FALSE)&amp;"]"))</f>
        <v/>
      </c>
      <c r="D131" s="46" t="str">
        <f t="array" ref="D131">IF('.'!D131="","",'.'!D131&amp;IF(VLOOKUP('.'!D131,Recipes!$A:$D,4,FALSE)="",""," ["&amp;VLOOKUP('.'!D131,Recipes!$A:$D,4,FALSE)&amp;"]"))</f>
        <v/>
      </c>
      <c r="E131" s="46" t="str">
        <f t="array" ref="E131">IF('.'!E131="","",'.'!E131&amp;IF(VLOOKUP('.'!E131,Recipes!$A:$D,4,FALSE)="",""," ["&amp;VLOOKUP('.'!E131,Recipes!$A:$D,4,FALSE)&amp;"]"))</f>
        <v/>
      </c>
      <c r="F131" s="46" t="str">
        <f t="array" ref="F131">IF('.'!F131="","",'.'!F131&amp;IF(VLOOKUP('.'!F131,Recipes!$A:$D,4,FALSE)="",""," ["&amp;VLOOKUP('.'!F131,Recipes!$A:$D,4,FALSE)&amp;"]"))</f>
        <v/>
      </c>
      <c r="G131" s="46" t="str">
        <f t="array" ref="G131">IF('.'!G131="","",'.'!G131&amp;IF(VLOOKUP('.'!G131,Recipes!$A:$D,4,FALSE)="",""," ["&amp;VLOOKUP('.'!G131,Recipes!$A:$D,4,FALSE)&amp;"]"))</f>
        <v/>
      </c>
      <c r="H131" s="46" t="str">
        <f t="array" ref="H131">IF('.'!H131="","",'.'!H131&amp;IF(VLOOKUP('.'!H131,Recipes!$A:$D,4,FALSE)="",""," ["&amp;VLOOKUP('.'!H131,Recipes!$A:$D,4,FALSE)&amp;"]"))</f>
        <v/>
      </c>
      <c r="I131" s="46" t="str">
        <f t="array" ref="I131">IF('.'!I131="","",'.'!I131&amp;IF(VLOOKUP('.'!I131,Recipes!$A:$D,4,FALSE)="",""," ["&amp;VLOOKUP('.'!I131,Recipes!$A:$D,4,FALSE)&amp;"]"))</f>
        <v/>
      </c>
      <c r="J131" s="46" t="str">
        <f t="array" ref="J131">IF('.'!J131="","",'.'!J131&amp;IF(VLOOKUP('.'!J131,Recipes!$A:$D,4,FALSE)="",""," ["&amp;VLOOKUP('.'!J131,Recipes!$A:$D,4,FALSE)&amp;"]"))</f>
        <v/>
      </c>
      <c r="K131" s="46" t="str">
        <f t="array" ref="K131">IF('.'!K131="","",'.'!K131&amp;IF(VLOOKUP('.'!K131,Recipes!$A:$D,4,FALSE)="",""," ["&amp;VLOOKUP('.'!K131,Recipes!$A:$D,4,FALSE)&amp;"]"))</f>
        <v/>
      </c>
      <c r="L131" s="46" t="str">
        <f t="array" ref="L131">IF('.'!L131="","",'.'!L131&amp;IF(VLOOKUP('.'!L131,Recipes!$A:$D,4,FALSE)="",""," ["&amp;VLOOKUP('.'!L131,Recipes!$A:$D,4,FALSE)&amp;"]"))</f>
        <v/>
      </c>
      <c r="M131" s="46" t="str">
        <f t="array" ref="M131">IF('.'!M131="","",'.'!M131&amp;IF(VLOOKUP('.'!M131,Recipes!$A:$D,4,FALSE)="",""," ["&amp;VLOOKUP('.'!M131,Recipes!$A:$D,4,FALSE)&amp;"]"))</f>
        <v/>
      </c>
      <c r="N131" s="46" t="str">
        <f t="array" ref="N131">IF('.'!N131="","",'.'!N131&amp;IF(VLOOKUP('.'!N131,Recipes!$A:$D,4,FALSE)="",""," ["&amp;VLOOKUP('.'!N131,Recipes!$A:$D,4,FALSE)&amp;"]"))</f>
        <v/>
      </c>
      <c r="O131" s="46" t="str">
        <f t="array" ref="O131">IF('.'!O131="","",'.'!O131&amp;IF(VLOOKUP('.'!O131,Recipes!$A:$D,4,FALSE)="",""," ["&amp;VLOOKUP('.'!O131,Recipes!$A:$D,4,FALSE)&amp;"]"))</f>
        <v/>
      </c>
      <c r="P131" s="46" t="str">
        <f t="array" ref="P131">IF('.'!P131="","",'.'!P131&amp;IF(VLOOKUP('.'!P131,Recipes!$A:$D,4,FALSE)="",""," ["&amp;VLOOKUP('.'!P131,Recipes!$A:$D,4,FALSE)&amp;"]"))</f>
        <v/>
      </c>
      <c r="Q131" s="46" t="str">
        <f t="array" ref="Q131">IF('.'!Q131="","",'.'!Q131&amp;IF(VLOOKUP('.'!Q131,Recipes!$A:$D,4,FALSE)="",""," ["&amp;VLOOKUP('.'!Q131,Recipes!$A:$D,4,FALSE)&amp;"]"))</f>
        <v/>
      </c>
      <c r="R131" s="46" t="str">
        <f t="array" ref="R131">IF('.'!R131="","",'.'!R131&amp;IF(VLOOKUP('.'!R131,Recipes!$A:$D,4,FALSE)="",""," ["&amp;VLOOKUP('.'!R131,Recipes!$A:$D,4,FALSE)&amp;"]"))</f>
        <v/>
      </c>
      <c r="S131" s="46" t="str">
        <f t="array" ref="S131">IF('.'!S131="","",'.'!S131&amp;IF(VLOOKUP('.'!S131,Recipes!$A:$D,4,FALSE)="",""," ["&amp;VLOOKUP('.'!S131,Recipes!$A:$D,4,FALSE)&amp;"]"))</f>
        <v/>
      </c>
      <c r="T131" s="46" t="str">
        <f t="array" ref="T131">IF('.'!T131="","",'.'!T131&amp;IF(VLOOKUP('.'!T131,Recipes!$A:$D,4,FALSE)="",""," ["&amp;VLOOKUP('.'!T131,Recipes!$A:$D,4,FALSE)&amp;"]"))</f>
        <v/>
      </c>
      <c r="U131" s="46" t="str">
        <f t="array" ref="U131">IF('.'!U131="","",'.'!U131&amp;IF(VLOOKUP('.'!U131,Recipes!$A:$D,4,FALSE)="",""," ["&amp;VLOOKUP('.'!U131,Recipes!$A:$D,4,FALSE)&amp;"]"))</f>
        <v/>
      </c>
      <c r="V131" s="46" t="str">
        <f t="array" ref="V131">IF('.'!V131="","",'.'!V131&amp;IF(VLOOKUP('.'!V131,Recipes!$A:$D,4,FALSE)="",""," ["&amp;VLOOKUP('.'!V131,Recipes!$A:$D,4,FALSE)&amp;"]"))</f>
        <v/>
      </c>
      <c r="W131" s="46" t="str">
        <f t="array" ref="W131">IF('.'!W131="","",'.'!W131&amp;IF(VLOOKUP('.'!W131,Recipes!$A:$D,4,FALSE)="",""," ["&amp;VLOOKUP('.'!W131,Recipes!$A:$D,4,FALSE)&amp;"]"))</f>
        <v/>
      </c>
      <c r="X131" s="46" t="str">
        <f t="array" ref="X131">IF('.'!X131="","",'.'!X131&amp;IF(VLOOKUP('.'!X131,Recipes!$A:$D,4,FALSE)="",""," ["&amp;VLOOKUP('.'!X131,Recipes!$A:$D,4,FALSE)&amp;"]"))</f>
        <v/>
      </c>
      <c r="Y131" s="46" t="str">
        <f t="array" ref="Y131">IF('.'!Y131="","",'.'!Y131&amp;IF(VLOOKUP('.'!Y131,Recipes!$A:$D,4,FALSE)="",""," ["&amp;VLOOKUP('.'!Y131,Recipes!$A:$D,4,FALSE)&amp;"]"))</f>
        <v/>
      </c>
      <c r="Z131" s="46" t="str">
        <f t="array" ref="Z131">IF('.'!Z131="","",'.'!Z131&amp;IF(VLOOKUP('.'!Z131,Recipes!$A:$D,4,FALSE)="",""," ["&amp;VLOOKUP('.'!Z131,Recipes!$A:$D,4,FALSE)&amp;"]"))</f>
        <v/>
      </c>
      <c r="AA131" s="46" t="str">
        <f t="array" ref="AA131">IF('.'!AA131="","",'.'!AA131&amp;IF(VLOOKUP('.'!AA131,Recipes!$A:$D,4,FALSE)="",""," ["&amp;VLOOKUP('.'!AA131,Recipes!$A:$D,4,FALSE)&amp;"]"))</f>
        <v/>
      </c>
      <c r="AB131" s="46" t="str">
        <f t="array" ref="AB131">IF('.'!AB131="","",'.'!AB131&amp;IF(VLOOKUP('.'!AB131,Recipes!$A:$D,4,FALSE)="",""," ["&amp;VLOOKUP('.'!AB131,Recipes!$A:$D,4,FALSE)&amp;"]"))</f>
        <v/>
      </c>
      <c r="AC131" s="46" t="str">
        <f t="array" ref="AC131">IF('.'!AC131="","",'.'!AC131&amp;IF(VLOOKUP('.'!AC131,Recipes!$A:$D,4,FALSE)="",""," ["&amp;VLOOKUP('.'!AC131,Recipes!$A:$D,4,FALSE)&amp;"]"))</f>
        <v/>
      </c>
      <c r="AD131" s="46" t="str">
        <f t="array" ref="AD131">IF('.'!AD131="","",'.'!AD131&amp;IF(VLOOKUP('.'!AD131,Recipes!$A:$D,4,FALSE)="",""," ["&amp;VLOOKUP('.'!AD131,Recipes!$A:$D,4,FALSE)&amp;"]"))</f>
        <v/>
      </c>
      <c r="AE131" s="47"/>
      <c r="AF131" s="47"/>
      <c r="AG131" s="47"/>
      <c r="AH131" s="47"/>
      <c r="AI131" s="47"/>
      <c r="AJ131" s="47"/>
      <c r="AK131" s="47"/>
      <c r="AL131" s="47"/>
      <c r="AM131" s="47"/>
      <c r="AN131" s="47"/>
      <c r="AO131" s="47"/>
      <c r="AP131" s="47"/>
      <c r="AQ131" s="47"/>
      <c r="AR131" s="47"/>
      <c r="AS131" s="47"/>
      <c r="AT131" s="47"/>
      <c r="AU131" s="47"/>
      <c r="AV131" s="47"/>
      <c r="AW131" s="47"/>
      <c r="AX131" s="47"/>
      <c r="AY131" s="47"/>
      <c r="AZ131" s="47"/>
      <c r="BA131" s="47"/>
      <c r="BB131" s="47"/>
      <c r="BC131" s="47"/>
      <c r="BD131" s="47"/>
      <c r="BE131" s="47"/>
      <c r="BF131" s="47"/>
      <c r="BG131" s="47"/>
      <c r="BH131" s="47"/>
      <c r="BI131" s="47"/>
      <c r="BJ131" s="47"/>
      <c r="BK131" s="47"/>
      <c r="BL131" s="47"/>
      <c r="BM131" s="47"/>
      <c r="BN131" s="47"/>
      <c r="BO131" s="47"/>
      <c r="BP131" s="47"/>
      <c r="BQ131" s="47"/>
      <c r="BR131" s="47"/>
      <c r="BS131" s="47"/>
      <c r="BT131" s="47"/>
      <c r="BU131" s="47"/>
      <c r="BV131" s="47"/>
      <c r="BW131" s="47"/>
      <c r="BX131" s="47"/>
      <c r="BY131" s="47"/>
      <c r="BZ131" s="47"/>
    </row>
    <row r="132" spans="1:78" ht="13">
      <c r="A132" s="48" t="str">
        <f ca="1">'.'!A132</f>
        <v>Dinner</v>
      </c>
      <c r="B132" s="46" t="str">
        <f t="array" aca="1" ref="B132" ca="1">IF('.'!B132="","",'.'!B132&amp;IF(VLOOKUP('.'!B132,Recipes!$A:$D,4,FALSE)="",""," ["&amp;VLOOKUP('.'!B132,Recipes!$A:$D,4,FALSE)&amp;"]"))</f>
        <v>Dwarven Stew [2]</v>
      </c>
      <c r="C132" s="46" t="str">
        <f t="array" aca="1" ref="C132" ca="1">IF('.'!C132="","",'.'!C132&amp;IF(VLOOKUP('.'!C132,Recipes!$A:$D,4,FALSE)="",""," ["&amp;VLOOKUP('.'!C132,Recipes!$A:$D,4,FALSE)&amp;"]"))</f>
        <v>Elven Stew [0]</v>
      </c>
      <c r="D132" s="46" t="str">
        <f t="array" ref="D132">IF('.'!D132="","",'.'!D132&amp;IF(VLOOKUP('.'!D132,Recipes!$A:$D,4,FALSE)="",""," ["&amp;VLOOKUP('.'!D132,Recipes!$A:$D,4,FALSE)&amp;"]"))</f>
        <v/>
      </c>
      <c r="E132" s="46" t="str">
        <f t="array" ref="E132">IF('.'!E132="","",'.'!E132&amp;IF(VLOOKUP('.'!E132,Recipes!$A:$D,4,FALSE)="",""," ["&amp;VLOOKUP('.'!E132,Recipes!$A:$D,4,FALSE)&amp;"]"))</f>
        <v/>
      </c>
      <c r="F132" s="46" t="str">
        <f t="array" ref="F132">IF('.'!F132="","",'.'!F132&amp;IF(VLOOKUP('.'!F132,Recipes!$A:$D,4,FALSE)="",""," ["&amp;VLOOKUP('.'!F132,Recipes!$A:$D,4,FALSE)&amp;"]"))</f>
        <v/>
      </c>
      <c r="G132" s="46" t="str">
        <f t="array" ref="G132">IF('.'!G132="","",'.'!G132&amp;IF(VLOOKUP('.'!G132,Recipes!$A:$D,4,FALSE)="",""," ["&amp;VLOOKUP('.'!G132,Recipes!$A:$D,4,FALSE)&amp;"]"))</f>
        <v/>
      </c>
      <c r="H132" s="46" t="str">
        <f t="array" ref="H132">IF('.'!H132="","",'.'!H132&amp;IF(VLOOKUP('.'!H132,Recipes!$A:$D,4,FALSE)="",""," ["&amp;VLOOKUP('.'!H132,Recipes!$A:$D,4,FALSE)&amp;"]"))</f>
        <v/>
      </c>
      <c r="I132" s="46" t="str">
        <f t="array" ref="I132">IF('.'!I132="","",'.'!I132&amp;IF(VLOOKUP('.'!I132,Recipes!$A:$D,4,FALSE)="",""," ["&amp;VLOOKUP('.'!I132,Recipes!$A:$D,4,FALSE)&amp;"]"))</f>
        <v/>
      </c>
      <c r="J132" s="46" t="str">
        <f t="array" ref="J132">IF('.'!J132="","",'.'!J132&amp;IF(VLOOKUP('.'!J132,Recipes!$A:$D,4,FALSE)="",""," ["&amp;VLOOKUP('.'!J132,Recipes!$A:$D,4,FALSE)&amp;"]"))</f>
        <v/>
      </c>
      <c r="K132" s="46" t="str">
        <f t="array" ref="K132">IF('.'!K132="","",'.'!K132&amp;IF(VLOOKUP('.'!K132,Recipes!$A:$D,4,FALSE)="",""," ["&amp;VLOOKUP('.'!K132,Recipes!$A:$D,4,FALSE)&amp;"]"))</f>
        <v/>
      </c>
      <c r="L132" s="46" t="str">
        <f t="array" ref="L132">IF('.'!L132="","",'.'!L132&amp;IF(VLOOKUP('.'!L132,Recipes!$A:$D,4,FALSE)="",""," ["&amp;VLOOKUP('.'!L132,Recipes!$A:$D,4,FALSE)&amp;"]"))</f>
        <v/>
      </c>
      <c r="M132" s="46" t="str">
        <f t="array" ref="M132">IF('.'!M132="","",'.'!M132&amp;IF(VLOOKUP('.'!M132,Recipes!$A:$D,4,FALSE)="",""," ["&amp;VLOOKUP('.'!M132,Recipes!$A:$D,4,FALSE)&amp;"]"))</f>
        <v/>
      </c>
      <c r="N132" s="46" t="str">
        <f t="array" ref="N132">IF('.'!N132="","",'.'!N132&amp;IF(VLOOKUP('.'!N132,Recipes!$A:$D,4,FALSE)="",""," ["&amp;VLOOKUP('.'!N132,Recipes!$A:$D,4,FALSE)&amp;"]"))</f>
        <v/>
      </c>
      <c r="O132" s="46" t="str">
        <f t="array" ref="O132">IF('.'!O132="","",'.'!O132&amp;IF(VLOOKUP('.'!O132,Recipes!$A:$D,4,FALSE)="",""," ["&amp;VLOOKUP('.'!O132,Recipes!$A:$D,4,FALSE)&amp;"]"))</f>
        <v/>
      </c>
      <c r="P132" s="46" t="str">
        <f t="array" ref="P132">IF('.'!P132="","",'.'!P132&amp;IF(VLOOKUP('.'!P132,Recipes!$A:$D,4,FALSE)="",""," ["&amp;VLOOKUP('.'!P132,Recipes!$A:$D,4,FALSE)&amp;"]"))</f>
        <v/>
      </c>
      <c r="Q132" s="46" t="str">
        <f t="array" ref="Q132">IF('.'!Q132="","",'.'!Q132&amp;IF(VLOOKUP('.'!Q132,Recipes!$A:$D,4,FALSE)="",""," ["&amp;VLOOKUP('.'!Q132,Recipes!$A:$D,4,FALSE)&amp;"]"))</f>
        <v/>
      </c>
      <c r="R132" s="46" t="str">
        <f t="array" ref="R132">IF('.'!R132="","",'.'!R132&amp;IF(VLOOKUP('.'!R132,Recipes!$A:$D,4,FALSE)="",""," ["&amp;VLOOKUP('.'!R132,Recipes!$A:$D,4,FALSE)&amp;"]"))</f>
        <v/>
      </c>
      <c r="S132" s="46" t="str">
        <f t="array" ref="S132">IF('.'!S132="","",'.'!S132&amp;IF(VLOOKUP('.'!S132,Recipes!$A:$D,4,FALSE)="",""," ["&amp;VLOOKUP('.'!S132,Recipes!$A:$D,4,FALSE)&amp;"]"))</f>
        <v/>
      </c>
      <c r="T132" s="46" t="str">
        <f t="array" ref="T132">IF('.'!T132="","",'.'!T132&amp;IF(VLOOKUP('.'!T132,Recipes!$A:$D,4,FALSE)="",""," ["&amp;VLOOKUP('.'!T132,Recipes!$A:$D,4,FALSE)&amp;"]"))</f>
        <v/>
      </c>
      <c r="U132" s="46" t="str">
        <f t="array" ref="U132">IF('.'!U132="","",'.'!U132&amp;IF(VLOOKUP('.'!U132,Recipes!$A:$D,4,FALSE)="",""," ["&amp;VLOOKUP('.'!U132,Recipes!$A:$D,4,FALSE)&amp;"]"))</f>
        <v/>
      </c>
      <c r="V132" s="46" t="str">
        <f t="array" ref="V132">IF('.'!V132="","",'.'!V132&amp;IF(VLOOKUP('.'!V132,Recipes!$A:$D,4,FALSE)="",""," ["&amp;VLOOKUP('.'!V132,Recipes!$A:$D,4,FALSE)&amp;"]"))</f>
        <v/>
      </c>
      <c r="W132" s="46" t="str">
        <f t="array" ref="W132">IF('.'!W132="","",'.'!W132&amp;IF(VLOOKUP('.'!W132,Recipes!$A:$D,4,FALSE)="",""," ["&amp;VLOOKUP('.'!W132,Recipes!$A:$D,4,FALSE)&amp;"]"))</f>
        <v/>
      </c>
      <c r="X132" s="46" t="str">
        <f t="array" ref="X132">IF('.'!X132="","",'.'!X132&amp;IF(VLOOKUP('.'!X132,Recipes!$A:$D,4,FALSE)="",""," ["&amp;VLOOKUP('.'!X132,Recipes!$A:$D,4,FALSE)&amp;"]"))</f>
        <v/>
      </c>
      <c r="Y132" s="46" t="str">
        <f t="array" ref="Y132">IF('.'!Y132="","",'.'!Y132&amp;IF(VLOOKUP('.'!Y132,Recipes!$A:$D,4,FALSE)="",""," ["&amp;VLOOKUP('.'!Y132,Recipes!$A:$D,4,FALSE)&amp;"]"))</f>
        <v/>
      </c>
      <c r="Z132" s="46" t="str">
        <f t="array" ref="Z132">IF('.'!Z132="","",'.'!Z132&amp;IF(VLOOKUP('.'!Z132,Recipes!$A:$D,4,FALSE)="",""," ["&amp;VLOOKUP('.'!Z132,Recipes!$A:$D,4,FALSE)&amp;"]"))</f>
        <v/>
      </c>
      <c r="AA132" s="46" t="str">
        <f t="array" ref="AA132">IF('.'!AA132="","",'.'!AA132&amp;IF(VLOOKUP('.'!AA132,Recipes!$A:$D,4,FALSE)="",""," ["&amp;VLOOKUP('.'!AA132,Recipes!$A:$D,4,FALSE)&amp;"]"))</f>
        <v/>
      </c>
      <c r="AB132" s="46" t="str">
        <f t="array" ref="AB132">IF('.'!AB132="","",'.'!AB132&amp;IF(VLOOKUP('.'!AB132,Recipes!$A:$D,4,FALSE)="",""," ["&amp;VLOOKUP('.'!AB132,Recipes!$A:$D,4,FALSE)&amp;"]"))</f>
        <v/>
      </c>
      <c r="AC132" s="46" t="str">
        <f t="array" ref="AC132">IF('.'!AC132="","",'.'!AC132&amp;IF(VLOOKUP('.'!AC132,Recipes!$A:$D,4,FALSE)="",""," ["&amp;VLOOKUP('.'!AC132,Recipes!$A:$D,4,FALSE)&amp;"]"))</f>
        <v/>
      </c>
      <c r="AD132" s="46" t="str">
        <f t="array" ref="AD132">IF('.'!AD132="","",'.'!AD132&amp;IF(VLOOKUP('.'!AD132,Recipes!$A:$D,4,FALSE)="",""," ["&amp;VLOOKUP('.'!AD132,Recipes!$A:$D,4,FALSE)&amp;"]"))</f>
        <v/>
      </c>
      <c r="AE132" s="47"/>
      <c r="AF132" s="47"/>
      <c r="AG132" s="47"/>
      <c r="AH132" s="47"/>
      <c r="AI132" s="47"/>
      <c r="AJ132" s="47"/>
      <c r="AK132" s="47"/>
      <c r="AL132" s="47"/>
      <c r="AM132" s="47"/>
      <c r="AN132" s="47"/>
      <c r="AO132" s="47"/>
      <c r="AP132" s="47"/>
      <c r="AQ132" s="47"/>
      <c r="AR132" s="47"/>
      <c r="AS132" s="47"/>
      <c r="AT132" s="47"/>
      <c r="AU132" s="47"/>
      <c r="AV132" s="47"/>
      <c r="AW132" s="47"/>
      <c r="AX132" s="47"/>
      <c r="AY132" s="47"/>
      <c r="AZ132" s="47"/>
      <c r="BA132" s="47"/>
      <c r="BB132" s="47"/>
      <c r="BC132" s="47"/>
      <c r="BD132" s="47"/>
      <c r="BE132" s="47"/>
      <c r="BF132" s="47"/>
      <c r="BG132" s="47"/>
      <c r="BH132" s="47"/>
      <c r="BI132" s="47"/>
      <c r="BJ132" s="47"/>
      <c r="BK132" s="47"/>
      <c r="BL132" s="47"/>
      <c r="BM132" s="47"/>
      <c r="BN132" s="47"/>
      <c r="BO132" s="47"/>
      <c r="BP132" s="47"/>
      <c r="BQ132" s="47"/>
      <c r="BR132" s="47"/>
      <c r="BS132" s="47"/>
      <c r="BT132" s="47"/>
      <c r="BU132" s="47"/>
      <c r="BV132" s="47"/>
      <c r="BW132" s="47"/>
      <c r="BX132" s="47"/>
      <c r="BY132" s="47"/>
      <c r="BZ132" s="47"/>
    </row>
    <row r="133" spans="1:78" ht="13">
      <c r="A133" s="48" t="str">
        <f ca="1">'.'!A133</f>
        <v>Dirty Socks</v>
      </c>
      <c r="B133" s="46" t="str">
        <f t="array" aca="1" ref="B133" ca="1">IF('.'!B133="","",'.'!B133&amp;IF(VLOOKUP('.'!B133,Recipes!$A:$D,4,FALSE)="",""," ["&amp;VLOOKUP('.'!B133,Recipes!$A:$D,4,FALSE)&amp;"]"))</f>
        <v>Living on the Edge Scroll [137]</v>
      </c>
      <c r="C133" s="46" t="str">
        <f t="array" ref="C133">IF('.'!C133="","",'.'!C133&amp;IF(VLOOKUP('.'!C133,Recipes!$A:$D,4,FALSE)="",""," ["&amp;VLOOKUP('.'!C133,Recipes!$A:$D,4,FALSE)&amp;"]"))</f>
        <v/>
      </c>
      <c r="D133" s="46" t="str">
        <f t="array" ref="D133">IF('.'!D133="","",'.'!D133&amp;IF(VLOOKUP('.'!D133,Recipes!$A:$D,4,FALSE)="",""," ["&amp;VLOOKUP('.'!D133,Recipes!$A:$D,4,FALSE)&amp;"]"))</f>
        <v/>
      </c>
      <c r="E133" s="46" t="str">
        <f t="array" ref="E133">IF('.'!E133="","",'.'!E133&amp;IF(VLOOKUP('.'!E133,Recipes!$A:$D,4,FALSE)="",""," ["&amp;VLOOKUP('.'!E133,Recipes!$A:$D,4,FALSE)&amp;"]"))</f>
        <v/>
      </c>
      <c r="F133" s="46" t="str">
        <f t="array" ref="F133">IF('.'!F133="","",'.'!F133&amp;IF(VLOOKUP('.'!F133,Recipes!$A:$D,4,FALSE)="",""," ["&amp;VLOOKUP('.'!F133,Recipes!$A:$D,4,FALSE)&amp;"]"))</f>
        <v/>
      </c>
      <c r="G133" s="46" t="str">
        <f t="array" ref="G133">IF('.'!G133="","",'.'!G133&amp;IF(VLOOKUP('.'!G133,Recipes!$A:$D,4,FALSE)="",""," ["&amp;VLOOKUP('.'!G133,Recipes!$A:$D,4,FALSE)&amp;"]"))</f>
        <v/>
      </c>
      <c r="H133" s="46" t="str">
        <f t="array" ref="H133">IF('.'!H133="","",'.'!H133&amp;IF(VLOOKUP('.'!H133,Recipes!$A:$D,4,FALSE)="",""," ["&amp;VLOOKUP('.'!H133,Recipes!$A:$D,4,FALSE)&amp;"]"))</f>
        <v/>
      </c>
      <c r="I133" s="46" t="str">
        <f t="array" ref="I133">IF('.'!I133="","",'.'!I133&amp;IF(VLOOKUP('.'!I133,Recipes!$A:$D,4,FALSE)="",""," ["&amp;VLOOKUP('.'!I133,Recipes!$A:$D,4,FALSE)&amp;"]"))</f>
        <v/>
      </c>
      <c r="J133" s="46" t="str">
        <f t="array" ref="J133">IF('.'!J133="","",'.'!J133&amp;IF(VLOOKUP('.'!J133,Recipes!$A:$D,4,FALSE)="",""," ["&amp;VLOOKUP('.'!J133,Recipes!$A:$D,4,FALSE)&amp;"]"))</f>
        <v/>
      </c>
      <c r="K133" s="46" t="str">
        <f t="array" ref="K133">IF('.'!K133="","",'.'!K133&amp;IF(VLOOKUP('.'!K133,Recipes!$A:$D,4,FALSE)="",""," ["&amp;VLOOKUP('.'!K133,Recipes!$A:$D,4,FALSE)&amp;"]"))</f>
        <v/>
      </c>
      <c r="L133" s="46" t="str">
        <f t="array" ref="L133">IF('.'!L133="","",'.'!L133&amp;IF(VLOOKUP('.'!L133,Recipes!$A:$D,4,FALSE)="",""," ["&amp;VLOOKUP('.'!L133,Recipes!$A:$D,4,FALSE)&amp;"]"))</f>
        <v/>
      </c>
      <c r="M133" s="46" t="str">
        <f t="array" ref="M133">IF('.'!M133="","",'.'!M133&amp;IF(VLOOKUP('.'!M133,Recipes!$A:$D,4,FALSE)="",""," ["&amp;VLOOKUP('.'!M133,Recipes!$A:$D,4,FALSE)&amp;"]"))</f>
        <v/>
      </c>
      <c r="N133" s="46" t="str">
        <f t="array" ref="N133">IF('.'!N133="","",'.'!N133&amp;IF(VLOOKUP('.'!N133,Recipes!$A:$D,4,FALSE)="",""," ["&amp;VLOOKUP('.'!N133,Recipes!$A:$D,4,FALSE)&amp;"]"))</f>
        <v/>
      </c>
      <c r="O133" s="46" t="str">
        <f t="array" ref="O133">IF('.'!O133="","",'.'!O133&amp;IF(VLOOKUP('.'!O133,Recipes!$A:$D,4,FALSE)="",""," ["&amp;VLOOKUP('.'!O133,Recipes!$A:$D,4,FALSE)&amp;"]"))</f>
        <v/>
      </c>
      <c r="P133" s="46" t="str">
        <f t="array" ref="P133">IF('.'!P133="","",'.'!P133&amp;IF(VLOOKUP('.'!P133,Recipes!$A:$D,4,FALSE)="",""," ["&amp;VLOOKUP('.'!P133,Recipes!$A:$D,4,FALSE)&amp;"]"))</f>
        <v/>
      </c>
      <c r="Q133" s="46" t="str">
        <f t="array" ref="Q133">IF('.'!Q133="","",'.'!Q133&amp;IF(VLOOKUP('.'!Q133,Recipes!$A:$D,4,FALSE)="",""," ["&amp;VLOOKUP('.'!Q133,Recipes!$A:$D,4,FALSE)&amp;"]"))</f>
        <v/>
      </c>
      <c r="R133" s="46" t="str">
        <f t="array" ref="R133">IF('.'!R133="","",'.'!R133&amp;IF(VLOOKUP('.'!R133,Recipes!$A:$D,4,FALSE)="",""," ["&amp;VLOOKUP('.'!R133,Recipes!$A:$D,4,FALSE)&amp;"]"))</f>
        <v/>
      </c>
      <c r="S133" s="46" t="str">
        <f t="array" ref="S133">IF('.'!S133="","",'.'!S133&amp;IF(VLOOKUP('.'!S133,Recipes!$A:$D,4,FALSE)="",""," ["&amp;VLOOKUP('.'!S133,Recipes!$A:$D,4,FALSE)&amp;"]"))</f>
        <v/>
      </c>
      <c r="T133" s="46" t="str">
        <f t="array" ref="T133">IF('.'!T133="","",'.'!T133&amp;IF(VLOOKUP('.'!T133,Recipes!$A:$D,4,FALSE)="",""," ["&amp;VLOOKUP('.'!T133,Recipes!$A:$D,4,FALSE)&amp;"]"))</f>
        <v/>
      </c>
      <c r="U133" s="46" t="str">
        <f t="array" ref="U133">IF('.'!U133="","",'.'!U133&amp;IF(VLOOKUP('.'!U133,Recipes!$A:$D,4,FALSE)="",""," ["&amp;VLOOKUP('.'!U133,Recipes!$A:$D,4,FALSE)&amp;"]"))</f>
        <v/>
      </c>
      <c r="V133" s="46" t="str">
        <f t="array" ref="V133">IF('.'!V133="","",'.'!V133&amp;IF(VLOOKUP('.'!V133,Recipes!$A:$D,4,FALSE)="",""," ["&amp;VLOOKUP('.'!V133,Recipes!$A:$D,4,FALSE)&amp;"]"))</f>
        <v/>
      </c>
      <c r="W133" s="46" t="str">
        <f t="array" ref="W133">IF('.'!W133="","",'.'!W133&amp;IF(VLOOKUP('.'!W133,Recipes!$A:$D,4,FALSE)="",""," ["&amp;VLOOKUP('.'!W133,Recipes!$A:$D,4,FALSE)&amp;"]"))</f>
        <v/>
      </c>
      <c r="X133" s="46" t="str">
        <f t="array" ref="X133">IF('.'!X133="","",'.'!X133&amp;IF(VLOOKUP('.'!X133,Recipes!$A:$D,4,FALSE)="",""," ["&amp;VLOOKUP('.'!X133,Recipes!$A:$D,4,FALSE)&amp;"]"))</f>
        <v/>
      </c>
      <c r="Y133" s="46" t="str">
        <f t="array" ref="Y133">IF('.'!Y133="","",'.'!Y133&amp;IF(VLOOKUP('.'!Y133,Recipes!$A:$D,4,FALSE)="",""," ["&amp;VLOOKUP('.'!Y133,Recipes!$A:$D,4,FALSE)&amp;"]"))</f>
        <v/>
      </c>
      <c r="Z133" s="46" t="str">
        <f t="array" ref="Z133">IF('.'!Z133="","",'.'!Z133&amp;IF(VLOOKUP('.'!Z133,Recipes!$A:$D,4,FALSE)="",""," ["&amp;VLOOKUP('.'!Z133,Recipes!$A:$D,4,FALSE)&amp;"]"))</f>
        <v/>
      </c>
      <c r="AA133" s="46" t="str">
        <f t="array" ref="AA133">IF('.'!AA133="","",'.'!AA133&amp;IF(VLOOKUP('.'!AA133,Recipes!$A:$D,4,FALSE)="",""," ["&amp;VLOOKUP('.'!AA133,Recipes!$A:$D,4,FALSE)&amp;"]"))</f>
        <v/>
      </c>
      <c r="AB133" s="46" t="str">
        <f t="array" ref="AB133">IF('.'!AB133="","",'.'!AB133&amp;IF(VLOOKUP('.'!AB133,Recipes!$A:$D,4,FALSE)="",""," ["&amp;VLOOKUP('.'!AB133,Recipes!$A:$D,4,FALSE)&amp;"]"))</f>
        <v/>
      </c>
      <c r="AC133" s="46" t="str">
        <f t="array" ref="AC133">IF('.'!AC133="","",'.'!AC133&amp;IF(VLOOKUP('.'!AC133,Recipes!$A:$D,4,FALSE)="",""," ["&amp;VLOOKUP('.'!AC133,Recipes!$A:$D,4,FALSE)&amp;"]"))</f>
        <v/>
      </c>
      <c r="AD133" s="46" t="str">
        <f t="array" ref="AD133">IF('.'!AD133="","",'.'!AD133&amp;IF(VLOOKUP('.'!AD133,Recipes!$A:$D,4,FALSE)="",""," ["&amp;VLOOKUP('.'!AD133,Recipes!$A:$D,4,FALSE)&amp;"]"))</f>
        <v/>
      </c>
      <c r="AE133" s="47"/>
      <c r="AF133" s="47"/>
      <c r="AG133" s="47"/>
      <c r="AH133" s="47"/>
      <c r="AI133" s="47"/>
      <c r="AJ133" s="47"/>
      <c r="AK133" s="47"/>
      <c r="AL133" s="47"/>
      <c r="AM133" s="47"/>
      <c r="AN133" s="47"/>
      <c r="AO133" s="47"/>
      <c r="AP133" s="47"/>
      <c r="AQ133" s="47"/>
      <c r="AR133" s="47"/>
      <c r="AS133" s="47"/>
      <c r="AT133" s="47"/>
      <c r="AU133" s="47"/>
      <c r="AV133" s="47"/>
      <c r="AW133" s="47"/>
      <c r="AX133" s="47"/>
      <c r="AY133" s="47"/>
      <c r="AZ133" s="47"/>
      <c r="BA133" s="47"/>
      <c r="BB133" s="47"/>
      <c r="BC133" s="47"/>
      <c r="BD133" s="47"/>
      <c r="BE133" s="47"/>
      <c r="BF133" s="47"/>
      <c r="BG133" s="47"/>
      <c r="BH133" s="47"/>
      <c r="BI133" s="47"/>
      <c r="BJ133" s="47"/>
      <c r="BK133" s="47"/>
      <c r="BL133" s="47"/>
      <c r="BM133" s="47"/>
      <c r="BN133" s="47"/>
      <c r="BO133" s="47"/>
      <c r="BP133" s="47"/>
      <c r="BQ133" s="47"/>
      <c r="BR133" s="47"/>
      <c r="BS133" s="47"/>
      <c r="BT133" s="47"/>
      <c r="BU133" s="47"/>
      <c r="BV133" s="47"/>
      <c r="BW133" s="47"/>
      <c r="BX133" s="47"/>
      <c r="BY133" s="47"/>
      <c r="BZ133" s="47"/>
    </row>
    <row r="134" spans="1:78" ht="13">
      <c r="A134" s="48" t="str">
        <f ca="1">'.'!A134</f>
        <v>Disembodied Hand</v>
      </c>
      <c r="B134" s="46" t="str">
        <f t="array" aca="1" ref="B134" ca="1">IF('.'!B134="","",'.'!B134&amp;IF(VLOOKUP('.'!B134,Recipes!$A:$D,4,FALSE)="",""," ["&amp;VLOOKUP('.'!B134,Recipes!$A:$D,4,FALSE)&amp;"]"))</f>
        <v>Grasp of the Starved Scroll [-1156]</v>
      </c>
      <c r="C134" s="46" t="str">
        <f t="array" ref="C134">IF('.'!C134="","",'.'!C134&amp;IF(VLOOKUP('.'!C134,Recipes!$A:$D,4,FALSE)="",""," ["&amp;VLOOKUP('.'!C134,Recipes!$A:$D,4,FALSE)&amp;"]"))</f>
        <v/>
      </c>
      <c r="D134" s="46" t="str">
        <f t="array" ref="D134">IF('.'!D134="","",'.'!D134&amp;IF(VLOOKUP('.'!D134,Recipes!$A:$D,4,FALSE)="",""," ["&amp;VLOOKUP('.'!D134,Recipes!$A:$D,4,FALSE)&amp;"]"))</f>
        <v/>
      </c>
      <c r="E134" s="46" t="str">
        <f t="array" ref="E134">IF('.'!E134="","",'.'!E134&amp;IF(VLOOKUP('.'!E134,Recipes!$A:$D,4,FALSE)="",""," ["&amp;VLOOKUP('.'!E134,Recipes!$A:$D,4,FALSE)&amp;"]"))</f>
        <v/>
      </c>
      <c r="F134" s="46" t="str">
        <f t="array" ref="F134">IF('.'!F134="","",'.'!F134&amp;IF(VLOOKUP('.'!F134,Recipes!$A:$D,4,FALSE)="",""," ["&amp;VLOOKUP('.'!F134,Recipes!$A:$D,4,FALSE)&amp;"]"))</f>
        <v/>
      </c>
      <c r="G134" s="46" t="str">
        <f t="array" ref="G134">IF('.'!G134="","",'.'!G134&amp;IF(VLOOKUP('.'!G134,Recipes!$A:$D,4,FALSE)="",""," ["&amp;VLOOKUP('.'!G134,Recipes!$A:$D,4,FALSE)&amp;"]"))</f>
        <v/>
      </c>
      <c r="H134" s="46" t="str">
        <f t="array" ref="H134">IF('.'!H134="","",'.'!H134&amp;IF(VLOOKUP('.'!H134,Recipes!$A:$D,4,FALSE)="",""," ["&amp;VLOOKUP('.'!H134,Recipes!$A:$D,4,FALSE)&amp;"]"))</f>
        <v/>
      </c>
      <c r="I134" s="46" t="str">
        <f t="array" ref="I134">IF('.'!I134="","",'.'!I134&amp;IF(VLOOKUP('.'!I134,Recipes!$A:$D,4,FALSE)="",""," ["&amp;VLOOKUP('.'!I134,Recipes!$A:$D,4,FALSE)&amp;"]"))</f>
        <v/>
      </c>
      <c r="J134" s="46" t="str">
        <f t="array" ref="J134">IF('.'!J134="","",'.'!J134&amp;IF(VLOOKUP('.'!J134,Recipes!$A:$D,4,FALSE)="",""," ["&amp;VLOOKUP('.'!J134,Recipes!$A:$D,4,FALSE)&amp;"]"))</f>
        <v/>
      </c>
      <c r="K134" s="46" t="str">
        <f t="array" ref="K134">IF('.'!K134="","",'.'!K134&amp;IF(VLOOKUP('.'!K134,Recipes!$A:$D,4,FALSE)="",""," ["&amp;VLOOKUP('.'!K134,Recipes!$A:$D,4,FALSE)&amp;"]"))</f>
        <v/>
      </c>
      <c r="L134" s="46" t="str">
        <f t="array" ref="L134">IF('.'!L134="","",'.'!L134&amp;IF(VLOOKUP('.'!L134,Recipes!$A:$D,4,FALSE)="",""," ["&amp;VLOOKUP('.'!L134,Recipes!$A:$D,4,FALSE)&amp;"]"))</f>
        <v/>
      </c>
      <c r="M134" s="46" t="str">
        <f t="array" ref="M134">IF('.'!M134="","",'.'!M134&amp;IF(VLOOKUP('.'!M134,Recipes!$A:$D,4,FALSE)="",""," ["&amp;VLOOKUP('.'!M134,Recipes!$A:$D,4,FALSE)&amp;"]"))</f>
        <v/>
      </c>
      <c r="N134" s="46" t="str">
        <f t="array" ref="N134">IF('.'!N134="","",'.'!N134&amp;IF(VLOOKUP('.'!N134,Recipes!$A:$D,4,FALSE)="",""," ["&amp;VLOOKUP('.'!N134,Recipes!$A:$D,4,FALSE)&amp;"]"))</f>
        <v/>
      </c>
      <c r="O134" s="46" t="str">
        <f t="array" ref="O134">IF('.'!O134="","",'.'!O134&amp;IF(VLOOKUP('.'!O134,Recipes!$A:$D,4,FALSE)="",""," ["&amp;VLOOKUP('.'!O134,Recipes!$A:$D,4,FALSE)&amp;"]"))</f>
        <v/>
      </c>
      <c r="P134" s="46" t="str">
        <f t="array" ref="P134">IF('.'!P134="","",'.'!P134&amp;IF(VLOOKUP('.'!P134,Recipes!$A:$D,4,FALSE)="",""," ["&amp;VLOOKUP('.'!P134,Recipes!$A:$D,4,FALSE)&amp;"]"))</f>
        <v/>
      </c>
      <c r="Q134" s="46" t="str">
        <f t="array" ref="Q134">IF('.'!Q134="","",'.'!Q134&amp;IF(VLOOKUP('.'!Q134,Recipes!$A:$D,4,FALSE)="",""," ["&amp;VLOOKUP('.'!Q134,Recipes!$A:$D,4,FALSE)&amp;"]"))</f>
        <v/>
      </c>
      <c r="R134" s="46" t="str">
        <f t="array" ref="R134">IF('.'!R134="","",'.'!R134&amp;IF(VLOOKUP('.'!R134,Recipes!$A:$D,4,FALSE)="",""," ["&amp;VLOOKUP('.'!R134,Recipes!$A:$D,4,FALSE)&amp;"]"))</f>
        <v/>
      </c>
      <c r="S134" s="46" t="str">
        <f t="array" ref="S134">IF('.'!S134="","",'.'!S134&amp;IF(VLOOKUP('.'!S134,Recipes!$A:$D,4,FALSE)="",""," ["&amp;VLOOKUP('.'!S134,Recipes!$A:$D,4,FALSE)&amp;"]"))</f>
        <v/>
      </c>
      <c r="T134" s="46" t="str">
        <f t="array" ref="T134">IF('.'!T134="","",'.'!T134&amp;IF(VLOOKUP('.'!T134,Recipes!$A:$D,4,FALSE)="",""," ["&amp;VLOOKUP('.'!T134,Recipes!$A:$D,4,FALSE)&amp;"]"))</f>
        <v/>
      </c>
      <c r="U134" s="46" t="str">
        <f t="array" ref="U134">IF('.'!U134="","",'.'!U134&amp;IF(VLOOKUP('.'!U134,Recipes!$A:$D,4,FALSE)="",""," ["&amp;VLOOKUP('.'!U134,Recipes!$A:$D,4,FALSE)&amp;"]"))</f>
        <v/>
      </c>
      <c r="V134" s="46" t="str">
        <f t="array" ref="V134">IF('.'!V134="","",'.'!V134&amp;IF(VLOOKUP('.'!V134,Recipes!$A:$D,4,FALSE)="",""," ["&amp;VLOOKUP('.'!V134,Recipes!$A:$D,4,FALSE)&amp;"]"))</f>
        <v/>
      </c>
      <c r="W134" s="46" t="str">
        <f t="array" ref="W134">IF('.'!W134="","",'.'!W134&amp;IF(VLOOKUP('.'!W134,Recipes!$A:$D,4,FALSE)="",""," ["&amp;VLOOKUP('.'!W134,Recipes!$A:$D,4,FALSE)&amp;"]"))</f>
        <v/>
      </c>
      <c r="X134" s="46" t="str">
        <f t="array" ref="X134">IF('.'!X134="","",'.'!X134&amp;IF(VLOOKUP('.'!X134,Recipes!$A:$D,4,FALSE)="",""," ["&amp;VLOOKUP('.'!X134,Recipes!$A:$D,4,FALSE)&amp;"]"))</f>
        <v/>
      </c>
      <c r="Y134" s="46" t="str">
        <f t="array" ref="Y134">IF('.'!Y134="","",'.'!Y134&amp;IF(VLOOKUP('.'!Y134,Recipes!$A:$D,4,FALSE)="",""," ["&amp;VLOOKUP('.'!Y134,Recipes!$A:$D,4,FALSE)&amp;"]"))</f>
        <v/>
      </c>
      <c r="Z134" s="46" t="str">
        <f t="array" ref="Z134">IF('.'!Z134="","",'.'!Z134&amp;IF(VLOOKUP('.'!Z134,Recipes!$A:$D,4,FALSE)="",""," ["&amp;VLOOKUP('.'!Z134,Recipes!$A:$D,4,FALSE)&amp;"]"))</f>
        <v/>
      </c>
      <c r="AA134" s="46" t="str">
        <f t="array" ref="AA134">IF('.'!AA134="","",'.'!AA134&amp;IF(VLOOKUP('.'!AA134,Recipes!$A:$D,4,FALSE)="",""," ["&amp;VLOOKUP('.'!AA134,Recipes!$A:$D,4,FALSE)&amp;"]"))</f>
        <v/>
      </c>
      <c r="AB134" s="46" t="str">
        <f t="array" ref="AB134">IF('.'!AB134="","",'.'!AB134&amp;IF(VLOOKUP('.'!AB134,Recipes!$A:$D,4,FALSE)="",""," ["&amp;VLOOKUP('.'!AB134,Recipes!$A:$D,4,FALSE)&amp;"]"))</f>
        <v/>
      </c>
      <c r="AC134" s="46" t="str">
        <f t="array" ref="AC134">IF('.'!AC134="","",'.'!AC134&amp;IF(VLOOKUP('.'!AC134,Recipes!$A:$D,4,FALSE)="",""," ["&amp;VLOOKUP('.'!AC134,Recipes!$A:$D,4,FALSE)&amp;"]"))</f>
        <v/>
      </c>
      <c r="AD134" s="46" t="str">
        <f t="array" ref="AD134">IF('.'!AD134="","",'.'!AD134&amp;IF(VLOOKUP('.'!AD134,Recipes!$A:$D,4,FALSE)="",""," ["&amp;VLOOKUP('.'!AD134,Recipes!$A:$D,4,FALSE)&amp;"]"))</f>
        <v/>
      </c>
      <c r="AE134" s="47"/>
      <c r="AF134" s="47"/>
      <c r="AG134" s="47"/>
      <c r="AH134" s="47"/>
      <c r="AI134" s="47"/>
      <c r="AJ134" s="47"/>
      <c r="AK134" s="47"/>
      <c r="AL134" s="47"/>
      <c r="AM134" s="47"/>
      <c r="AN134" s="47"/>
      <c r="AO134" s="47"/>
      <c r="AP134" s="47"/>
      <c r="AQ134" s="47"/>
      <c r="AR134" s="47"/>
      <c r="AS134" s="47"/>
      <c r="AT134" s="47"/>
      <c r="AU134" s="47"/>
      <c r="AV134" s="47"/>
      <c r="AW134" s="47"/>
      <c r="AX134" s="47"/>
      <c r="AY134" s="47"/>
      <c r="AZ134" s="47"/>
      <c r="BA134" s="47"/>
      <c r="BB134" s="47"/>
      <c r="BC134" s="47"/>
      <c r="BD134" s="47"/>
      <c r="BE134" s="47"/>
      <c r="BF134" s="47"/>
      <c r="BG134" s="47"/>
      <c r="BH134" s="47"/>
      <c r="BI134" s="47"/>
      <c r="BJ134" s="47"/>
      <c r="BK134" s="47"/>
      <c r="BL134" s="47"/>
      <c r="BM134" s="47"/>
      <c r="BN134" s="47"/>
      <c r="BO134" s="47"/>
      <c r="BP134" s="47"/>
      <c r="BQ134" s="47"/>
      <c r="BR134" s="47"/>
      <c r="BS134" s="47"/>
      <c r="BT134" s="47"/>
      <c r="BU134" s="47"/>
      <c r="BV134" s="47"/>
      <c r="BW134" s="47"/>
      <c r="BX134" s="47"/>
      <c r="BY134" s="47"/>
      <c r="BZ134" s="47"/>
    </row>
    <row r="135" spans="1:78" ht="13">
      <c r="A135" s="48" t="str">
        <f ca="1">'.'!A135</f>
        <v>Door to Eternity Scroll</v>
      </c>
      <c r="B135" s="46" t="str">
        <f t="array" aca="1" ref="B135" ca="1">IF('.'!B135="","",'.'!B135&amp;IF(VLOOKUP('.'!B135,Recipes!$A:$D,4,FALSE)="",""," ["&amp;VLOOKUP('.'!B135,Recipes!$A:$D,4,FALSE)&amp;"]"))</f>
        <v>Door to Eternity Skillbook [400]</v>
      </c>
      <c r="C135" s="46" t="str">
        <f t="array" ref="C135">IF('.'!C135="","",'.'!C135&amp;IF(VLOOKUP('.'!C135,Recipes!$A:$D,4,FALSE)="",""," ["&amp;VLOOKUP('.'!C135,Recipes!$A:$D,4,FALSE)&amp;"]"))</f>
        <v/>
      </c>
      <c r="D135" s="46" t="str">
        <f t="array" ref="D135">IF('.'!D135="","",'.'!D135&amp;IF(VLOOKUP('.'!D135,Recipes!$A:$D,4,FALSE)="",""," ["&amp;VLOOKUP('.'!D135,Recipes!$A:$D,4,FALSE)&amp;"]"))</f>
        <v/>
      </c>
      <c r="E135" s="46" t="str">
        <f t="array" ref="E135">IF('.'!E135="","",'.'!E135&amp;IF(VLOOKUP('.'!E135,Recipes!$A:$D,4,FALSE)="",""," ["&amp;VLOOKUP('.'!E135,Recipes!$A:$D,4,FALSE)&amp;"]"))</f>
        <v/>
      </c>
      <c r="F135" s="46" t="str">
        <f t="array" ref="F135">IF('.'!F135="","",'.'!F135&amp;IF(VLOOKUP('.'!F135,Recipes!$A:$D,4,FALSE)="",""," ["&amp;VLOOKUP('.'!F135,Recipes!$A:$D,4,FALSE)&amp;"]"))</f>
        <v/>
      </c>
      <c r="G135" s="46" t="str">
        <f t="array" ref="G135">IF('.'!G135="","",'.'!G135&amp;IF(VLOOKUP('.'!G135,Recipes!$A:$D,4,FALSE)="",""," ["&amp;VLOOKUP('.'!G135,Recipes!$A:$D,4,FALSE)&amp;"]"))</f>
        <v/>
      </c>
      <c r="H135" s="46" t="str">
        <f t="array" ref="H135">IF('.'!H135="","",'.'!H135&amp;IF(VLOOKUP('.'!H135,Recipes!$A:$D,4,FALSE)="",""," ["&amp;VLOOKUP('.'!H135,Recipes!$A:$D,4,FALSE)&amp;"]"))</f>
        <v/>
      </c>
      <c r="I135" s="46" t="str">
        <f t="array" ref="I135">IF('.'!I135="","",'.'!I135&amp;IF(VLOOKUP('.'!I135,Recipes!$A:$D,4,FALSE)="",""," ["&amp;VLOOKUP('.'!I135,Recipes!$A:$D,4,FALSE)&amp;"]"))</f>
        <v/>
      </c>
      <c r="J135" s="46" t="str">
        <f t="array" ref="J135">IF('.'!J135="","",'.'!J135&amp;IF(VLOOKUP('.'!J135,Recipes!$A:$D,4,FALSE)="",""," ["&amp;VLOOKUP('.'!J135,Recipes!$A:$D,4,FALSE)&amp;"]"))</f>
        <v/>
      </c>
      <c r="K135" s="46" t="str">
        <f t="array" ref="K135">IF('.'!K135="","",'.'!K135&amp;IF(VLOOKUP('.'!K135,Recipes!$A:$D,4,FALSE)="",""," ["&amp;VLOOKUP('.'!K135,Recipes!$A:$D,4,FALSE)&amp;"]"))</f>
        <v/>
      </c>
      <c r="L135" s="46" t="str">
        <f t="array" ref="L135">IF('.'!L135="","",'.'!L135&amp;IF(VLOOKUP('.'!L135,Recipes!$A:$D,4,FALSE)="",""," ["&amp;VLOOKUP('.'!L135,Recipes!$A:$D,4,FALSE)&amp;"]"))</f>
        <v/>
      </c>
      <c r="M135" s="46" t="str">
        <f t="array" ref="M135">IF('.'!M135="","",'.'!M135&amp;IF(VLOOKUP('.'!M135,Recipes!$A:$D,4,FALSE)="",""," ["&amp;VLOOKUP('.'!M135,Recipes!$A:$D,4,FALSE)&amp;"]"))</f>
        <v/>
      </c>
      <c r="N135" s="46" t="str">
        <f t="array" ref="N135">IF('.'!N135="","",'.'!N135&amp;IF(VLOOKUP('.'!N135,Recipes!$A:$D,4,FALSE)="",""," ["&amp;VLOOKUP('.'!N135,Recipes!$A:$D,4,FALSE)&amp;"]"))</f>
        <v/>
      </c>
      <c r="O135" s="46" t="str">
        <f t="array" ref="O135">IF('.'!O135="","",'.'!O135&amp;IF(VLOOKUP('.'!O135,Recipes!$A:$D,4,FALSE)="",""," ["&amp;VLOOKUP('.'!O135,Recipes!$A:$D,4,FALSE)&amp;"]"))</f>
        <v/>
      </c>
      <c r="P135" s="46" t="str">
        <f t="array" ref="P135">IF('.'!P135="","",'.'!P135&amp;IF(VLOOKUP('.'!P135,Recipes!$A:$D,4,FALSE)="",""," ["&amp;VLOOKUP('.'!P135,Recipes!$A:$D,4,FALSE)&amp;"]"))</f>
        <v/>
      </c>
      <c r="Q135" s="46" t="str">
        <f t="array" ref="Q135">IF('.'!Q135="","",'.'!Q135&amp;IF(VLOOKUP('.'!Q135,Recipes!$A:$D,4,FALSE)="",""," ["&amp;VLOOKUP('.'!Q135,Recipes!$A:$D,4,FALSE)&amp;"]"))</f>
        <v/>
      </c>
      <c r="R135" s="46" t="str">
        <f t="array" ref="R135">IF('.'!R135="","",'.'!R135&amp;IF(VLOOKUP('.'!R135,Recipes!$A:$D,4,FALSE)="",""," ["&amp;VLOOKUP('.'!R135,Recipes!$A:$D,4,FALSE)&amp;"]"))</f>
        <v/>
      </c>
      <c r="S135" s="46" t="str">
        <f t="array" ref="S135">IF('.'!S135="","",'.'!S135&amp;IF(VLOOKUP('.'!S135,Recipes!$A:$D,4,FALSE)="",""," ["&amp;VLOOKUP('.'!S135,Recipes!$A:$D,4,FALSE)&amp;"]"))</f>
        <v/>
      </c>
      <c r="T135" s="46" t="str">
        <f t="array" ref="T135">IF('.'!T135="","",'.'!T135&amp;IF(VLOOKUP('.'!T135,Recipes!$A:$D,4,FALSE)="",""," ["&amp;VLOOKUP('.'!T135,Recipes!$A:$D,4,FALSE)&amp;"]"))</f>
        <v/>
      </c>
      <c r="U135" s="46" t="str">
        <f t="array" ref="U135">IF('.'!U135="","",'.'!U135&amp;IF(VLOOKUP('.'!U135,Recipes!$A:$D,4,FALSE)="",""," ["&amp;VLOOKUP('.'!U135,Recipes!$A:$D,4,FALSE)&amp;"]"))</f>
        <v/>
      </c>
      <c r="V135" s="46" t="str">
        <f t="array" ref="V135">IF('.'!V135="","",'.'!V135&amp;IF(VLOOKUP('.'!V135,Recipes!$A:$D,4,FALSE)="",""," ["&amp;VLOOKUP('.'!V135,Recipes!$A:$D,4,FALSE)&amp;"]"))</f>
        <v/>
      </c>
      <c r="W135" s="46" t="str">
        <f t="array" ref="W135">IF('.'!W135="","",'.'!W135&amp;IF(VLOOKUP('.'!W135,Recipes!$A:$D,4,FALSE)="",""," ["&amp;VLOOKUP('.'!W135,Recipes!$A:$D,4,FALSE)&amp;"]"))</f>
        <v/>
      </c>
      <c r="X135" s="46" t="str">
        <f t="array" ref="X135">IF('.'!X135="","",'.'!X135&amp;IF(VLOOKUP('.'!X135,Recipes!$A:$D,4,FALSE)="",""," ["&amp;VLOOKUP('.'!X135,Recipes!$A:$D,4,FALSE)&amp;"]"))</f>
        <v/>
      </c>
      <c r="Y135" s="46" t="str">
        <f t="array" ref="Y135">IF('.'!Y135="","",'.'!Y135&amp;IF(VLOOKUP('.'!Y135,Recipes!$A:$D,4,FALSE)="",""," ["&amp;VLOOKUP('.'!Y135,Recipes!$A:$D,4,FALSE)&amp;"]"))</f>
        <v/>
      </c>
      <c r="Z135" s="46" t="str">
        <f t="array" ref="Z135">IF('.'!Z135="","",'.'!Z135&amp;IF(VLOOKUP('.'!Z135,Recipes!$A:$D,4,FALSE)="",""," ["&amp;VLOOKUP('.'!Z135,Recipes!$A:$D,4,FALSE)&amp;"]"))</f>
        <v/>
      </c>
      <c r="AA135" s="46" t="str">
        <f t="array" ref="AA135">IF('.'!AA135="","",'.'!AA135&amp;IF(VLOOKUP('.'!AA135,Recipes!$A:$D,4,FALSE)="",""," ["&amp;VLOOKUP('.'!AA135,Recipes!$A:$D,4,FALSE)&amp;"]"))</f>
        <v/>
      </c>
      <c r="AB135" s="46" t="str">
        <f t="array" ref="AB135">IF('.'!AB135="","",'.'!AB135&amp;IF(VLOOKUP('.'!AB135,Recipes!$A:$D,4,FALSE)="",""," ["&amp;VLOOKUP('.'!AB135,Recipes!$A:$D,4,FALSE)&amp;"]"))</f>
        <v/>
      </c>
      <c r="AC135" s="46" t="str">
        <f t="array" ref="AC135">IF('.'!AC135="","",'.'!AC135&amp;IF(VLOOKUP('.'!AC135,Recipes!$A:$D,4,FALSE)="",""," ["&amp;VLOOKUP('.'!AC135,Recipes!$A:$D,4,FALSE)&amp;"]"))</f>
        <v/>
      </c>
      <c r="AD135" s="46" t="str">
        <f t="array" ref="AD135">IF('.'!AD135="","",'.'!AD135&amp;IF(VLOOKUP('.'!AD135,Recipes!$A:$D,4,FALSE)="",""," ["&amp;VLOOKUP('.'!AD135,Recipes!$A:$D,4,FALSE)&amp;"]"))</f>
        <v/>
      </c>
      <c r="AE135" s="47"/>
      <c r="AF135" s="47"/>
      <c r="AG135" s="47"/>
      <c r="AH135" s="47"/>
      <c r="AI135" s="47"/>
      <c r="AJ135" s="47"/>
      <c r="AK135" s="47"/>
      <c r="AL135" s="47"/>
      <c r="AM135" s="47"/>
      <c r="AN135" s="47"/>
      <c r="AO135" s="47"/>
      <c r="AP135" s="47"/>
      <c r="AQ135" s="47"/>
      <c r="AR135" s="47"/>
      <c r="AS135" s="47"/>
      <c r="AT135" s="47"/>
      <c r="AU135" s="47"/>
      <c r="AV135" s="47"/>
      <c r="AW135" s="47"/>
      <c r="AX135" s="47"/>
      <c r="AY135" s="47"/>
      <c r="AZ135" s="47"/>
      <c r="BA135" s="47"/>
      <c r="BB135" s="47"/>
      <c r="BC135" s="47"/>
      <c r="BD135" s="47"/>
      <c r="BE135" s="47"/>
      <c r="BF135" s="47"/>
      <c r="BG135" s="47"/>
      <c r="BH135" s="47"/>
      <c r="BI135" s="47"/>
      <c r="BJ135" s="47"/>
      <c r="BK135" s="47"/>
      <c r="BL135" s="47"/>
      <c r="BM135" s="47"/>
      <c r="BN135" s="47"/>
      <c r="BO135" s="47"/>
      <c r="BP135" s="47"/>
      <c r="BQ135" s="47"/>
      <c r="BR135" s="47"/>
      <c r="BS135" s="47"/>
      <c r="BT135" s="47"/>
      <c r="BU135" s="47"/>
      <c r="BV135" s="47"/>
      <c r="BW135" s="47"/>
      <c r="BX135" s="47"/>
      <c r="BY135" s="47"/>
      <c r="BZ135" s="47"/>
    </row>
    <row r="136" spans="1:78" ht="13">
      <c r="A136" s="48" t="str">
        <f ca="1">'.'!A136</f>
        <v>Dough</v>
      </c>
      <c r="B136" s="46" t="str">
        <f t="array" aca="1" ref="B136" ca="1">IF('.'!B136="","",'.'!B136&amp;IF(VLOOKUP('.'!B136,Recipes!$A:$D,4,FALSE)="",""," ["&amp;VLOOKUP('.'!B136,Recipes!$A:$D,4,FALSE)&amp;"]"))</f>
        <v>Bread [1]</v>
      </c>
      <c r="C136" s="46" t="str">
        <f t="array" aca="1" ref="C136" ca="1">IF('.'!C136="","",'.'!C136&amp;IF(VLOOKUP('.'!C136,Recipes!$A:$D,4,FALSE)="",""," ["&amp;VLOOKUP('.'!C136,Recipes!$A:$D,4,FALSE)&amp;"]"))</f>
        <v>Apple Pie Dough [-1]</v>
      </c>
      <c r="D136" s="46" t="str">
        <f t="array" aca="1" ref="D136" ca="1">IF('.'!D136="","",'.'!D136&amp;IF(VLOOKUP('.'!D136,Recipes!$A:$D,4,FALSE)="",""," ["&amp;VLOOKUP('.'!D136,Recipes!$A:$D,4,FALSE)&amp;"]"))</f>
        <v>Cheese Bread Dough [-1]</v>
      </c>
      <c r="E136" s="46" t="str">
        <f t="array" aca="1" ref="E136" ca="1">IF('.'!E136="","",'.'!E136&amp;IF(VLOOKUP('.'!E136,Recipes!$A:$D,4,FALSE)="",""," ["&amp;VLOOKUP('.'!E136,Recipes!$A:$D,4,FALSE)&amp;"]"))</f>
        <v>Fish Pie Dough [1]</v>
      </c>
      <c r="F136" s="46" t="str">
        <f t="array" aca="1" ref="F136" ca="1">IF('.'!F136="","",'.'!F136&amp;IF(VLOOKUP('.'!F136,Recipes!$A:$D,4,FALSE)="",""," ["&amp;VLOOKUP('.'!F136,Recipes!$A:$D,4,FALSE)&amp;"]"))</f>
        <v>Pizza Dough [-1]</v>
      </c>
      <c r="G136" s="46" t="str">
        <f t="array" ref="G136">IF('.'!G136="","",'.'!G136&amp;IF(VLOOKUP('.'!G136,Recipes!$A:$D,4,FALSE)="",""," ["&amp;VLOOKUP('.'!G136,Recipes!$A:$D,4,FALSE)&amp;"]"))</f>
        <v/>
      </c>
      <c r="H136" s="46" t="str">
        <f t="array" ref="H136">IF('.'!H136="","",'.'!H136&amp;IF(VLOOKUP('.'!H136,Recipes!$A:$D,4,FALSE)="",""," ["&amp;VLOOKUP('.'!H136,Recipes!$A:$D,4,FALSE)&amp;"]"))</f>
        <v/>
      </c>
      <c r="I136" s="46" t="str">
        <f t="array" ref="I136">IF('.'!I136="","",'.'!I136&amp;IF(VLOOKUP('.'!I136,Recipes!$A:$D,4,FALSE)="",""," ["&amp;VLOOKUP('.'!I136,Recipes!$A:$D,4,FALSE)&amp;"]"))</f>
        <v/>
      </c>
      <c r="J136" s="46" t="str">
        <f t="array" ref="J136">IF('.'!J136="","",'.'!J136&amp;IF(VLOOKUP('.'!J136,Recipes!$A:$D,4,FALSE)="",""," ["&amp;VLOOKUP('.'!J136,Recipes!$A:$D,4,FALSE)&amp;"]"))</f>
        <v/>
      </c>
      <c r="K136" s="46" t="str">
        <f t="array" ref="K136">IF('.'!K136="","",'.'!K136&amp;IF(VLOOKUP('.'!K136,Recipes!$A:$D,4,FALSE)="",""," ["&amp;VLOOKUP('.'!K136,Recipes!$A:$D,4,FALSE)&amp;"]"))</f>
        <v/>
      </c>
      <c r="L136" s="46" t="str">
        <f t="array" ref="L136">IF('.'!L136="","",'.'!L136&amp;IF(VLOOKUP('.'!L136,Recipes!$A:$D,4,FALSE)="",""," ["&amp;VLOOKUP('.'!L136,Recipes!$A:$D,4,FALSE)&amp;"]"))</f>
        <v/>
      </c>
      <c r="M136" s="46" t="str">
        <f t="array" ref="M136">IF('.'!M136="","",'.'!M136&amp;IF(VLOOKUP('.'!M136,Recipes!$A:$D,4,FALSE)="",""," ["&amp;VLOOKUP('.'!M136,Recipes!$A:$D,4,FALSE)&amp;"]"))</f>
        <v/>
      </c>
      <c r="N136" s="46" t="str">
        <f t="array" ref="N136">IF('.'!N136="","",'.'!N136&amp;IF(VLOOKUP('.'!N136,Recipes!$A:$D,4,FALSE)="",""," ["&amp;VLOOKUP('.'!N136,Recipes!$A:$D,4,FALSE)&amp;"]"))</f>
        <v/>
      </c>
      <c r="O136" s="46" t="str">
        <f t="array" ref="O136">IF('.'!O136="","",'.'!O136&amp;IF(VLOOKUP('.'!O136,Recipes!$A:$D,4,FALSE)="",""," ["&amp;VLOOKUP('.'!O136,Recipes!$A:$D,4,FALSE)&amp;"]"))</f>
        <v/>
      </c>
      <c r="P136" s="46" t="str">
        <f t="array" ref="P136">IF('.'!P136="","",'.'!P136&amp;IF(VLOOKUP('.'!P136,Recipes!$A:$D,4,FALSE)="",""," ["&amp;VLOOKUP('.'!P136,Recipes!$A:$D,4,FALSE)&amp;"]"))</f>
        <v/>
      </c>
      <c r="Q136" s="46" t="str">
        <f t="array" ref="Q136">IF('.'!Q136="","",'.'!Q136&amp;IF(VLOOKUP('.'!Q136,Recipes!$A:$D,4,FALSE)="",""," ["&amp;VLOOKUP('.'!Q136,Recipes!$A:$D,4,FALSE)&amp;"]"))</f>
        <v/>
      </c>
      <c r="R136" s="46" t="str">
        <f t="array" ref="R136">IF('.'!R136="","",'.'!R136&amp;IF(VLOOKUP('.'!R136,Recipes!$A:$D,4,FALSE)="",""," ["&amp;VLOOKUP('.'!R136,Recipes!$A:$D,4,FALSE)&amp;"]"))</f>
        <v/>
      </c>
      <c r="S136" s="46" t="str">
        <f t="array" ref="S136">IF('.'!S136="","",'.'!S136&amp;IF(VLOOKUP('.'!S136,Recipes!$A:$D,4,FALSE)="",""," ["&amp;VLOOKUP('.'!S136,Recipes!$A:$D,4,FALSE)&amp;"]"))</f>
        <v/>
      </c>
      <c r="T136" s="46" t="str">
        <f t="array" ref="T136">IF('.'!T136="","",'.'!T136&amp;IF(VLOOKUP('.'!T136,Recipes!$A:$D,4,FALSE)="",""," ["&amp;VLOOKUP('.'!T136,Recipes!$A:$D,4,FALSE)&amp;"]"))</f>
        <v/>
      </c>
      <c r="U136" s="46" t="str">
        <f t="array" ref="U136">IF('.'!U136="","",'.'!U136&amp;IF(VLOOKUP('.'!U136,Recipes!$A:$D,4,FALSE)="",""," ["&amp;VLOOKUP('.'!U136,Recipes!$A:$D,4,FALSE)&amp;"]"))</f>
        <v/>
      </c>
      <c r="V136" s="46" t="str">
        <f t="array" ref="V136">IF('.'!V136="","",'.'!V136&amp;IF(VLOOKUP('.'!V136,Recipes!$A:$D,4,FALSE)="",""," ["&amp;VLOOKUP('.'!V136,Recipes!$A:$D,4,FALSE)&amp;"]"))</f>
        <v/>
      </c>
      <c r="W136" s="46" t="str">
        <f t="array" ref="W136">IF('.'!W136="","",'.'!W136&amp;IF(VLOOKUP('.'!W136,Recipes!$A:$D,4,FALSE)="",""," ["&amp;VLOOKUP('.'!W136,Recipes!$A:$D,4,FALSE)&amp;"]"))</f>
        <v/>
      </c>
      <c r="X136" s="46" t="str">
        <f t="array" ref="X136">IF('.'!X136="","",'.'!X136&amp;IF(VLOOKUP('.'!X136,Recipes!$A:$D,4,FALSE)="",""," ["&amp;VLOOKUP('.'!X136,Recipes!$A:$D,4,FALSE)&amp;"]"))</f>
        <v/>
      </c>
      <c r="Y136" s="46" t="str">
        <f t="array" ref="Y136">IF('.'!Y136="","",'.'!Y136&amp;IF(VLOOKUP('.'!Y136,Recipes!$A:$D,4,FALSE)="",""," ["&amp;VLOOKUP('.'!Y136,Recipes!$A:$D,4,FALSE)&amp;"]"))</f>
        <v/>
      </c>
      <c r="Z136" s="46" t="str">
        <f t="array" ref="Z136">IF('.'!Z136="","",'.'!Z136&amp;IF(VLOOKUP('.'!Z136,Recipes!$A:$D,4,FALSE)="",""," ["&amp;VLOOKUP('.'!Z136,Recipes!$A:$D,4,FALSE)&amp;"]"))</f>
        <v/>
      </c>
      <c r="AA136" s="46" t="str">
        <f t="array" ref="AA136">IF('.'!AA136="","",'.'!AA136&amp;IF(VLOOKUP('.'!AA136,Recipes!$A:$D,4,FALSE)="",""," ["&amp;VLOOKUP('.'!AA136,Recipes!$A:$D,4,FALSE)&amp;"]"))</f>
        <v/>
      </c>
      <c r="AB136" s="46" t="str">
        <f t="array" ref="AB136">IF('.'!AB136="","",'.'!AB136&amp;IF(VLOOKUP('.'!AB136,Recipes!$A:$D,4,FALSE)="",""," ["&amp;VLOOKUP('.'!AB136,Recipes!$A:$D,4,FALSE)&amp;"]"))</f>
        <v/>
      </c>
      <c r="AC136" s="46" t="str">
        <f t="array" ref="AC136">IF('.'!AC136="","",'.'!AC136&amp;IF(VLOOKUP('.'!AC136,Recipes!$A:$D,4,FALSE)="",""," ["&amp;VLOOKUP('.'!AC136,Recipes!$A:$D,4,FALSE)&amp;"]"))</f>
        <v/>
      </c>
      <c r="AD136" s="46" t="str">
        <f t="array" ref="AD136">IF('.'!AD136="","",'.'!AD136&amp;IF(VLOOKUP('.'!AD136,Recipes!$A:$D,4,FALSE)="",""," ["&amp;VLOOKUP('.'!AD136,Recipes!$A:$D,4,FALSE)&amp;"]"))</f>
        <v/>
      </c>
      <c r="AE136" s="47"/>
      <c r="AF136" s="47"/>
      <c r="AG136" s="47"/>
      <c r="AH136" s="47"/>
      <c r="AI136" s="47"/>
      <c r="AJ136" s="47"/>
      <c r="AK136" s="47"/>
      <c r="AL136" s="47"/>
      <c r="AM136" s="47"/>
      <c r="AN136" s="47"/>
      <c r="AO136" s="47"/>
      <c r="AP136" s="47"/>
      <c r="AQ136" s="47"/>
      <c r="AR136" s="47"/>
      <c r="AS136" s="47"/>
      <c r="AT136" s="47"/>
      <c r="AU136" s="47"/>
      <c r="AV136" s="47"/>
      <c r="AW136" s="47"/>
      <c r="AX136" s="47"/>
      <c r="AY136" s="47"/>
      <c r="AZ136" s="47"/>
      <c r="BA136" s="47"/>
      <c r="BB136" s="47"/>
      <c r="BC136" s="47"/>
      <c r="BD136" s="47"/>
      <c r="BE136" s="47"/>
      <c r="BF136" s="47"/>
      <c r="BG136" s="47"/>
      <c r="BH136" s="47"/>
      <c r="BI136" s="47"/>
      <c r="BJ136" s="47"/>
      <c r="BK136" s="47"/>
      <c r="BL136" s="47"/>
      <c r="BM136" s="47"/>
      <c r="BN136" s="47"/>
      <c r="BO136" s="47"/>
      <c r="BP136" s="47"/>
      <c r="BQ136" s="47"/>
      <c r="BR136" s="47"/>
      <c r="BS136" s="47"/>
      <c r="BT136" s="47"/>
      <c r="BU136" s="47"/>
      <c r="BV136" s="47"/>
      <c r="BW136" s="47"/>
      <c r="BX136" s="47"/>
      <c r="BY136" s="47"/>
      <c r="BZ136" s="47"/>
    </row>
    <row r="137" spans="1:78" ht="13">
      <c r="A137" s="48" t="str">
        <f ca="1">'.'!A137</f>
        <v>Dreamer Pipe</v>
      </c>
      <c r="B137" s="46" t="str">
        <f t="array" aca="1" ref="B137" ca="1">IF('.'!B137="","",'.'!B137&amp;IF(VLOOKUP('.'!B137,Recipes!$A:$D,4,FALSE)="",""," ["&amp;VLOOKUP('.'!B137,Recipes!$A:$D,4,FALSE)&amp;"]"))</f>
        <v>[immediately applies effect] [-200]</v>
      </c>
      <c r="C137" s="46" t="str">
        <f t="array" ref="C137">IF('.'!C137="","",'.'!C137&amp;IF(VLOOKUP('.'!C137,Recipes!$A:$D,4,FALSE)="",""," ["&amp;VLOOKUP('.'!C137,Recipes!$A:$D,4,FALSE)&amp;"]"))</f>
        <v/>
      </c>
      <c r="D137" s="46" t="str">
        <f t="array" ref="D137">IF('.'!D137="","",'.'!D137&amp;IF(VLOOKUP('.'!D137,Recipes!$A:$D,4,FALSE)="",""," ["&amp;VLOOKUP('.'!D137,Recipes!$A:$D,4,FALSE)&amp;"]"))</f>
        <v/>
      </c>
      <c r="E137" s="46" t="str">
        <f t="array" ref="E137">IF('.'!E137="","",'.'!E137&amp;IF(VLOOKUP('.'!E137,Recipes!$A:$D,4,FALSE)="",""," ["&amp;VLOOKUP('.'!E137,Recipes!$A:$D,4,FALSE)&amp;"]"))</f>
        <v/>
      </c>
      <c r="F137" s="46" t="str">
        <f t="array" ref="F137">IF('.'!F137="","",'.'!F137&amp;IF(VLOOKUP('.'!F137,Recipes!$A:$D,4,FALSE)="",""," ["&amp;VLOOKUP('.'!F137,Recipes!$A:$D,4,FALSE)&amp;"]"))</f>
        <v/>
      </c>
      <c r="G137" s="46" t="str">
        <f t="array" ref="G137">IF('.'!G137="","",'.'!G137&amp;IF(VLOOKUP('.'!G137,Recipes!$A:$D,4,FALSE)="",""," ["&amp;VLOOKUP('.'!G137,Recipes!$A:$D,4,FALSE)&amp;"]"))</f>
        <v/>
      </c>
      <c r="H137" s="46" t="str">
        <f t="array" ref="H137">IF('.'!H137="","",'.'!H137&amp;IF(VLOOKUP('.'!H137,Recipes!$A:$D,4,FALSE)="",""," ["&amp;VLOOKUP('.'!H137,Recipes!$A:$D,4,FALSE)&amp;"]"))</f>
        <v/>
      </c>
      <c r="I137" s="46" t="str">
        <f t="array" ref="I137">IF('.'!I137="","",'.'!I137&amp;IF(VLOOKUP('.'!I137,Recipes!$A:$D,4,FALSE)="",""," ["&amp;VLOOKUP('.'!I137,Recipes!$A:$D,4,FALSE)&amp;"]"))</f>
        <v/>
      </c>
      <c r="J137" s="46" t="str">
        <f t="array" ref="J137">IF('.'!J137="","",'.'!J137&amp;IF(VLOOKUP('.'!J137,Recipes!$A:$D,4,FALSE)="",""," ["&amp;VLOOKUP('.'!J137,Recipes!$A:$D,4,FALSE)&amp;"]"))</f>
        <v/>
      </c>
      <c r="K137" s="46" t="str">
        <f t="array" ref="K137">IF('.'!K137="","",'.'!K137&amp;IF(VLOOKUP('.'!K137,Recipes!$A:$D,4,FALSE)="",""," ["&amp;VLOOKUP('.'!K137,Recipes!$A:$D,4,FALSE)&amp;"]"))</f>
        <v/>
      </c>
      <c r="L137" s="46" t="str">
        <f t="array" ref="L137">IF('.'!L137="","",'.'!L137&amp;IF(VLOOKUP('.'!L137,Recipes!$A:$D,4,FALSE)="",""," ["&amp;VLOOKUP('.'!L137,Recipes!$A:$D,4,FALSE)&amp;"]"))</f>
        <v/>
      </c>
      <c r="M137" s="46" t="str">
        <f t="array" ref="M137">IF('.'!M137="","",'.'!M137&amp;IF(VLOOKUP('.'!M137,Recipes!$A:$D,4,FALSE)="",""," ["&amp;VLOOKUP('.'!M137,Recipes!$A:$D,4,FALSE)&amp;"]"))</f>
        <v/>
      </c>
      <c r="N137" s="46" t="str">
        <f t="array" ref="N137">IF('.'!N137="","",'.'!N137&amp;IF(VLOOKUP('.'!N137,Recipes!$A:$D,4,FALSE)="",""," ["&amp;VLOOKUP('.'!N137,Recipes!$A:$D,4,FALSE)&amp;"]"))</f>
        <v/>
      </c>
      <c r="O137" s="46" t="str">
        <f t="array" ref="O137">IF('.'!O137="","",'.'!O137&amp;IF(VLOOKUP('.'!O137,Recipes!$A:$D,4,FALSE)="",""," ["&amp;VLOOKUP('.'!O137,Recipes!$A:$D,4,FALSE)&amp;"]"))</f>
        <v/>
      </c>
      <c r="P137" s="46" t="str">
        <f t="array" ref="P137">IF('.'!P137="","",'.'!P137&amp;IF(VLOOKUP('.'!P137,Recipes!$A:$D,4,FALSE)="",""," ["&amp;VLOOKUP('.'!P137,Recipes!$A:$D,4,FALSE)&amp;"]"))</f>
        <v/>
      </c>
      <c r="Q137" s="46" t="str">
        <f t="array" ref="Q137">IF('.'!Q137="","",'.'!Q137&amp;IF(VLOOKUP('.'!Q137,Recipes!$A:$D,4,FALSE)="",""," ["&amp;VLOOKUP('.'!Q137,Recipes!$A:$D,4,FALSE)&amp;"]"))</f>
        <v/>
      </c>
      <c r="R137" s="46" t="str">
        <f t="array" ref="R137">IF('.'!R137="","",'.'!R137&amp;IF(VLOOKUP('.'!R137,Recipes!$A:$D,4,FALSE)="",""," ["&amp;VLOOKUP('.'!R137,Recipes!$A:$D,4,FALSE)&amp;"]"))</f>
        <v/>
      </c>
      <c r="S137" s="46" t="str">
        <f t="array" ref="S137">IF('.'!S137="","",'.'!S137&amp;IF(VLOOKUP('.'!S137,Recipes!$A:$D,4,FALSE)="",""," ["&amp;VLOOKUP('.'!S137,Recipes!$A:$D,4,FALSE)&amp;"]"))</f>
        <v/>
      </c>
      <c r="T137" s="46" t="str">
        <f t="array" ref="T137">IF('.'!T137="","",'.'!T137&amp;IF(VLOOKUP('.'!T137,Recipes!$A:$D,4,FALSE)="",""," ["&amp;VLOOKUP('.'!T137,Recipes!$A:$D,4,FALSE)&amp;"]"))</f>
        <v/>
      </c>
      <c r="U137" s="46" t="str">
        <f t="array" ref="U137">IF('.'!U137="","",'.'!U137&amp;IF(VLOOKUP('.'!U137,Recipes!$A:$D,4,FALSE)="",""," ["&amp;VLOOKUP('.'!U137,Recipes!$A:$D,4,FALSE)&amp;"]"))</f>
        <v/>
      </c>
      <c r="V137" s="46" t="str">
        <f t="array" ref="V137">IF('.'!V137="","",'.'!V137&amp;IF(VLOOKUP('.'!V137,Recipes!$A:$D,4,FALSE)="",""," ["&amp;VLOOKUP('.'!V137,Recipes!$A:$D,4,FALSE)&amp;"]"))</f>
        <v/>
      </c>
      <c r="W137" s="46" t="str">
        <f t="array" ref="W137">IF('.'!W137="","",'.'!W137&amp;IF(VLOOKUP('.'!W137,Recipes!$A:$D,4,FALSE)="",""," ["&amp;VLOOKUP('.'!W137,Recipes!$A:$D,4,FALSE)&amp;"]"))</f>
        <v/>
      </c>
      <c r="X137" s="46" t="str">
        <f t="array" ref="X137">IF('.'!X137="","",'.'!X137&amp;IF(VLOOKUP('.'!X137,Recipes!$A:$D,4,FALSE)="",""," ["&amp;VLOOKUP('.'!X137,Recipes!$A:$D,4,FALSE)&amp;"]"))</f>
        <v/>
      </c>
      <c r="Y137" s="46" t="str">
        <f t="array" ref="Y137">IF('.'!Y137="","",'.'!Y137&amp;IF(VLOOKUP('.'!Y137,Recipes!$A:$D,4,FALSE)="",""," ["&amp;VLOOKUP('.'!Y137,Recipes!$A:$D,4,FALSE)&amp;"]"))</f>
        <v/>
      </c>
      <c r="Z137" s="46" t="str">
        <f t="array" ref="Z137">IF('.'!Z137="","",'.'!Z137&amp;IF(VLOOKUP('.'!Z137,Recipes!$A:$D,4,FALSE)="",""," ["&amp;VLOOKUP('.'!Z137,Recipes!$A:$D,4,FALSE)&amp;"]"))</f>
        <v/>
      </c>
      <c r="AA137" s="46" t="str">
        <f t="array" ref="AA137">IF('.'!AA137="","",'.'!AA137&amp;IF(VLOOKUP('.'!AA137,Recipes!$A:$D,4,FALSE)="",""," ["&amp;VLOOKUP('.'!AA137,Recipes!$A:$D,4,FALSE)&amp;"]"))</f>
        <v/>
      </c>
      <c r="AB137" s="46" t="str">
        <f t="array" ref="AB137">IF('.'!AB137="","",'.'!AB137&amp;IF(VLOOKUP('.'!AB137,Recipes!$A:$D,4,FALSE)="",""," ["&amp;VLOOKUP('.'!AB137,Recipes!$A:$D,4,FALSE)&amp;"]"))</f>
        <v/>
      </c>
      <c r="AC137" s="46" t="str">
        <f t="array" ref="AC137">IF('.'!AC137="","",'.'!AC137&amp;IF(VLOOKUP('.'!AC137,Recipes!$A:$D,4,FALSE)="",""," ["&amp;VLOOKUP('.'!AC137,Recipes!$A:$D,4,FALSE)&amp;"]"))</f>
        <v/>
      </c>
      <c r="AD137" s="46" t="str">
        <f t="array" ref="AD137">IF('.'!AD137="","",'.'!AD137&amp;IF(VLOOKUP('.'!AD137,Recipes!$A:$D,4,FALSE)="",""," ["&amp;VLOOKUP('.'!AD137,Recipes!$A:$D,4,FALSE)&amp;"]"))</f>
        <v/>
      </c>
      <c r="AE137" s="47"/>
      <c r="AF137" s="47"/>
      <c r="AG137" s="47"/>
      <c r="AH137" s="47"/>
      <c r="AI137" s="47"/>
      <c r="AJ137" s="47"/>
      <c r="AK137" s="47"/>
      <c r="AL137" s="47"/>
      <c r="AM137" s="47"/>
      <c r="AN137" s="47"/>
      <c r="AO137" s="47"/>
      <c r="AP137" s="47"/>
      <c r="AQ137" s="47"/>
      <c r="AR137" s="47"/>
      <c r="AS137" s="47"/>
      <c r="AT137" s="47"/>
      <c r="AU137" s="47"/>
      <c r="AV137" s="47"/>
      <c r="AW137" s="47"/>
      <c r="AX137" s="47"/>
      <c r="AY137" s="47"/>
      <c r="AZ137" s="47"/>
      <c r="BA137" s="47"/>
      <c r="BB137" s="47"/>
      <c r="BC137" s="47"/>
      <c r="BD137" s="47"/>
      <c r="BE137" s="47"/>
      <c r="BF137" s="47"/>
      <c r="BG137" s="47"/>
      <c r="BH137" s="47"/>
      <c r="BI137" s="47"/>
      <c r="BJ137" s="47"/>
      <c r="BK137" s="47"/>
      <c r="BL137" s="47"/>
      <c r="BM137" s="47"/>
      <c r="BN137" s="47"/>
      <c r="BO137" s="47"/>
      <c r="BP137" s="47"/>
      <c r="BQ137" s="47"/>
      <c r="BR137" s="47"/>
      <c r="BS137" s="47"/>
      <c r="BT137" s="47"/>
      <c r="BU137" s="47"/>
      <c r="BV137" s="47"/>
      <c r="BW137" s="47"/>
      <c r="BX137" s="47"/>
      <c r="BY137" s="47"/>
      <c r="BZ137" s="47"/>
    </row>
    <row r="138" spans="1:78" ht="13">
      <c r="A138" s="48" t="str">
        <f ca="1">'.'!A138</f>
        <v>Drink</v>
      </c>
      <c r="B138" s="46" t="e">
        <f t="array" aca="1" ref="B138" ca="1">IF('.'!B138="","",'.'!B138&amp;IF(VLOOKUP('.'!B138,Recipes!$A:$D,4,FALSE)="",""," ["&amp;VLOOKUP('.'!B138,Recipes!$A:$D,4,FALSE)&amp;"]"))</f>
        <v>#VALUE!</v>
      </c>
      <c r="C138" s="46" t="str">
        <f t="array" ref="C138">IF('.'!C138="","",'.'!C138&amp;IF(VLOOKUP('.'!C138,Recipes!$A:$D,4,FALSE)="",""," ["&amp;VLOOKUP('.'!C138,Recipes!$A:$D,4,FALSE)&amp;"]"))</f>
        <v/>
      </c>
      <c r="D138" s="46" t="str">
        <f t="array" ref="D138">IF('.'!D138="","",'.'!D138&amp;IF(VLOOKUP('.'!D138,Recipes!$A:$D,4,FALSE)="",""," ["&amp;VLOOKUP('.'!D138,Recipes!$A:$D,4,FALSE)&amp;"]"))</f>
        <v/>
      </c>
      <c r="E138" s="46" t="str">
        <f t="array" ref="E138">IF('.'!E138="","",'.'!E138&amp;IF(VLOOKUP('.'!E138,Recipes!$A:$D,4,FALSE)="",""," ["&amp;VLOOKUP('.'!E138,Recipes!$A:$D,4,FALSE)&amp;"]"))</f>
        <v/>
      </c>
      <c r="F138" s="46" t="str">
        <f t="array" ref="F138">IF('.'!F138="","",'.'!F138&amp;IF(VLOOKUP('.'!F138,Recipes!$A:$D,4,FALSE)="",""," ["&amp;VLOOKUP('.'!F138,Recipes!$A:$D,4,FALSE)&amp;"]"))</f>
        <v/>
      </c>
      <c r="G138" s="46" t="str">
        <f t="array" ref="G138">IF('.'!G138="","",'.'!G138&amp;IF(VLOOKUP('.'!G138,Recipes!$A:$D,4,FALSE)="",""," ["&amp;VLOOKUP('.'!G138,Recipes!$A:$D,4,FALSE)&amp;"]"))</f>
        <v/>
      </c>
      <c r="H138" s="46" t="str">
        <f t="array" ref="H138">IF('.'!H138="","",'.'!H138&amp;IF(VLOOKUP('.'!H138,Recipes!$A:$D,4,FALSE)="",""," ["&amp;VLOOKUP('.'!H138,Recipes!$A:$D,4,FALSE)&amp;"]"))</f>
        <v/>
      </c>
      <c r="I138" s="46" t="str">
        <f t="array" ref="I138">IF('.'!I138="","",'.'!I138&amp;IF(VLOOKUP('.'!I138,Recipes!$A:$D,4,FALSE)="",""," ["&amp;VLOOKUP('.'!I138,Recipes!$A:$D,4,FALSE)&amp;"]"))</f>
        <v/>
      </c>
      <c r="J138" s="46" t="str">
        <f t="array" ref="J138">IF('.'!J138="","",'.'!J138&amp;IF(VLOOKUP('.'!J138,Recipes!$A:$D,4,FALSE)="",""," ["&amp;VLOOKUP('.'!J138,Recipes!$A:$D,4,FALSE)&amp;"]"))</f>
        <v/>
      </c>
      <c r="K138" s="46" t="str">
        <f t="array" ref="K138">IF('.'!K138="","",'.'!K138&amp;IF(VLOOKUP('.'!K138,Recipes!$A:$D,4,FALSE)="",""," ["&amp;VLOOKUP('.'!K138,Recipes!$A:$D,4,FALSE)&amp;"]"))</f>
        <v/>
      </c>
      <c r="L138" s="46" t="str">
        <f t="array" ref="L138">IF('.'!L138="","",'.'!L138&amp;IF(VLOOKUP('.'!L138,Recipes!$A:$D,4,FALSE)="",""," ["&amp;VLOOKUP('.'!L138,Recipes!$A:$D,4,FALSE)&amp;"]"))</f>
        <v/>
      </c>
      <c r="M138" s="46" t="str">
        <f t="array" ref="M138">IF('.'!M138="","",'.'!M138&amp;IF(VLOOKUP('.'!M138,Recipes!$A:$D,4,FALSE)="",""," ["&amp;VLOOKUP('.'!M138,Recipes!$A:$D,4,FALSE)&amp;"]"))</f>
        <v/>
      </c>
      <c r="N138" s="46" t="str">
        <f t="array" ref="N138">IF('.'!N138="","",'.'!N138&amp;IF(VLOOKUP('.'!N138,Recipes!$A:$D,4,FALSE)="",""," ["&amp;VLOOKUP('.'!N138,Recipes!$A:$D,4,FALSE)&amp;"]"))</f>
        <v/>
      </c>
      <c r="O138" s="46" t="str">
        <f t="array" ref="O138">IF('.'!O138="","",'.'!O138&amp;IF(VLOOKUP('.'!O138,Recipes!$A:$D,4,FALSE)="",""," ["&amp;VLOOKUP('.'!O138,Recipes!$A:$D,4,FALSE)&amp;"]"))</f>
        <v/>
      </c>
      <c r="P138" s="46" t="str">
        <f t="array" ref="P138">IF('.'!P138="","",'.'!P138&amp;IF(VLOOKUP('.'!P138,Recipes!$A:$D,4,FALSE)="",""," ["&amp;VLOOKUP('.'!P138,Recipes!$A:$D,4,FALSE)&amp;"]"))</f>
        <v/>
      </c>
      <c r="Q138" s="46" t="str">
        <f t="array" ref="Q138">IF('.'!Q138="","",'.'!Q138&amp;IF(VLOOKUP('.'!Q138,Recipes!$A:$D,4,FALSE)="",""," ["&amp;VLOOKUP('.'!Q138,Recipes!$A:$D,4,FALSE)&amp;"]"))</f>
        <v/>
      </c>
      <c r="R138" s="46" t="str">
        <f t="array" ref="R138">IF('.'!R138="","",'.'!R138&amp;IF(VLOOKUP('.'!R138,Recipes!$A:$D,4,FALSE)="",""," ["&amp;VLOOKUP('.'!R138,Recipes!$A:$D,4,FALSE)&amp;"]"))</f>
        <v/>
      </c>
      <c r="S138" s="46" t="str">
        <f t="array" ref="S138">IF('.'!S138="","",'.'!S138&amp;IF(VLOOKUP('.'!S138,Recipes!$A:$D,4,FALSE)="",""," ["&amp;VLOOKUP('.'!S138,Recipes!$A:$D,4,FALSE)&amp;"]"))</f>
        <v/>
      </c>
      <c r="T138" s="46" t="str">
        <f t="array" ref="T138">IF('.'!T138="","",'.'!T138&amp;IF(VLOOKUP('.'!T138,Recipes!$A:$D,4,FALSE)="",""," ["&amp;VLOOKUP('.'!T138,Recipes!$A:$D,4,FALSE)&amp;"]"))</f>
        <v/>
      </c>
      <c r="U138" s="46" t="str">
        <f t="array" ref="U138">IF('.'!U138="","",'.'!U138&amp;IF(VLOOKUP('.'!U138,Recipes!$A:$D,4,FALSE)="",""," ["&amp;VLOOKUP('.'!U138,Recipes!$A:$D,4,FALSE)&amp;"]"))</f>
        <v/>
      </c>
      <c r="V138" s="46" t="str">
        <f t="array" ref="V138">IF('.'!V138="","",'.'!V138&amp;IF(VLOOKUP('.'!V138,Recipes!$A:$D,4,FALSE)="",""," ["&amp;VLOOKUP('.'!V138,Recipes!$A:$D,4,FALSE)&amp;"]"))</f>
        <v/>
      </c>
      <c r="W138" s="46" t="str">
        <f t="array" ref="W138">IF('.'!W138="","",'.'!W138&amp;IF(VLOOKUP('.'!W138,Recipes!$A:$D,4,FALSE)="",""," ["&amp;VLOOKUP('.'!W138,Recipes!$A:$D,4,FALSE)&amp;"]"))</f>
        <v/>
      </c>
      <c r="X138" s="46" t="str">
        <f t="array" ref="X138">IF('.'!X138="","",'.'!X138&amp;IF(VLOOKUP('.'!X138,Recipes!$A:$D,4,FALSE)="",""," ["&amp;VLOOKUP('.'!X138,Recipes!$A:$D,4,FALSE)&amp;"]"))</f>
        <v/>
      </c>
      <c r="Y138" s="46" t="str">
        <f t="array" ref="Y138">IF('.'!Y138="","",'.'!Y138&amp;IF(VLOOKUP('.'!Y138,Recipes!$A:$D,4,FALSE)="",""," ["&amp;VLOOKUP('.'!Y138,Recipes!$A:$D,4,FALSE)&amp;"]"))</f>
        <v/>
      </c>
      <c r="Z138" s="46" t="str">
        <f t="array" ref="Z138">IF('.'!Z138="","",'.'!Z138&amp;IF(VLOOKUP('.'!Z138,Recipes!$A:$D,4,FALSE)="",""," ["&amp;VLOOKUP('.'!Z138,Recipes!$A:$D,4,FALSE)&amp;"]"))</f>
        <v/>
      </c>
      <c r="AA138" s="46" t="str">
        <f t="array" ref="AA138">IF('.'!AA138="","",'.'!AA138&amp;IF(VLOOKUP('.'!AA138,Recipes!$A:$D,4,FALSE)="",""," ["&amp;VLOOKUP('.'!AA138,Recipes!$A:$D,4,FALSE)&amp;"]"))</f>
        <v/>
      </c>
      <c r="AB138" s="46" t="str">
        <f t="array" ref="AB138">IF('.'!AB138="","",'.'!AB138&amp;IF(VLOOKUP('.'!AB138,Recipes!$A:$D,4,FALSE)="",""," ["&amp;VLOOKUP('.'!AB138,Recipes!$A:$D,4,FALSE)&amp;"]"))</f>
        <v/>
      </c>
      <c r="AC138" s="46" t="str">
        <f t="array" ref="AC138">IF('.'!AC138="","",'.'!AC138&amp;IF(VLOOKUP('.'!AC138,Recipes!$A:$D,4,FALSE)="",""," ["&amp;VLOOKUP('.'!AC138,Recipes!$A:$D,4,FALSE)&amp;"]"))</f>
        <v/>
      </c>
      <c r="AD138" s="46" t="str">
        <f t="array" ref="AD138">IF('.'!AD138="","",'.'!AD138&amp;IF(VLOOKUP('.'!AD138,Recipes!$A:$D,4,FALSE)="",""," ["&amp;VLOOKUP('.'!AD138,Recipes!$A:$D,4,FALSE)&amp;"]"))</f>
        <v/>
      </c>
      <c r="AE138" s="47"/>
      <c r="AF138" s="47"/>
      <c r="AG138" s="47"/>
      <c r="AH138" s="47"/>
      <c r="AI138" s="47"/>
      <c r="AJ138" s="47"/>
      <c r="AK138" s="47"/>
      <c r="AL138" s="47"/>
      <c r="AM138" s="47"/>
      <c r="AN138" s="47"/>
      <c r="AO138" s="47"/>
      <c r="AP138" s="47"/>
      <c r="AQ138" s="47"/>
      <c r="AR138" s="47"/>
      <c r="AS138" s="47"/>
      <c r="AT138" s="47"/>
      <c r="AU138" s="47"/>
      <c r="AV138" s="47"/>
      <c r="AW138" s="47"/>
      <c r="AX138" s="47"/>
      <c r="AY138" s="47"/>
      <c r="AZ138" s="47"/>
      <c r="BA138" s="47"/>
      <c r="BB138" s="47"/>
      <c r="BC138" s="47"/>
      <c r="BD138" s="47"/>
      <c r="BE138" s="47"/>
      <c r="BF138" s="47"/>
      <c r="BG138" s="47"/>
      <c r="BH138" s="47"/>
      <c r="BI138" s="47"/>
      <c r="BJ138" s="47"/>
      <c r="BK138" s="47"/>
      <c r="BL138" s="47"/>
      <c r="BM138" s="47"/>
      <c r="BN138" s="47"/>
      <c r="BO138" s="47"/>
      <c r="BP138" s="47"/>
      <c r="BQ138" s="47"/>
      <c r="BR138" s="47"/>
      <c r="BS138" s="47"/>
      <c r="BT138" s="47"/>
      <c r="BU138" s="47"/>
      <c r="BV138" s="47"/>
      <c r="BW138" s="47"/>
      <c r="BX138" s="47"/>
      <c r="BY138" s="47"/>
      <c r="BZ138" s="47"/>
    </row>
    <row r="139" spans="1:78" ht="13">
      <c r="A139" s="48" t="str">
        <f ca="1">'.'!A139</f>
        <v>Drudanae</v>
      </c>
      <c r="B139" s="46" t="str">
        <f t="array" aca="1" ref="B139" ca="1">IF('.'!B139="","",'.'!B139&amp;IF(VLOOKUP('.'!B139,Recipes!$A:$D,4,FALSE)="",""," ["&amp;VLOOKUP('.'!B139,Recipes!$A:$D,4,FALSE)&amp;"]"))</f>
        <v>Alertness Herbmix [-126]</v>
      </c>
      <c r="C139" s="46" t="str">
        <f t="array" aca="1" ref="C139" ca="1">IF('.'!C139="","",'.'!C139&amp;IF(VLOOKUP('.'!C139,Recipes!$A:$D,4,FALSE)="",""," ["&amp;VLOOKUP('.'!C139,Recipes!$A:$D,4,FALSE)&amp;"]"))</f>
        <v>Courage Herbmix [-205]</v>
      </c>
      <c r="D139" s="46" t="str">
        <f t="array" aca="1" ref="D139" ca="1">IF('.'!D139="","",'.'!D139&amp;IF(VLOOKUP('.'!D139,Recipes!$A:$D,4,FALSE)="",""," ["&amp;VLOOKUP('.'!D139,Recipes!$A:$D,4,FALSE)&amp;"]"))</f>
        <v>Enlightenment Herbmix [-215]</v>
      </c>
      <c r="E139" s="46" t="str">
        <f t="array" aca="1" ref="E139" ca="1">IF('.'!E139="","",'.'!E139&amp;IF(VLOOKUP('.'!E139,Recipes!$A:$D,4,FALSE)="",""," ["&amp;VLOOKUP('.'!E139,Recipes!$A:$D,4,FALSE)&amp;"]"))</f>
        <v>Ferocity Herbmix [-150]</v>
      </c>
      <c r="F139" s="46" t="str">
        <f t="array" aca="1" ref="F139" ca="1">IF('.'!F139="","",'.'!F139&amp;IF(VLOOKUP('.'!F139,Recipes!$A:$D,4,FALSE)="",""," ["&amp;VLOOKUP('.'!F139,Recipes!$A:$D,4,FALSE)&amp;"]"))</f>
        <v>[immediately applies effect] [-200]</v>
      </c>
      <c r="G139" s="46" t="str">
        <f t="array" ref="G139">IF('.'!G139="","",'.'!G139&amp;IF(VLOOKUP('.'!G139,Recipes!$A:$D,4,FALSE)="",""," ["&amp;VLOOKUP('.'!G139,Recipes!$A:$D,4,FALSE)&amp;"]"))</f>
        <v/>
      </c>
      <c r="H139" s="46" t="str">
        <f t="array" ref="H139">IF('.'!H139="","",'.'!H139&amp;IF(VLOOKUP('.'!H139,Recipes!$A:$D,4,FALSE)="",""," ["&amp;VLOOKUP('.'!H139,Recipes!$A:$D,4,FALSE)&amp;"]"))</f>
        <v/>
      </c>
      <c r="I139" s="46" t="str">
        <f t="array" ref="I139">IF('.'!I139="","",'.'!I139&amp;IF(VLOOKUP('.'!I139,Recipes!$A:$D,4,FALSE)="",""," ["&amp;VLOOKUP('.'!I139,Recipes!$A:$D,4,FALSE)&amp;"]"))</f>
        <v/>
      </c>
      <c r="J139" s="46" t="str">
        <f t="array" ref="J139">IF('.'!J139="","",'.'!J139&amp;IF(VLOOKUP('.'!J139,Recipes!$A:$D,4,FALSE)="",""," ["&amp;VLOOKUP('.'!J139,Recipes!$A:$D,4,FALSE)&amp;"]"))</f>
        <v/>
      </c>
      <c r="K139" s="46" t="str">
        <f t="array" ref="K139">IF('.'!K139="","",'.'!K139&amp;IF(VLOOKUP('.'!K139,Recipes!$A:$D,4,FALSE)="",""," ["&amp;VLOOKUP('.'!K139,Recipes!$A:$D,4,FALSE)&amp;"]"))</f>
        <v/>
      </c>
      <c r="L139" s="46" t="str">
        <f t="array" ref="L139">IF('.'!L139="","",'.'!L139&amp;IF(VLOOKUP('.'!L139,Recipes!$A:$D,4,FALSE)="",""," ["&amp;VLOOKUP('.'!L139,Recipes!$A:$D,4,FALSE)&amp;"]"))</f>
        <v/>
      </c>
      <c r="M139" s="46" t="str">
        <f t="array" ref="M139">IF('.'!M139="","",'.'!M139&amp;IF(VLOOKUP('.'!M139,Recipes!$A:$D,4,FALSE)="",""," ["&amp;VLOOKUP('.'!M139,Recipes!$A:$D,4,FALSE)&amp;"]"))</f>
        <v/>
      </c>
      <c r="N139" s="46" t="str">
        <f t="array" ref="N139">IF('.'!N139="","",'.'!N139&amp;IF(VLOOKUP('.'!N139,Recipes!$A:$D,4,FALSE)="",""," ["&amp;VLOOKUP('.'!N139,Recipes!$A:$D,4,FALSE)&amp;"]"))</f>
        <v/>
      </c>
      <c r="O139" s="46" t="str">
        <f t="array" ref="O139">IF('.'!O139="","",'.'!O139&amp;IF(VLOOKUP('.'!O139,Recipes!$A:$D,4,FALSE)="",""," ["&amp;VLOOKUP('.'!O139,Recipes!$A:$D,4,FALSE)&amp;"]"))</f>
        <v/>
      </c>
      <c r="P139" s="46" t="str">
        <f t="array" ref="P139">IF('.'!P139="","",'.'!P139&amp;IF(VLOOKUP('.'!P139,Recipes!$A:$D,4,FALSE)="",""," ["&amp;VLOOKUP('.'!P139,Recipes!$A:$D,4,FALSE)&amp;"]"))</f>
        <v/>
      </c>
      <c r="Q139" s="46" t="str">
        <f t="array" ref="Q139">IF('.'!Q139="","",'.'!Q139&amp;IF(VLOOKUP('.'!Q139,Recipes!$A:$D,4,FALSE)="",""," ["&amp;VLOOKUP('.'!Q139,Recipes!$A:$D,4,FALSE)&amp;"]"))</f>
        <v/>
      </c>
      <c r="R139" s="46" t="str">
        <f t="array" ref="R139">IF('.'!R139="","",'.'!R139&amp;IF(VLOOKUP('.'!R139,Recipes!$A:$D,4,FALSE)="",""," ["&amp;VLOOKUP('.'!R139,Recipes!$A:$D,4,FALSE)&amp;"]"))</f>
        <v/>
      </c>
      <c r="S139" s="46" t="str">
        <f t="array" ref="S139">IF('.'!S139="","",'.'!S139&amp;IF(VLOOKUP('.'!S139,Recipes!$A:$D,4,FALSE)="",""," ["&amp;VLOOKUP('.'!S139,Recipes!$A:$D,4,FALSE)&amp;"]"))</f>
        <v/>
      </c>
      <c r="T139" s="46" t="str">
        <f t="array" ref="T139">IF('.'!T139="","",'.'!T139&amp;IF(VLOOKUP('.'!T139,Recipes!$A:$D,4,FALSE)="",""," ["&amp;VLOOKUP('.'!T139,Recipes!$A:$D,4,FALSE)&amp;"]"))</f>
        <v/>
      </c>
      <c r="U139" s="46" t="str">
        <f t="array" ref="U139">IF('.'!U139="","",'.'!U139&amp;IF(VLOOKUP('.'!U139,Recipes!$A:$D,4,FALSE)="",""," ["&amp;VLOOKUP('.'!U139,Recipes!$A:$D,4,FALSE)&amp;"]"))</f>
        <v/>
      </c>
      <c r="V139" s="46" t="str">
        <f t="array" ref="V139">IF('.'!V139="","",'.'!V139&amp;IF(VLOOKUP('.'!V139,Recipes!$A:$D,4,FALSE)="",""," ["&amp;VLOOKUP('.'!V139,Recipes!$A:$D,4,FALSE)&amp;"]"))</f>
        <v/>
      </c>
      <c r="W139" s="46" t="str">
        <f t="array" ref="W139">IF('.'!W139="","",'.'!W139&amp;IF(VLOOKUP('.'!W139,Recipes!$A:$D,4,FALSE)="",""," ["&amp;VLOOKUP('.'!W139,Recipes!$A:$D,4,FALSE)&amp;"]"))</f>
        <v/>
      </c>
      <c r="X139" s="46" t="str">
        <f t="array" ref="X139">IF('.'!X139="","",'.'!X139&amp;IF(VLOOKUP('.'!X139,Recipes!$A:$D,4,FALSE)="",""," ["&amp;VLOOKUP('.'!X139,Recipes!$A:$D,4,FALSE)&amp;"]"))</f>
        <v/>
      </c>
      <c r="Y139" s="46" t="str">
        <f t="array" ref="Y139">IF('.'!Y139="","",'.'!Y139&amp;IF(VLOOKUP('.'!Y139,Recipes!$A:$D,4,FALSE)="",""," ["&amp;VLOOKUP('.'!Y139,Recipes!$A:$D,4,FALSE)&amp;"]"))</f>
        <v/>
      </c>
      <c r="Z139" s="46" t="str">
        <f t="array" ref="Z139">IF('.'!Z139="","",'.'!Z139&amp;IF(VLOOKUP('.'!Z139,Recipes!$A:$D,4,FALSE)="",""," ["&amp;VLOOKUP('.'!Z139,Recipes!$A:$D,4,FALSE)&amp;"]"))</f>
        <v/>
      </c>
      <c r="AA139" s="46" t="str">
        <f t="array" ref="AA139">IF('.'!AA139="","",'.'!AA139&amp;IF(VLOOKUP('.'!AA139,Recipes!$A:$D,4,FALSE)="",""," ["&amp;VLOOKUP('.'!AA139,Recipes!$A:$D,4,FALSE)&amp;"]"))</f>
        <v/>
      </c>
      <c r="AB139" s="46" t="str">
        <f t="array" ref="AB139">IF('.'!AB139="","",'.'!AB139&amp;IF(VLOOKUP('.'!AB139,Recipes!$A:$D,4,FALSE)="",""," ["&amp;VLOOKUP('.'!AB139,Recipes!$A:$D,4,FALSE)&amp;"]"))</f>
        <v/>
      </c>
      <c r="AC139" s="46" t="str">
        <f t="array" ref="AC139">IF('.'!AC139="","",'.'!AC139&amp;IF(VLOOKUP('.'!AC139,Recipes!$A:$D,4,FALSE)="",""," ["&amp;VLOOKUP('.'!AC139,Recipes!$A:$D,4,FALSE)&amp;"]"))</f>
        <v/>
      </c>
      <c r="AD139" s="46" t="str">
        <f t="array" ref="AD139">IF('.'!AD139="","",'.'!AD139&amp;IF(VLOOKUP('.'!AD139,Recipes!$A:$D,4,FALSE)="",""," ["&amp;VLOOKUP('.'!AD139,Recipes!$A:$D,4,FALSE)&amp;"]"))</f>
        <v/>
      </c>
      <c r="AE139" s="47"/>
      <c r="AF139" s="47"/>
      <c r="AG139" s="47"/>
      <c r="AH139" s="47"/>
      <c r="AI139" s="47"/>
      <c r="AJ139" s="47"/>
      <c r="AK139" s="47"/>
      <c r="AL139" s="47"/>
      <c r="AM139" s="47"/>
      <c r="AN139" s="47"/>
      <c r="AO139" s="47"/>
      <c r="AP139" s="47"/>
      <c r="AQ139" s="47"/>
      <c r="AR139" s="47"/>
      <c r="AS139" s="47"/>
      <c r="AT139" s="47"/>
      <c r="AU139" s="47"/>
      <c r="AV139" s="47"/>
      <c r="AW139" s="47"/>
      <c r="AX139" s="47"/>
      <c r="AY139" s="47"/>
      <c r="AZ139" s="47"/>
      <c r="BA139" s="47"/>
      <c r="BB139" s="47"/>
      <c r="BC139" s="47"/>
      <c r="BD139" s="47"/>
      <c r="BE139" s="47"/>
      <c r="BF139" s="47"/>
      <c r="BG139" s="47"/>
      <c r="BH139" s="47"/>
      <c r="BI139" s="47"/>
      <c r="BJ139" s="47"/>
      <c r="BK139" s="47"/>
      <c r="BL139" s="47"/>
      <c r="BM139" s="47"/>
      <c r="BN139" s="47"/>
      <c r="BO139" s="47"/>
      <c r="BP139" s="47"/>
      <c r="BQ139" s="47"/>
      <c r="BR139" s="47"/>
      <c r="BS139" s="47"/>
      <c r="BT139" s="47"/>
      <c r="BU139" s="47"/>
      <c r="BV139" s="47"/>
      <c r="BW139" s="47"/>
      <c r="BX139" s="47"/>
      <c r="BY139" s="47"/>
      <c r="BZ139" s="47"/>
    </row>
    <row r="140" spans="1:78" ht="13">
      <c r="A140" s="48" t="str">
        <f ca="1">'.'!A140</f>
        <v>Dwarf Face</v>
      </c>
      <c r="B140" s="46" t="str">
        <f t="array" aca="1" ref="B140" ca="1">IF('.'!B140="","",'.'!B140&amp;IF(VLOOKUP('.'!B140,Recipes!$A:$D,4,FALSE)="",""," ["&amp;VLOOKUP('.'!B140,Recipes!$A:$D,4,FALSE)&amp;"]"))</f>
        <v>Dwarven Mask of the Shapeshifter [V]</v>
      </c>
      <c r="C140" s="46" t="str">
        <f t="array" ref="C140">IF('.'!C140="","",'.'!C140&amp;IF(VLOOKUP('.'!C140,Recipes!$A:$D,4,FALSE)="",""," ["&amp;VLOOKUP('.'!C140,Recipes!$A:$D,4,FALSE)&amp;"]"))</f>
        <v/>
      </c>
      <c r="D140" s="46" t="str">
        <f t="array" ref="D140">IF('.'!D140="","",'.'!D140&amp;IF(VLOOKUP('.'!D140,Recipes!$A:$D,4,FALSE)="",""," ["&amp;VLOOKUP('.'!D140,Recipes!$A:$D,4,FALSE)&amp;"]"))</f>
        <v/>
      </c>
      <c r="E140" s="46" t="str">
        <f t="array" ref="E140">IF('.'!E140="","",'.'!E140&amp;IF(VLOOKUP('.'!E140,Recipes!$A:$D,4,FALSE)="",""," ["&amp;VLOOKUP('.'!E140,Recipes!$A:$D,4,FALSE)&amp;"]"))</f>
        <v/>
      </c>
      <c r="F140" s="46" t="str">
        <f t="array" ref="F140">IF('.'!F140="","",'.'!F140&amp;IF(VLOOKUP('.'!F140,Recipes!$A:$D,4,FALSE)="",""," ["&amp;VLOOKUP('.'!F140,Recipes!$A:$D,4,FALSE)&amp;"]"))</f>
        <v/>
      </c>
      <c r="G140" s="46" t="str">
        <f t="array" ref="G140">IF('.'!G140="","",'.'!G140&amp;IF(VLOOKUP('.'!G140,Recipes!$A:$D,4,FALSE)="",""," ["&amp;VLOOKUP('.'!G140,Recipes!$A:$D,4,FALSE)&amp;"]"))</f>
        <v/>
      </c>
      <c r="H140" s="46" t="str">
        <f t="array" ref="H140">IF('.'!H140="","",'.'!H140&amp;IF(VLOOKUP('.'!H140,Recipes!$A:$D,4,FALSE)="",""," ["&amp;VLOOKUP('.'!H140,Recipes!$A:$D,4,FALSE)&amp;"]"))</f>
        <v/>
      </c>
      <c r="I140" s="46" t="str">
        <f t="array" ref="I140">IF('.'!I140="","",'.'!I140&amp;IF(VLOOKUP('.'!I140,Recipes!$A:$D,4,FALSE)="",""," ["&amp;VLOOKUP('.'!I140,Recipes!$A:$D,4,FALSE)&amp;"]"))</f>
        <v/>
      </c>
      <c r="J140" s="46" t="str">
        <f t="array" ref="J140">IF('.'!J140="","",'.'!J140&amp;IF(VLOOKUP('.'!J140,Recipes!$A:$D,4,FALSE)="",""," ["&amp;VLOOKUP('.'!J140,Recipes!$A:$D,4,FALSE)&amp;"]"))</f>
        <v/>
      </c>
      <c r="K140" s="46" t="str">
        <f t="array" ref="K140">IF('.'!K140="","",'.'!K140&amp;IF(VLOOKUP('.'!K140,Recipes!$A:$D,4,FALSE)="",""," ["&amp;VLOOKUP('.'!K140,Recipes!$A:$D,4,FALSE)&amp;"]"))</f>
        <v/>
      </c>
      <c r="L140" s="46" t="str">
        <f t="array" ref="L140">IF('.'!L140="","",'.'!L140&amp;IF(VLOOKUP('.'!L140,Recipes!$A:$D,4,FALSE)="",""," ["&amp;VLOOKUP('.'!L140,Recipes!$A:$D,4,FALSE)&amp;"]"))</f>
        <v/>
      </c>
      <c r="M140" s="46" t="str">
        <f t="array" ref="M140">IF('.'!M140="","",'.'!M140&amp;IF(VLOOKUP('.'!M140,Recipes!$A:$D,4,FALSE)="",""," ["&amp;VLOOKUP('.'!M140,Recipes!$A:$D,4,FALSE)&amp;"]"))</f>
        <v/>
      </c>
      <c r="N140" s="46" t="str">
        <f t="array" ref="N140">IF('.'!N140="","",'.'!N140&amp;IF(VLOOKUP('.'!N140,Recipes!$A:$D,4,FALSE)="",""," ["&amp;VLOOKUP('.'!N140,Recipes!$A:$D,4,FALSE)&amp;"]"))</f>
        <v/>
      </c>
      <c r="O140" s="46" t="str">
        <f t="array" ref="O140">IF('.'!O140="","",'.'!O140&amp;IF(VLOOKUP('.'!O140,Recipes!$A:$D,4,FALSE)="",""," ["&amp;VLOOKUP('.'!O140,Recipes!$A:$D,4,FALSE)&amp;"]"))</f>
        <v/>
      </c>
      <c r="P140" s="46" t="str">
        <f t="array" ref="P140">IF('.'!P140="","",'.'!P140&amp;IF(VLOOKUP('.'!P140,Recipes!$A:$D,4,FALSE)="",""," ["&amp;VLOOKUP('.'!P140,Recipes!$A:$D,4,FALSE)&amp;"]"))</f>
        <v/>
      </c>
      <c r="Q140" s="46" t="str">
        <f t="array" ref="Q140">IF('.'!Q140="","",'.'!Q140&amp;IF(VLOOKUP('.'!Q140,Recipes!$A:$D,4,FALSE)="",""," ["&amp;VLOOKUP('.'!Q140,Recipes!$A:$D,4,FALSE)&amp;"]"))</f>
        <v/>
      </c>
      <c r="R140" s="46" t="str">
        <f t="array" ref="R140">IF('.'!R140="","",'.'!R140&amp;IF(VLOOKUP('.'!R140,Recipes!$A:$D,4,FALSE)="",""," ["&amp;VLOOKUP('.'!R140,Recipes!$A:$D,4,FALSE)&amp;"]"))</f>
        <v/>
      </c>
      <c r="S140" s="46" t="str">
        <f t="array" ref="S140">IF('.'!S140="","",'.'!S140&amp;IF(VLOOKUP('.'!S140,Recipes!$A:$D,4,FALSE)="",""," ["&amp;VLOOKUP('.'!S140,Recipes!$A:$D,4,FALSE)&amp;"]"))</f>
        <v/>
      </c>
      <c r="T140" s="46" t="str">
        <f t="array" ref="T140">IF('.'!T140="","",'.'!T140&amp;IF(VLOOKUP('.'!T140,Recipes!$A:$D,4,FALSE)="",""," ["&amp;VLOOKUP('.'!T140,Recipes!$A:$D,4,FALSE)&amp;"]"))</f>
        <v/>
      </c>
      <c r="U140" s="46" t="str">
        <f t="array" ref="U140">IF('.'!U140="","",'.'!U140&amp;IF(VLOOKUP('.'!U140,Recipes!$A:$D,4,FALSE)="",""," ["&amp;VLOOKUP('.'!U140,Recipes!$A:$D,4,FALSE)&amp;"]"))</f>
        <v/>
      </c>
      <c r="V140" s="46" t="str">
        <f t="array" ref="V140">IF('.'!V140="","",'.'!V140&amp;IF(VLOOKUP('.'!V140,Recipes!$A:$D,4,FALSE)="",""," ["&amp;VLOOKUP('.'!V140,Recipes!$A:$D,4,FALSE)&amp;"]"))</f>
        <v/>
      </c>
      <c r="W140" s="46" t="str">
        <f t="array" ref="W140">IF('.'!W140="","",'.'!W140&amp;IF(VLOOKUP('.'!W140,Recipes!$A:$D,4,FALSE)="",""," ["&amp;VLOOKUP('.'!W140,Recipes!$A:$D,4,FALSE)&amp;"]"))</f>
        <v/>
      </c>
      <c r="X140" s="46" t="str">
        <f t="array" ref="X140">IF('.'!X140="","",'.'!X140&amp;IF(VLOOKUP('.'!X140,Recipes!$A:$D,4,FALSE)="",""," ["&amp;VLOOKUP('.'!X140,Recipes!$A:$D,4,FALSE)&amp;"]"))</f>
        <v/>
      </c>
      <c r="Y140" s="46" t="str">
        <f t="array" ref="Y140">IF('.'!Y140="","",'.'!Y140&amp;IF(VLOOKUP('.'!Y140,Recipes!$A:$D,4,FALSE)="",""," ["&amp;VLOOKUP('.'!Y140,Recipes!$A:$D,4,FALSE)&amp;"]"))</f>
        <v/>
      </c>
      <c r="Z140" s="46" t="str">
        <f t="array" ref="Z140">IF('.'!Z140="","",'.'!Z140&amp;IF(VLOOKUP('.'!Z140,Recipes!$A:$D,4,FALSE)="",""," ["&amp;VLOOKUP('.'!Z140,Recipes!$A:$D,4,FALSE)&amp;"]"))</f>
        <v/>
      </c>
      <c r="AA140" s="46" t="str">
        <f t="array" ref="AA140">IF('.'!AA140="","",'.'!AA140&amp;IF(VLOOKUP('.'!AA140,Recipes!$A:$D,4,FALSE)="",""," ["&amp;VLOOKUP('.'!AA140,Recipes!$A:$D,4,FALSE)&amp;"]"))</f>
        <v/>
      </c>
      <c r="AB140" s="46" t="str">
        <f t="array" ref="AB140">IF('.'!AB140="","",'.'!AB140&amp;IF(VLOOKUP('.'!AB140,Recipes!$A:$D,4,FALSE)="",""," ["&amp;VLOOKUP('.'!AB140,Recipes!$A:$D,4,FALSE)&amp;"]"))</f>
        <v/>
      </c>
      <c r="AC140" s="46" t="str">
        <f t="array" ref="AC140">IF('.'!AC140="","",'.'!AC140&amp;IF(VLOOKUP('.'!AC140,Recipes!$A:$D,4,FALSE)="",""," ["&amp;VLOOKUP('.'!AC140,Recipes!$A:$D,4,FALSE)&amp;"]"))</f>
        <v/>
      </c>
      <c r="AD140" s="46" t="str">
        <f t="array" ref="AD140">IF('.'!AD140="","",'.'!AD140&amp;IF(VLOOKUP('.'!AD140,Recipes!$A:$D,4,FALSE)="",""," ["&amp;VLOOKUP('.'!AD140,Recipes!$A:$D,4,FALSE)&amp;"]"))</f>
        <v/>
      </c>
      <c r="AE140" s="47"/>
      <c r="AF140" s="47"/>
      <c r="AG140" s="47"/>
      <c r="AH140" s="47"/>
      <c r="AI140" s="47"/>
      <c r="AJ140" s="47"/>
      <c r="AK140" s="47"/>
      <c r="AL140" s="47"/>
      <c r="AM140" s="47"/>
      <c r="AN140" s="47"/>
      <c r="AO140" s="47"/>
      <c r="AP140" s="47"/>
      <c r="AQ140" s="47"/>
      <c r="AR140" s="47"/>
      <c r="AS140" s="47"/>
      <c r="AT140" s="47"/>
      <c r="AU140" s="47"/>
      <c r="AV140" s="47"/>
      <c r="AW140" s="47"/>
      <c r="AX140" s="47"/>
      <c r="AY140" s="47"/>
      <c r="AZ140" s="47"/>
      <c r="BA140" s="47"/>
      <c r="BB140" s="47"/>
      <c r="BC140" s="47"/>
      <c r="BD140" s="47"/>
      <c r="BE140" s="47"/>
      <c r="BF140" s="47"/>
      <c r="BG140" s="47"/>
      <c r="BH140" s="47"/>
      <c r="BI140" s="47"/>
      <c r="BJ140" s="47"/>
      <c r="BK140" s="47"/>
      <c r="BL140" s="47"/>
      <c r="BM140" s="47"/>
      <c r="BN140" s="47"/>
      <c r="BO140" s="47"/>
      <c r="BP140" s="47"/>
      <c r="BQ140" s="47"/>
      <c r="BR140" s="47"/>
      <c r="BS140" s="47"/>
      <c r="BT140" s="47"/>
      <c r="BU140" s="47"/>
      <c r="BV140" s="47"/>
      <c r="BW140" s="47"/>
      <c r="BX140" s="47"/>
      <c r="BY140" s="47"/>
      <c r="BZ140" s="47"/>
    </row>
    <row r="141" spans="1:78" ht="13">
      <c r="A141" s="48" t="str">
        <f ca="1">'.'!A141</f>
        <v>Dwarven Mask of the Shapeshifter</v>
      </c>
      <c r="B141" s="46" t="str">
        <f t="array" aca="1" ref="B141" ca="1">IF('.'!B141="","",'.'!B141&amp;IF(VLOOKUP('.'!B141,Recipes!$A:$D,4,FALSE)="",""," ["&amp;VLOOKUP('.'!B141,Recipes!$A:$D,4,FALSE)&amp;"]"))</f>
        <v>Mask of the Shapeshifter [V]</v>
      </c>
      <c r="C141" s="46" t="str">
        <f t="array" ref="C141">IF('.'!C141="","",'.'!C141&amp;IF(VLOOKUP('.'!C141,Recipes!$A:$D,4,FALSE)="",""," ["&amp;VLOOKUP('.'!C141,Recipes!$A:$D,4,FALSE)&amp;"]"))</f>
        <v/>
      </c>
      <c r="D141" s="46" t="str">
        <f t="array" ref="D141">IF('.'!D141="","",'.'!D141&amp;IF(VLOOKUP('.'!D141,Recipes!$A:$D,4,FALSE)="",""," ["&amp;VLOOKUP('.'!D141,Recipes!$A:$D,4,FALSE)&amp;"]"))</f>
        <v/>
      </c>
      <c r="E141" s="46" t="str">
        <f t="array" ref="E141">IF('.'!E141="","",'.'!E141&amp;IF(VLOOKUP('.'!E141,Recipes!$A:$D,4,FALSE)="",""," ["&amp;VLOOKUP('.'!E141,Recipes!$A:$D,4,FALSE)&amp;"]"))</f>
        <v/>
      </c>
      <c r="F141" s="46" t="str">
        <f t="array" ref="F141">IF('.'!F141="","",'.'!F141&amp;IF(VLOOKUP('.'!F141,Recipes!$A:$D,4,FALSE)="",""," ["&amp;VLOOKUP('.'!F141,Recipes!$A:$D,4,FALSE)&amp;"]"))</f>
        <v/>
      </c>
      <c r="G141" s="46" t="str">
        <f t="array" ref="G141">IF('.'!G141="","",'.'!G141&amp;IF(VLOOKUP('.'!G141,Recipes!$A:$D,4,FALSE)="",""," ["&amp;VLOOKUP('.'!G141,Recipes!$A:$D,4,FALSE)&amp;"]"))</f>
        <v/>
      </c>
      <c r="H141" s="46" t="str">
        <f t="array" ref="H141">IF('.'!H141="","",'.'!H141&amp;IF(VLOOKUP('.'!H141,Recipes!$A:$D,4,FALSE)="",""," ["&amp;VLOOKUP('.'!H141,Recipes!$A:$D,4,FALSE)&amp;"]"))</f>
        <v/>
      </c>
      <c r="I141" s="46" t="str">
        <f t="array" ref="I141">IF('.'!I141="","",'.'!I141&amp;IF(VLOOKUP('.'!I141,Recipes!$A:$D,4,FALSE)="",""," ["&amp;VLOOKUP('.'!I141,Recipes!$A:$D,4,FALSE)&amp;"]"))</f>
        <v/>
      </c>
      <c r="J141" s="46" t="str">
        <f t="array" ref="J141">IF('.'!J141="","",'.'!J141&amp;IF(VLOOKUP('.'!J141,Recipes!$A:$D,4,FALSE)="",""," ["&amp;VLOOKUP('.'!J141,Recipes!$A:$D,4,FALSE)&amp;"]"))</f>
        <v/>
      </c>
      <c r="K141" s="46" t="str">
        <f t="array" ref="K141">IF('.'!K141="","",'.'!K141&amp;IF(VLOOKUP('.'!K141,Recipes!$A:$D,4,FALSE)="",""," ["&amp;VLOOKUP('.'!K141,Recipes!$A:$D,4,FALSE)&amp;"]"))</f>
        <v/>
      </c>
      <c r="L141" s="46" t="str">
        <f t="array" ref="L141">IF('.'!L141="","",'.'!L141&amp;IF(VLOOKUP('.'!L141,Recipes!$A:$D,4,FALSE)="",""," ["&amp;VLOOKUP('.'!L141,Recipes!$A:$D,4,FALSE)&amp;"]"))</f>
        <v/>
      </c>
      <c r="M141" s="46" t="str">
        <f t="array" ref="M141">IF('.'!M141="","",'.'!M141&amp;IF(VLOOKUP('.'!M141,Recipes!$A:$D,4,FALSE)="",""," ["&amp;VLOOKUP('.'!M141,Recipes!$A:$D,4,FALSE)&amp;"]"))</f>
        <v/>
      </c>
      <c r="N141" s="46" t="str">
        <f t="array" ref="N141">IF('.'!N141="","",'.'!N141&amp;IF(VLOOKUP('.'!N141,Recipes!$A:$D,4,FALSE)="",""," ["&amp;VLOOKUP('.'!N141,Recipes!$A:$D,4,FALSE)&amp;"]"))</f>
        <v/>
      </c>
      <c r="O141" s="46" t="str">
        <f t="array" ref="O141">IF('.'!O141="","",'.'!O141&amp;IF(VLOOKUP('.'!O141,Recipes!$A:$D,4,FALSE)="",""," ["&amp;VLOOKUP('.'!O141,Recipes!$A:$D,4,FALSE)&amp;"]"))</f>
        <v/>
      </c>
      <c r="P141" s="46" t="str">
        <f t="array" ref="P141">IF('.'!P141="","",'.'!P141&amp;IF(VLOOKUP('.'!P141,Recipes!$A:$D,4,FALSE)="",""," ["&amp;VLOOKUP('.'!P141,Recipes!$A:$D,4,FALSE)&amp;"]"))</f>
        <v/>
      </c>
      <c r="Q141" s="46" t="str">
        <f t="array" ref="Q141">IF('.'!Q141="","",'.'!Q141&amp;IF(VLOOKUP('.'!Q141,Recipes!$A:$D,4,FALSE)="",""," ["&amp;VLOOKUP('.'!Q141,Recipes!$A:$D,4,FALSE)&amp;"]"))</f>
        <v/>
      </c>
      <c r="R141" s="46" t="str">
        <f t="array" ref="R141">IF('.'!R141="","",'.'!R141&amp;IF(VLOOKUP('.'!R141,Recipes!$A:$D,4,FALSE)="",""," ["&amp;VLOOKUP('.'!R141,Recipes!$A:$D,4,FALSE)&amp;"]"))</f>
        <v/>
      </c>
      <c r="S141" s="46" t="str">
        <f t="array" ref="S141">IF('.'!S141="","",'.'!S141&amp;IF(VLOOKUP('.'!S141,Recipes!$A:$D,4,FALSE)="",""," ["&amp;VLOOKUP('.'!S141,Recipes!$A:$D,4,FALSE)&amp;"]"))</f>
        <v/>
      </c>
      <c r="T141" s="46" t="str">
        <f t="array" ref="T141">IF('.'!T141="","",'.'!T141&amp;IF(VLOOKUP('.'!T141,Recipes!$A:$D,4,FALSE)="",""," ["&amp;VLOOKUP('.'!T141,Recipes!$A:$D,4,FALSE)&amp;"]"))</f>
        <v/>
      </c>
      <c r="U141" s="46" t="str">
        <f t="array" ref="U141">IF('.'!U141="","",'.'!U141&amp;IF(VLOOKUP('.'!U141,Recipes!$A:$D,4,FALSE)="",""," ["&amp;VLOOKUP('.'!U141,Recipes!$A:$D,4,FALSE)&amp;"]"))</f>
        <v/>
      </c>
      <c r="V141" s="46" t="str">
        <f t="array" ref="V141">IF('.'!V141="","",'.'!V141&amp;IF(VLOOKUP('.'!V141,Recipes!$A:$D,4,FALSE)="",""," ["&amp;VLOOKUP('.'!V141,Recipes!$A:$D,4,FALSE)&amp;"]"))</f>
        <v/>
      </c>
      <c r="W141" s="46" t="str">
        <f t="array" ref="W141">IF('.'!W141="","",'.'!W141&amp;IF(VLOOKUP('.'!W141,Recipes!$A:$D,4,FALSE)="",""," ["&amp;VLOOKUP('.'!W141,Recipes!$A:$D,4,FALSE)&amp;"]"))</f>
        <v/>
      </c>
      <c r="X141" s="46" t="str">
        <f t="array" ref="X141">IF('.'!X141="","",'.'!X141&amp;IF(VLOOKUP('.'!X141,Recipes!$A:$D,4,FALSE)="",""," ["&amp;VLOOKUP('.'!X141,Recipes!$A:$D,4,FALSE)&amp;"]"))</f>
        <v/>
      </c>
      <c r="Y141" s="46" t="str">
        <f t="array" ref="Y141">IF('.'!Y141="","",'.'!Y141&amp;IF(VLOOKUP('.'!Y141,Recipes!$A:$D,4,FALSE)="",""," ["&amp;VLOOKUP('.'!Y141,Recipes!$A:$D,4,FALSE)&amp;"]"))</f>
        <v/>
      </c>
      <c r="Z141" s="46" t="str">
        <f t="array" ref="Z141">IF('.'!Z141="","",'.'!Z141&amp;IF(VLOOKUP('.'!Z141,Recipes!$A:$D,4,FALSE)="",""," ["&amp;VLOOKUP('.'!Z141,Recipes!$A:$D,4,FALSE)&amp;"]"))</f>
        <v/>
      </c>
      <c r="AA141" s="46" t="str">
        <f t="array" ref="AA141">IF('.'!AA141="","",'.'!AA141&amp;IF(VLOOKUP('.'!AA141,Recipes!$A:$D,4,FALSE)="",""," ["&amp;VLOOKUP('.'!AA141,Recipes!$A:$D,4,FALSE)&amp;"]"))</f>
        <v/>
      </c>
      <c r="AB141" s="46" t="str">
        <f t="array" ref="AB141">IF('.'!AB141="","",'.'!AB141&amp;IF(VLOOKUP('.'!AB141,Recipes!$A:$D,4,FALSE)="",""," ["&amp;VLOOKUP('.'!AB141,Recipes!$A:$D,4,FALSE)&amp;"]"))</f>
        <v/>
      </c>
      <c r="AC141" s="46" t="str">
        <f t="array" ref="AC141">IF('.'!AC141="","",'.'!AC141&amp;IF(VLOOKUP('.'!AC141,Recipes!$A:$D,4,FALSE)="",""," ["&amp;VLOOKUP('.'!AC141,Recipes!$A:$D,4,FALSE)&amp;"]"))</f>
        <v/>
      </c>
      <c r="AD141" s="46" t="str">
        <f t="array" ref="AD141">IF('.'!AD141="","",'.'!AD141&amp;IF(VLOOKUP('.'!AD141,Recipes!$A:$D,4,FALSE)="",""," ["&amp;VLOOKUP('.'!AD141,Recipes!$A:$D,4,FALSE)&amp;"]"))</f>
        <v/>
      </c>
      <c r="AE141" s="47"/>
      <c r="AF141" s="47"/>
      <c r="AG141" s="47"/>
      <c r="AH141" s="47"/>
      <c r="AI141" s="47"/>
      <c r="AJ141" s="47"/>
      <c r="AK141" s="47"/>
      <c r="AL141" s="47"/>
      <c r="AM141" s="47"/>
      <c r="AN141" s="47"/>
      <c r="AO141" s="47"/>
      <c r="AP141" s="47"/>
      <c r="AQ141" s="47"/>
      <c r="AR141" s="47"/>
      <c r="AS141" s="47"/>
      <c r="AT141" s="47"/>
      <c r="AU141" s="47"/>
      <c r="AV141" s="47"/>
      <c r="AW141" s="47"/>
      <c r="AX141" s="47"/>
      <c r="AY141" s="47"/>
      <c r="AZ141" s="47"/>
      <c r="BA141" s="47"/>
      <c r="BB141" s="47"/>
      <c r="BC141" s="47"/>
      <c r="BD141" s="47"/>
      <c r="BE141" s="47"/>
      <c r="BF141" s="47"/>
      <c r="BG141" s="47"/>
      <c r="BH141" s="47"/>
      <c r="BI141" s="47"/>
      <c r="BJ141" s="47"/>
      <c r="BK141" s="47"/>
      <c r="BL141" s="47"/>
      <c r="BM141" s="47"/>
      <c r="BN141" s="47"/>
      <c r="BO141" s="47"/>
      <c r="BP141" s="47"/>
      <c r="BQ141" s="47"/>
      <c r="BR141" s="47"/>
      <c r="BS141" s="47"/>
      <c r="BT141" s="47"/>
      <c r="BU141" s="47"/>
      <c r="BV141" s="47"/>
      <c r="BW141" s="47"/>
      <c r="BX141" s="47"/>
      <c r="BY141" s="47"/>
      <c r="BZ141" s="47"/>
    </row>
    <row r="142" spans="1:78" ht="13">
      <c r="A142" s="48" t="str">
        <f ca="1">'.'!A142</f>
        <v>Earth Essence</v>
      </c>
      <c r="B142" s="46" t="str">
        <f t="array" aca="1" ref="B142" ca="1">IF('.'!B142="","",'.'!B142&amp;IF(VLOOKUP('.'!B142,Recipes!$A:$D,4,FALSE)="",""," ["&amp;VLOOKUP('.'!B142,Recipes!$A:$D,4,FALSE)&amp;"]"))</f>
        <v>Poisoncloud Arrow [39]</v>
      </c>
      <c r="C142" s="46" t="str">
        <f t="array" aca="1" ref="C142" ca="1">IF('.'!C142="","",'.'!C142&amp;IF(VLOOKUP('.'!C142,Recipes!$A:$D,4,FALSE)="",""," ["&amp;VLOOKUP('.'!C142,Recipes!$A:$D,4,FALSE)&amp;"]"))</f>
        <v>Poisoncloud Arrowhead [113]</v>
      </c>
      <c r="D142" s="46" t="str">
        <f t="array" aca="1" ref="D142" ca="1">IF('.'!D142="","",'.'!D142&amp;IF(VLOOKUP('.'!D142,Recipes!$A:$D,4,FALSE)="",""," ["&amp;VLOOKUP('.'!D142,Recipes!$A:$D,4,FALSE)&amp;"]"))</f>
        <v>Tremor Grenade [270]</v>
      </c>
      <c r="E142" s="46" t="str">
        <f t="array" aca="1" ref="E142" ca="1">IF('.'!E142="","",'.'!E142&amp;IF(VLOOKUP('.'!E142,Recipes!$A:$D,4,FALSE)="",""," ["&amp;VLOOKUP('.'!E142,Recipes!$A:$D,4,FALSE)&amp;"]"))</f>
        <v>Contamination Scroll [14]</v>
      </c>
      <c r="F142" s="46" t="str">
        <f t="array" aca="1" ref="F142" ca="1">IF('.'!F142="","",'.'!F142&amp;IF(VLOOKUP('.'!F142,Recipes!$A:$D,4,FALSE)="",""," ["&amp;VLOOKUP('.'!F142,Recipes!$A:$D,4,FALSE)&amp;"]"))</f>
        <v>Fortify Scroll [-7]</v>
      </c>
      <c r="G142" s="46" t="str">
        <f t="array" aca="1" ref="G142" ca="1">IF('.'!G142="","",'.'!G142&amp;IF(VLOOKUP('.'!G142,Recipes!$A:$D,4,FALSE)="",""," ["&amp;VLOOKUP('.'!G142,Recipes!$A:$D,4,FALSE)&amp;"]"))</f>
        <v>Fossil Strike Scroll [24]</v>
      </c>
      <c r="H142" s="46" t="str">
        <f t="array" aca="1" ref="H142" ca="1">IF('.'!H142="","",'.'!H142&amp;IF(VLOOKUP('.'!H142,Recipes!$A:$D,4,FALSE)="",""," ["&amp;VLOOKUP('.'!H142,Recipes!$A:$D,4,FALSE)&amp;"]"))</f>
        <v>Impalement Scroll [54]</v>
      </c>
      <c r="I142" s="46" t="str">
        <f t="array" aca="1" ref="I142" ca="1">IF('.'!I142="","",'.'!I142&amp;IF(VLOOKUP('.'!I142,Recipes!$A:$D,4,FALSE)="",""," ["&amp;VLOOKUP('.'!I142,Recipes!$A:$D,4,FALSE)&amp;"]"))</f>
        <v>Mend Metal Scroll [-545]</v>
      </c>
      <c r="J142" s="46" t="str">
        <f t="array" aca="1" ref="J142" ca="1">IF('.'!J142="","",'.'!J142&amp;IF(VLOOKUP('.'!J142,Recipes!$A:$D,4,FALSE)="",""," ["&amp;VLOOKUP('.'!J142,Recipes!$A:$D,4,FALSE)&amp;"]"))</f>
        <v>Poison Dart Scroll [5]</v>
      </c>
      <c r="K142" s="46" t="str">
        <f t="array" aca="1" ref="K142" ca="1">IF('.'!K142="","",'.'!K142&amp;IF(VLOOKUP('.'!K142,Recipes!$A:$D,4,FALSE)="",""," ["&amp;VLOOKUP('.'!K142,Recipes!$A:$D,4,FALSE)&amp;"]"))</f>
        <v>Stoneskin Potion [360]</v>
      </c>
      <c r="L142" s="46" t="str">
        <f t="array" ref="L142">IF('.'!L142="","",'.'!L142&amp;IF(VLOOKUP('.'!L142,Recipes!$A:$D,4,FALSE)="",""," ["&amp;VLOOKUP('.'!L142,Recipes!$A:$D,4,FALSE)&amp;"]"))</f>
        <v/>
      </c>
      <c r="M142" s="46" t="str">
        <f t="array" ref="M142">IF('.'!M142="","",'.'!M142&amp;IF(VLOOKUP('.'!M142,Recipes!$A:$D,4,FALSE)="",""," ["&amp;VLOOKUP('.'!M142,Recipes!$A:$D,4,FALSE)&amp;"]"))</f>
        <v/>
      </c>
      <c r="N142" s="46" t="str">
        <f t="array" ref="N142">IF('.'!N142="","",'.'!N142&amp;IF(VLOOKUP('.'!N142,Recipes!$A:$D,4,FALSE)="",""," ["&amp;VLOOKUP('.'!N142,Recipes!$A:$D,4,FALSE)&amp;"]"))</f>
        <v/>
      </c>
      <c r="O142" s="46" t="str">
        <f t="array" ref="O142">IF('.'!O142="","",'.'!O142&amp;IF(VLOOKUP('.'!O142,Recipes!$A:$D,4,FALSE)="",""," ["&amp;VLOOKUP('.'!O142,Recipes!$A:$D,4,FALSE)&amp;"]"))</f>
        <v/>
      </c>
      <c r="P142" s="46" t="str">
        <f t="array" ref="P142">IF('.'!P142="","",'.'!P142&amp;IF(VLOOKUP('.'!P142,Recipes!$A:$D,4,FALSE)="",""," ["&amp;VLOOKUP('.'!P142,Recipes!$A:$D,4,FALSE)&amp;"]"))</f>
        <v/>
      </c>
      <c r="Q142" s="46" t="str">
        <f t="array" ref="Q142">IF('.'!Q142="","",'.'!Q142&amp;IF(VLOOKUP('.'!Q142,Recipes!$A:$D,4,FALSE)="",""," ["&amp;VLOOKUP('.'!Q142,Recipes!$A:$D,4,FALSE)&amp;"]"))</f>
        <v/>
      </c>
      <c r="R142" s="46" t="str">
        <f t="array" ref="R142">IF('.'!R142="","",'.'!R142&amp;IF(VLOOKUP('.'!R142,Recipes!$A:$D,4,FALSE)="",""," ["&amp;VLOOKUP('.'!R142,Recipes!$A:$D,4,FALSE)&amp;"]"))</f>
        <v/>
      </c>
      <c r="S142" s="46" t="str">
        <f t="array" ref="S142">IF('.'!S142="","",'.'!S142&amp;IF(VLOOKUP('.'!S142,Recipes!$A:$D,4,FALSE)="",""," ["&amp;VLOOKUP('.'!S142,Recipes!$A:$D,4,FALSE)&amp;"]"))</f>
        <v/>
      </c>
      <c r="T142" s="46" t="str">
        <f t="array" ref="T142">IF('.'!T142="","",'.'!T142&amp;IF(VLOOKUP('.'!T142,Recipes!$A:$D,4,FALSE)="",""," ["&amp;VLOOKUP('.'!T142,Recipes!$A:$D,4,FALSE)&amp;"]"))</f>
        <v/>
      </c>
      <c r="U142" s="46" t="str">
        <f t="array" ref="U142">IF('.'!U142="","",'.'!U142&amp;IF(VLOOKUP('.'!U142,Recipes!$A:$D,4,FALSE)="",""," ["&amp;VLOOKUP('.'!U142,Recipes!$A:$D,4,FALSE)&amp;"]"))</f>
        <v/>
      </c>
      <c r="V142" s="46" t="str">
        <f t="array" ref="V142">IF('.'!V142="","",'.'!V142&amp;IF(VLOOKUP('.'!V142,Recipes!$A:$D,4,FALSE)="",""," ["&amp;VLOOKUP('.'!V142,Recipes!$A:$D,4,FALSE)&amp;"]"))</f>
        <v/>
      </c>
      <c r="W142" s="46" t="str">
        <f t="array" ref="W142">IF('.'!W142="","",'.'!W142&amp;IF(VLOOKUP('.'!W142,Recipes!$A:$D,4,FALSE)="",""," ["&amp;VLOOKUP('.'!W142,Recipes!$A:$D,4,FALSE)&amp;"]"))</f>
        <v/>
      </c>
      <c r="X142" s="46" t="str">
        <f t="array" ref="X142">IF('.'!X142="","",'.'!X142&amp;IF(VLOOKUP('.'!X142,Recipes!$A:$D,4,FALSE)="",""," ["&amp;VLOOKUP('.'!X142,Recipes!$A:$D,4,FALSE)&amp;"]"))</f>
        <v/>
      </c>
      <c r="Y142" s="46" t="str">
        <f t="array" ref="Y142">IF('.'!Y142="","",'.'!Y142&amp;IF(VLOOKUP('.'!Y142,Recipes!$A:$D,4,FALSE)="",""," ["&amp;VLOOKUP('.'!Y142,Recipes!$A:$D,4,FALSE)&amp;"]"))</f>
        <v/>
      </c>
      <c r="Z142" s="46" t="str">
        <f t="array" ref="Z142">IF('.'!Z142="","",'.'!Z142&amp;IF(VLOOKUP('.'!Z142,Recipes!$A:$D,4,FALSE)="",""," ["&amp;VLOOKUP('.'!Z142,Recipes!$A:$D,4,FALSE)&amp;"]"))</f>
        <v/>
      </c>
      <c r="AA142" s="46" t="str">
        <f t="array" ref="AA142">IF('.'!AA142="","",'.'!AA142&amp;IF(VLOOKUP('.'!AA142,Recipes!$A:$D,4,FALSE)="",""," ["&amp;VLOOKUP('.'!AA142,Recipes!$A:$D,4,FALSE)&amp;"]"))</f>
        <v/>
      </c>
      <c r="AB142" s="46" t="str">
        <f t="array" ref="AB142">IF('.'!AB142="","",'.'!AB142&amp;IF(VLOOKUP('.'!AB142,Recipes!$A:$D,4,FALSE)="",""," ["&amp;VLOOKUP('.'!AB142,Recipes!$A:$D,4,FALSE)&amp;"]"))</f>
        <v/>
      </c>
      <c r="AC142" s="46" t="str">
        <f t="array" ref="AC142">IF('.'!AC142="","",'.'!AC142&amp;IF(VLOOKUP('.'!AC142,Recipes!$A:$D,4,FALSE)="",""," ["&amp;VLOOKUP('.'!AC142,Recipes!$A:$D,4,FALSE)&amp;"]"))</f>
        <v/>
      </c>
      <c r="AD142" s="46" t="str">
        <f t="array" ref="AD142">IF('.'!AD142="","",'.'!AD142&amp;IF(VLOOKUP('.'!AD142,Recipes!$A:$D,4,FALSE)="",""," ["&amp;VLOOKUP('.'!AD142,Recipes!$A:$D,4,FALSE)&amp;"]"))</f>
        <v/>
      </c>
      <c r="AE142" s="47"/>
      <c r="AF142" s="47"/>
      <c r="AG142" s="47"/>
      <c r="AH142" s="47"/>
      <c r="AI142" s="47"/>
      <c r="AJ142" s="47"/>
      <c r="AK142" s="47"/>
      <c r="AL142" s="47"/>
      <c r="AM142" s="47"/>
      <c r="AN142" s="47"/>
      <c r="AO142" s="47"/>
      <c r="AP142" s="47"/>
      <c r="AQ142" s="47"/>
      <c r="AR142" s="47"/>
      <c r="AS142" s="47"/>
      <c r="AT142" s="47"/>
      <c r="AU142" s="47"/>
      <c r="AV142" s="47"/>
      <c r="AW142" s="47"/>
      <c r="AX142" s="47"/>
      <c r="AY142" s="47"/>
      <c r="AZ142" s="47"/>
      <c r="BA142" s="47"/>
      <c r="BB142" s="47"/>
      <c r="BC142" s="47"/>
      <c r="BD142" s="47"/>
      <c r="BE142" s="47"/>
      <c r="BF142" s="47"/>
      <c r="BG142" s="47"/>
      <c r="BH142" s="47"/>
      <c r="BI142" s="47"/>
      <c r="BJ142" s="47"/>
      <c r="BK142" s="47"/>
      <c r="BL142" s="47"/>
      <c r="BM142" s="47"/>
      <c r="BN142" s="47"/>
      <c r="BO142" s="47"/>
      <c r="BP142" s="47"/>
      <c r="BQ142" s="47"/>
      <c r="BR142" s="47"/>
      <c r="BS142" s="47"/>
      <c r="BT142" s="47"/>
      <c r="BU142" s="47"/>
      <c r="BV142" s="47"/>
      <c r="BW142" s="47"/>
      <c r="BX142" s="47"/>
      <c r="BY142" s="47"/>
      <c r="BZ142" s="47"/>
    </row>
    <row r="143" spans="1:78" ht="13">
      <c r="A143" s="48" t="str">
        <f ca="1">'.'!A143</f>
        <v>Earth Resistance Potion</v>
      </c>
      <c r="B143" s="46" t="str">
        <f t="array" aca="1" ref="B143" ca="1">IF('.'!B143="","",'.'!B143&amp;IF(VLOOKUP('.'!B143,Recipes!$A:$D,4,FALSE)="",""," ["&amp;VLOOKUP('.'!B143,Recipes!$A:$D,4,FALSE)&amp;"]"))</f>
        <v>Medium Earth Resistance Potion [-35]</v>
      </c>
      <c r="C143" s="46" t="str">
        <f t="array" ref="C143">IF('.'!C143="","",'.'!C143&amp;IF(VLOOKUP('.'!C143,Recipes!$A:$D,4,FALSE)="",""," ["&amp;VLOOKUP('.'!C143,Recipes!$A:$D,4,FALSE)&amp;"]"))</f>
        <v/>
      </c>
      <c r="D143" s="46" t="str">
        <f t="array" ref="D143">IF('.'!D143="","",'.'!D143&amp;IF(VLOOKUP('.'!D143,Recipes!$A:$D,4,FALSE)="",""," ["&amp;VLOOKUP('.'!D143,Recipes!$A:$D,4,FALSE)&amp;"]"))</f>
        <v/>
      </c>
      <c r="E143" s="46" t="str">
        <f t="array" ref="E143">IF('.'!E143="","",'.'!E143&amp;IF(VLOOKUP('.'!E143,Recipes!$A:$D,4,FALSE)="",""," ["&amp;VLOOKUP('.'!E143,Recipes!$A:$D,4,FALSE)&amp;"]"))</f>
        <v/>
      </c>
      <c r="F143" s="46" t="str">
        <f t="array" ref="F143">IF('.'!F143="","",'.'!F143&amp;IF(VLOOKUP('.'!F143,Recipes!$A:$D,4,FALSE)="",""," ["&amp;VLOOKUP('.'!F143,Recipes!$A:$D,4,FALSE)&amp;"]"))</f>
        <v/>
      </c>
      <c r="G143" s="46" t="str">
        <f t="array" ref="G143">IF('.'!G143="","",'.'!G143&amp;IF(VLOOKUP('.'!G143,Recipes!$A:$D,4,FALSE)="",""," ["&amp;VLOOKUP('.'!G143,Recipes!$A:$D,4,FALSE)&amp;"]"))</f>
        <v/>
      </c>
      <c r="H143" s="46" t="str">
        <f t="array" ref="H143">IF('.'!H143="","",'.'!H143&amp;IF(VLOOKUP('.'!H143,Recipes!$A:$D,4,FALSE)="",""," ["&amp;VLOOKUP('.'!H143,Recipes!$A:$D,4,FALSE)&amp;"]"))</f>
        <v/>
      </c>
      <c r="I143" s="46" t="str">
        <f t="array" ref="I143">IF('.'!I143="","",'.'!I143&amp;IF(VLOOKUP('.'!I143,Recipes!$A:$D,4,FALSE)="",""," ["&amp;VLOOKUP('.'!I143,Recipes!$A:$D,4,FALSE)&amp;"]"))</f>
        <v/>
      </c>
      <c r="J143" s="46" t="str">
        <f t="array" ref="J143">IF('.'!J143="","",'.'!J143&amp;IF(VLOOKUP('.'!J143,Recipes!$A:$D,4,FALSE)="",""," ["&amp;VLOOKUP('.'!J143,Recipes!$A:$D,4,FALSE)&amp;"]"))</f>
        <v/>
      </c>
      <c r="K143" s="46" t="str">
        <f t="array" ref="K143">IF('.'!K143="","",'.'!K143&amp;IF(VLOOKUP('.'!K143,Recipes!$A:$D,4,FALSE)="",""," ["&amp;VLOOKUP('.'!K143,Recipes!$A:$D,4,FALSE)&amp;"]"))</f>
        <v/>
      </c>
      <c r="L143" s="46" t="str">
        <f t="array" ref="L143">IF('.'!L143="","",'.'!L143&amp;IF(VLOOKUP('.'!L143,Recipes!$A:$D,4,FALSE)="",""," ["&amp;VLOOKUP('.'!L143,Recipes!$A:$D,4,FALSE)&amp;"]"))</f>
        <v/>
      </c>
      <c r="M143" s="46" t="str">
        <f t="array" ref="M143">IF('.'!M143="","",'.'!M143&amp;IF(VLOOKUP('.'!M143,Recipes!$A:$D,4,FALSE)="",""," ["&amp;VLOOKUP('.'!M143,Recipes!$A:$D,4,FALSE)&amp;"]"))</f>
        <v/>
      </c>
      <c r="N143" s="46" t="str">
        <f t="array" ref="N143">IF('.'!N143="","",'.'!N143&amp;IF(VLOOKUP('.'!N143,Recipes!$A:$D,4,FALSE)="",""," ["&amp;VLOOKUP('.'!N143,Recipes!$A:$D,4,FALSE)&amp;"]"))</f>
        <v/>
      </c>
      <c r="O143" s="46" t="str">
        <f t="array" ref="O143">IF('.'!O143="","",'.'!O143&amp;IF(VLOOKUP('.'!O143,Recipes!$A:$D,4,FALSE)="",""," ["&amp;VLOOKUP('.'!O143,Recipes!$A:$D,4,FALSE)&amp;"]"))</f>
        <v/>
      </c>
      <c r="P143" s="46" t="str">
        <f t="array" ref="P143">IF('.'!P143="","",'.'!P143&amp;IF(VLOOKUP('.'!P143,Recipes!$A:$D,4,FALSE)="",""," ["&amp;VLOOKUP('.'!P143,Recipes!$A:$D,4,FALSE)&amp;"]"))</f>
        <v/>
      </c>
      <c r="Q143" s="46" t="str">
        <f t="array" ref="Q143">IF('.'!Q143="","",'.'!Q143&amp;IF(VLOOKUP('.'!Q143,Recipes!$A:$D,4,FALSE)="",""," ["&amp;VLOOKUP('.'!Q143,Recipes!$A:$D,4,FALSE)&amp;"]"))</f>
        <v/>
      </c>
      <c r="R143" s="46" t="str">
        <f t="array" ref="R143">IF('.'!R143="","",'.'!R143&amp;IF(VLOOKUP('.'!R143,Recipes!$A:$D,4,FALSE)="",""," ["&amp;VLOOKUP('.'!R143,Recipes!$A:$D,4,FALSE)&amp;"]"))</f>
        <v/>
      </c>
      <c r="S143" s="46" t="str">
        <f t="array" ref="S143">IF('.'!S143="","",'.'!S143&amp;IF(VLOOKUP('.'!S143,Recipes!$A:$D,4,FALSE)="",""," ["&amp;VLOOKUP('.'!S143,Recipes!$A:$D,4,FALSE)&amp;"]"))</f>
        <v/>
      </c>
      <c r="T143" s="46" t="str">
        <f t="array" ref="T143">IF('.'!T143="","",'.'!T143&amp;IF(VLOOKUP('.'!T143,Recipes!$A:$D,4,FALSE)="",""," ["&amp;VLOOKUP('.'!T143,Recipes!$A:$D,4,FALSE)&amp;"]"))</f>
        <v/>
      </c>
      <c r="U143" s="46" t="str">
        <f t="array" ref="U143">IF('.'!U143="","",'.'!U143&amp;IF(VLOOKUP('.'!U143,Recipes!$A:$D,4,FALSE)="",""," ["&amp;VLOOKUP('.'!U143,Recipes!$A:$D,4,FALSE)&amp;"]"))</f>
        <v/>
      </c>
      <c r="V143" s="46" t="str">
        <f t="array" ref="V143">IF('.'!V143="","",'.'!V143&amp;IF(VLOOKUP('.'!V143,Recipes!$A:$D,4,FALSE)="",""," ["&amp;VLOOKUP('.'!V143,Recipes!$A:$D,4,FALSE)&amp;"]"))</f>
        <v/>
      </c>
      <c r="W143" s="46" t="str">
        <f t="array" ref="W143">IF('.'!W143="","",'.'!W143&amp;IF(VLOOKUP('.'!W143,Recipes!$A:$D,4,FALSE)="",""," ["&amp;VLOOKUP('.'!W143,Recipes!$A:$D,4,FALSE)&amp;"]"))</f>
        <v/>
      </c>
      <c r="X143" s="46" t="str">
        <f t="array" ref="X143">IF('.'!X143="","",'.'!X143&amp;IF(VLOOKUP('.'!X143,Recipes!$A:$D,4,FALSE)="",""," ["&amp;VLOOKUP('.'!X143,Recipes!$A:$D,4,FALSE)&amp;"]"))</f>
        <v/>
      </c>
      <c r="Y143" s="46" t="str">
        <f t="array" ref="Y143">IF('.'!Y143="","",'.'!Y143&amp;IF(VLOOKUP('.'!Y143,Recipes!$A:$D,4,FALSE)="",""," ["&amp;VLOOKUP('.'!Y143,Recipes!$A:$D,4,FALSE)&amp;"]"))</f>
        <v/>
      </c>
      <c r="Z143" s="46" t="str">
        <f t="array" ref="Z143">IF('.'!Z143="","",'.'!Z143&amp;IF(VLOOKUP('.'!Z143,Recipes!$A:$D,4,FALSE)="",""," ["&amp;VLOOKUP('.'!Z143,Recipes!$A:$D,4,FALSE)&amp;"]"))</f>
        <v/>
      </c>
      <c r="AA143" s="46" t="str">
        <f t="array" ref="AA143">IF('.'!AA143="","",'.'!AA143&amp;IF(VLOOKUP('.'!AA143,Recipes!$A:$D,4,FALSE)="",""," ["&amp;VLOOKUP('.'!AA143,Recipes!$A:$D,4,FALSE)&amp;"]"))</f>
        <v/>
      </c>
      <c r="AB143" s="46" t="str">
        <f t="array" ref="AB143">IF('.'!AB143="","",'.'!AB143&amp;IF(VLOOKUP('.'!AB143,Recipes!$A:$D,4,FALSE)="",""," ["&amp;VLOOKUP('.'!AB143,Recipes!$A:$D,4,FALSE)&amp;"]"))</f>
        <v/>
      </c>
      <c r="AC143" s="46" t="str">
        <f t="array" ref="AC143">IF('.'!AC143="","",'.'!AC143&amp;IF(VLOOKUP('.'!AC143,Recipes!$A:$D,4,FALSE)="",""," ["&amp;VLOOKUP('.'!AC143,Recipes!$A:$D,4,FALSE)&amp;"]"))</f>
        <v/>
      </c>
      <c r="AD143" s="46" t="str">
        <f t="array" ref="AD143">IF('.'!AD143="","",'.'!AD143&amp;IF(VLOOKUP('.'!AD143,Recipes!$A:$D,4,FALSE)="",""," ["&amp;VLOOKUP('.'!AD143,Recipes!$A:$D,4,FALSE)&amp;"]"))</f>
        <v/>
      </c>
      <c r="AE143" s="47"/>
      <c r="AF143" s="47"/>
      <c r="AG143" s="47"/>
      <c r="AH143" s="47"/>
      <c r="AI143" s="47"/>
      <c r="AJ143" s="47"/>
      <c r="AK143" s="47"/>
      <c r="AL143" s="47"/>
      <c r="AM143" s="47"/>
      <c r="AN143" s="47"/>
      <c r="AO143" s="47"/>
      <c r="AP143" s="47"/>
      <c r="AQ143" s="47"/>
      <c r="AR143" s="47"/>
      <c r="AS143" s="47"/>
      <c r="AT143" s="47"/>
      <c r="AU143" s="47"/>
      <c r="AV143" s="47"/>
      <c r="AW143" s="47"/>
      <c r="AX143" s="47"/>
      <c r="AY143" s="47"/>
      <c r="AZ143" s="47"/>
      <c r="BA143" s="47"/>
      <c r="BB143" s="47"/>
      <c r="BC143" s="47"/>
      <c r="BD143" s="47"/>
      <c r="BE143" s="47"/>
      <c r="BF143" s="47"/>
      <c r="BG143" s="47"/>
      <c r="BH143" s="47"/>
      <c r="BI143" s="47"/>
      <c r="BJ143" s="47"/>
      <c r="BK143" s="47"/>
      <c r="BL143" s="47"/>
      <c r="BM143" s="47"/>
      <c r="BN143" s="47"/>
      <c r="BO143" s="47"/>
      <c r="BP143" s="47"/>
      <c r="BQ143" s="47"/>
      <c r="BR143" s="47"/>
      <c r="BS143" s="47"/>
      <c r="BT143" s="47"/>
      <c r="BU143" s="47"/>
      <c r="BV143" s="47"/>
      <c r="BW143" s="47"/>
      <c r="BX143" s="47"/>
      <c r="BY143" s="47"/>
      <c r="BZ143" s="47"/>
    </row>
    <row r="144" spans="1:78" ht="13">
      <c r="A144" s="48" t="str">
        <f ca="1">'.'!A144</f>
        <v>Earth Tongue Mushroom</v>
      </c>
      <c r="B144" s="46" t="str">
        <f t="array" aca="1" ref="B144" ca="1">IF('.'!B144="","",'.'!B144&amp;IF(VLOOKUP('.'!B144,Recipes!$A:$D,4,FALSE)="",""," ["&amp;VLOOKUP('.'!B144,Recipes!$A:$D,4,FALSE)&amp;"]"))</f>
        <v>Artillery Plant Scroll [-1245]</v>
      </c>
      <c r="C144" s="46" t="str">
        <f t="array" aca="1" ref="C144" ca="1">IF('.'!C144="","",'.'!C144&amp;IF(VLOOKUP('.'!C144,Recipes!$A:$D,4,FALSE)="",""," ["&amp;VLOOKUP('.'!C144,Recipes!$A:$D,4,FALSE)&amp;"]"))</f>
        <v>Earth Resistance Potion [-70]</v>
      </c>
      <c r="D144" s="46" t="str">
        <f t="array" ref="D144">IF('.'!D144="","",'.'!D144&amp;IF(VLOOKUP('.'!D144,Recipes!$A:$D,4,FALSE)="",""," ["&amp;VLOOKUP('.'!D144,Recipes!$A:$D,4,FALSE)&amp;"]"))</f>
        <v/>
      </c>
      <c r="E144" s="46" t="str">
        <f t="array" ref="E144">IF('.'!E144="","",'.'!E144&amp;IF(VLOOKUP('.'!E144,Recipes!$A:$D,4,FALSE)="",""," ["&amp;VLOOKUP('.'!E144,Recipes!$A:$D,4,FALSE)&amp;"]"))</f>
        <v/>
      </c>
      <c r="F144" s="46" t="str">
        <f t="array" ref="F144">IF('.'!F144="","",'.'!F144&amp;IF(VLOOKUP('.'!F144,Recipes!$A:$D,4,FALSE)="",""," ["&amp;VLOOKUP('.'!F144,Recipes!$A:$D,4,FALSE)&amp;"]"))</f>
        <v/>
      </c>
      <c r="G144" s="46" t="str">
        <f t="array" ref="G144">IF('.'!G144="","",'.'!G144&amp;IF(VLOOKUP('.'!G144,Recipes!$A:$D,4,FALSE)="",""," ["&amp;VLOOKUP('.'!G144,Recipes!$A:$D,4,FALSE)&amp;"]"))</f>
        <v/>
      </c>
      <c r="H144" s="46" t="str">
        <f t="array" ref="H144">IF('.'!H144="","",'.'!H144&amp;IF(VLOOKUP('.'!H144,Recipes!$A:$D,4,FALSE)="",""," ["&amp;VLOOKUP('.'!H144,Recipes!$A:$D,4,FALSE)&amp;"]"))</f>
        <v/>
      </c>
      <c r="I144" s="46" t="str">
        <f t="array" ref="I144">IF('.'!I144="","",'.'!I144&amp;IF(VLOOKUP('.'!I144,Recipes!$A:$D,4,FALSE)="",""," ["&amp;VLOOKUP('.'!I144,Recipes!$A:$D,4,FALSE)&amp;"]"))</f>
        <v/>
      </c>
      <c r="J144" s="46" t="str">
        <f t="array" ref="J144">IF('.'!J144="","",'.'!J144&amp;IF(VLOOKUP('.'!J144,Recipes!$A:$D,4,FALSE)="",""," ["&amp;VLOOKUP('.'!J144,Recipes!$A:$D,4,FALSE)&amp;"]"))</f>
        <v/>
      </c>
      <c r="K144" s="46" t="str">
        <f t="array" ref="K144">IF('.'!K144="","",'.'!K144&amp;IF(VLOOKUP('.'!K144,Recipes!$A:$D,4,FALSE)="",""," ["&amp;VLOOKUP('.'!K144,Recipes!$A:$D,4,FALSE)&amp;"]"))</f>
        <v/>
      </c>
      <c r="L144" s="46" t="str">
        <f t="array" ref="L144">IF('.'!L144="","",'.'!L144&amp;IF(VLOOKUP('.'!L144,Recipes!$A:$D,4,FALSE)="",""," ["&amp;VLOOKUP('.'!L144,Recipes!$A:$D,4,FALSE)&amp;"]"))</f>
        <v/>
      </c>
      <c r="M144" s="46" t="str">
        <f t="array" ref="M144">IF('.'!M144="","",'.'!M144&amp;IF(VLOOKUP('.'!M144,Recipes!$A:$D,4,FALSE)="",""," ["&amp;VLOOKUP('.'!M144,Recipes!$A:$D,4,FALSE)&amp;"]"))</f>
        <v/>
      </c>
      <c r="N144" s="46" t="str">
        <f t="array" ref="N144">IF('.'!N144="","",'.'!N144&amp;IF(VLOOKUP('.'!N144,Recipes!$A:$D,4,FALSE)="",""," ["&amp;VLOOKUP('.'!N144,Recipes!$A:$D,4,FALSE)&amp;"]"))</f>
        <v/>
      </c>
      <c r="O144" s="46" t="str">
        <f t="array" ref="O144">IF('.'!O144="","",'.'!O144&amp;IF(VLOOKUP('.'!O144,Recipes!$A:$D,4,FALSE)="",""," ["&amp;VLOOKUP('.'!O144,Recipes!$A:$D,4,FALSE)&amp;"]"))</f>
        <v/>
      </c>
      <c r="P144" s="46" t="str">
        <f t="array" ref="P144">IF('.'!P144="","",'.'!P144&amp;IF(VLOOKUP('.'!P144,Recipes!$A:$D,4,FALSE)="",""," ["&amp;VLOOKUP('.'!P144,Recipes!$A:$D,4,FALSE)&amp;"]"))</f>
        <v/>
      </c>
      <c r="Q144" s="46" t="str">
        <f t="array" ref="Q144">IF('.'!Q144="","",'.'!Q144&amp;IF(VLOOKUP('.'!Q144,Recipes!$A:$D,4,FALSE)="",""," ["&amp;VLOOKUP('.'!Q144,Recipes!$A:$D,4,FALSE)&amp;"]"))</f>
        <v/>
      </c>
      <c r="R144" s="46" t="str">
        <f t="array" ref="R144">IF('.'!R144="","",'.'!R144&amp;IF(VLOOKUP('.'!R144,Recipes!$A:$D,4,FALSE)="",""," ["&amp;VLOOKUP('.'!R144,Recipes!$A:$D,4,FALSE)&amp;"]"))</f>
        <v/>
      </c>
      <c r="S144" s="46" t="str">
        <f t="array" ref="S144">IF('.'!S144="","",'.'!S144&amp;IF(VLOOKUP('.'!S144,Recipes!$A:$D,4,FALSE)="",""," ["&amp;VLOOKUP('.'!S144,Recipes!$A:$D,4,FALSE)&amp;"]"))</f>
        <v/>
      </c>
      <c r="T144" s="46" t="str">
        <f t="array" ref="T144">IF('.'!T144="","",'.'!T144&amp;IF(VLOOKUP('.'!T144,Recipes!$A:$D,4,FALSE)="",""," ["&amp;VLOOKUP('.'!T144,Recipes!$A:$D,4,FALSE)&amp;"]"))</f>
        <v/>
      </c>
      <c r="U144" s="46" t="str">
        <f t="array" ref="U144">IF('.'!U144="","",'.'!U144&amp;IF(VLOOKUP('.'!U144,Recipes!$A:$D,4,FALSE)="",""," ["&amp;VLOOKUP('.'!U144,Recipes!$A:$D,4,FALSE)&amp;"]"))</f>
        <v/>
      </c>
      <c r="V144" s="46" t="str">
        <f t="array" ref="V144">IF('.'!V144="","",'.'!V144&amp;IF(VLOOKUP('.'!V144,Recipes!$A:$D,4,FALSE)="",""," ["&amp;VLOOKUP('.'!V144,Recipes!$A:$D,4,FALSE)&amp;"]"))</f>
        <v/>
      </c>
      <c r="W144" s="46" t="str">
        <f t="array" ref="W144">IF('.'!W144="","",'.'!W144&amp;IF(VLOOKUP('.'!W144,Recipes!$A:$D,4,FALSE)="",""," ["&amp;VLOOKUP('.'!W144,Recipes!$A:$D,4,FALSE)&amp;"]"))</f>
        <v/>
      </c>
      <c r="X144" s="46" t="str">
        <f t="array" ref="X144">IF('.'!X144="","",'.'!X144&amp;IF(VLOOKUP('.'!X144,Recipes!$A:$D,4,FALSE)="",""," ["&amp;VLOOKUP('.'!X144,Recipes!$A:$D,4,FALSE)&amp;"]"))</f>
        <v/>
      </c>
      <c r="Y144" s="46" t="str">
        <f t="array" ref="Y144">IF('.'!Y144="","",'.'!Y144&amp;IF(VLOOKUP('.'!Y144,Recipes!$A:$D,4,FALSE)="",""," ["&amp;VLOOKUP('.'!Y144,Recipes!$A:$D,4,FALSE)&amp;"]"))</f>
        <v/>
      </c>
      <c r="Z144" s="46" t="str">
        <f t="array" ref="Z144">IF('.'!Z144="","",'.'!Z144&amp;IF(VLOOKUP('.'!Z144,Recipes!$A:$D,4,FALSE)="",""," ["&amp;VLOOKUP('.'!Z144,Recipes!$A:$D,4,FALSE)&amp;"]"))</f>
        <v/>
      </c>
      <c r="AA144" s="46" t="str">
        <f t="array" ref="AA144">IF('.'!AA144="","",'.'!AA144&amp;IF(VLOOKUP('.'!AA144,Recipes!$A:$D,4,FALSE)="",""," ["&amp;VLOOKUP('.'!AA144,Recipes!$A:$D,4,FALSE)&amp;"]"))</f>
        <v/>
      </c>
      <c r="AB144" s="46" t="str">
        <f t="array" ref="AB144">IF('.'!AB144="","",'.'!AB144&amp;IF(VLOOKUP('.'!AB144,Recipes!$A:$D,4,FALSE)="",""," ["&amp;VLOOKUP('.'!AB144,Recipes!$A:$D,4,FALSE)&amp;"]"))</f>
        <v/>
      </c>
      <c r="AC144" s="46" t="str">
        <f t="array" ref="AC144">IF('.'!AC144="","",'.'!AC144&amp;IF(VLOOKUP('.'!AC144,Recipes!$A:$D,4,FALSE)="",""," ["&amp;VLOOKUP('.'!AC144,Recipes!$A:$D,4,FALSE)&amp;"]"))</f>
        <v/>
      </c>
      <c r="AD144" s="46" t="str">
        <f t="array" ref="AD144">IF('.'!AD144="","",'.'!AD144&amp;IF(VLOOKUP('.'!AD144,Recipes!$A:$D,4,FALSE)="",""," ["&amp;VLOOKUP('.'!AD144,Recipes!$A:$D,4,FALSE)&amp;"]"))</f>
        <v/>
      </c>
      <c r="AE144" s="47"/>
      <c r="AF144" s="47"/>
      <c r="AG144" s="47"/>
      <c r="AH144" s="47"/>
      <c r="AI144" s="47"/>
      <c r="AJ144" s="47"/>
      <c r="AK144" s="47"/>
      <c r="AL144" s="47"/>
      <c r="AM144" s="47"/>
      <c r="AN144" s="47"/>
      <c r="AO144" s="47"/>
      <c r="AP144" s="47"/>
      <c r="AQ144" s="47"/>
      <c r="AR144" s="47"/>
      <c r="AS144" s="47"/>
      <c r="AT144" s="47"/>
      <c r="AU144" s="47"/>
      <c r="AV144" s="47"/>
      <c r="AW144" s="47"/>
      <c r="AX144" s="47"/>
      <c r="AY144" s="47"/>
      <c r="AZ144" s="47"/>
      <c r="BA144" s="47"/>
      <c r="BB144" s="47"/>
      <c r="BC144" s="47"/>
      <c r="BD144" s="47"/>
      <c r="BE144" s="47"/>
      <c r="BF144" s="47"/>
      <c r="BG144" s="47"/>
      <c r="BH144" s="47"/>
      <c r="BI144" s="47"/>
      <c r="BJ144" s="47"/>
      <c r="BK144" s="47"/>
      <c r="BL144" s="47"/>
      <c r="BM144" s="47"/>
      <c r="BN144" s="47"/>
      <c r="BO144" s="47"/>
      <c r="BP144" s="47"/>
      <c r="BQ144" s="47"/>
      <c r="BR144" s="47"/>
      <c r="BS144" s="47"/>
      <c r="BT144" s="47"/>
      <c r="BU144" s="47"/>
      <c r="BV144" s="47"/>
      <c r="BW144" s="47"/>
      <c r="BX144" s="47"/>
      <c r="BY144" s="47"/>
      <c r="BZ144" s="47"/>
    </row>
    <row r="145" spans="1:78" ht="13">
      <c r="A145" s="48" t="str">
        <f ca="1">'.'!A145</f>
        <v>Earthquake Scroll</v>
      </c>
      <c r="B145" s="46" t="str">
        <f t="array" aca="1" ref="B145" ca="1">IF('.'!B145="","",'.'!B145&amp;IF(VLOOKUP('.'!B145,Recipes!$A:$D,4,FALSE)="",""," ["&amp;VLOOKUP('.'!B145,Recipes!$A:$D,4,FALSE)&amp;"]"))</f>
        <v>Earthquake Skillbook [-10]</v>
      </c>
      <c r="C145" s="46" t="str">
        <f t="array" ref="C145">IF('.'!C145="","",'.'!C145&amp;IF(VLOOKUP('.'!C145,Recipes!$A:$D,4,FALSE)="",""," ["&amp;VLOOKUP('.'!C145,Recipes!$A:$D,4,FALSE)&amp;"]"))</f>
        <v/>
      </c>
      <c r="D145" s="46" t="str">
        <f t="array" ref="D145">IF('.'!D145="","",'.'!D145&amp;IF(VLOOKUP('.'!D145,Recipes!$A:$D,4,FALSE)="",""," ["&amp;VLOOKUP('.'!D145,Recipes!$A:$D,4,FALSE)&amp;"]"))</f>
        <v/>
      </c>
      <c r="E145" s="46" t="str">
        <f t="array" ref="E145">IF('.'!E145="","",'.'!E145&amp;IF(VLOOKUP('.'!E145,Recipes!$A:$D,4,FALSE)="",""," ["&amp;VLOOKUP('.'!E145,Recipes!$A:$D,4,FALSE)&amp;"]"))</f>
        <v/>
      </c>
      <c r="F145" s="46" t="str">
        <f t="array" ref="F145">IF('.'!F145="","",'.'!F145&amp;IF(VLOOKUP('.'!F145,Recipes!$A:$D,4,FALSE)="",""," ["&amp;VLOOKUP('.'!F145,Recipes!$A:$D,4,FALSE)&amp;"]"))</f>
        <v/>
      </c>
      <c r="G145" s="46" t="str">
        <f t="array" ref="G145">IF('.'!G145="","",'.'!G145&amp;IF(VLOOKUP('.'!G145,Recipes!$A:$D,4,FALSE)="",""," ["&amp;VLOOKUP('.'!G145,Recipes!$A:$D,4,FALSE)&amp;"]"))</f>
        <v/>
      </c>
      <c r="H145" s="46" t="str">
        <f t="array" ref="H145">IF('.'!H145="","",'.'!H145&amp;IF(VLOOKUP('.'!H145,Recipes!$A:$D,4,FALSE)="",""," ["&amp;VLOOKUP('.'!H145,Recipes!$A:$D,4,FALSE)&amp;"]"))</f>
        <v/>
      </c>
      <c r="I145" s="46" t="str">
        <f t="array" ref="I145">IF('.'!I145="","",'.'!I145&amp;IF(VLOOKUP('.'!I145,Recipes!$A:$D,4,FALSE)="",""," ["&amp;VLOOKUP('.'!I145,Recipes!$A:$D,4,FALSE)&amp;"]"))</f>
        <v/>
      </c>
      <c r="J145" s="46" t="str">
        <f t="array" ref="J145">IF('.'!J145="","",'.'!J145&amp;IF(VLOOKUP('.'!J145,Recipes!$A:$D,4,FALSE)="",""," ["&amp;VLOOKUP('.'!J145,Recipes!$A:$D,4,FALSE)&amp;"]"))</f>
        <v/>
      </c>
      <c r="K145" s="46" t="str">
        <f t="array" ref="K145">IF('.'!K145="","",'.'!K145&amp;IF(VLOOKUP('.'!K145,Recipes!$A:$D,4,FALSE)="",""," ["&amp;VLOOKUP('.'!K145,Recipes!$A:$D,4,FALSE)&amp;"]"))</f>
        <v/>
      </c>
      <c r="L145" s="46" t="str">
        <f t="array" ref="L145">IF('.'!L145="","",'.'!L145&amp;IF(VLOOKUP('.'!L145,Recipes!$A:$D,4,FALSE)="",""," ["&amp;VLOOKUP('.'!L145,Recipes!$A:$D,4,FALSE)&amp;"]"))</f>
        <v/>
      </c>
      <c r="M145" s="46" t="str">
        <f t="array" ref="M145">IF('.'!M145="","",'.'!M145&amp;IF(VLOOKUP('.'!M145,Recipes!$A:$D,4,FALSE)="",""," ["&amp;VLOOKUP('.'!M145,Recipes!$A:$D,4,FALSE)&amp;"]"))</f>
        <v/>
      </c>
      <c r="N145" s="46" t="str">
        <f t="array" ref="N145">IF('.'!N145="","",'.'!N145&amp;IF(VLOOKUP('.'!N145,Recipes!$A:$D,4,FALSE)="",""," ["&amp;VLOOKUP('.'!N145,Recipes!$A:$D,4,FALSE)&amp;"]"))</f>
        <v/>
      </c>
      <c r="O145" s="46" t="str">
        <f t="array" ref="O145">IF('.'!O145="","",'.'!O145&amp;IF(VLOOKUP('.'!O145,Recipes!$A:$D,4,FALSE)="",""," ["&amp;VLOOKUP('.'!O145,Recipes!$A:$D,4,FALSE)&amp;"]"))</f>
        <v/>
      </c>
      <c r="P145" s="46" t="str">
        <f t="array" ref="P145">IF('.'!P145="","",'.'!P145&amp;IF(VLOOKUP('.'!P145,Recipes!$A:$D,4,FALSE)="",""," ["&amp;VLOOKUP('.'!P145,Recipes!$A:$D,4,FALSE)&amp;"]"))</f>
        <v/>
      </c>
      <c r="Q145" s="46" t="str">
        <f t="array" ref="Q145">IF('.'!Q145="","",'.'!Q145&amp;IF(VLOOKUP('.'!Q145,Recipes!$A:$D,4,FALSE)="",""," ["&amp;VLOOKUP('.'!Q145,Recipes!$A:$D,4,FALSE)&amp;"]"))</f>
        <v/>
      </c>
      <c r="R145" s="46" t="str">
        <f t="array" ref="R145">IF('.'!R145="","",'.'!R145&amp;IF(VLOOKUP('.'!R145,Recipes!$A:$D,4,FALSE)="",""," ["&amp;VLOOKUP('.'!R145,Recipes!$A:$D,4,FALSE)&amp;"]"))</f>
        <v/>
      </c>
      <c r="S145" s="46" t="str">
        <f t="array" ref="S145">IF('.'!S145="","",'.'!S145&amp;IF(VLOOKUP('.'!S145,Recipes!$A:$D,4,FALSE)="",""," ["&amp;VLOOKUP('.'!S145,Recipes!$A:$D,4,FALSE)&amp;"]"))</f>
        <v/>
      </c>
      <c r="T145" s="46" t="str">
        <f t="array" ref="T145">IF('.'!T145="","",'.'!T145&amp;IF(VLOOKUP('.'!T145,Recipes!$A:$D,4,FALSE)="",""," ["&amp;VLOOKUP('.'!T145,Recipes!$A:$D,4,FALSE)&amp;"]"))</f>
        <v/>
      </c>
      <c r="U145" s="46" t="str">
        <f t="array" ref="U145">IF('.'!U145="","",'.'!U145&amp;IF(VLOOKUP('.'!U145,Recipes!$A:$D,4,FALSE)="",""," ["&amp;VLOOKUP('.'!U145,Recipes!$A:$D,4,FALSE)&amp;"]"))</f>
        <v/>
      </c>
      <c r="V145" s="46" t="str">
        <f t="array" ref="V145">IF('.'!V145="","",'.'!V145&amp;IF(VLOOKUP('.'!V145,Recipes!$A:$D,4,FALSE)="",""," ["&amp;VLOOKUP('.'!V145,Recipes!$A:$D,4,FALSE)&amp;"]"))</f>
        <v/>
      </c>
      <c r="W145" s="46" t="str">
        <f t="array" ref="W145">IF('.'!W145="","",'.'!W145&amp;IF(VLOOKUP('.'!W145,Recipes!$A:$D,4,FALSE)="",""," ["&amp;VLOOKUP('.'!W145,Recipes!$A:$D,4,FALSE)&amp;"]"))</f>
        <v/>
      </c>
      <c r="X145" s="46" t="str">
        <f t="array" ref="X145">IF('.'!X145="","",'.'!X145&amp;IF(VLOOKUP('.'!X145,Recipes!$A:$D,4,FALSE)="",""," ["&amp;VLOOKUP('.'!X145,Recipes!$A:$D,4,FALSE)&amp;"]"))</f>
        <v/>
      </c>
      <c r="Y145" s="46" t="str">
        <f t="array" ref="Y145">IF('.'!Y145="","",'.'!Y145&amp;IF(VLOOKUP('.'!Y145,Recipes!$A:$D,4,FALSE)="",""," ["&amp;VLOOKUP('.'!Y145,Recipes!$A:$D,4,FALSE)&amp;"]"))</f>
        <v/>
      </c>
      <c r="Z145" s="46" t="str">
        <f t="array" ref="Z145">IF('.'!Z145="","",'.'!Z145&amp;IF(VLOOKUP('.'!Z145,Recipes!$A:$D,4,FALSE)="",""," ["&amp;VLOOKUP('.'!Z145,Recipes!$A:$D,4,FALSE)&amp;"]"))</f>
        <v/>
      </c>
      <c r="AA145" s="46" t="str">
        <f t="array" ref="AA145">IF('.'!AA145="","",'.'!AA145&amp;IF(VLOOKUP('.'!AA145,Recipes!$A:$D,4,FALSE)="",""," ["&amp;VLOOKUP('.'!AA145,Recipes!$A:$D,4,FALSE)&amp;"]"))</f>
        <v/>
      </c>
      <c r="AB145" s="46" t="str">
        <f t="array" ref="AB145">IF('.'!AB145="","",'.'!AB145&amp;IF(VLOOKUP('.'!AB145,Recipes!$A:$D,4,FALSE)="",""," ["&amp;VLOOKUP('.'!AB145,Recipes!$A:$D,4,FALSE)&amp;"]"))</f>
        <v/>
      </c>
      <c r="AC145" s="46" t="str">
        <f t="array" ref="AC145">IF('.'!AC145="","",'.'!AC145&amp;IF(VLOOKUP('.'!AC145,Recipes!$A:$D,4,FALSE)="",""," ["&amp;VLOOKUP('.'!AC145,Recipes!$A:$D,4,FALSE)&amp;"]"))</f>
        <v/>
      </c>
      <c r="AD145" s="46" t="str">
        <f t="array" ref="AD145">IF('.'!AD145="","",'.'!AD145&amp;IF(VLOOKUP('.'!AD145,Recipes!$A:$D,4,FALSE)="",""," ["&amp;VLOOKUP('.'!AD145,Recipes!$A:$D,4,FALSE)&amp;"]"))</f>
        <v/>
      </c>
      <c r="AE145" s="47"/>
      <c r="AF145" s="47"/>
      <c r="AG145" s="47"/>
      <c r="AH145" s="47"/>
      <c r="AI145" s="47"/>
      <c r="AJ145" s="47"/>
      <c r="AK145" s="47"/>
      <c r="AL145" s="47"/>
      <c r="AM145" s="47"/>
      <c r="AN145" s="47"/>
      <c r="AO145" s="47"/>
      <c r="AP145" s="47"/>
      <c r="AQ145" s="47"/>
      <c r="AR145" s="47"/>
      <c r="AS145" s="47"/>
      <c r="AT145" s="47"/>
      <c r="AU145" s="47"/>
      <c r="AV145" s="47"/>
      <c r="AW145" s="47"/>
      <c r="AX145" s="47"/>
      <c r="AY145" s="47"/>
      <c r="AZ145" s="47"/>
      <c r="BA145" s="47"/>
      <c r="BB145" s="47"/>
      <c r="BC145" s="47"/>
      <c r="BD145" s="47"/>
      <c r="BE145" s="47"/>
      <c r="BF145" s="47"/>
      <c r="BG145" s="47"/>
      <c r="BH145" s="47"/>
      <c r="BI145" s="47"/>
      <c r="BJ145" s="47"/>
      <c r="BK145" s="47"/>
      <c r="BL145" s="47"/>
      <c r="BM145" s="47"/>
      <c r="BN145" s="47"/>
      <c r="BO145" s="47"/>
      <c r="BP145" s="47"/>
      <c r="BQ145" s="47"/>
      <c r="BR145" s="47"/>
      <c r="BS145" s="47"/>
      <c r="BT145" s="47"/>
      <c r="BU145" s="47"/>
      <c r="BV145" s="47"/>
      <c r="BW145" s="47"/>
      <c r="BX145" s="47"/>
      <c r="BY145" s="47"/>
      <c r="BZ145" s="47"/>
    </row>
    <row r="146" spans="1:78" ht="13">
      <c r="A146" s="48" t="str">
        <f ca="1">'.'!A146</f>
        <v>Eggs</v>
      </c>
      <c r="B146" s="46" t="e">
        <f t="array" aca="1" ref="B146" ca="1">IF('.'!B146="","",'.'!B146&amp;IF(VLOOKUP('.'!B146,Recipes!$A:$D,4,FALSE)="",""," ["&amp;VLOOKUP('.'!B146,Recipes!$A:$D,4,FALSE)&amp;"]"))</f>
        <v>#VALUE!</v>
      </c>
      <c r="C146" s="46" t="e">
        <f t="array" aca="1" ref="C146" ca="1">IF('.'!C146="","",'.'!C146&amp;IF(VLOOKUP('.'!C146,Recipes!$A:$D,4,FALSE)="",""," ["&amp;VLOOKUP('.'!C146,Recipes!$A:$D,4,FALSE)&amp;"]"))</f>
        <v>#VALUE!</v>
      </c>
      <c r="D146" s="46" t="str">
        <f t="array" ref="D146">IF('.'!D146="","",'.'!D146&amp;IF(VLOOKUP('.'!D146,Recipes!$A:$D,4,FALSE)="",""," ["&amp;VLOOKUP('.'!D146,Recipes!$A:$D,4,FALSE)&amp;"]"))</f>
        <v/>
      </c>
      <c r="E146" s="46" t="str">
        <f t="array" ref="E146">IF('.'!E146="","",'.'!E146&amp;IF(VLOOKUP('.'!E146,Recipes!$A:$D,4,FALSE)="",""," ["&amp;VLOOKUP('.'!E146,Recipes!$A:$D,4,FALSE)&amp;"]"))</f>
        <v/>
      </c>
      <c r="F146" s="46" t="str">
        <f t="array" ref="F146">IF('.'!F146="","",'.'!F146&amp;IF(VLOOKUP('.'!F146,Recipes!$A:$D,4,FALSE)="",""," ["&amp;VLOOKUP('.'!F146,Recipes!$A:$D,4,FALSE)&amp;"]"))</f>
        <v/>
      </c>
      <c r="G146" s="46" t="str">
        <f t="array" ref="G146">IF('.'!G146="","",'.'!G146&amp;IF(VLOOKUP('.'!G146,Recipes!$A:$D,4,FALSE)="",""," ["&amp;VLOOKUP('.'!G146,Recipes!$A:$D,4,FALSE)&amp;"]"))</f>
        <v/>
      </c>
      <c r="H146" s="46" t="str">
        <f t="array" ref="H146">IF('.'!H146="","",'.'!H146&amp;IF(VLOOKUP('.'!H146,Recipes!$A:$D,4,FALSE)="",""," ["&amp;VLOOKUP('.'!H146,Recipes!$A:$D,4,FALSE)&amp;"]"))</f>
        <v/>
      </c>
      <c r="I146" s="46" t="str">
        <f t="array" ref="I146">IF('.'!I146="","",'.'!I146&amp;IF(VLOOKUP('.'!I146,Recipes!$A:$D,4,FALSE)="",""," ["&amp;VLOOKUP('.'!I146,Recipes!$A:$D,4,FALSE)&amp;"]"))</f>
        <v/>
      </c>
      <c r="J146" s="46" t="str">
        <f t="array" ref="J146">IF('.'!J146="","",'.'!J146&amp;IF(VLOOKUP('.'!J146,Recipes!$A:$D,4,FALSE)="",""," ["&amp;VLOOKUP('.'!J146,Recipes!$A:$D,4,FALSE)&amp;"]"))</f>
        <v/>
      </c>
      <c r="K146" s="46" t="str">
        <f t="array" ref="K146">IF('.'!K146="","",'.'!K146&amp;IF(VLOOKUP('.'!K146,Recipes!$A:$D,4,FALSE)="",""," ["&amp;VLOOKUP('.'!K146,Recipes!$A:$D,4,FALSE)&amp;"]"))</f>
        <v/>
      </c>
      <c r="L146" s="46" t="str">
        <f t="array" ref="L146">IF('.'!L146="","",'.'!L146&amp;IF(VLOOKUP('.'!L146,Recipes!$A:$D,4,FALSE)="",""," ["&amp;VLOOKUP('.'!L146,Recipes!$A:$D,4,FALSE)&amp;"]"))</f>
        <v/>
      </c>
      <c r="M146" s="46" t="str">
        <f t="array" ref="M146">IF('.'!M146="","",'.'!M146&amp;IF(VLOOKUP('.'!M146,Recipes!$A:$D,4,FALSE)="",""," ["&amp;VLOOKUP('.'!M146,Recipes!$A:$D,4,FALSE)&amp;"]"))</f>
        <v/>
      </c>
      <c r="N146" s="46" t="str">
        <f t="array" ref="N146">IF('.'!N146="","",'.'!N146&amp;IF(VLOOKUP('.'!N146,Recipes!$A:$D,4,FALSE)="",""," ["&amp;VLOOKUP('.'!N146,Recipes!$A:$D,4,FALSE)&amp;"]"))</f>
        <v/>
      </c>
      <c r="O146" s="46" t="str">
        <f t="array" ref="O146">IF('.'!O146="","",'.'!O146&amp;IF(VLOOKUP('.'!O146,Recipes!$A:$D,4,FALSE)="",""," ["&amp;VLOOKUP('.'!O146,Recipes!$A:$D,4,FALSE)&amp;"]"))</f>
        <v/>
      </c>
      <c r="P146" s="46" t="str">
        <f t="array" ref="P146">IF('.'!P146="","",'.'!P146&amp;IF(VLOOKUP('.'!P146,Recipes!$A:$D,4,FALSE)="",""," ["&amp;VLOOKUP('.'!P146,Recipes!$A:$D,4,FALSE)&amp;"]"))</f>
        <v/>
      </c>
      <c r="Q146" s="46" t="str">
        <f t="array" ref="Q146">IF('.'!Q146="","",'.'!Q146&amp;IF(VLOOKUP('.'!Q146,Recipes!$A:$D,4,FALSE)="",""," ["&amp;VLOOKUP('.'!Q146,Recipes!$A:$D,4,FALSE)&amp;"]"))</f>
        <v/>
      </c>
      <c r="R146" s="46" t="str">
        <f t="array" ref="R146">IF('.'!R146="","",'.'!R146&amp;IF(VLOOKUP('.'!R146,Recipes!$A:$D,4,FALSE)="",""," ["&amp;VLOOKUP('.'!R146,Recipes!$A:$D,4,FALSE)&amp;"]"))</f>
        <v/>
      </c>
      <c r="S146" s="46" t="str">
        <f t="array" ref="S146">IF('.'!S146="","",'.'!S146&amp;IF(VLOOKUP('.'!S146,Recipes!$A:$D,4,FALSE)="",""," ["&amp;VLOOKUP('.'!S146,Recipes!$A:$D,4,FALSE)&amp;"]"))</f>
        <v/>
      </c>
      <c r="T146" s="46" t="str">
        <f t="array" ref="T146">IF('.'!T146="","",'.'!T146&amp;IF(VLOOKUP('.'!T146,Recipes!$A:$D,4,FALSE)="",""," ["&amp;VLOOKUP('.'!T146,Recipes!$A:$D,4,FALSE)&amp;"]"))</f>
        <v/>
      </c>
      <c r="U146" s="46" t="str">
        <f t="array" ref="U146">IF('.'!U146="","",'.'!U146&amp;IF(VLOOKUP('.'!U146,Recipes!$A:$D,4,FALSE)="",""," ["&amp;VLOOKUP('.'!U146,Recipes!$A:$D,4,FALSE)&amp;"]"))</f>
        <v/>
      </c>
      <c r="V146" s="46" t="str">
        <f t="array" ref="V146">IF('.'!V146="","",'.'!V146&amp;IF(VLOOKUP('.'!V146,Recipes!$A:$D,4,FALSE)="",""," ["&amp;VLOOKUP('.'!V146,Recipes!$A:$D,4,FALSE)&amp;"]"))</f>
        <v/>
      </c>
      <c r="W146" s="46" t="str">
        <f t="array" ref="W146">IF('.'!W146="","",'.'!W146&amp;IF(VLOOKUP('.'!W146,Recipes!$A:$D,4,FALSE)="",""," ["&amp;VLOOKUP('.'!W146,Recipes!$A:$D,4,FALSE)&amp;"]"))</f>
        <v/>
      </c>
      <c r="X146" s="46" t="str">
        <f t="array" ref="X146">IF('.'!X146="","",'.'!X146&amp;IF(VLOOKUP('.'!X146,Recipes!$A:$D,4,FALSE)="",""," ["&amp;VLOOKUP('.'!X146,Recipes!$A:$D,4,FALSE)&amp;"]"))</f>
        <v/>
      </c>
      <c r="Y146" s="46" t="str">
        <f t="array" ref="Y146">IF('.'!Y146="","",'.'!Y146&amp;IF(VLOOKUP('.'!Y146,Recipes!$A:$D,4,FALSE)="",""," ["&amp;VLOOKUP('.'!Y146,Recipes!$A:$D,4,FALSE)&amp;"]"))</f>
        <v/>
      </c>
      <c r="Z146" s="46" t="str">
        <f t="array" ref="Z146">IF('.'!Z146="","",'.'!Z146&amp;IF(VLOOKUP('.'!Z146,Recipes!$A:$D,4,FALSE)="",""," ["&amp;VLOOKUP('.'!Z146,Recipes!$A:$D,4,FALSE)&amp;"]"))</f>
        <v/>
      </c>
      <c r="AA146" s="46" t="str">
        <f t="array" ref="AA146">IF('.'!AA146="","",'.'!AA146&amp;IF(VLOOKUP('.'!AA146,Recipes!$A:$D,4,FALSE)="",""," ["&amp;VLOOKUP('.'!AA146,Recipes!$A:$D,4,FALSE)&amp;"]"))</f>
        <v/>
      </c>
      <c r="AB146" s="46" t="str">
        <f t="array" ref="AB146">IF('.'!AB146="","",'.'!AB146&amp;IF(VLOOKUP('.'!AB146,Recipes!$A:$D,4,FALSE)="",""," ["&amp;VLOOKUP('.'!AB146,Recipes!$A:$D,4,FALSE)&amp;"]"))</f>
        <v/>
      </c>
      <c r="AC146" s="46" t="str">
        <f t="array" ref="AC146">IF('.'!AC146="","",'.'!AC146&amp;IF(VLOOKUP('.'!AC146,Recipes!$A:$D,4,FALSE)="",""," ["&amp;VLOOKUP('.'!AC146,Recipes!$A:$D,4,FALSE)&amp;"]"))</f>
        <v/>
      </c>
      <c r="AD146" s="46" t="str">
        <f t="array" ref="AD146">IF('.'!AD146="","",'.'!AD146&amp;IF(VLOOKUP('.'!AD146,Recipes!$A:$D,4,FALSE)="",""," ["&amp;VLOOKUP('.'!AD146,Recipes!$A:$D,4,FALSE)&amp;"]"))</f>
        <v/>
      </c>
      <c r="AE146" s="47"/>
      <c r="AF146" s="47"/>
      <c r="AG146" s="47"/>
      <c r="AH146" s="47"/>
      <c r="AI146" s="47"/>
      <c r="AJ146" s="47"/>
      <c r="AK146" s="47"/>
      <c r="AL146" s="47"/>
      <c r="AM146" s="47"/>
      <c r="AN146" s="47"/>
      <c r="AO146" s="47"/>
      <c r="AP146" s="47"/>
      <c r="AQ146" s="47"/>
      <c r="AR146" s="47"/>
      <c r="AS146" s="47"/>
      <c r="AT146" s="47"/>
      <c r="AU146" s="47"/>
      <c r="AV146" s="47"/>
      <c r="AW146" s="47"/>
      <c r="AX146" s="47"/>
      <c r="AY146" s="47"/>
      <c r="AZ146" s="47"/>
      <c r="BA146" s="47"/>
      <c r="BB146" s="47"/>
      <c r="BC146" s="47"/>
      <c r="BD146" s="47"/>
      <c r="BE146" s="47"/>
      <c r="BF146" s="47"/>
      <c r="BG146" s="47"/>
      <c r="BH146" s="47"/>
      <c r="BI146" s="47"/>
      <c r="BJ146" s="47"/>
      <c r="BK146" s="47"/>
      <c r="BL146" s="47"/>
      <c r="BM146" s="47"/>
      <c r="BN146" s="47"/>
      <c r="BO146" s="47"/>
      <c r="BP146" s="47"/>
      <c r="BQ146" s="47"/>
      <c r="BR146" s="47"/>
      <c r="BS146" s="47"/>
      <c r="BT146" s="47"/>
      <c r="BU146" s="47"/>
      <c r="BV146" s="47"/>
      <c r="BW146" s="47"/>
      <c r="BX146" s="47"/>
      <c r="BY146" s="47"/>
      <c r="BZ146" s="47"/>
    </row>
    <row r="147" spans="1:78" ht="13">
      <c r="A147" s="48" t="str">
        <f ca="1">'.'!A147</f>
        <v>Electric Discharge Scroll</v>
      </c>
      <c r="B147" s="46" t="str">
        <f t="array" aca="1" ref="B147" ca="1">IF('.'!B147="","",'.'!B147&amp;IF(VLOOKUP('.'!B147,Recipes!$A:$D,4,FALSE)="",""," ["&amp;VLOOKUP('.'!B147,Recipes!$A:$D,4,FALSE)&amp;"]"))</f>
        <v>Electric Discharge Skillbook [-200]</v>
      </c>
      <c r="C147" s="46" t="str">
        <f t="array" ref="C147">IF('.'!C147="","",'.'!C147&amp;IF(VLOOKUP('.'!C147,Recipes!$A:$D,4,FALSE)="",""," ["&amp;VLOOKUP('.'!C147,Recipes!$A:$D,4,FALSE)&amp;"]"))</f>
        <v/>
      </c>
      <c r="D147" s="46" t="str">
        <f t="array" ref="D147">IF('.'!D147="","",'.'!D147&amp;IF(VLOOKUP('.'!D147,Recipes!$A:$D,4,FALSE)="",""," ["&amp;VLOOKUP('.'!D147,Recipes!$A:$D,4,FALSE)&amp;"]"))</f>
        <v/>
      </c>
      <c r="E147" s="46" t="str">
        <f t="array" ref="E147">IF('.'!E147="","",'.'!E147&amp;IF(VLOOKUP('.'!E147,Recipes!$A:$D,4,FALSE)="",""," ["&amp;VLOOKUP('.'!E147,Recipes!$A:$D,4,FALSE)&amp;"]"))</f>
        <v/>
      </c>
      <c r="F147" s="46" t="str">
        <f t="array" ref="F147">IF('.'!F147="","",'.'!F147&amp;IF(VLOOKUP('.'!F147,Recipes!$A:$D,4,FALSE)="",""," ["&amp;VLOOKUP('.'!F147,Recipes!$A:$D,4,FALSE)&amp;"]"))</f>
        <v/>
      </c>
      <c r="G147" s="46" t="str">
        <f t="array" ref="G147">IF('.'!G147="","",'.'!G147&amp;IF(VLOOKUP('.'!G147,Recipes!$A:$D,4,FALSE)="",""," ["&amp;VLOOKUP('.'!G147,Recipes!$A:$D,4,FALSE)&amp;"]"))</f>
        <v/>
      </c>
      <c r="H147" s="46" t="str">
        <f t="array" ref="H147">IF('.'!H147="","",'.'!H147&amp;IF(VLOOKUP('.'!H147,Recipes!$A:$D,4,FALSE)="",""," ["&amp;VLOOKUP('.'!H147,Recipes!$A:$D,4,FALSE)&amp;"]"))</f>
        <v/>
      </c>
      <c r="I147" s="46" t="str">
        <f t="array" ref="I147">IF('.'!I147="","",'.'!I147&amp;IF(VLOOKUP('.'!I147,Recipes!$A:$D,4,FALSE)="",""," ["&amp;VLOOKUP('.'!I147,Recipes!$A:$D,4,FALSE)&amp;"]"))</f>
        <v/>
      </c>
      <c r="J147" s="46" t="str">
        <f t="array" ref="J147">IF('.'!J147="","",'.'!J147&amp;IF(VLOOKUP('.'!J147,Recipes!$A:$D,4,FALSE)="",""," ["&amp;VLOOKUP('.'!J147,Recipes!$A:$D,4,FALSE)&amp;"]"))</f>
        <v/>
      </c>
      <c r="K147" s="46" t="str">
        <f t="array" ref="K147">IF('.'!K147="","",'.'!K147&amp;IF(VLOOKUP('.'!K147,Recipes!$A:$D,4,FALSE)="",""," ["&amp;VLOOKUP('.'!K147,Recipes!$A:$D,4,FALSE)&amp;"]"))</f>
        <v/>
      </c>
      <c r="L147" s="46" t="str">
        <f t="array" ref="L147">IF('.'!L147="","",'.'!L147&amp;IF(VLOOKUP('.'!L147,Recipes!$A:$D,4,FALSE)="",""," ["&amp;VLOOKUP('.'!L147,Recipes!$A:$D,4,FALSE)&amp;"]"))</f>
        <v/>
      </c>
      <c r="M147" s="46" t="str">
        <f t="array" ref="M147">IF('.'!M147="","",'.'!M147&amp;IF(VLOOKUP('.'!M147,Recipes!$A:$D,4,FALSE)="",""," ["&amp;VLOOKUP('.'!M147,Recipes!$A:$D,4,FALSE)&amp;"]"))</f>
        <v/>
      </c>
      <c r="N147" s="46" t="str">
        <f t="array" ref="N147">IF('.'!N147="","",'.'!N147&amp;IF(VLOOKUP('.'!N147,Recipes!$A:$D,4,FALSE)="",""," ["&amp;VLOOKUP('.'!N147,Recipes!$A:$D,4,FALSE)&amp;"]"))</f>
        <v/>
      </c>
      <c r="O147" s="46" t="str">
        <f t="array" ref="O147">IF('.'!O147="","",'.'!O147&amp;IF(VLOOKUP('.'!O147,Recipes!$A:$D,4,FALSE)="",""," ["&amp;VLOOKUP('.'!O147,Recipes!$A:$D,4,FALSE)&amp;"]"))</f>
        <v/>
      </c>
      <c r="P147" s="46" t="str">
        <f t="array" ref="P147">IF('.'!P147="","",'.'!P147&amp;IF(VLOOKUP('.'!P147,Recipes!$A:$D,4,FALSE)="",""," ["&amp;VLOOKUP('.'!P147,Recipes!$A:$D,4,FALSE)&amp;"]"))</f>
        <v/>
      </c>
      <c r="Q147" s="46" t="str">
        <f t="array" ref="Q147">IF('.'!Q147="","",'.'!Q147&amp;IF(VLOOKUP('.'!Q147,Recipes!$A:$D,4,FALSE)="",""," ["&amp;VLOOKUP('.'!Q147,Recipes!$A:$D,4,FALSE)&amp;"]"))</f>
        <v/>
      </c>
      <c r="R147" s="46" t="str">
        <f t="array" ref="R147">IF('.'!R147="","",'.'!R147&amp;IF(VLOOKUP('.'!R147,Recipes!$A:$D,4,FALSE)="",""," ["&amp;VLOOKUP('.'!R147,Recipes!$A:$D,4,FALSE)&amp;"]"))</f>
        <v/>
      </c>
      <c r="S147" s="46" t="str">
        <f t="array" ref="S147">IF('.'!S147="","",'.'!S147&amp;IF(VLOOKUP('.'!S147,Recipes!$A:$D,4,FALSE)="",""," ["&amp;VLOOKUP('.'!S147,Recipes!$A:$D,4,FALSE)&amp;"]"))</f>
        <v/>
      </c>
      <c r="T147" s="46" t="str">
        <f t="array" ref="T147">IF('.'!T147="","",'.'!T147&amp;IF(VLOOKUP('.'!T147,Recipes!$A:$D,4,FALSE)="",""," ["&amp;VLOOKUP('.'!T147,Recipes!$A:$D,4,FALSE)&amp;"]"))</f>
        <v/>
      </c>
      <c r="U147" s="46" t="str">
        <f t="array" ref="U147">IF('.'!U147="","",'.'!U147&amp;IF(VLOOKUP('.'!U147,Recipes!$A:$D,4,FALSE)="",""," ["&amp;VLOOKUP('.'!U147,Recipes!$A:$D,4,FALSE)&amp;"]"))</f>
        <v/>
      </c>
      <c r="V147" s="46" t="str">
        <f t="array" ref="V147">IF('.'!V147="","",'.'!V147&amp;IF(VLOOKUP('.'!V147,Recipes!$A:$D,4,FALSE)="",""," ["&amp;VLOOKUP('.'!V147,Recipes!$A:$D,4,FALSE)&amp;"]"))</f>
        <v/>
      </c>
      <c r="W147" s="46" t="str">
        <f t="array" ref="W147">IF('.'!W147="","",'.'!W147&amp;IF(VLOOKUP('.'!W147,Recipes!$A:$D,4,FALSE)="",""," ["&amp;VLOOKUP('.'!W147,Recipes!$A:$D,4,FALSE)&amp;"]"))</f>
        <v/>
      </c>
      <c r="X147" s="46" t="str">
        <f t="array" ref="X147">IF('.'!X147="","",'.'!X147&amp;IF(VLOOKUP('.'!X147,Recipes!$A:$D,4,FALSE)="",""," ["&amp;VLOOKUP('.'!X147,Recipes!$A:$D,4,FALSE)&amp;"]"))</f>
        <v/>
      </c>
      <c r="Y147" s="46" t="str">
        <f t="array" ref="Y147">IF('.'!Y147="","",'.'!Y147&amp;IF(VLOOKUP('.'!Y147,Recipes!$A:$D,4,FALSE)="",""," ["&amp;VLOOKUP('.'!Y147,Recipes!$A:$D,4,FALSE)&amp;"]"))</f>
        <v/>
      </c>
      <c r="Z147" s="46" t="str">
        <f t="array" ref="Z147">IF('.'!Z147="","",'.'!Z147&amp;IF(VLOOKUP('.'!Z147,Recipes!$A:$D,4,FALSE)="",""," ["&amp;VLOOKUP('.'!Z147,Recipes!$A:$D,4,FALSE)&amp;"]"))</f>
        <v/>
      </c>
      <c r="AA147" s="46" t="str">
        <f t="array" ref="AA147">IF('.'!AA147="","",'.'!AA147&amp;IF(VLOOKUP('.'!AA147,Recipes!$A:$D,4,FALSE)="",""," ["&amp;VLOOKUP('.'!AA147,Recipes!$A:$D,4,FALSE)&amp;"]"))</f>
        <v/>
      </c>
      <c r="AB147" s="46" t="str">
        <f t="array" ref="AB147">IF('.'!AB147="","",'.'!AB147&amp;IF(VLOOKUP('.'!AB147,Recipes!$A:$D,4,FALSE)="",""," ["&amp;VLOOKUP('.'!AB147,Recipes!$A:$D,4,FALSE)&amp;"]"))</f>
        <v/>
      </c>
      <c r="AC147" s="46" t="str">
        <f t="array" ref="AC147">IF('.'!AC147="","",'.'!AC147&amp;IF(VLOOKUP('.'!AC147,Recipes!$A:$D,4,FALSE)="",""," ["&amp;VLOOKUP('.'!AC147,Recipes!$A:$D,4,FALSE)&amp;"]"))</f>
        <v/>
      </c>
      <c r="AD147" s="46" t="str">
        <f t="array" ref="AD147">IF('.'!AD147="","",'.'!AD147&amp;IF(VLOOKUP('.'!AD147,Recipes!$A:$D,4,FALSE)="",""," ["&amp;VLOOKUP('.'!AD147,Recipes!$A:$D,4,FALSE)&amp;"]"))</f>
        <v/>
      </c>
      <c r="AE147" s="47"/>
      <c r="AF147" s="47"/>
      <c r="AG147" s="47"/>
      <c r="AH147" s="47"/>
      <c r="AI147" s="47"/>
      <c r="AJ147" s="47"/>
      <c r="AK147" s="47"/>
      <c r="AL147" s="47"/>
      <c r="AM147" s="47"/>
      <c r="AN147" s="47"/>
      <c r="AO147" s="47"/>
      <c r="AP147" s="47"/>
      <c r="AQ147" s="47"/>
      <c r="AR147" s="47"/>
      <c r="AS147" s="47"/>
      <c r="AT147" s="47"/>
      <c r="AU147" s="47"/>
      <c r="AV147" s="47"/>
      <c r="AW147" s="47"/>
      <c r="AX147" s="47"/>
      <c r="AY147" s="47"/>
      <c r="AZ147" s="47"/>
      <c r="BA147" s="47"/>
      <c r="BB147" s="47"/>
      <c r="BC147" s="47"/>
      <c r="BD147" s="47"/>
      <c r="BE147" s="47"/>
      <c r="BF147" s="47"/>
      <c r="BG147" s="47"/>
      <c r="BH147" s="47"/>
      <c r="BI147" s="47"/>
      <c r="BJ147" s="47"/>
      <c r="BK147" s="47"/>
      <c r="BL147" s="47"/>
      <c r="BM147" s="47"/>
      <c r="BN147" s="47"/>
      <c r="BO147" s="47"/>
      <c r="BP147" s="47"/>
      <c r="BQ147" s="47"/>
      <c r="BR147" s="47"/>
      <c r="BS147" s="47"/>
      <c r="BT147" s="47"/>
      <c r="BU147" s="47"/>
      <c r="BV147" s="47"/>
      <c r="BW147" s="47"/>
      <c r="BX147" s="47"/>
      <c r="BY147" s="47"/>
      <c r="BZ147" s="47"/>
    </row>
    <row r="148" spans="1:78" ht="13">
      <c r="A148" s="48" t="str">
        <f ca="1">'.'!A148</f>
        <v>Elemental Totem Scroll</v>
      </c>
      <c r="B148" s="46" t="str">
        <f t="array" aca="1" ref="B148" ca="1">IF('.'!B148="","",'.'!B148&amp;IF(VLOOKUP('.'!B148,Recipes!$A:$D,4,FALSE)="",""," ["&amp;VLOOKUP('.'!B148,Recipes!$A:$D,4,FALSE)&amp;"]"))</f>
        <v>Elemental Totem Skillbook [-190]</v>
      </c>
      <c r="C148" s="46" t="str">
        <f t="array" ref="C148">IF('.'!C148="","",'.'!C148&amp;IF(VLOOKUP('.'!C148,Recipes!$A:$D,4,FALSE)="",""," ["&amp;VLOOKUP('.'!C148,Recipes!$A:$D,4,FALSE)&amp;"]"))</f>
        <v/>
      </c>
      <c r="D148" s="46" t="str">
        <f t="array" ref="D148">IF('.'!D148="","",'.'!D148&amp;IF(VLOOKUP('.'!D148,Recipes!$A:$D,4,FALSE)="",""," ["&amp;VLOOKUP('.'!D148,Recipes!$A:$D,4,FALSE)&amp;"]"))</f>
        <v/>
      </c>
      <c r="E148" s="46" t="str">
        <f t="array" ref="E148">IF('.'!E148="","",'.'!E148&amp;IF(VLOOKUP('.'!E148,Recipes!$A:$D,4,FALSE)="",""," ["&amp;VLOOKUP('.'!E148,Recipes!$A:$D,4,FALSE)&amp;"]"))</f>
        <v/>
      </c>
      <c r="F148" s="46" t="str">
        <f t="array" ref="F148">IF('.'!F148="","",'.'!F148&amp;IF(VLOOKUP('.'!F148,Recipes!$A:$D,4,FALSE)="",""," ["&amp;VLOOKUP('.'!F148,Recipes!$A:$D,4,FALSE)&amp;"]"))</f>
        <v/>
      </c>
      <c r="G148" s="46" t="str">
        <f t="array" ref="G148">IF('.'!G148="","",'.'!G148&amp;IF(VLOOKUP('.'!G148,Recipes!$A:$D,4,FALSE)="",""," ["&amp;VLOOKUP('.'!G148,Recipes!$A:$D,4,FALSE)&amp;"]"))</f>
        <v/>
      </c>
      <c r="H148" s="46" t="str">
        <f t="array" ref="H148">IF('.'!H148="","",'.'!H148&amp;IF(VLOOKUP('.'!H148,Recipes!$A:$D,4,FALSE)="",""," ["&amp;VLOOKUP('.'!H148,Recipes!$A:$D,4,FALSE)&amp;"]"))</f>
        <v/>
      </c>
      <c r="I148" s="46" t="str">
        <f t="array" ref="I148">IF('.'!I148="","",'.'!I148&amp;IF(VLOOKUP('.'!I148,Recipes!$A:$D,4,FALSE)="",""," ["&amp;VLOOKUP('.'!I148,Recipes!$A:$D,4,FALSE)&amp;"]"))</f>
        <v/>
      </c>
      <c r="J148" s="46" t="str">
        <f t="array" ref="J148">IF('.'!J148="","",'.'!J148&amp;IF(VLOOKUP('.'!J148,Recipes!$A:$D,4,FALSE)="",""," ["&amp;VLOOKUP('.'!J148,Recipes!$A:$D,4,FALSE)&amp;"]"))</f>
        <v/>
      </c>
      <c r="K148" s="46" t="str">
        <f t="array" ref="K148">IF('.'!K148="","",'.'!K148&amp;IF(VLOOKUP('.'!K148,Recipes!$A:$D,4,FALSE)="",""," ["&amp;VLOOKUP('.'!K148,Recipes!$A:$D,4,FALSE)&amp;"]"))</f>
        <v/>
      </c>
      <c r="L148" s="46" t="str">
        <f t="array" ref="L148">IF('.'!L148="","",'.'!L148&amp;IF(VLOOKUP('.'!L148,Recipes!$A:$D,4,FALSE)="",""," ["&amp;VLOOKUP('.'!L148,Recipes!$A:$D,4,FALSE)&amp;"]"))</f>
        <v/>
      </c>
      <c r="M148" s="46" t="str">
        <f t="array" ref="M148">IF('.'!M148="","",'.'!M148&amp;IF(VLOOKUP('.'!M148,Recipes!$A:$D,4,FALSE)="",""," ["&amp;VLOOKUP('.'!M148,Recipes!$A:$D,4,FALSE)&amp;"]"))</f>
        <v/>
      </c>
      <c r="N148" s="46" t="str">
        <f t="array" ref="N148">IF('.'!N148="","",'.'!N148&amp;IF(VLOOKUP('.'!N148,Recipes!$A:$D,4,FALSE)="",""," ["&amp;VLOOKUP('.'!N148,Recipes!$A:$D,4,FALSE)&amp;"]"))</f>
        <v/>
      </c>
      <c r="O148" s="46" t="str">
        <f t="array" ref="O148">IF('.'!O148="","",'.'!O148&amp;IF(VLOOKUP('.'!O148,Recipes!$A:$D,4,FALSE)="",""," ["&amp;VLOOKUP('.'!O148,Recipes!$A:$D,4,FALSE)&amp;"]"))</f>
        <v/>
      </c>
      <c r="P148" s="46" t="str">
        <f t="array" ref="P148">IF('.'!P148="","",'.'!P148&amp;IF(VLOOKUP('.'!P148,Recipes!$A:$D,4,FALSE)="",""," ["&amp;VLOOKUP('.'!P148,Recipes!$A:$D,4,FALSE)&amp;"]"))</f>
        <v/>
      </c>
      <c r="Q148" s="46" t="str">
        <f t="array" ref="Q148">IF('.'!Q148="","",'.'!Q148&amp;IF(VLOOKUP('.'!Q148,Recipes!$A:$D,4,FALSE)="",""," ["&amp;VLOOKUP('.'!Q148,Recipes!$A:$D,4,FALSE)&amp;"]"))</f>
        <v/>
      </c>
      <c r="R148" s="46" t="str">
        <f t="array" ref="R148">IF('.'!R148="","",'.'!R148&amp;IF(VLOOKUP('.'!R148,Recipes!$A:$D,4,FALSE)="",""," ["&amp;VLOOKUP('.'!R148,Recipes!$A:$D,4,FALSE)&amp;"]"))</f>
        <v/>
      </c>
      <c r="S148" s="46" t="str">
        <f t="array" ref="S148">IF('.'!S148="","",'.'!S148&amp;IF(VLOOKUP('.'!S148,Recipes!$A:$D,4,FALSE)="",""," ["&amp;VLOOKUP('.'!S148,Recipes!$A:$D,4,FALSE)&amp;"]"))</f>
        <v/>
      </c>
      <c r="T148" s="46" t="str">
        <f t="array" ref="T148">IF('.'!T148="","",'.'!T148&amp;IF(VLOOKUP('.'!T148,Recipes!$A:$D,4,FALSE)="",""," ["&amp;VLOOKUP('.'!T148,Recipes!$A:$D,4,FALSE)&amp;"]"))</f>
        <v/>
      </c>
      <c r="U148" s="46" t="str">
        <f t="array" ref="U148">IF('.'!U148="","",'.'!U148&amp;IF(VLOOKUP('.'!U148,Recipes!$A:$D,4,FALSE)="",""," ["&amp;VLOOKUP('.'!U148,Recipes!$A:$D,4,FALSE)&amp;"]"))</f>
        <v/>
      </c>
      <c r="V148" s="46" t="str">
        <f t="array" ref="V148">IF('.'!V148="","",'.'!V148&amp;IF(VLOOKUP('.'!V148,Recipes!$A:$D,4,FALSE)="",""," ["&amp;VLOOKUP('.'!V148,Recipes!$A:$D,4,FALSE)&amp;"]"))</f>
        <v/>
      </c>
      <c r="W148" s="46" t="str">
        <f t="array" ref="W148">IF('.'!W148="","",'.'!W148&amp;IF(VLOOKUP('.'!W148,Recipes!$A:$D,4,FALSE)="",""," ["&amp;VLOOKUP('.'!W148,Recipes!$A:$D,4,FALSE)&amp;"]"))</f>
        <v/>
      </c>
      <c r="X148" s="46" t="str">
        <f t="array" ref="X148">IF('.'!X148="","",'.'!X148&amp;IF(VLOOKUP('.'!X148,Recipes!$A:$D,4,FALSE)="",""," ["&amp;VLOOKUP('.'!X148,Recipes!$A:$D,4,FALSE)&amp;"]"))</f>
        <v/>
      </c>
      <c r="Y148" s="46" t="str">
        <f t="array" ref="Y148">IF('.'!Y148="","",'.'!Y148&amp;IF(VLOOKUP('.'!Y148,Recipes!$A:$D,4,FALSE)="",""," ["&amp;VLOOKUP('.'!Y148,Recipes!$A:$D,4,FALSE)&amp;"]"))</f>
        <v/>
      </c>
      <c r="Z148" s="46" t="str">
        <f t="array" ref="Z148">IF('.'!Z148="","",'.'!Z148&amp;IF(VLOOKUP('.'!Z148,Recipes!$A:$D,4,FALSE)="",""," ["&amp;VLOOKUP('.'!Z148,Recipes!$A:$D,4,FALSE)&amp;"]"))</f>
        <v/>
      </c>
      <c r="AA148" s="46" t="str">
        <f t="array" ref="AA148">IF('.'!AA148="","",'.'!AA148&amp;IF(VLOOKUP('.'!AA148,Recipes!$A:$D,4,FALSE)="",""," ["&amp;VLOOKUP('.'!AA148,Recipes!$A:$D,4,FALSE)&amp;"]"))</f>
        <v/>
      </c>
      <c r="AB148" s="46" t="str">
        <f t="array" ref="AB148">IF('.'!AB148="","",'.'!AB148&amp;IF(VLOOKUP('.'!AB148,Recipes!$A:$D,4,FALSE)="",""," ["&amp;VLOOKUP('.'!AB148,Recipes!$A:$D,4,FALSE)&amp;"]"))</f>
        <v/>
      </c>
      <c r="AC148" s="46" t="str">
        <f t="array" ref="AC148">IF('.'!AC148="","",'.'!AC148&amp;IF(VLOOKUP('.'!AC148,Recipes!$A:$D,4,FALSE)="",""," ["&amp;VLOOKUP('.'!AC148,Recipes!$A:$D,4,FALSE)&amp;"]"))</f>
        <v/>
      </c>
      <c r="AD148" s="46" t="str">
        <f t="array" ref="AD148">IF('.'!AD148="","",'.'!AD148&amp;IF(VLOOKUP('.'!AD148,Recipes!$A:$D,4,FALSE)="",""," ["&amp;VLOOKUP('.'!AD148,Recipes!$A:$D,4,FALSE)&amp;"]"))</f>
        <v/>
      </c>
      <c r="AE148" s="47"/>
      <c r="AF148" s="47"/>
      <c r="AG148" s="47"/>
      <c r="AH148" s="47"/>
      <c r="AI148" s="47"/>
      <c r="AJ148" s="47"/>
      <c r="AK148" s="47"/>
      <c r="AL148" s="47"/>
      <c r="AM148" s="47"/>
      <c r="AN148" s="47"/>
      <c r="AO148" s="47"/>
      <c r="AP148" s="47"/>
      <c r="AQ148" s="47"/>
      <c r="AR148" s="47"/>
      <c r="AS148" s="47"/>
      <c r="AT148" s="47"/>
      <c r="AU148" s="47"/>
      <c r="AV148" s="47"/>
      <c r="AW148" s="47"/>
      <c r="AX148" s="47"/>
      <c r="AY148" s="47"/>
      <c r="AZ148" s="47"/>
      <c r="BA148" s="47"/>
      <c r="BB148" s="47"/>
      <c r="BC148" s="47"/>
      <c r="BD148" s="47"/>
      <c r="BE148" s="47"/>
      <c r="BF148" s="47"/>
      <c r="BG148" s="47"/>
      <c r="BH148" s="47"/>
      <c r="BI148" s="47"/>
      <c r="BJ148" s="47"/>
      <c r="BK148" s="47"/>
      <c r="BL148" s="47"/>
      <c r="BM148" s="47"/>
      <c r="BN148" s="47"/>
      <c r="BO148" s="47"/>
      <c r="BP148" s="47"/>
      <c r="BQ148" s="47"/>
      <c r="BR148" s="47"/>
      <c r="BS148" s="47"/>
      <c r="BT148" s="47"/>
      <c r="BU148" s="47"/>
      <c r="BV148" s="47"/>
      <c r="BW148" s="47"/>
      <c r="BX148" s="47"/>
      <c r="BY148" s="47"/>
      <c r="BZ148" s="47"/>
    </row>
    <row r="149" spans="1:78" ht="13">
      <c r="A149" s="48" t="str">
        <f ca="1">'.'!A149</f>
        <v>Elf Face</v>
      </c>
      <c r="B149" s="46" t="str">
        <f t="array" aca="1" ref="B149" ca="1">IF('.'!B149="","",'.'!B149&amp;IF(VLOOKUP('.'!B149,Recipes!$A:$D,4,FALSE)="",""," ["&amp;VLOOKUP('.'!B149,Recipes!$A:$D,4,FALSE)&amp;"]"))</f>
        <v>Elven Mask of the Shapeshifter [V]</v>
      </c>
      <c r="C149" s="46" t="str">
        <f t="array" ref="C149">IF('.'!C149="","",'.'!C149&amp;IF(VLOOKUP('.'!C149,Recipes!$A:$D,4,FALSE)="",""," ["&amp;VLOOKUP('.'!C149,Recipes!$A:$D,4,FALSE)&amp;"]"))</f>
        <v/>
      </c>
      <c r="D149" s="46" t="str">
        <f t="array" ref="D149">IF('.'!D149="","",'.'!D149&amp;IF(VLOOKUP('.'!D149,Recipes!$A:$D,4,FALSE)="",""," ["&amp;VLOOKUP('.'!D149,Recipes!$A:$D,4,FALSE)&amp;"]"))</f>
        <v/>
      </c>
      <c r="E149" s="46" t="str">
        <f t="array" ref="E149">IF('.'!E149="","",'.'!E149&amp;IF(VLOOKUP('.'!E149,Recipes!$A:$D,4,FALSE)="",""," ["&amp;VLOOKUP('.'!E149,Recipes!$A:$D,4,FALSE)&amp;"]"))</f>
        <v/>
      </c>
      <c r="F149" s="46" t="str">
        <f t="array" ref="F149">IF('.'!F149="","",'.'!F149&amp;IF(VLOOKUP('.'!F149,Recipes!$A:$D,4,FALSE)="",""," ["&amp;VLOOKUP('.'!F149,Recipes!$A:$D,4,FALSE)&amp;"]"))</f>
        <v/>
      </c>
      <c r="G149" s="46" t="str">
        <f t="array" ref="G149">IF('.'!G149="","",'.'!G149&amp;IF(VLOOKUP('.'!G149,Recipes!$A:$D,4,FALSE)="",""," ["&amp;VLOOKUP('.'!G149,Recipes!$A:$D,4,FALSE)&amp;"]"))</f>
        <v/>
      </c>
      <c r="H149" s="46" t="str">
        <f t="array" ref="H149">IF('.'!H149="","",'.'!H149&amp;IF(VLOOKUP('.'!H149,Recipes!$A:$D,4,FALSE)="",""," ["&amp;VLOOKUP('.'!H149,Recipes!$A:$D,4,FALSE)&amp;"]"))</f>
        <v/>
      </c>
      <c r="I149" s="46" t="str">
        <f t="array" ref="I149">IF('.'!I149="","",'.'!I149&amp;IF(VLOOKUP('.'!I149,Recipes!$A:$D,4,FALSE)="",""," ["&amp;VLOOKUP('.'!I149,Recipes!$A:$D,4,FALSE)&amp;"]"))</f>
        <v/>
      </c>
      <c r="J149" s="46" t="str">
        <f t="array" ref="J149">IF('.'!J149="","",'.'!J149&amp;IF(VLOOKUP('.'!J149,Recipes!$A:$D,4,FALSE)="",""," ["&amp;VLOOKUP('.'!J149,Recipes!$A:$D,4,FALSE)&amp;"]"))</f>
        <v/>
      </c>
      <c r="K149" s="46" t="str">
        <f t="array" ref="K149">IF('.'!K149="","",'.'!K149&amp;IF(VLOOKUP('.'!K149,Recipes!$A:$D,4,FALSE)="",""," ["&amp;VLOOKUP('.'!K149,Recipes!$A:$D,4,FALSE)&amp;"]"))</f>
        <v/>
      </c>
      <c r="L149" s="46" t="str">
        <f t="array" ref="L149">IF('.'!L149="","",'.'!L149&amp;IF(VLOOKUP('.'!L149,Recipes!$A:$D,4,FALSE)="",""," ["&amp;VLOOKUP('.'!L149,Recipes!$A:$D,4,FALSE)&amp;"]"))</f>
        <v/>
      </c>
      <c r="M149" s="46" t="str">
        <f t="array" ref="M149">IF('.'!M149="","",'.'!M149&amp;IF(VLOOKUP('.'!M149,Recipes!$A:$D,4,FALSE)="",""," ["&amp;VLOOKUP('.'!M149,Recipes!$A:$D,4,FALSE)&amp;"]"))</f>
        <v/>
      </c>
      <c r="N149" s="46" t="str">
        <f t="array" ref="N149">IF('.'!N149="","",'.'!N149&amp;IF(VLOOKUP('.'!N149,Recipes!$A:$D,4,FALSE)="",""," ["&amp;VLOOKUP('.'!N149,Recipes!$A:$D,4,FALSE)&amp;"]"))</f>
        <v/>
      </c>
      <c r="O149" s="46" t="str">
        <f t="array" ref="O149">IF('.'!O149="","",'.'!O149&amp;IF(VLOOKUP('.'!O149,Recipes!$A:$D,4,FALSE)="",""," ["&amp;VLOOKUP('.'!O149,Recipes!$A:$D,4,FALSE)&amp;"]"))</f>
        <v/>
      </c>
      <c r="P149" s="46" t="str">
        <f t="array" ref="P149">IF('.'!P149="","",'.'!P149&amp;IF(VLOOKUP('.'!P149,Recipes!$A:$D,4,FALSE)="",""," ["&amp;VLOOKUP('.'!P149,Recipes!$A:$D,4,FALSE)&amp;"]"))</f>
        <v/>
      </c>
      <c r="Q149" s="46" t="str">
        <f t="array" ref="Q149">IF('.'!Q149="","",'.'!Q149&amp;IF(VLOOKUP('.'!Q149,Recipes!$A:$D,4,FALSE)="",""," ["&amp;VLOOKUP('.'!Q149,Recipes!$A:$D,4,FALSE)&amp;"]"))</f>
        <v/>
      </c>
      <c r="R149" s="46" t="str">
        <f t="array" ref="R149">IF('.'!R149="","",'.'!R149&amp;IF(VLOOKUP('.'!R149,Recipes!$A:$D,4,FALSE)="",""," ["&amp;VLOOKUP('.'!R149,Recipes!$A:$D,4,FALSE)&amp;"]"))</f>
        <v/>
      </c>
      <c r="S149" s="46" t="str">
        <f t="array" ref="S149">IF('.'!S149="","",'.'!S149&amp;IF(VLOOKUP('.'!S149,Recipes!$A:$D,4,FALSE)="",""," ["&amp;VLOOKUP('.'!S149,Recipes!$A:$D,4,FALSE)&amp;"]"))</f>
        <v/>
      </c>
      <c r="T149" s="46" t="str">
        <f t="array" ref="T149">IF('.'!T149="","",'.'!T149&amp;IF(VLOOKUP('.'!T149,Recipes!$A:$D,4,FALSE)="",""," ["&amp;VLOOKUP('.'!T149,Recipes!$A:$D,4,FALSE)&amp;"]"))</f>
        <v/>
      </c>
      <c r="U149" s="46" t="str">
        <f t="array" ref="U149">IF('.'!U149="","",'.'!U149&amp;IF(VLOOKUP('.'!U149,Recipes!$A:$D,4,FALSE)="",""," ["&amp;VLOOKUP('.'!U149,Recipes!$A:$D,4,FALSE)&amp;"]"))</f>
        <v/>
      </c>
      <c r="V149" s="46" t="str">
        <f t="array" ref="V149">IF('.'!V149="","",'.'!V149&amp;IF(VLOOKUP('.'!V149,Recipes!$A:$D,4,FALSE)="",""," ["&amp;VLOOKUP('.'!V149,Recipes!$A:$D,4,FALSE)&amp;"]"))</f>
        <v/>
      </c>
      <c r="W149" s="46" t="str">
        <f t="array" ref="W149">IF('.'!W149="","",'.'!W149&amp;IF(VLOOKUP('.'!W149,Recipes!$A:$D,4,FALSE)="",""," ["&amp;VLOOKUP('.'!W149,Recipes!$A:$D,4,FALSE)&amp;"]"))</f>
        <v/>
      </c>
      <c r="X149" s="46" t="str">
        <f t="array" ref="X149">IF('.'!X149="","",'.'!X149&amp;IF(VLOOKUP('.'!X149,Recipes!$A:$D,4,FALSE)="",""," ["&amp;VLOOKUP('.'!X149,Recipes!$A:$D,4,FALSE)&amp;"]"))</f>
        <v/>
      </c>
      <c r="Y149" s="46" t="str">
        <f t="array" ref="Y149">IF('.'!Y149="","",'.'!Y149&amp;IF(VLOOKUP('.'!Y149,Recipes!$A:$D,4,FALSE)="",""," ["&amp;VLOOKUP('.'!Y149,Recipes!$A:$D,4,FALSE)&amp;"]"))</f>
        <v/>
      </c>
      <c r="Z149" s="46" t="str">
        <f t="array" ref="Z149">IF('.'!Z149="","",'.'!Z149&amp;IF(VLOOKUP('.'!Z149,Recipes!$A:$D,4,FALSE)="",""," ["&amp;VLOOKUP('.'!Z149,Recipes!$A:$D,4,FALSE)&amp;"]"))</f>
        <v/>
      </c>
      <c r="AA149" s="46" t="str">
        <f t="array" ref="AA149">IF('.'!AA149="","",'.'!AA149&amp;IF(VLOOKUP('.'!AA149,Recipes!$A:$D,4,FALSE)="",""," ["&amp;VLOOKUP('.'!AA149,Recipes!$A:$D,4,FALSE)&amp;"]"))</f>
        <v/>
      </c>
      <c r="AB149" s="46" t="str">
        <f t="array" ref="AB149">IF('.'!AB149="","",'.'!AB149&amp;IF(VLOOKUP('.'!AB149,Recipes!$A:$D,4,FALSE)="",""," ["&amp;VLOOKUP('.'!AB149,Recipes!$A:$D,4,FALSE)&amp;"]"))</f>
        <v/>
      </c>
      <c r="AC149" s="46" t="str">
        <f t="array" ref="AC149">IF('.'!AC149="","",'.'!AC149&amp;IF(VLOOKUP('.'!AC149,Recipes!$A:$D,4,FALSE)="",""," ["&amp;VLOOKUP('.'!AC149,Recipes!$A:$D,4,FALSE)&amp;"]"))</f>
        <v/>
      </c>
      <c r="AD149" s="46" t="str">
        <f t="array" ref="AD149">IF('.'!AD149="","",'.'!AD149&amp;IF(VLOOKUP('.'!AD149,Recipes!$A:$D,4,FALSE)="",""," ["&amp;VLOOKUP('.'!AD149,Recipes!$A:$D,4,FALSE)&amp;"]"))</f>
        <v/>
      </c>
      <c r="AE149" s="47"/>
      <c r="AF149" s="47"/>
      <c r="AG149" s="47"/>
      <c r="AH149" s="47"/>
      <c r="AI149" s="47"/>
      <c r="AJ149" s="47"/>
      <c r="AK149" s="47"/>
      <c r="AL149" s="47"/>
      <c r="AM149" s="47"/>
      <c r="AN149" s="47"/>
      <c r="AO149" s="47"/>
      <c r="AP149" s="47"/>
      <c r="AQ149" s="47"/>
      <c r="AR149" s="47"/>
      <c r="AS149" s="47"/>
      <c r="AT149" s="47"/>
      <c r="AU149" s="47"/>
      <c r="AV149" s="47"/>
      <c r="AW149" s="47"/>
      <c r="AX149" s="47"/>
      <c r="AY149" s="47"/>
      <c r="AZ149" s="47"/>
      <c r="BA149" s="47"/>
      <c r="BB149" s="47"/>
      <c r="BC149" s="47"/>
      <c r="BD149" s="47"/>
      <c r="BE149" s="47"/>
      <c r="BF149" s="47"/>
      <c r="BG149" s="47"/>
      <c r="BH149" s="47"/>
      <c r="BI149" s="47"/>
      <c r="BJ149" s="47"/>
      <c r="BK149" s="47"/>
      <c r="BL149" s="47"/>
      <c r="BM149" s="47"/>
      <c r="BN149" s="47"/>
      <c r="BO149" s="47"/>
      <c r="BP149" s="47"/>
      <c r="BQ149" s="47"/>
      <c r="BR149" s="47"/>
      <c r="BS149" s="47"/>
      <c r="BT149" s="47"/>
      <c r="BU149" s="47"/>
      <c r="BV149" s="47"/>
      <c r="BW149" s="47"/>
      <c r="BX149" s="47"/>
      <c r="BY149" s="47"/>
      <c r="BZ149" s="47"/>
    </row>
    <row r="150" spans="1:78" ht="13">
      <c r="A150" s="48" t="str">
        <f ca="1">'.'!A150</f>
        <v>Elven Mask of the Shapeshifter</v>
      </c>
      <c r="B150" s="46" t="str">
        <f t="array" aca="1" ref="B150" ca="1">IF('.'!B150="","",'.'!B150&amp;IF(VLOOKUP('.'!B150,Recipes!$A:$D,4,FALSE)="",""," ["&amp;VLOOKUP('.'!B150,Recipes!$A:$D,4,FALSE)&amp;"]"))</f>
        <v>Mask of the Shapeshifter [V]</v>
      </c>
      <c r="C150" s="46" t="str">
        <f t="array" ref="C150">IF('.'!C150="","",'.'!C150&amp;IF(VLOOKUP('.'!C150,Recipes!$A:$D,4,FALSE)="",""," ["&amp;VLOOKUP('.'!C150,Recipes!$A:$D,4,FALSE)&amp;"]"))</f>
        <v/>
      </c>
      <c r="D150" s="46" t="str">
        <f t="array" ref="D150">IF('.'!D150="","",'.'!D150&amp;IF(VLOOKUP('.'!D150,Recipes!$A:$D,4,FALSE)="",""," ["&amp;VLOOKUP('.'!D150,Recipes!$A:$D,4,FALSE)&amp;"]"))</f>
        <v/>
      </c>
      <c r="E150" s="46" t="str">
        <f t="array" ref="E150">IF('.'!E150="","",'.'!E150&amp;IF(VLOOKUP('.'!E150,Recipes!$A:$D,4,FALSE)="",""," ["&amp;VLOOKUP('.'!E150,Recipes!$A:$D,4,FALSE)&amp;"]"))</f>
        <v/>
      </c>
      <c r="F150" s="46" t="str">
        <f t="array" ref="F150">IF('.'!F150="","",'.'!F150&amp;IF(VLOOKUP('.'!F150,Recipes!$A:$D,4,FALSE)="",""," ["&amp;VLOOKUP('.'!F150,Recipes!$A:$D,4,FALSE)&amp;"]"))</f>
        <v/>
      </c>
      <c r="G150" s="46" t="str">
        <f t="array" ref="G150">IF('.'!G150="","",'.'!G150&amp;IF(VLOOKUP('.'!G150,Recipes!$A:$D,4,FALSE)="",""," ["&amp;VLOOKUP('.'!G150,Recipes!$A:$D,4,FALSE)&amp;"]"))</f>
        <v/>
      </c>
      <c r="H150" s="46" t="str">
        <f t="array" ref="H150">IF('.'!H150="","",'.'!H150&amp;IF(VLOOKUP('.'!H150,Recipes!$A:$D,4,FALSE)="",""," ["&amp;VLOOKUP('.'!H150,Recipes!$A:$D,4,FALSE)&amp;"]"))</f>
        <v/>
      </c>
      <c r="I150" s="46" t="str">
        <f t="array" ref="I150">IF('.'!I150="","",'.'!I150&amp;IF(VLOOKUP('.'!I150,Recipes!$A:$D,4,FALSE)="",""," ["&amp;VLOOKUP('.'!I150,Recipes!$A:$D,4,FALSE)&amp;"]"))</f>
        <v/>
      </c>
      <c r="J150" s="46" t="str">
        <f t="array" ref="J150">IF('.'!J150="","",'.'!J150&amp;IF(VLOOKUP('.'!J150,Recipes!$A:$D,4,FALSE)="",""," ["&amp;VLOOKUP('.'!J150,Recipes!$A:$D,4,FALSE)&amp;"]"))</f>
        <v/>
      </c>
      <c r="K150" s="46" t="str">
        <f t="array" ref="K150">IF('.'!K150="","",'.'!K150&amp;IF(VLOOKUP('.'!K150,Recipes!$A:$D,4,FALSE)="",""," ["&amp;VLOOKUP('.'!K150,Recipes!$A:$D,4,FALSE)&amp;"]"))</f>
        <v/>
      </c>
      <c r="L150" s="46" t="str">
        <f t="array" ref="L150">IF('.'!L150="","",'.'!L150&amp;IF(VLOOKUP('.'!L150,Recipes!$A:$D,4,FALSE)="",""," ["&amp;VLOOKUP('.'!L150,Recipes!$A:$D,4,FALSE)&amp;"]"))</f>
        <v/>
      </c>
      <c r="M150" s="46" t="str">
        <f t="array" ref="M150">IF('.'!M150="","",'.'!M150&amp;IF(VLOOKUP('.'!M150,Recipes!$A:$D,4,FALSE)="",""," ["&amp;VLOOKUP('.'!M150,Recipes!$A:$D,4,FALSE)&amp;"]"))</f>
        <v/>
      </c>
      <c r="N150" s="46" t="str">
        <f t="array" ref="N150">IF('.'!N150="","",'.'!N150&amp;IF(VLOOKUP('.'!N150,Recipes!$A:$D,4,FALSE)="",""," ["&amp;VLOOKUP('.'!N150,Recipes!$A:$D,4,FALSE)&amp;"]"))</f>
        <v/>
      </c>
      <c r="O150" s="46" t="str">
        <f t="array" ref="O150">IF('.'!O150="","",'.'!O150&amp;IF(VLOOKUP('.'!O150,Recipes!$A:$D,4,FALSE)="",""," ["&amp;VLOOKUP('.'!O150,Recipes!$A:$D,4,FALSE)&amp;"]"))</f>
        <v/>
      </c>
      <c r="P150" s="46" t="str">
        <f t="array" ref="P150">IF('.'!P150="","",'.'!P150&amp;IF(VLOOKUP('.'!P150,Recipes!$A:$D,4,FALSE)="",""," ["&amp;VLOOKUP('.'!P150,Recipes!$A:$D,4,FALSE)&amp;"]"))</f>
        <v/>
      </c>
      <c r="Q150" s="46" t="str">
        <f t="array" ref="Q150">IF('.'!Q150="","",'.'!Q150&amp;IF(VLOOKUP('.'!Q150,Recipes!$A:$D,4,FALSE)="",""," ["&amp;VLOOKUP('.'!Q150,Recipes!$A:$D,4,FALSE)&amp;"]"))</f>
        <v/>
      </c>
      <c r="R150" s="46" t="str">
        <f t="array" ref="R150">IF('.'!R150="","",'.'!R150&amp;IF(VLOOKUP('.'!R150,Recipes!$A:$D,4,FALSE)="",""," ["&amp;VLOOKUP('.'!R150,Recipes!$A:$D,4,FALSE)&amp;"]"))</f>
        <v/>
      </c>
      <c r="S150" s="46" t="str">
        <f t="array" ref="S150">IF('.'!S150="","",'.'!S150&amp;IF(VLOOKUP('.'!S150,Recipes!$A:$D,4,FALSE)="",""," ["&amp;VLOOKUP('.'!S150,Recipes!$A:$D,4,FALSE)&amp;"]"))</f>
        <v/>
      </c>
      <c r="T150" s="46" t="str">
        <f t="array" ref="T150">IF('.'!T150="","",'.'!T150&amp;IF(VLOOKUP('.'!T150,Recipes!$A:$D,4,FALSE)="",""," ["&amp;VLOOKUP('.'!T150,Recipes!$A:$D,4,FALSE)&amp;"]"))</f>
        <v/>
      </c>
      <c r="U150" s="46" t="str">
        <f t="array" ref="U150">IF('.'!U150="","",'.'!U150&amp;IF(VLOOKUP('.'!U150,Recipes!$A:$D,4,FALSE)="",""," ["&amp;VLOOKUP('.'!U150,Recipes!$A:$D,4,FALSE)&amp;"]"))</f>
        <v/>
      </c>
      <c r="V150" s="46" t="str">
        <f t="array" ref="V150">IF('.'!V150="","",'.'!V150&amp;IF(VLOOKUP('.'!V150,Recipes!$A:$D,4,FALSE)="",""," ["&amp;VLOOKUP('.'!V150,Recipes!$A:$D,4,FALSE)&amp;"]"))</f>
        <v/>
      </c>
      <c r="W150" s="46" t="str">
        <f t="array" ref="W150">IF('.'!W150="","",'.'!W150&amp;IF(VLOOKUP('.'!W150,Recipes!$A:$D,4,FALSE)="",""," ["&amp;VLOOKUP('.'!W150,Recipes!$A:$D,4,FALSE)&amp;"]"))</f>
        <v/>
      </c>
      <c r="X150" s="46" t="str">
        <f t="array" ref="X150">IF('.'!X150="","",'.'!X150&amp;IF(VLOOKUP('.'!X150,Recipes!$A:$D,4,FALSE)="",""," ["&amp;VLOOKUP('.'!X150,Recipes!$A:$D,4,FALSE)&amp;"]"))</f>
        <v/>
      </c>
      <c r="Y150" s="46" t="str">
        <f t="array" ref="Y150">IF('.'!Y150="","",'.'!Y150&amp;IF(VLOOKUP('.'!Y150,Recipes!$A:$D,4,FALSE)="",""," ["&amp;VLOOKUP('.'!Y150,Recipes!$A:$D,4,FALSE)&amp;"]"))</f>
        <v/>
      </c>
      <c r="Z150" s="46" t="str">
        <f t="array" ref="Z150">IF('.'!Z150="","",'.'!Z150&amp;IF(VLOOKUP('.'!Z150,Recipes!$A:$D,4,FALSE)="",""," ["&amp;VLOOKUP('.'!Z150,Recipes!$A:$D,4,FALSE)&amp;"]"))</f>
        <v/>
      </c>
      <c r="AA150" s="46" t="str">
        <f t="array" ref="AA150">IF('.'!AA150="","",'.'!AA150&amp;IF(VLOOKUP('.'!AA150,Recipes!$A:$D,4,FALSE)="",""," ["&amp;VLOOKUP('.'!AA150,Recipes!$A:$D,4,FALSE)&amp;"]"))</f>
        <v/>
      </c>
      <c r="AB150" s="46" t="str">
        <f t="array" ref="AB150">IF('.'!AB150="","",'.'!AB150&amp;IF(VLOOKUP('.'!AB150,Recipes!$A:$D,4,FALSE)="",""," ["&amp;VLOOKUP('.'!AB150,Recipes!$A:$D,4,FALSE)&amp;"]"))</f>
        <v/>
      </c>
      <c r="AC150" s="46" t="str">
        <f t="array" ref="AC150">IF('.'!AC150="","",'.'!AC150&amp;IF(VLOOKUP('.'!AC150,Recipes!$A:$D,4,FALSE)="",""," ["&amp;VLOOKUP('.'!AC150,Recipes!$A:$D,4,FALSE)&amp;"]"))</f>
        <v/>
      </c>
      <c r="AD150" s="46" t="str">
        <f t="array" ref="AD150">IF('.'!AD150="","",'.'!AD150&amp;IF(VLOOKUP('.'!AD150,Recipes!$A:$D,4,FALSE)="",""," ["&amp;VLOOKUP('.'!AD150,Recipes!$A:$D,4,FALSE)&amp;"]"))</f>
        <v/>
      </c>
      <c r="AE150" s="47"/>
      <c r="AF150" s="47"/>
      <c r="AG150" s="47"/>
      <c r="AH150" s="47"/>
      <c r="AI150" s="47"/>
      <c r="AJ150" s="47"/>
      <c r="AK150" s="47"/>
      <c r="AL150" s="47"/>
      <c r="AM150" s="47"/>
      <c r="AN150" s="47"/>
      <c r="AO150" s="47"/>
      <c r="AP150" s="47"/>
      <c r="AQ150" s="47"/>
      <c r="AR150" s="47"/>
      <c r="AS150" s="47"/>
      <c r="AT150" s="47"/>
      <c r="AU150" s="47"/>
      <c r="AV150" s="47"/>
      <c r="AW150" s="47"/>
      <c r="AX150" s="47"/>
      <c r="AY150" s="47"/>
      <c r="AZ150" s="47"/>
      <c r="BA150" s="47"/>
      <c r="BB150" s="47"/>
      <c r="BC150" s="47"/>
      <c r="BD150" s="47"/>
      <c r="BE150" s="47"/>
      <c r="BF150" s="47"/>
      <c r="BG150" s="47"/>
      <c r="BH150" s="47"/>
      <c r="BI150" s="47"/>
      <c r="BJ150" s="47"/>
      <c r="BK150" s="47"/>
      <c r="BL150" s="47"/>
      <c r="BM150" s="47"/>
      <c r="BN150" s="47"/>
      <c r="BO150" s="47"/>
      <c r="BP150" s="47"/>
      <c r="BQ150" s="47"/>
      <c r="BR150" s="47"/>
      <c r="BS150" s="47"/>
      <c r="BT150" s="47"/>
      <c r="BU150" s="47"/>
      <c r="BV150" s="47"/>
      <c r="BW150" s="47"/>
      <c r="BX150" s="47"/>
      <c r="BY150" s="47"/>
      <c r="BZ150" s="47"/>
    </row>
    <row r="151" spans="1:78" ht="13">
      <c r="A151" s="48" t="str">
        <f ca="1">'.'!A151</f>
        <v>Empty Bottle</v>
      </c>
      <c r="B151" s="46" t="str">
        <f t="array" aca="1" ref="B151" ca="1">IF('.'!B151="","",'.'!B151&amp;IF(VLOOKUP('.'!B151,Recipes!$A:$D,4,FALSE)="",""," ["&amp;VLOOKUP('.'!B151,Recipes!$A:$D,4,FALSE)&amp;"]"))</f>
        <v>Bottle of Beer [6]</v>
      </c>
      <c r="C151" s="46" t="str">
        <f t="array" aca="1" ref="C151" ca="1">IF('.'!C151="","",'.'!C151&amp;IF(VLOOKUP('.'!C151,Recipes!$A:$D,4,FALSE)="",""," ["&amp;VLOOKUP('.'!C151,Recipes!$A:$D,4,FALSE)&amp;"]"))</f>
        <v>Bottle of Water [0]</v>
      </c>
      <c r="D151" s="46" t="str">
        <f t="array" aca="1" ref="D151" ca="1">IF('.'!D151="","",'.'!D151&amp;IF(VLOOKUP('.'!D151,Recipes!$A:$D,4,FALSE)="",""," ["&amp;VLOOKUP('.'!D151,Recipes!$A:$D,4,FALSE)&amp;"]"))</f>
        <v>Bottle of Wine [19]</v>
      </c>
      <c r="E151" s="46" t="str">
        <f t="array" aca="1" ref="E151" ca="1">IF('.'!E151="","",'.'!E151&amp;IF(VLOOKUP('.'!E151,Recipes!$A:$D,4,FALSE)="",""," ["&amp;VLOOKUP('.'!E151,Recipes!$A:$D,4,FALSE)&amp;"]"))</f>
        <v>Bottle Filled With Oil [2]</v>
      </c>
      <c r="F151" s="46" t="str">
        <f t="array" aca="1" ref="F151" ca="1">IF('.'!F151="","",'.'!F151&amp;IF(VLOOKUP('.'!F151,Recipes!$A:$D,4,FALSE)="",""," ["&amp;VLOOKUP('.'!F151,Recipes!$A:$D,4,FALSE)&amp;"]"))</f>
        <v>Broken Bottle [-1]</v>
      </c>
      <c r="G151" s="46" t="str">
        <f t="array" ref="G151">IF('.'!G151="","",'.'!G151&amp;IF(VLOOKUP('.'!G151,Recipes!$A:$D,4,FALSE)="",""," ["&amp;VLOOKUP('.'!G151,Recipes!$A:$D,4,FALSE)&amp;"]"))</f>
        <v/>
      </c>
      <c r="H151" s="46" t="str">
        <f t="array" ref="H151">IF('.'!H151="","",'.'!H151&amp;IF(VLOOKUP('.'!H151,Recipes!$A:$D,4,FALSE)="",""," ["&amp;VLOOKUP('.'!H151,Recipes!$A:$D,4,FALSE)&amp;"]"))</f>
        <v/>
      </c>
      <c r="I151" s="46" t="str">
        <f t="array" ref="I151">IF('.'!I151="","",'.'!I151&amp;IF(VLOOKUP('.'!I151,Recipes!$A:$D,4,FALSE)="",""," ["&amp;VLOOKUP('.'!I151,Recipes!$A:$D,4,FALSE)&amp;"]"))</f>
        <v/>
      </c>
      <c r="J151" s="46" t="str">
        <f t="array" ref="J151">IF('.'!J151="","",'.'!J151&amp;IF(VLOOKUP('.'!J151,Recipes!$A:$D,4,FALSE)="",""," ["&amp;VLOOKUP('.'!J151,Recipes!$A:$D,4,FALSE)&amp;"]"))</f>
        <v/>
      </c>
      <c r="K151" s="46" t="str">
        <f t="array" ref="K151">IF('.'!K151="","",'.'!K151&amp;IF(VLOOKUP('.'!K151,Recipes!$A:$D,4,FALSE)="",""," ["&amp;VLOOKUP('.'!K151,Recipes!$A:$D,4,FALSE)&amp;"]"))</f>
        <v/>
      </c>
      <c r="L151" s="46" t="str">
        <f t="array" ref="L151">IF('.'!L151="","",'.'!L151&amp;IF(VLOOKUP('.'!L151,Recipes!$A:$D,4,FALSE)="",""," ["&amp;VLOOKUP('.'!L151,Recipes!$A:$D,4,FALSE)&amp;"]"))</f>
        <v/>
      </c>
      <c r="M151" s="46" t="str">
        <f t="array" ref="M151">IF('.'!M151="","",'.'!M151&amp;IF(VLOOKUP('.'!M151,Recipes!$A:$D,4,FALSE)="",""," ["&amp;VLOOKUP('.'!M151,Recipes!$A:$D,4,FALSE)&amp;"]"))</f>
        <v/>
      </c>
      <c r="N151" s="46" t="str">
        <f t="array" ref="N151">IF('.'!N151="","",'.'!N151&amp;IF(VLOOKUP('.'!N151,Recipes!$A:$D,4,FALSE)="",""," ["&amp;VLOOKUP('.'!N151,Recipes!$A:$D,4,FALSE)&amp;"]"))</f>
        <v/>
      </c>
      <c r="O151" s="46" t="str">
        <f t="array" ref="O151">IF('.'!O151="","",'.'!O151&amp;IF(VLOOKUP('.'!O151,Recipes!$A:$D,4,FALSE)="",""," ["&amp;VLOOKUP('.'!O151,Recipes!$A:$D,4,FALSE)&amp;"]"))</f>
        <v/>
      </c>
      <c r="P151" s="46" t="str">
        <f t="array" ref="P151">IF('.'!P151="","",'.'!P151&amp;IF(VLOOKUP('.'!P151,Recipes!$A:$D,4,FALSE)="",""," ["&amp;VLOOKUP('.'!P151,Recipes!$A:$D,4,FALSE)&amp;"]"))</f>
        <v/>
      </c>
      <c r="Q151" s="46" t="str">
        <f t="array" ref="Q151">IF('.'!Q151="","",'.'!Q151&amp;IF(VLOOKUP('.'!Q151,Recipes!$A:$D,4,FALSE)="",""," ["&amp;VLOOKUP('.'!Q151,Recipes!$A:$D,4,FALSE)&amp;"]"))</f>
        <v/>
      </c>
      <c r="R151" s="46" t="str">
        <f t="array" ref="R151">IF('.'!R151="","",'.'!R151&amp;IF(VLOOKUP('.'!R151,Recipes!$A:$D,4,FALSE)="",""," ["&amp;VLOOKUP('.'!R151,Recipes!$A:$D,4,FALSE)&amp;"]"))</f>
        <v/>
      </c>
      <c r="S151" s="46" t="str">
        <f t="array" ref="S151">IF('.'!S151="","",'.'!S151&amp;IF(VLOOKUP('.'!S151,Recipes!$A:$D,4,FALSE)="",""," ["&amp;VLOOKUP('.'!S151,Recipes!$A:$D,4,FALSE)&amp;"]"))</f>
        <v/>
      </c>
      <c r="T151" s="46" t="str">
        <f t="array" ref="T151">IF('.'!T151="","",'.'!T151&amp;IF(VLOOKUP('.'!T151,Recipes!$A:$D,4,FALSE)="",""," ["&amp;VLOOKUP('.'!T151,Recipes!$A:$D,4,FALSE)&amp;"]"))</f>
        <v/>
      </c>
      <c r="U151" s="46" t="str">
        <f t="array" ref="U151">IF('.'!U151="","",'.'!U151&amp;IF(VLOOKUP('.'!U151,Recipes!$A:$D,4,FALSE)="",""," ["&amp;VLOOKUP('.'!U151,Recipes!$A:$D,4,FALSE)&amp;"]"))</f>
        <v/>
      </c>
      <c r="V151" s="46" t="str">
        <f t="array" ref="V151">IF('.'!V151="","",'.'!V151&amp;IF(VLOOKUP('.'!V151,Recipes!$A:$D,4,FALSE)="",""," ["&amp;VLOOKUP('.'!V151,Recipes!$A:$D,4,FALSE)&amp;"]"))</f>
        <v/>
      </c>
      <c r="W151" s="46" t="str">
        <f t="array" ref="W151">IF('.'!W151="","",'.'!W151&amp;IF(VLOOKUP('.'!W151,Recipes!$A:$D,4,FALSE)="",""," ["&amp;VLOOKUP('.'!W151,Recipes!$A:$D,4,FALSE)&amp;"]"))</f>
        <v/>
      </c>
      <c r="X151" s="46" t="str">
        <f t="array" ref="X151">IF('.'!X151="","",'.'!X151&amp;IF(VLOOKUP('.'!X151,Recipes!$A:$D,4,FALSE)="",""," ["&amp;VLOOKUP('.'!X151,Recipes!$A:$D,4,FALSE)&amp;"]"))</f>
        <v/>
      </c>
      <c r="Y151" s="46" t="str">
        <f t="array" ref="Y151">IF('.'!Y151="","",'.'!Y151&amp;IF(VLOOKUP('.'!Y151,Recipes!$A:$D,4,FALSE)="",""," ["&amp;VLOOKUP('.'!Y151,Recipes!$A:$D,4,FALSE)&amp;"]"))</f>
        <v/>
      </c>
      <c r="Z151" s="46" t="str">
        <f t="array" ref="Z151">IF('.'!Z151="","",'.'!Z151&amp;IF(VLOOKUP('.'!Z151,Recipes!$A:$D,4,FALSE)="",""," ["&amp;VLOOKUP('.'!Z151,Recipes!$A:$D,4,FALSE)&amp;"]"))</f>
        <v/>
      </c>
      <c r="AA151" s="46" t="str">
        <f t="array" ref="AA151">IF('.'!AA151="","",'.'!AA151&amp;IF(VLOOKUP('.'!AA151,Recipes!$A:$D,4,FALSE)="",""," ["&amp;VLOOKUP('.'!AA151,Recipes!$A:$D,4,FALSE)&amp;"]"))</f>
        <v/>
      </c>
      <c r="AB151" s="46" t="str">
        <f t="array" ref="AB151">IF('.'!AB151="","",'.'!AB151&amp;IF(VLOOKUP('.'!AB151,Recipes!$A:$D,4,FALSE)="",""," ["&amp;VLOOKUP('.'!AB151,Recipes!$A:$D,4,FALSE)&amp;"]"))</f>
        <v/>
      </c>
      <c r="AC151" s="46" t="str">
        <f t="array" ref="AC151">IF('.'!AC151="","",'.'!AC151&amp;IF(VLOOKUP('.'!AC151,Recipes!$A:$D,4,FALSE)="",""," ["&amp;VLOOKUP('.'!AC151,Recipes!$A:$D,4,FALSE)&amp;"]"))</f>
        <v/>
      </c>
      <c r="AD151" s="46" t="str">
        <f t="array" ref="AD151">IF('.'!AD151="","",'.'!AD151&amp;IF(VLOOKUP('.'!AD151,Recipes!$A:$D,4,FALSE)="",""," ["&amp;VLOOKUP('.'!AD151,Recipes!$A:$D,4,FALSE)&amp;"]"))</f>
        <v/>
      </c>
      <c r="AE151" s="47"/>
      <c r="AF151" s="47"/>
      <c r="AG151" s="47"/>
      <c r="AH151" s="47"/>
      <c r="AI151" s="47"/>
      <c r="AJ151" s="47"/>
      <c r="AK151" s="47"/>
      <c r="AL151" s="47"/>
      <c r="AM151" s="47"/>
      <c r="AN151" s="47"/>
      <c r="AO151" s="47"/>
      <c r="AP151" s="47"/>
      <c r="AQ151" s="47"/>
      <c r="AR151" s="47"/>
      <c r="AS151" s="47"/>
      <c r="AT151" s="47"/>
      <c r="AU151" s="47"/>
      <c r="AV151" s="47"/>
      <c r="AW151" s="47"/>
      <c r="AX151" s="47"/>
      <c r="AY151" s="47"/>
      <c r="AZ151" s="47"/>
      <c r="BA151" s="47"/>
      <c r="BB151" s="47"/>
      <c r="BC151" s="47"/>
      <c r="BD151" s="47"/>
      <c r="BE151" s="47"/>
      <c r="BF151" s="47"/>
      <c r="BG151" s="47"/>
      <c r="BH151" s="47"/>
      <c r="BI151" s="47"/>
      <c r="BJ151" s="47"/>
      <c r="BK151" s="47"/>
      <c r="BL151" s="47"/>
      <c r="BM151" s="47"/>
      <c r="BN151" s="47"/>
      <c r="BO151" s="47"/>
      <c r="BP151" s="47"/>
      <c r="BQ151" s="47"/>
      <c r="BR151" s="47"/>
      <c r="BS151" s="47"/>
      <c r="BT151" s="47"/>
      <c r="BU151" s="47"/>
      <c r="BV151" s="47"/>
      <c r="BW151" s="47"/>
      <c r="BX151" s="47"/>
      <c r="BY151" s="47"/>
      <c r="BZ151" s="47"/>
    </row>
    <row r="152" spans="1:78" ht="13">
      <c r="A152" s="48" t="str">
        <f ca="1">'.'!A152</f>
        <v>Empty Canister</v>
      </c>
      <c r="B152" s="46" t="str">
        <f t="array" aca="1" ref="B152" ca="1">IF('.'!B152="","",'.'!B152&amp;IF(VLOOKUP('.'!B152,Recipes!$A:$D,4,FALSE)="",""," ["&amp;VLOOKUP('.'!B152,Recipes!$A:$D,4,FALSE)&amp;"]"))</f>
        <v>Chemical Warfare Grenade [799]</v>
      </c>
      <c r="C152" s="46" t="str">
        <f t="array" aca="1" ref="C152" ca="1">IF('.'!C152="","",'.'!C152&amp;IF(VLOOKUP('.'!C152,Recipes!$A:$D,4,FALSE)="",""," ["&amp;VLOOKUP('.'!C152,Recipes!$A:$D,4,FALSE)&amp;"]"))</f>
        <v>Thunderbolt Grenade [20]</v>
      </c>
      <c r="D152" s="46" t="str">
        <f t="array" aca="1" ref="D152" ca="1">IF('.'!D152="","",'.'!D152&amp;IF(VLOOKUP('.'!D152,Recipes!$A:$D,4,FALSE)="",""," ["&amp;VLOOKUP('.'!D152,Recipes!$A:$D,4,FALSE)&amp;"]"))</f>
        <v>Tremor Grenade [270]</v>
      </c>
      <c r="E152" s="46" t="str">
        <f t="array" aca="1" ref="E152" ca="1">IF('.'!E152="","",'.'!E152&amp;IF(VLOOKUP('.'!E152,Recipes!$A:$D,4,FALSE)="",""," ["&amp;VLOOKUP('.'!E152,Recipes!$A:$D,4,FALSE)&amp;"]"))</f>
        <v>Poison Cloud Grenade [49]</v>
      </c>
      <c r="F152" s="46" t="str">
        <f t="array" aca="1" ref="F152" ca="1">IF('.'!F152="","",'.'!F152&amp;IF(VLOOKUP('.'!F152,Recipes!$A:$D,4,FALSE)="",""," ["&amp;VLOOKUP('.'!F152,Recipes!$A:$D,4,FALSE)&amp;"]"))</f>
        <v>Razze Dazzle Grenade [-20]</v>
      </c>
      <c r="G152" s="46" t="str">
        <f t="array" aca="1" ref="G152" ca="1">IF('.'!G152="","",'.'!G152&amp;IF(VLOOKUP('.'!G152,Recipes!$A:$D,4,FALSE)="",""," ["&amp;VLOOKUP('.'!G152,Recipes!$A:$D,4,FALSE)&amp;"]"))</f>
        <v>Terror Grenade [300]</v>
      </c>
      <c r="H152" s="46" t="str">
        <f t="array" ref="H152">IF('.'!H152="","",'.'!H152&amp;IF(VLOOKUP('.'!H152,Recipes!$A:$D,4,FALSE)="",""," ["&amp;VLOOKUP('.'!H152,Recipes!$A:$D,4,FALSE)&amp;"]"))</f>
        <v/>
      </c>
      <c r="I152" s="46" t="str">
        <f t="array" ref="I152">IF('.'!I152="","",'.'!I152&amp;IF(VLOOKUP('.'!I152,Recipes!$A:$D,4,FALSE)="",""," ["&amp;VLOOKUP('.'!I152,Recipes!$A:$D,4,FALSE)&amp;"]"))</f>
        <v/>
      </c>
      <c r="J152" s="46" t="str">
        <f t="array" ref="J152">IF('.'!J152="","",'.'!J152&amp;IF(VLOOKUP('.'!J152,Recipes!$A:$D,4,FALSE)="",""," ["&amp;VLOOKUP('.'!J152,Recipes!$A:$D,4,FALSE)&amp;"]"))</f>
        <v/>
      </c>
      <c r="K152" s="46" t="str">
        <f t="array" ref="K152">IF('.'!K152="","",'.'!K152&amp;IF(VLOOKUP('.'!K152,Recipes!$A:$D,4,FALSE)="",""," ["&amp;VLOOKUP('.'!K152,Recipes!$A:$D,4,FALSE)&amp;"]"))</f>
        <v/>
      </c>
      <c r="L152" s="46" t="str">
        <f t="array" ref="L152">IF('.'!L152="","",'.'!L152&amp;IF(VLOOKUP('.'!L152,Recipes!$A:$D,4,FALSE)="",""," ["&amp;VLOOKUP('.'!L152,Recipes!$A:$D,4,FALSE)&amp;"]"))</f>
        <v/>
      </c>
      <c r="M152" s="46" t="str">
        <f t="array" ref="M152">IF('.'!M152="","",'.'!M152&amp;IF(VLOOKUP('.'!M152,Recipes!$A:$D,4,FALSE)="",""," ["&amp;VLOOKUP('.'!M152,Recipes!$A:$D,4,FALSE)&amp;"]"))</f>
        <v/>
      </c>
      <c r="N152" s="46" t="str">
        <f t="array" ref="N152">IF('.'!N152="","",'.'!N152&amp;IF(VLOOKUP('.'!N152,Recipes!$A:$D,4,FALSE)="",""," ["&amp;VLOOKUP('.'!N152,Recipes!$A:$D,4,FALSE)&amp;"]"))</f>
        <v/>
      </c>
      <c r="O152" s="46" t="str">
        <f t="array" ref="O152">IF('.'!O152="","",'.'!O152&amp;IF(VLOOKUP('.'!O152,Recipes!$A:$D,4,FALSE)="",""," ["&amp;VLOOKUP('.'!O152,Recipes!$A:$D,4,FALSE)&amp;"]"))</f>
        <v/>
      </c>
      <c r="P152" s="46" t="str">
        <f t="array" ref="P152">IF('.'!P152="","",'.'!P152&amp;IF(VLOOKUP('.'!P152,Recipes!$A:$D,4,FALSE)="",""," ["&amp;VLOOKUP('.'!P152,Recipes!$A:$D,4,FALSE)&amp;"]"))</f>
        <v/>
      </c>
      <c r="Q152" s="46" t="str">
        <f t="array" ref="Q152">IF('.'!Q152="","",'.'!Q152&amp;IF(VLOOKUP('.'!Q152,Recipes!$A:$D,4,FALSE)="",""," ["&amp;VLOOKUP('.'!Q152,Recipes!$A:$D,4,FALSE)&amp;"]"))</f>
        <v/>
      </c>
      <c r="R152" s="46" t="str">
        <f t="array" ref="R152">IF('.'!R152="","",'.'!R152&amp;IF(VLOOKUP('.'!R152,Recipes!$A:$D,4,FALSE)="",""," ["&amp;VLOOKUP('.'!R152,Recipes!$A:$D,4,FALSE)&amp;"]"))</f>
        <v/>
      </c>
      <c r="S152" s="46" t="str">
        <f t="array" ref="S152">IF('.'!S152="","",'.'!S152&amp;IF(VLOOKUP('.'!S152,Recipes!$A:$D,4,FALSE)="",""," ["&amp;VLOOKUP('.'!S152,Recipes!$A:$D,4,FALSE)&amp;"]"))</f>
        <v/>
      </c>
      <c r="T152" s="46" t="str">
        <f t="array" ref="T152">IF('.'!T152="","",'.'!T152&amp;IF(VLOOKUP('.'!T152,Recipes!$A:$D,4,FALSE)="",""," ["&amp;VLOOKUP('.'!T152,Recipes!$A:$D,4,FALSE)&amp;"]"))</f>
        <v/>
      </c>
      <c r="U152" s="46" t="str">
        <f t="array" ref="U152">IF('.'!U152="","",'.'!U152&amp;IF(VLOOKUP('.'!U152,Recipes!$A:$D,4,FALSE)="",""," ["&amp;VLOOKUP('.'!U152,Recipes!$A:$D,4,FALSE)&amp;"]"))</f>
        <v/>
      </c>
      <c r="V152" s="46" t="str">
        <f t="array" ref="V152">IF('.'!V152="","",'.'!V152&amp;IF(VLOOKUP('.'!V152,Recipes!$A:$D,4,FALSE)="",""," ["&amp;VLOOKUP('.'!V152,Recipes!$A:$D,4,FALSE)&amp;"]"))</f>
        <v/>
      </c>
      <c r="W152" s="46" t="str">
        <f t="array" ref="W152">IF('.'!W152="","",'.'!W152&amp;IF(VLOOKUP('.'!W152,Recipes!$A:$D,4,FALSE)="",""," ["&amp;VLOOKUP('.'!W152,Recipes!$A:$D,4,FALSE)&amp;"]"))</f>
        <v/>
      </c>
      <c r="X152" s="46" t="str">
        <f t="array" ref="X152">IF('.'!X152="","",'.'!X152&amp;IF(VLOOKUP('.'!X152,Recipes!$A:$D,4,FALSE)="",""," ["&amp;VLOOKUP('.'!X152,Recipes!$A:$D,4,FALSE)&amp;"]"))</f>
        <v/>
      </c>
      <c r="Y152" s="46" t="str">
        <f t="array" ref="Y152">IF('.'!Y152="","",'.'!Y152&amp;IF(VLOOKUP('.'!Y152,Recipes!$A:$D,4,FALSE)="",""," ["&amp;VLOOKUP('.'!Y152,Recipes!$A:$D,4,FALSE)&amp;"]"))</f>
        <v/>
      </c>
      <c r="Z152" s="46" t="str">
        <f t="array" ref="Z152">IF('.'!Z152="","",'.'!Z152&amp;IF(VLOOKUP('.'!Z152,Recipes!$A:$D,4,FALSE)="",""," ["&amp;VLOOKUP('.'!Z152,Recipes!$A:$D,4,FALSE)&amp;"]"))</f>
        <v/>
      </c>
      <c r="AA152" s="46" t="str">
        <f t="array" ref="AA152">IF('.'!AA152="","",'.'!AA152&amp;IF(VLOOKUP('.'!AA152,Recipes!$A:$D,4,FALSE)="",""," ["&amp;VLOOKUP('.'!AA152,Recipes!$A:$D,4,FALSE)&amp;"]"))</f>
        <v/>
      </c>
      <c r="AB152" s="46" t="str">
        <f t="array" ref="AB152">IF('.'!AB152="","",'.'!AB152&amp;IF(VLOOKUP('.'!AB152,Recipes!$A:$D,4,FALSE)="",""," ["&amp;VLOOKUP('.'!AB152,Recipes!$A:$D,4,FALSE)&amp;"]"))</f>
        <v/>
      </c>
      <c r="AC152" s="46" t="str">
        <f t="array" ref="AC152">IF('.'!AC152="","",'.'!AC152&amp;IF(VLOOKUP('.'!AC152,Recipes!$A:$D,4,FALSE)="",""," ["&amp;VLOOKUP('.'!AC152,Recipes!$A:$D,4,FALSE)&amp;"]"))</f>
        <v/>
      </c>
      <c r="AD152" s="46" t="str">
        <f t="array" ref="AD152">IF('.'!AD152="","",'.'!AD152&amp;IF(VLOOKUP('.'!AD152,Recipes!$A:$D,4,FALSE)="",""," ["&amp;VLOOKUP('.'!AD152,Recipes!$A:$D,4,FALSE)&amp;"]"))</f>
        <v/>
      </c>
      <c r="AE152" s="47"/>
      <c r="AF152" s="47"/>
      <c r="AG152" s="47"/>
      <c r="AH152" s="47"/>
      <c r="AI152" s="47"/>
      <c r="AJ152" s="47"/>
      <c r="AK152" s="47"/>
      <c r="AL152" s="47"/>
      <c r="AM152" s="47"/>
      <c r="AN152" s="47"/>
      <c r="AO152" s="47"/>
      <c r="AP152" s="47"/>
      <c r="AQ152" s="47"/>
      <c r="AR152" s="47"/>
      <c r="AS152" s="47"/>
      <c r="AT152" s="47"/>
      <c r="AU152" s="47"/>
      <c r="AV152" s="47"/>
      <c r="AW152" s="47"/>
      <c r="AX152" s="47"/>
      <c r="AY152" s="47"/>
      <c r="AZ152" s="47"/>
      <c r="BA152" s="47"/>
      <c r="BB152" s="47"/>
      <c r="BC152" s="47"/>
      <c r="BD152" s="47"/>
      <c r="BE152" s="47"/>
      <c r="BF152" s="47"/>
      <c r="BG152" s="47"/>
      <c r="BH152" s="47"/>
      <c r="BI152" s="47"/>
      <c r="BJ152" s="47"/>
      <c r="BK152" s="47"/>
      <c r="BL152" s="47"/>
      <c r="BM152" s="47"/>
      <c r="BN152" s="47"/>
      <c r="BO152" s="47"/>
      <c r="BP152" s="47"/>
      <c r="BQ152" s="47"/>
      <c r="BR152" s="47"/>
      <c r="BS152" s="47"/>
      <c r="BT152" s="47"/>
      <c r="BU152" s="47"/>
      <c r="BV152" s="47"/>
      <c r="BW152" s="47"/>
      <c r="BX152" s="47"/>
      <c r="BY152" s="47"/>
      <c r="BZ152" s="47"/>
    </row>
    <row r="153" spans="1:78" ht="13">
      <c r="A153" s="48" t="str">
        <f ca="1">'.'!A153</f>
        <v>Empty Cup</v>
      </c>
      <c r="B153" s="46" t="str">
        <f t="array" aca="1" ref="B153" ca="1">IF('.'!B153="","",'.'!B153&amp;IF(VLOOKUP('.'!B153,Recipes!$A:$D,4,FALSE)="",""," ["&amp;VLOOKUP('.'!B153,Recipes!$A:$D,4,FALSE)&amp;"]"))</f>
        <v>Apple Juice [1]</v>
      </c>
      <c r="C153" s="46" t="str">
        <f t="array" aca="1" ref="C153" ca="1">IF('.'!C153="","",'.'!C153&amp;IF(VLOOKUP('.'!C153,Recipes!$A:$D,4,FALSE)="",""," ["&amp;VLOOKUP('.'!C153,Recipes!$A:$D,4,FALSE)&amp;"]"))</f>
        <v>Cup of Water [0]</v>
      </c>
      <c r="D153" s="46" t="str">
        <f t="array" aca="1" ref="D153" ca="1">IF('.'!D153="","",'.'!D153&amp;IF(VLOOKUP('.'!D153,Recipes!$A:$D,4,FALSE)="",""," ["&amp;VLOOKUP('.'!D153,Recipes!$A:$D,4,FALSE)&amp;"]"))</f>
        <v>Glass of Wine [-15]</v>
      </c>
      <c r="E153" s="46" t="str">
        <f t="array" aca="1" ref="E153" ca="1">IF('.'!E153="","",'.'!E153&amp;IF(VLOOKUP('.'!E153,Recipes!$A:$D,4,FALSE)="",""," ["&amp;VLOOKUP('.'!E153,Recipes!$A:$D,4,FALSE)&amp;"]"))</f>
        <v>Lemonade [3]</v>
      </c>
      <c r="F153" s="46" t="str">
        <f t="array" aca="1" ref="F153" ca="1">IF('.'!F153="","",'.'!F153&amp;IF(VLOOKUP('.'!F153,Recipes!$A:$D,4,FALSE)="",""," ["&amp;VLOOKUP('.'!F153,Recipes!$A:$D,4,FALSE)&amp;"]"))</f>
        <v>Mug of Beer [1]</v>
      </c>
      <c r="G153" s="46" t="str">
        <f t="array" aca="1" ref="G153" ca="1">IF('.'!G153="","",'.'!G153&amp;IF(VLOOKUP('.'!G153,Recipes!$A:$D,4,FALSE)="",""," ["&amp;VLOOKUP('.'!G153,Recipes!$A:$D,4,FALSE)&amp;"]"))</f>
        <v>Orange Juice [1]</v>
      </c>
      <c r="H153" s="46" t="str">
        <f t="array" aca="1" ref="H153" ca="1">IF('.'!H153="","",'.'!H153&amp;IF(VLOOKUP('.'!H153,Recipes!$A:$D,4,FALSE)="",""," ["&amp;VLOOKUP('.'!H153,Recipes!$A:$D,4,FALSE)&amp;"]"))</f>
        <v>Milk [-1]</v>
      </c>
      <c r="I153" s="46" t="str">
        <f t="array" ref="I153">IF('.'!I153="","",'.'!I153&amp;IF(VLOOKUP('.'!I153,Recipes!$A:$D,4,FALSE)="",""," ["&amp;VLOOKUP('.'!I153,Recipes!$A:$D,4,FALSE)&amp;"]"))</f>
        <v/>
      </c>
      <c r="J153" s="46" t="str">
        <f t="array" ref="J153">IF('.'!J153="","",'.'!J153&amp;IF(VLOOKUP('.'!J153,Recipes!$A:$D,4,FALSE)="",""," ["&amp;VLOOKUP('.'!J153,Recipes!$A:$D,4,FALSE)&amp;"]"))</f>
        <v/>
      </c>
      <c r="K153" s="46" t="str">
        <f t="array" ref="K153">IF('.'!K153="","",'.'!K153&amp;IF(VLOOKUP('.'!K153,Recipes!$A:$D,4,FALSE)="",""," ["&amp;VLOOKUP('.'!K153,Recipes!$A:$D,4,FALSE)&amp;"]"))</f>
        <v/>
      </c>
      <c r="L153" s="46" t="str">
        <f t="array" ref="L153">IF('.'!L153="","",'.'!L153&amp;IF(VLOOKUP('.'!L153,Recipes!$A:$D,4,FALSE)="",""," ["&amp;VLOOKUP('.'!L153,Recipes!$A:$D,4,FALSE)&amp;"]"))</f>
        <v/>
      </c>
      <c r="M153" s="46" t="str">
        <f t="array" ref="M153">IF('.'!M153="","",'.'!M153&amp;IF(VLOOKUP('.'!M153,Recipes!$A:$D,4,FALSE)="",""," ["&amp;VLOOKUP('.'!M153,Recipes!$A:$D,4,FALSE)&amp;"]"))</f>
        <v/>
      </c>
      <c r="N153" s="46" t="str">
        <f t="array" ref="N153">IF('.'!N153="","",'.'!N153&amp;IF(VLOOKUP('.'!N153,Recipes!$A:$D,4,FALSE)="",""," ["&amp;VLOOKUP('.'!N153,Recipes!$A:$D,4,FALSE)&amp;"]"))</f>
        <v/>
      </c>
      <c r="O153" s="46" t="str">
        <f t="array" ref="O153">IF('.'!O153="","",'.'!O153&amp;IF(VLOOKUP('.'!O153,Recipes!$A:$D,4,FALSE)="",""," ["&amp;VLOOKUP('.'!O153,Recipes!$A:$D,4,FALSE)&amp;"]"))</f>
        <v/>
      </c>
      <c r="P153" s="46" t="str">
        <f t="array" ref="P153">IF('.'!P153="","",'.'!P153&amp;IF(VLOOKUP('.'!P153,Recipes!$A:$D,4,FALSE)="",""," ["&amp;VLOOKUP('.'!P153,Recipes!$A:$D,4,FALSE)&amp;"]"))</f>
        <v/>
      </c>
      <c r="Q153" s="46" t="str">
        <f t="array" ref="Q153">IF('.'!Q153="","",'.'!Q153&amp;IF(VLOOKUP('.'!Q153,Recipes!$A:$D,4,FALSE)="",""," ["&amp;VLOOKUP('.'!Q153,Recipes!$A:$D,4,FALSE)&amp;"]"))</f>
        <v/>
      </c>
      <c r="R153" s="46" t="str">
        <f t="array" ref="R153">IF('.'!R153="","",'.'!R153&amp;IF(VLOOKUP('.'!R153,Recipes!$A:$D,4,FALSE)="",""," ["&amp;VLOOKUP('.'!R153,Recipes!$A:$D,4,FALSE)&amp;"]"))</f>
        <v/>
      </c>
      <c r="S153" s="46" t="str">
        <f t="array" ref="S153">IF('.'!S153="","",'.'!S153&amp;IF(VLOOKUP('.'!S153,Recipes!$A:$D,4,FALSE)="",""," ["&amp;VLOOKUP('.'!S153,Recipes!$A:$D,4,FALSE)&amp;"]"))</f>
        <v/>
      </c>
      <c r="T153" s="46" t="str">
        <f t="array" ref="T153">IF('.'!T153="","",'.'!T153&amp;IF(VLOOKUP('.'!T153,Recipes!$A:$D,4,FALSE)="",""," ["&amp;VLOOKUP('.'!T153,Recipes!$A:$D,4,FALSE)&amp;"]"))</f>
        <v/>
      </c>
      <c r="U153" s="46" t="str">
        <f t="array" ref="U153">IF('.'!U153="","",'.'!U153&amp;IF(VLOOKUP('.'!U153,Recipes!$A:$D,4,FALSE)="",""," ["&amp;VLOOKUP('.'!U153,Recipes!$A:$D,4,FALSE)&amp;"]"))</f>
        <v/>
      </c>
      <c r="V153" s="46" t="str">
        <f t="array" ref="V153">IF('.'!V153="","",'.'!V153&amp;IF(VLOOKUP('.'!V153,Recipes!$A:$D,4,FALSE)="",""," ["&amp;VLOOKUP('.'!V153,Recipes!$A:$D,4,FALSE)&amp;"]"))</f>
        <v/>
      </c>
      <c r="W153" s="46" t="str">
        <f t="array" ref="W153">IF('.'!W153="","",'.'!W153&amp;IF(VLOOKUP('.'!W153,Recipes!$A:$D,4,FALSE)="",""," ["&amp;VLOOKUP('.'!W153,Recipes!$A:$D,4,FALSE)&amp;"]"))</f>
        <v/>
      </c>
      <c r="X153" s="46" t="str">
        <f t="array" ref="X153">IF('.'!X153="","",'.'!X153&amp;IF(VLOOKUP('.'!X153,Recipes!$A:$D,4,FALSE)="",""," ["&amp;VLOOKUP('.'!X153,Recipes!$A:$D,4,FALSE)&amp;"]"))</f>
        <v/>
      </c>
      <c r="Y153" s="46" t="str">
        <f t="array" ref="Y153">IF('.'!Y153="","",'.'!Y153&amp;IF(VLOOKUP('.'!Y153,Recipes!$A:$D,4,FALSE)="",""," ["&amp;VLOOKUP('.'!Y153,Recipes!$A:$D,4,FALSE)&amp;"]"))</f>
        <v/>
      </c>
      <c r="Z153" s="46" t="str">
        <f t="array" ref="Z153">IF('.'!Z153="","",'.'!Z153&amp;IF(VLOOKUP('.'!Z153,Recipes!$A:$D,4,FALSE)="",""," ["&amp;VLOOKUP('.'!Z153,Recipes!$A:$D,4,FALSE)&amp;"]"))</f>
        <v/>
      </c>
      <c r="AA153" s="46" t="str">
        <f t="array" ref="AA153">IF('.'!AA153="","",'.'!AA153&amp;IF(VLOOKUP('.'!AA153,Recipes!$A:$D,4,FALSE)="",""," ["&amp;VLOOKUP('.'!AA153,Recipes!$A:$D,4,FALSE)&amp;"]"))</f>
        <v/>
      </c>
      <c r="AB153" s="46" t="str">
        <f t="array" ref="AB153">IF('.'!AB153="","",'.'!AB153&amp;IF(VLOOKUP('.'!AB153,Recipes!$A:$D,4,FALSE)="",""," ["&amp;VLOOKUP('.'!AB153,Recipes!$A:$D,4,FALSE)&amp;"]"))</f>
        <v/>
      </c>
      <c r="AC153" s="46" t="str">
        <f t="array" ref="AC153">IF('.'!AC153="","",'.'!AC153&amp;IF(VLOOKUP('.'!AC153,Recipes!$A:$D,4,FALSE)="",""," ["&amp;VLOOKUP('.'!AC153,Recipes!$A:$D,4,FALSE)&amp;"]"))</f>
        <v/>
      </c>
      <c r="AD153" s="46" t="str">
        <f t="array" ref="AD153">IF('.'!AD153="","",'.'!AD153&amp;IF(VLOOKUP('.'!AD153,Recipes!$A:$D,4,FALSE)="",""," ["&amp;VLOOKUP('.'!AD153,Recipes!$A:$D,4,FALSE)&amp;"]"))</f>
        <v/>
      </c>
      <c r="AE153" s="47"/>
      <c r="AF153" s="47"/>
      <c r="AG153" s="47"/>
      <c r="AH153" s="47"/>
      <c r="AI153" s="47"/>
      <c r="AJ153" s="47"/>
      <c r="AK153" s="47"/>
      <c r="AL153" s="47"/>
      <c r="AM153" s="47"/>
      <c r="AN153" s="47"/>
      <c r="AO153" s="47"/>
      <c r="AP153" s="47"/>
      <c r="AQ153" s="47"/>
      <c r="AR153" s="47"/>
      <c r="AS153" s="47"/>
      <c r="AT153" s="47"/>
      <c r="AU153" s="47"/>
      <c r="AV153" s="47"/>
      <c r="AW153" s="47"/>
      <c r="AX153" s="47"/>
      <c r="AY153" s="47"/>
      <c r="AZ153" s="47"/>
      <c r="BA153" s="47"/>
      <c r="BB153" s="47"/>
      <c r="BC153" s="47"/>
      <c r="BD153" s="47"/>
      <c r="BE153" s="47"/>
      <c r="BF153" s="47"/>
      <c r="BG153" s="47"/>
      <c r="BH153" s="47"/>
      <c r="BI153" s="47"/>
      <c r="BJ153" s="47"/>
      <c r="BK153" s="47"/>
      <c r="BL153" s="47"/>
      <c r="BM153" s="47"/>
      <c r="BN153" s="47"/>
      <c r="BO153" s="47"/>
      <c r="BP153" s="47"/>
      <c r="BQ153" s="47"/>
      <c r="BR153" s="47"/>
      <c r="BS153" s="47"/>
      <c r="BT153" s="47"/>
      <c r="BU153" s="47"/>
      <c r="BV153" s="47"/>
      <c r="BW153" s="47"/>
      <c r="BX153" s="47"/>
      <c r="BY153" s="47"/>
      <c r="BZ153" s="47"/>
    </row>
    <row r="154" spans="1:78" ht="13">
      <c r="A154" s="48" t="str">
        <f ca="1">'.'!A154</f>
        <v>Empty Flask</v>
      </c>
      <c r="B154" s="46" t="str">
        <f t="array" aca="1" ref="B154" ca="1">IF('.'!B154="","",'.'!B154&amp;IF(VLOOKUP('.'!B154,Recipes!$A:$D,4,FALSE)="",""," ["&amp;VLOOKUP('.'!B154,Recipes!$A:$D,4,FALSE)&amp;"]"))</f>
        <v>Oil Flask [5]</v>
      </c>
      <c r="C154" s="46" t="str">
        <f t="array" aca="1" ref="C154" ca="1">IF('.'!C154="","",'.'!C154&amp;IF(VLOOKUP('.'!C154,Recipes!$A:$D,4,FALSE)="",""," ["&amp;VLOOKUP('.'!C154,Recipes!$A:$D,4,FALSE)&amp;"]"))</f>
        <v>Poison Flask [15]</v>
      </c>
      <c r="D154" s="46" t="str">
        <f t="array" ref="D154">IF('.'!D154="","",'.'!D154&amp;IF(VLOOKUP('.'!D154,Recipes!$A:$D,4,FALSE)="",""," ["&amp;VLOOKUP('.'!D154,Recipes!$A:$D,4,FALSE)&amp;"]"))</f>
        <v/>
      </c>
      <c r="E154" s="46" t="str">
        <f t="array" ref="E154">IF('.'!E154="","",'.'!E154&amp;IF(VLOOKUP('.'!E154,Recipes!$A:$D,4,FALSE)="",""," ["&amp;VLOOKUP('.'!E154,Recipes!$A:$D,4,FALSE)&amp;"]"))</f>
        <v/>
      </c>
      <c r="F154" s="46" t="str">
        <f t="array" ref="F154">IF('.'!F154="","",'.'!F154&amp;IF(VLOOKUP('.'!F154,Recipes!$A:$D,4,FALSE)="",""," ["&amp;VLOOKUP('.'!F154,Recipes!$A:$D,4,FALSE)&amp;"]"))</f>
        <v/>
      </c>
      <c r="G154" s="46" t="str">
        <f t="array" ref="G154">IF('.'!G154="","",'.'!G154&amp;IF(VLOOKUP('.'!G154,Recipes!$A:$D,4,FALSE)="",""," ["&amp;VLOOKUP('.'!G154,Recipes!$A:$D,4,FALSE)&amp;"]"))</f>
        <v/>
      </c>
      <c r="H154" s="46" t="str">
        <f t="array" ref="H154">IF('.'!H154="","",'.'!H154&amp;IF(VLOOKUP('.'!H154,Recipes!$A:$D,4,FALSE)="",""," ["&amp;VLOOKUP('.'!H154,Recipes!$A:$D,4,FALSE)&amp;"]"))</f>
        <v/>
      </c>
      <c r="I154" s="46" t="str">
        <f t="array" ref="I154">IF('.'!I154="","",'.'!I154&amp;IF(VLOOKUP('.'!I154,Recipes!$A:$D,4,FALSE)="",""," ["&amp;VLOOKUP('.'!I154,Recipes!$A:$D,4,FALSE)&amp;"]"))</f>
        <v/>
      </c>
      <c r="J154" s="46" t="str">
        <f t="array" ref="J154">IF('.'!J154="","",'.'!J154&amp;IF(VLOOKUP('.'!J154,Recipes!$A:$D,4,FALSE)="",""," ["&amp;VLOOKUP('.'!J154,Recipes!$A:$D,4,FALSE)&amp;"]"))</f>
        <v/>
      </c>
      <c r="K154" s="46" t="str">
        <f t="array" ref="K154">IF('.'!K154="","",'.'!K154&amp;IF(VLOOKUP('.'!K154,Recipes!$A:$D,4,FALSE)="",""," ["&amp;VLOOKUP('.'!K154,Recipes!$A:$D,4,FALSE)&amp;"]"))</f>
        <v/>
      </c>
      <c r="L154" s="46" t="str">
        <f t="array" ref="L154">IF('.'!L154="","",'.'!L154&amp;IF(VLOOKUP('.'!L154,Recipes!$A:$D,4,FALSE)="",""," ["&amp;VLOOKUP('.'!L154,Recipes!$A:$D,4,FALSE)&amp;"]"))</f>
        <v/>
      </c>
      <c r="M154" s="46" t="str">
        <f t="array" ref="M154">IF('.'!M154="","",'.'!M154&amp;IF(VLOOKUP('.'!M154,Recipes!$A:$D,4,FALSE)="",""," ["&amp;VLOOKUP('.'!M154,Recipes!$A:$D,4,FALSE)&amp;"]"))</f>
        <v/>
      </c>
      <c r="N154" s="46" t="str">
        <f t="array" ref="N154">IF('.'!N154="","",'.'!N154&amp;IF(VLOOKUP('.'!N154,Recipes!$A:$D,4,FALSE)="",""," ["&amp;VLOOKUP('.'!N154,Recipes!$A:$D,4,FALSE)&amp;"]"))</f>
        <v/>
      </c>
      <c r="O154" s="46" t="str">
        <f t="array" ref="O154">IF('.'!O154="","",'.'!O154&amp;IF(VLOOKUP('.'!O154,Recipes!$A:$D,4,FALSE)="",""," ["&amp;VLOOKUP('.'!O154,Recipes!$A:$D,4,FALSE)&amp;"]"))</f>
        <v/>
      </c>
      <c r="P154" s="46" t="str">
        <f t="array" ref="P154">IF('.'!P154="","",'.'!P154&amp;IF(VLOOKUP('.'!P154,Recipes!$A:$D,4,FALSE)="",""," ["&amp;VLOOKUP('.'!P154,Recipes!$A:$D,4,FALSE)&amp;"]"))</f>
        <v/>
      </c>
      <c r="Q154" s="46" t="str">
        <f t="array" ref="Q154">IF('.'!Q154="","",'.'!Q154&amp;IF(VLOOKUP('.'!Q154,Recipes!$A:$D,4,FALSE)="",""," ["&amp;VLOOKUP('.'!Q154,Recipes!$A:$D,4,FALSE)&amp;"]"))</f>
        <v/>
      </c>
      <c r="R154" s="46" t="str">
        <f t="array" ref="R154">IF('.'!R154="","",'.'!R154&amp;IF(VLOOKUP('.'!R154,Recipes!$A:$D,4,FALSE)="",""," ["&amp;VLOOKUP('.'!R154,Recipes!$A:$D,4,FALSE)&amp;"]"))</f>
        <v/>
      </c>
      <c r="S154" s="46" t="str">
        <f t="array" ref="S154">IF('.'!S154="","",'.'!S154&amp;IF(VLOOKUP('.'!S154,Recipes!$A:$D,4,FALSE)="",""," ["&amp;VLOOKUP('.'!S154,Recipes!$A:$D,4,FALSE)&amp;"]"))</f>
        <v/>
      </c>
      <c r="T154" s="46" t="str">
        <f t="array" ref="T154">IF('.'!T154="","",'.'!T154&amp;IF(VLOOKUP('.'!T154,Recipes!$A:$D,4,FALSE)="",""," ["&amp;VLOOKUP('.'!T154,Recipes!$A:$D,4,FALSE)&amp;"]"))</f>
        <v/>
      </c>
      <c r="U154" s="46" t="str">
        <f t="array" ref="U154">IF('.'!U154="","",'.'!U154&amp;IF(VLOOKUP('.'!U154,Recipes!$A:$D,4,FALSE)="",""," ["&amp;VLOOKUP('.'!U154,Recipes!$A:$D,4,FALSE)&amp;"]"))</f>
        <v/>
      </c>
      <c r="V154" s="46" t="str">
        <f t="array" ref="V154">IF('.'!V154="","",'.'!V154&amp;IF(VLOOKUP('.'!V154,Recipes!$A:$D,4,FALSE)="",""," ["&amp;VLOOKUP('.'!V154,Recipes!$A:$D,4,FALSE)&amp;"]"))</f>
        <v/>
      </c>
      <c r="W154" s="46" t="str">
        <f t="array" ref="W154">IF('.'!W154="","",'.'!W154&amp;IF(VLOOKUP('.'!W154,Recipes!$A:$D,4,FALSE)="",""," ["&amp;VLOOKUP('.'!W154,Recipes!$A:$D,4,FALSE)&amp;"]"))</f>
        <v/>
      </c>
      <c r="X154" s="46" t="str">
        <f t="array" ref="X154">IF('.'!X154="","",'.'!X154&amp;IF(VLOOKUP('.'!X154,Recipes!$A:$D,4,FALSE)="",""," ["&amp;VLOOKUP('.'!X154,Recipes!$A:$D,4,FALSE)&amp;"]"))</f>
        <v/>
      </c>
      <c r="Y154" s="46" t="str">
        <f t="array" ref="Y154">IF('.'!Y154="","",'.'!Y154&amp;IF(VLOOKUP('.'!Y154,Recipes!$A:$D,4,FALSE)="",""," ["&amp;VLOOKUP('.'!Y154,Recipes!$A:$D,4,FALSE)&amp;"]"))</f>
        <v/>
      </c>
      <c r="Z154" s="46" t="str">
        <f t="array" ref="Z154">IF('.'!Z154="","",'.'!Z154&amp;IF(VLOOKUP('.'!Z154,Recipes!$A:$D,4,FALSE)="",""," ["&amp;VLOOKUP('.'!Z154,Recipes!$A:$D,4,FALSE)&amp;"]"))</f>
        <v/>
      </c>
      <c r="AA154" s="46" t="str">
        <f t="array" ref="AA154">IF('.'!AA154="","",'.'!AA154&amp;IF(VLOOKUP('.'!AA154,Recipes!$A:$D,4,FALSE)="",""," ["&amp;VLOOKUP('.'!AA154,Recipes!$A:$D,4,FALSE)&amp;"]"))</f>
        <v/>
      </c>
      <c r="AB154" s="46" t="str">
        <f t="array" ref="AB154">IF('.'!AB154="","",'.'!AB154&amp;IF(VLOOKUP('.'!AB154,Recipes!$A:$D,4,FALSE)="",""," ["&amp;VLOOKUP('.'!AB154,Recipes!$A:$D,4,FALSE)&amp;"]"))</f>
        <v/>
      </c>
      <c r="AC154" s="46" t="str">
        <f t="array" ref="AC154">IF('.'!AC154="","",'.'!AC154&amp;IF(VLOOKUP('.'!AC154,Recipes!$A:$D,4,FALSE)="",""," ["&amp;VLOOKUP('.'!AC154,Recipes!$A:$D,4,FALSE)&amp;"]"))</f>
        <v/>
      </c>
      <c r="AD154" s="46" t="str">
        <f t="array" ref="AD154">IF('.'!AD154="","",'.'!AD154&amp;IF(VLOOKUP('.'!AD154,Recipes!$A:$D,4,FALSE)="",""," ["&amp;VLOOKUP('.'!AD154,Recipes!$A:$D,4,FALSE)&amp;"]"))</f>
        <v/>
      </c>
      <c r="AE154" s="47"/>
      <c r="AF154" s="47"/>
      <c r="AG154" s="47"/>
      <c r="AH154" s="47"/>
      <c r="AI154" s="47"/>
      <c r="AJ154" s="47"/>
      <c r="AK154" s="47"/>
      <c r="AL154" s="47"/>
      <c r="AM154" s="47"/>
      <c r="AN154" s="47"/>
      <c r="AO154" s="47"/>
      <c r="AP154" s="47"/>
      <c r="AQ154" s="47"/>
      <c r="AR154" s="47"/>
      <c r="AS154" s="47"/>
      <c r="AT154" s="47"/>
      <c r="AU154" s="47"/>
      <c r="AV154" s="47"/>
      <c r="AW154" s="47"/>
      <c r="AX154" s="47"/>
      <c r="AY154" s="47"/>
      <c r="AZ154" s="47"/>
      <c r="BA154" s="47"/>
      <c r="BB154" s="47"/>
      <c r="BC154" s="47"/>
      <c r="BD154" s="47"/>
      <c r="BE154" s="47"/>
      <c r="BF154" s="47"/>
      <c r="BG154" s="47"/>
      <c r="BH154" s="47"/>
      <c r="BI154" s="47"/>
      <c r="BJ154" s="47"/>
      <c r="BK154" s="47"/>
      <c r="BL154" s="47"/>
      <c r="BM154" s="47"/>
      <c r="BN154" s="47"/>
      <c r="BO154" s="47"/>
      <c r="BP154" s="47"/>
      <c r="BQ154" s="47"/>
      <c r="BR154" s="47"/>
      <c r="BS154" s="47"/>
      <c r="BT154" s="47"/>
      <c r="BU154" s="47"/>
      <c r="BV154" s="47"/>
      <c r="BW154" s="47"/>
      <c r="BX154" s="47"/>
      <c r="BY154" s="47"/>
      <c r="BZ154" s="47"/>
    </row>
    <row r="155" spans="1:78" ht="13">
      <c r="A155" s="48" t="str">
        <f ca="1">'.'!A155</f>
        <v>Empty Grenade</v>
      </c>
      <c r="B155" s="46" t="str">
        <f t="array" aca="1" ref="B155" ca="1">IF('.'!B155="","",'.'!B155&amp;IF(VLOOKUP('.'!B155,Recipes!$A:$D,4,FALSE)="",""," ["&amp;VLOOKUP('.'!B155,Recipes!$A:$D,4,FALSE)&amp;"]"))</f>
        <v>Cluster Grenade [770]</v>
      </c>
      <c r="C155" s="46" t="str">
        <f t="array" aca="1" ref="C155" ca="1">IF('.'!C155="","",'.'!C155&amp;IF(VLOOKUP('.'!C155,Recipes!$A:$D,4,FALSE)="",""," ["&amp;VLOOKUP('.'!C155,Recipes!$A:$D,4,FALSE)&amp;"]"))</f>
        <v>Frost Grenade [270]</v>
      </c>
      <c r="D155" s="46" t="str">
        <f t="array" aca="1" ref="D155" ca="1">IF('.'!D155="","",'.'!D155&amp;IF(VLOOKUP('.'!D155,Recipes!$A:$D,4,FALSE)="",""," ["&amp;VLOOKUP('.'!D155,Recipes!$A:$D,4,FALSE)&amp;"]"))</f>
        <v>Nailbomb Grenade [9]</v>
      </c>
      <c r="E155" s="46" t="str">
        <f t="array" aca="1" ref="E155" ca="1">IF('.'!E155="","",'.'!E155&amp;IF(VLOOKUP('.'!E155,Recipes!$A:$D,4,FALSE)="",""," ["&amp;VLOOKUP('.'!E155,Recipes!$A:$D,4,FALSE)&amp;"]"))</f>
        <v>Mind Maggot Grenade [50]</v>
      </c>
      <c r="F155" s="46" t="str">
        <f t="array" ref="F155">IF('.'!F155="","",'.'!F155&amp;IF(VLOOKUP('.'!F155,Recipes!$A:$D,4,FALSE)="",""," ["&amp;VLOOKUP('.'!F155,Recipes!$A:$D,4,FALSE)&amp;"]"))</f>
        <v/>
      </c>
      <c r="G155" s="46" t="str">
        <f t="array" ref="G155">IF('.'!G155="","",'.'!G155&amp;IF(VLOOKUP('.'!G155,Recipes!$A:$D,4,FALSE)="",""," ["&amp;VLOOKUP('.'!G155,Recipes!$A:$D,4,FALSE)&amp;"]"))</f>
        <v/>
      </c>
      <c r="H155" s="46" t="str">
        <f t="array" ref="H155">IF('.'!H155="","",'.'!H155&amp;IF(VLOOKUP('.'!H155,Recipes!$A:$D,4,FALSE)="",""," ["&amp;VLOOKUP('.'!H155,Recipes!$A:$D,4,FALSE)&amp;"]"))</f>
        <v/>
      </c>
      <c r="I155" s="46" t="str">
        <f t="array" ref="I155">IF('.'!I155="","",'.'!I155&amp;IF(VLOOKUP('.'!I155,Recipes!$A:$D,4,FALSE)="",""," ["&amp;VLOOKUP('.'!I155,Recipes!$A:$D,4,FALSE)&amp;"]"))</f>
        <v/>
      </c>
      <c r="J155" s="46" t="str">
        <f t="array" ref="J155">IF('.'!J155="","",'.'!J155&amp;IF(VLOOKUP('.'!J155,Recipes!$A:$D,4,FALSE)="",""," ["&amp;VLOOKUP('.'!J155,Recipes!$A:$D,4,FALSE)&amp;"]"))</f>
        <v/>
      </c>
      <c r="K155" s="46" t="str">
        <f t="array" ref="K155">IF('.'!K155="","",'.'!K155&amp;IF(VLOOKUP('.'!K155,Recipes!$A:$D,4,FALSE)="",""," ["&amp;VLOOKUP('.'!K155,Recipes!$A:$D,4,FALSE)&amp;"]"))</f>
        <v/>
      </c>
      <c r="L155" s="46" t="str">
        <f t="array" ref="L155">IF('.'!L155="","",'.'!L155&amp;IF(VLOOKUP('.'!L155,Recipes!$A:$D,4,FALSE)="",""," ["&amp;VLOOKUP('.'!L155,Recipes!$A:$D,4,FALSE)&amp;"]"))</f>
        <v/>
      </c>
      <c r="M155" s="46" t="str">
        <f t="array" ref="M155">IF('.'!M155="","",'.'!M155&amp;IF(VLOOKUP('.'!M155,Recipes!$A:$D,4,FALSE)="",""," ["&amp;VLOOKUP('.'!M155,Recipes!$A:$D,4,FALSE)&amp;"]"))</f>
        <v/>
      </c>
      <c r="N155" s="46" t="str">
        <f t="array" ref="N155">IF('.'!N155="","",'.'!N155&amp;IF(VLOOKUP('.'!N155,Recipes!$A:$D,4,FALSE)="",""," ["&amp;VLOOKUP('.'!N155,Recipes!$A:$D,4,FALSE)&amp;"]"))</f>
        <v/>
      </c>
      <c r="O155" s="46" t="str">
        <f t="array" ref="O155">IF('.'!O155="","",'.'!O155&amp;IF(VLOOKUP('.'!O155,Recipes!$A:$D,4,FALSE)="",""," ["&amp;VLOOKUP('.'!O155,Recipes!$A:$D,4,FALSE)&amp;"]"))</f>
        <v/>
      </c>
      <c r="P155" s="46" t="str">
        <f t="array" ref="P155">IF('.'!P155="","",'.'!P155&amp;IF(VLOOKUP('.'!P155,Recipes!$A:$D,4,FALSE)="",""," ["&amp;VLOOKUP('.'!P155,Recipes!$A:$D,4,FALSE)&amp;"]"))</f>
        <v/>
      </c>
      <c r="Q155" s="46" t="str">
        <f t="array" ref="Q155">IF('.'!Q155="","",'.'!Q155&amp;IF(VLOOKUP('.'!Q155,Recipes!$A:$D,4,FALSE)="",""," ["&amp;VLOOKUP('.'!Q155,Recipes!$A:$D,4,FALSE)&amp;"]"))</f>
        <v/>
      </c>
      <c r="R155" s="46" t="str">
        <f t="array" ref="R155">IF('.'!R155="","",'.'!R155&amp;IF(VLOOKUP('.'!R155,Recipes!$A:$D,4,FALSE)="",""," ["&amp;VLOOKUP('.'!R155,Recipes!$A:$D,4,FALSE)&amp;"]"))</f>
        <v/>
      </c>
      <c r="S155" s="46" t="str">
        <f t="array" ref="S155">IF('.'!S155="","",'.'!S155&amp;IF(VLOOKUP('.'!S155,Recipes!$A:$D,4,FALSE)="",""," ["&amp;VLOOKUP('.'!S155,Recipes!$A:$D,4,FALSE)&amp;"]"))</f>
        <v/>
      </c>
      <c r="T155" s="46" t="str">
        <f t="array" ref="T155">IF('.'!T155="","",'.'!T155&amp;IF(VLOOKUP('.'!T155,Recipes!$A:$D,4,FALSE)="",""," ["&amp;VLOOKUP('.'!T155,Recipes!$A:$D,4,FALSE)&amp;"]"))</f>
        <v/>
      </c>
      <c r="U155" s="46" t="str">
        <f t="array" ref="U155">IF('.'!U155="","",'.'!U155&amp;IF(VLOOKUP('.'!U155,Recipes!$A:$D,4,FALSE)="",""," ["&amp;VLOOKUP('.'!U155,Recipes!$A:$D,4,FALSE)&amp;"]"))</f>
        <v/>
      </c>
      <c r="V155" s="46" t="str">
        <f t="array" ref="V155">IF('.'!V155="","",'.'!V155&amp;IF(VLOOKUP('.'!V155,Recipes!$A:$D,4,FALSE)="",""," ["&amp;VLOOKUP('.'!V155,Recipes!$A:$D,4,FALSE)&amp;"]"))</f>
        <v/>
      </c>
      <c r="W155" s="46" t="str">
        <f t="array" ref="W155">IF('.'!W155="","",'.'!W155&amp;IF(VLOOKUP('.'!W155,Recipes!$A:$D,4,FALSE)="",""," ["&amp;VLOOKUP('.'!W155,Recipes!$A:$D,4,FALSE)&amp;"]"))</f>
        <v/>
      </c>
      <c r="X155" s="46" t="str">
        <f t="array" ref="X155">IF('.'!X155="","",'.'!X155&amp;IF(VLOOKUP('.'!X155,Recipes!$A:$D,4,FALSE)="",""," ["&amp;VLOOKUP('.'!X155,Recipes!$A:$D,4,FALSE)&amp;"]"))</f>
        <v/>
      </c>
      <c r="Y155" s="46" t="str">
        <f t="array" ref="Y155">IF('.'!Y155="","",'.'!Y155&amp;IF(VLOOKUP('.'!Y155,Recipes!$A:$D,4,FALSE)="",""," ["&amp;VLOOKUP('.'!Y155,Recipes!$A:$D,4,FALSE)&amp;"]"))</f>
        <v/>
      </c>
      <c r="Z155" s="46" t="str">
        <f t="array" ref="Z155">IF('.'!Z155="","",'.'!Z155&amp;IF(VLOOKUP('.'!Z155,Recipes!$A:$D,4,FALSE)="",""," ["&amp;VLOOKUP('.'!Z155,Recipes!$A:$D,4,FALSE)&amp;"]"))</f>
        <v/>
      </c>
      <c r="AA155" s="46" t="str">
        <f t="array" ref="AA155">IF('.'!AA155="","",'.'!AA155&amp;IF(VLOOKUP('.'!AA155,Recipes!$A:$D,4,FALSE)="",""," ["&amp;VLOOKUP('.'!AA155,Recipes!$A:$D,4,FALSE)&amp;"]"))</f>
        <v/>
      </c>
      <c r="AB155" s="46" t="str">
        <f t="array" ref="AB155">IF('.'!AB155="","",'.'!AB155&amp;IF(VLOOKUP('.'!AB155,Recipes!$A:$D,4,FALSE)="",""," ["&amp;VLOOKUP('.'!AB155,Recipes!$A:$D,4,FALSE)&amp;"]"))</f>
        <v/>
      </c>
      <c r="AC155" s="46" t="str">
        <f t="array" ref="AC155">IF('.'!AC155="","",'.'!AC155&amp;IF(VLOOKUP('.'!AC155,Recipes!$A:$D,4,FALSE)="",""," ["&amp;VLOOKUP('.'!AC155,Recipes!$A:$D,4,FALSE)&amp;"]"))</f>
        <v/>
      </c>
      <c r="AD155" s="46" t="str">
        <f t="array" ref="AD155">IF('.'!AD155="","",'.'!AD155&amp;IF(VLOOKUP('.'!AD155,Recipes!$A:$D,4,FALSE)="",""," ["&amp;VLOOKUP('.'!AD155,Recipes!$A:$D,4,FALSE)&amp;"]"))</f>
        <v/>
      </c>
      <c r="AE155" s="47"/>
      <c r="AF155" s="47"/>
      <c r="AG155" s="47"/>
      <c r="AH155" s="47"/>
      <c r="AI155" s="47"/>
      <c r="AJ155" s="47"/>
      <c r="AK155" s="47"/>
      <c r="AL155" s="47"/>
      <c r="AM155" s="47"/>
      <c r="AN155" s="47"/>
      <c r="AO155" s="47"/>
      <c r="AP155" s="47"/>
      <c r="AQ155" s="47"/>
      <c r="AR155" s="47"/>
      <c r="AS155" s="47"/>
      <c r="AT155" s="47"/>
      <c r="AU155" s="47"/>
      <c r="AV155" s="47"/>
      <c r="AW155" s="47"/>
      <c r="AX155" s="47"/>
      <c r="AY155" s="47"/>
      <c r="AZ155" s="47"/>
      <c r="BA155" s="47"/>
      <c r="BB155" s="47"/>
      <c r="BC155" s="47"/>
      <c r="BD155" s="47"/>
      <c r="BE155" s="47"/>
      <c r="BF155" s="47"/>
      <c r="BG155" s="47"/>
      <c r="BH155" s="47"/>
      <c r="BI155" s="47"/>
      <c r="BJ155" s="47"/>
      <c r="BK155" s="47"/>
      <c r="BL155" s="47"/>
      <c r="BM155" s="47"/>
      <c r="BN155" s="47"/>
      <c r="BO155" s="47"/>
      <c r="BP155" s="47"/>
      <c r="BQ155" s="47"/>
      <c r="BR155" s="47"/>
      <c r="BS155" s="47"/>
      <c r="BT155" s="47"/>
      <c r="BU155" s="47"/>
      <c r="BV155" s="47"/>
      <c r="BW155" s="47"/>
      <c r="BX155" s="47"/>
      <c r="BY155" s="47"/>
      <c r="BZ155" s="47"/>
    </row>
    <row r="156" spans="1:78" ht="13">
      <c r="A156" s="48" t="str">
        <f ca="1">'.'!A156</f>
        <v>Empty Honey Jar</v>
      </c>
      <c r="B156" s="46" t="str">
        <f t="array" aca="1" ref="B156" ca="1">IF('.'!B156="","",'.'!B156&amp;IF(VLOOKUP('.'!B156,Recipes!$A:$D,4,FALSE)="",""," ["&amp;VLOOKUP('.'!B156,Recipes!$A:$D,4,FALSE)&amp;"]"))</f>
        <v>Jar of Honey [11]</v>
      </c>
      <c r="C156" s="46" t="str">
        <f t="array" ref="C156">IF('.'!C156="","",'.'!C156&amp;IF(VLOOKUP('.'!C156,Recipes!$A:$D,4,FALSE)="",""," ["&amp;VLOOKUP('.'!C156,Recipes!$A:$D,4,FALSE)&amp;"]"))</f>
        <v/>
      </c>
      <c r="D156" s="46" t="str">
        <f t="array" ref="D156">IF('.'!D156="","",'.'!D156&amp;IF(VLOOKUP('.'!D156,Recipes!$A:$D,4,FALSE)="",""," ["&amp;VLOOKUP('.'!D156,Recipes!$A:$D,4,FALSE)&amp;"]"))</f>
        <v/>
      </c>
      <c r="E156" s="46" t="str">
        <f t="array" ref="E156">IF('.'!E156="","",'.'!E156&amp;IF(VLOOKUP('.'!E156,Recipes!$A:$D,4,FALSE)="",""," ["&amp;VLOOKUP('.'!E156,Recipes!$A:$D,4,FALSE)&amp;"]"))</f>
        <v/>
      </c>
      <c r="F156" s="46" t="str">
        <f t="array" ref="F156">IF('.'!F156="","",'.'!F156&amp;IF(VLOOKUP('.'!F156,Recipes!$A:$D,4,FALSE)="",""," ["&amp;VLOOKUP('.'!F156,Recipes!$A:$D,4,FALSE)&amp;"]"))</f>
        <v/>
      </c>
      <c r="G156" s="46" t="str">
        <f t="array" ref="G156">IF('.'!G156="","",'.'!G156&amp;IF(VLOOKUP('.'!G156,Recipes!$A:$D,4,FALSE)="",""," ["&amp;VLOOKUP('.'!G156,Recipes!$A:$D,4,FALSE)&amp;"]"))</f>
        <v/>
      </c>
      <c r="H156" s="46" t="str">
        <f t="array" ref="H156">IF('.'!H156="","",'.'!H156&amp;IF(VLOOKUP('.'!H156,Recipes!$A:$D,4,FALSE)="",""," ["&amp;VLOOKUP('.'!H156,Recipes!$A:$D,4,FALSE)&amp;"]"))</f>
        <v/>
      </c>
      <c r="I156" s="46" t="str">
        <f t="array" ref="I156">IF('.'!I156="","",'.'!I156&amp;IF(VLOOKUP('.'!I156,Recipes!$A:$D,4,FALSE)="",""," ["&amp;VLOOKUP('.'!I156,Recipes!$A:$D,4,FALSE)&amp;"]"))</f>
        <v/>
      </c>
      <c r="J156" s="46" t="str">
        <f t="array" ref="J156">IF('.'!J156="","",'.'!J156&amp;IF(VLOOKUP('.'!J156,Recipes!$A:$D,4,FALSE)="",""," ["&amp;VLOOKUP('.'!J156,Recipes!$A:$D,4,FALSE)&amp;"]"))</f>
        <v/>
      </c>
      <c r="K156" s="46" t="str">
        <f t="array" ref="K156">IF('.'!K156="","",'.'!K156&amp;IF(VLOOKUP('.'!K156,Recipes!$A:$D,4,FALSE)="",""," ["&amp;VLOOKUP('.'!K156,Recipes!$A:$D,4,FALSE)&amp;"]"))</f>
        <v/>
      </c>
      <c r="L156" s="46" t="str">
        <f t="array" ref="L156">IF('.'!L156="","",'.'!L156&amp;IF(VLOOKUP('.'!L156,Recipes!$A:$D,4,FALSE)="",""," ["&amp;VLOOKUP('.'!L156,Recipes!$A:$D,4,FALSE)&amp;"]"))</f>
        <v/>
      </c>
      <c r="M156" s="46" t="str">
        <f t="array" ref="M156">IF('.'!M156="","",'.'!M156&amp;IF(VLOOKUP('.'!M156,Recipes!$A:$D,4,FALSE)="",""," ["&amp;VLOOKUP('.'!M156,Recipes!$A:$D,4,FALSE)&amp;"]"))</f>
        <v/>
      </c>
      <c r="N156" s="46" t="str">
        <f t="array" ref="N156">IF('.'!N156="","",'.'!N156&amp;IF(VLOOKUP('.'!N156,Recipes!$A:$D,4,FALSE)="",""," ["&amp;VLOOKUP('.'!N156,Recipes!$A:$D,4,FALSE)&amp;"]"))</f>
        <v/>
      </c>
      <c r="O156" s="46" t="str">
        <f t="array" ref="O156">IF('.'!O156="","",'.'!O156&amp;IF(VLOOKUP('.'!O156,Recipes!$A:$D,4,FALSE)="",""," ["&amp;VLOOKUP('.'!O156,Recipes!$A:$D,4,FALSE)&amp;"]"))</f>
        <v/>
      </c>
      <c r="P156" s="46" t="str">
        <f t="array" ref="P156">IF('.'!P156="","",'.'!P156&amp;IF(VLOOKUP('.'!P156,Recipes!$A:$D,4,FALSE)="",""," ["&amp;VLOOKUP('.'!P156,Recipes!$A:$D,4,FALSE)&amp;"]"))</f>
        <v/>
      </c>
      <c r="Q156" s="46" t="str">
        <f t="array" ref="Q156">IF('.'!Q156="","",'.'!Q156&amp;IF(VLOOKUP('.'!Q156,Recipes!$A:$D,4,FALSE)="",""," ["&amp;VLOOKUP('.'!Q156,Recipes!$A:$D,4,FALSE)&amp;"]"))</f>
        <v/>
      </c>
      <c r="R156" s="46" t="str">
        <f t="array" ref="R156">IF('.'!R156="","",'.'!R156&amp;IF(VLOOKUP('.'!R156,Recipes!$A:$D,4,FALSE)="",""," ["&amp;VLOOKUP('.'!R156,Recipes!$A:$D,4,FALSE)&amp;"]"))</f>
        <v/>
      </c>
      <c r="S156" s="46" t="str">
        <f t="array" ref="S156">IF('.'!S156="","",'.'!S156&amp;IF(VLOOKUP('.'!S156,Recipes!$A:$D,4,FALSE)="",""," ["&amp;VLOOKUP('.'!S156,Recipes!$A:$D,4,FALSE)&amp;"]"))</f>
        <v/>
      </c>
      <c r="T156" s="46" t="str">
        <f t="array" ref="T156">IF('.'!T156="","",'.'!T156&amp;IF(VLOOKUP('.'!T156,Recipes!$A:$D,4,FALSE)="",""," ["&amp;VLOOKUP('.'!T156,Recipes!$A:$D,4,FALSE)&amp;"]"))</f>
        <v/>
      </c>
      <c r="U156" s="46" t="str">
        <f t="array" ref="U156">IF('.'!U156="","",'.'!U156&amp;IF(VLOOKUP('.'!U156,Recipes!$A:$D,4,FALSE)="",""," ["&amp;VLOOKUP('.'!U156,Recipes!$A:$D,4,FALSE)&amp;"]"))</f>
        <v/>
      </c>
      <c r="V156" s="46" t="str">
        <f t="array" ref="V156">IF('.'!V156="","",'.'!V156&amp;IF(VLOOKUP('.'!V156,Recipes!$A:$D,4,FALSE)="",""," ["&amp;VLOOKUP('.'!V156,Recipes!$A:$D,4,FALSE)&amp;"]"))</f>
        <v/>
      </c>
      <c r="W156" s="46" t="str">
        <f t="array" ref="W156">IF('.'!W156="","",'.'!W156&amp;IF(VLOOKUP('.'!W156,Recipes!$A:$D,4,FALSE)="",""," ["&amp;VLOOKUP('.'!W156,Recipes!$A:$D,4,FALSE)&amp;"]"))</f>
        <v/>
      </c>
      <c r="X156" s="46" t="str">
        <f t="array" ref="X156">IF('.'!X156="","",'.'!X156&amp;IF(VLOOKUP('.'!X156,Recipes!$A:$D,4,FALSE)="",""," ["&amp;VLOOKUP('.'!X156,Recipes!$A:$D,4,FALSE)&amp;"]"))</f>
        <v/>
      </c>
      <c r="Y156" s="46" t="str">
        <f t="array" ref="Y156">IF('.'!Y156="","",'.'!Y156&amp;IF(VLOOKUP('.'!Y156,Recipes!$A:$D,4,FALSE)="",""," ["&amp;VLOOKUP('.'!Y156,Recipes!$A:$D,4,FALSE)&amp;"]"))</f>
        <v/>
      </c>
      <c r="Z156" s="46" t="str">
        <f t="array" ref="Z156">IF('.'!Z156="","",'.'!Z156&amp;IF(VLOOKUP('.'!Z156,Recipes!$A:$D,4,FALSE)="",""," ["&amp;VLOOKUP('.'!Z156,Recipes!$A:$D,4,FALSE)&amp;"]"))</f>
        <v/>
      </c>
      <c r="AA156" s="46" t="str">
        <f t="array" ref="AA156">IF('.'!AA156="","",'.'!AA156&amp;IF(VLOOKUP('.'!AA156,Recipes!$A:$D,4,FALSE)="",""," ["&amp;VLOOKUP('.'!AA156,Recipes!$A:$D,4,FALSE)&amp;"]"))</f>
        <v/>
      </c>
      <c r="AB156" s="46" t="str">
        <f t="array" ref="AB156">IF('.'!AB156="","",'.'!AB156&amp;IF(VLOOKUP('.'!AB156,Recipes!$A:$D,4,FALSE)="",""," ["&amp;VLOOKUP('.'!AB156,Recipes!$A:$D,4,FALSE)&amp;"]"))</f>
        <v/>
      </c>
      <c r="AC156" s="46" t="str">
        <f t="array" ref="AC156">IF('.'!AC156="","",'.'!AC156&amp;IF(VLOOKUP('.'!AC156,Recipes!$A:$D,4,FALSE)="",""," ["&amp;VLOOKUP('.'!AC156,Recipes!$A:$D,4,FALSE)&amp;"]"))</f>
        <v/>
      </c>
      <c r="AD156" s="46" t="str">
        <f t="array" ref="AD156">IF('.'!AD156="","",'.'!AD156&amp;IF(VLOOKUP('.'!AD156,Recipes!$A:$D,4,FALSE)="",""," ["&amp;VLOOKUP('.'!AD156,Recipes!$A:$D,4,FALSE)&amp;"]"))</f>
        <v/>
      </c>
      <c r="AE156" s="47"/>
      <c r="AF156" s="47"/>
      <c r="AG156" s="47"/>
      <c r="AH156" s="47"/>
      <c r="AI156" s="47"/>
      <c r="AJ156" s="47"/>
      <c r="AK156" s="47"/>
      <c r="AL156" s="47"/>
      <c r="AM156" s="47"/>
      <c r="AN156" s="47"/>
      <c r="AO156" s="47"/>
      <c r="AP156" s="47"/>
      <c r="AQ156" s="47"/>
      <c r="AR156" s="47"/>
      <c r="AS156" s="47"/>
      <c r="AT156" s="47"/>
      <c r="AU156" s="47"/>
      <c r="AV156" s="47"/>
      <c r="AW156" s="47"/>
      <c r="AX156" s="47"/>
      <c r="AY156" s="47"/>
      <c r="AZ156" s="47"/>
      <c r="BA156" s="47"/>
      <c r="BB156" s="47"/>
      <c r="BC156" s="47"/>
      <c r="BD156" s="47"/>
      <c r="BE156" s="47"/>
      <c r="BF156" s="47"/>
      <c r="BG156" s="47"/>
      <c r="BH156" s="47"/>
      <c r="BI156" s="47"/>
      <c r="BJ156" s="47"/>
      <c r="BK156" s="47"/>
      <c r="BL156" s="47"/>
      <c r="BM156" s="47"/>
      <c r="BN156" s="47"/>
      <c r="BO156" s="47"/>
      <c r="BP156" s="47"/>
      <c r="BQ156" s="47"/>
      <c r="BR156" s="47"/>
      <c r="BS156" s="47"/>
      <c r="BT156" s="47"/>
      <c r="BU156" s="47"/>
      <c r="BV156" s="47"/>
      <c r="BW156" s="47"/>
      <c r="BX156" s="47"/>
      <c r="BY156" s="47"/>
      <c r="BZ156" s="47"/>
    </row>
    <row r="157" spans="1:78" ht="13">
      <c r="A157" s="48" t="str">
        <f ca="1">'.'!A157</f>
        <v>Empty Mug</v>
      </c>
      <c r="B157" s="46" t="str">
        <f t="array" aca="1" ref="B157" ca="1">IF('.'!B157="","",'.'!B157&amp;IF(VLOOKUP('.'!B157,Recipes!$A:$D,4,FALSE)="",""," ["&amp;VLOOKUP('.'!B157,Recipes!$A:$D,4,FALSE)&amp;"]"))</f>
        <v>Lemonade [3]</v>
      </c>
      <c r="C157" s="46" t="str">
        <f t="array" aca="1" ref="C157" ca="1">IF('.'!C157="","",'.'!C157&amp;IF(VLOOKUP('.'!C157,Recipes!$A:$D,4,FALSE)="",""," ["&amp;VLOOKUP('.'!C157,Recipes!$A:$D,4,FALSE)&amp;"]"))</f>
        <v>Mug of Beer [1]</v>
      </c>
      <c r="D157" s="46" t="str">
        <f t="array" aca="1" ref="D157" ca="1">IF('.'!D157="","",'.'!D157&amp;IF(VLOOKUP('.'!D157,Recipes!$A:$D,4,FALSE)="",""," ["&amp;VLOOKUP('.'!D157,Recipes!$A:$D,4,FALSE)&amp;"]"))</f>
        <v>Mug of Water [0]</v>
      </c>
      <c r="E157" s="46" t="str">
        <f t="array" aca="1" ref="E157" ca="1">IF('.'!E157="","",'.'!E157&amp;IF(VLOOKUP('.'!E157,Recipes!$A:$D,4,FALSE)="",""," ["&amp;VLOOKUP('.'!E157,Recipes!$A:$D,4,FALSE)&amp;"]"))</f>
        <v>Mug of Wine [-15]</v>
      </c>
      <c r="F157" s="46" t="str">
        <f t="array" ref="F157">IF('.'!F157="","",'.'!F157&amp;IF(VLOOKUP('.'!F157,Recipes!$A:$D,4,FALSE)="",""," ["&amp;VLOOKUP('.'!F157,Recipes!$A:$D,4,FALSE)&amp;"]"))</f>
        <v/>
      </c>
      <c r="G157" s="46" t="str">
        <f t="array" ref="G157">IF('.'!G157="","",'.'!G157&amp;IF(VLOOKUP('.'!G157,Recipes!$A:$D,4,FALSE)="",""," ["&amp;VLOOKUP('.'!G157,Recipes!$A:$D,4,FALSE)&amp;"]"))</f>
        <v/>
      </c>
      <c r="H157" s="46" t="str">
        <f t="array" ref="H157">IF('.'!H157="","",'.'!H157&amp;IF(VLOOKUP('.'!H157,Recipes!$A:$D,4,FALSE)="",""," ["&amp;VLOOKUP('.'!H157,Recipes!$A:$D,4,FALSE)&amp;"]"))</f>
        <v/>
      </c>
      <c r="I157" s="46" t="str">
        <f t="array" ref="I157">IF('.'!I157="","",'.'!I157&amp;IF(VLOOKUP('.'!I157,Recipes!$A:$D,4,FALSE)="",""," ["&amp;VLOOKUP('.'!I157,Recipes!$A:$D,4,FALSE)&amp;"]"))</f>
        <v/>
      </c>
      <c r="J157" s="46" t="str">
        <f t="array" ref="J157">IF('.'!J157="","",'.'!J157&amp;IF(VLOOKUP('.'!J157,Recipes!$A:$D,4,FALSE)="",""," ["&amp;VLOOKUP('.'!J157,Recipes!$A:$D,4,FALSE)&amp;"]"))</f>
        <v/>
      </c>
      <c r="K157" s="46" t="str">
        <f t="array" ref="K157">IF('.'!K157="","",'.'!K157&amp;IF(VLOOKUP('.'!K157,Recipes!$A:$D,4,FALSE)="",""," ["&amp;VLOOKUP('.'!K157,Recipes!$A:$D,4,FALSE)&amp;"]"))</f>
        <v/>
      </c>
      <c r="L157" s="46" t="str">
        <f t="array" ref="L157">IF('.'!L157="","",'.'!L157&amp;IF(VLOOKUP('.'!L157,Recipes!$A:$D,4,FALSE)="",""," ["&amp;VLOOKUP('.'!L157,Recipes!$A:$D,4,FALSE)&amp;"]"))</f>
        <v/>
      </c>
      <c r="M157" s="46" t="str">
        <f t="array" ref="M157">IF('.'!M157="","",'.'!M157&amp;IF(VLOOKUP('.'!M157,Recipes!$A:$D,4,FALSE)="",""," ["&amp;VLOOKUP('.'!M157,Recipes!$A:$D,4,FALSE)&amp;"]"))</f>
        <v/>
      </c>
      <c r="N157" s="46" t="str">
        <f t="array" ref="N157">IF('.'!N157="","",'.'!N157&amp;IF(VLOOKUP('.'!N157,Recipes!$A:$D,4,FALSE)="",""," ["&amp;VLOOKUP('.'!N157,Recipes!$A:$D,4,FALSE)&amp;"]"))</f>
        <v/>
      </c>
      <c r="O157" s="46" t="str">
        <f t="array" ref="O157">IF('.'!O157="","",'.'!O157&amp;IF(VLOOKUP('.'!O157,Recipes!$A:$D,4,FALSE)="",""," ["&amp;VLOOKUP('.'!O157,Recipes!$A:$D,4,FALSE)&amp;"]"))</f>
        <v/>
      </c>
      <c r="P157" s="46" t="str">
        <f t="array" ref="P157">IF('.'!P157="","",'.'!P157&amp;IF(VLOOKUP('.'!P157,Recipes!$A:$D,4,FALSE)="",""," ["&amp;VLOOKUP('.'!P157,Recipes!$A:$D,4,FALSE)&amp;"]"))</f>
        <v/>
      </c>
      <c r="Q157" s="46" t="str">
        <f t="array" ref="Q157">IF('.'!Q157="","",'.'!Q157&amp;IF(VLOOKUP('.'!Q157,Recipes!$A:$D,4,FALSE)="",""," ["&amp;VLOOKUP('.'!Q157,Recipes!$A:$D,4,FALSE)&amp;"]"))</f>
        <v/>
      </c>
      <c r="R157" s="46" t="str">
        <f t="array" ref="R157">IF('.'!R157="","",'.'!R157&amp;IF(VLOOKUP('.'!R157,Recipes!$A:$D,4,FALSE)="",""," ["&amp;VLOOKUP('.'!R157,Recipes!$A:$D,4,FALSE)&amp;"]"))</f>
        <v/>
      </c>
      <c r="S157" s="46" t="str">
        <f t="array" ref="S157">IF('.'!S157="","",'.'!S157&amp;IF(VLOOKUP('.'!S157,Recipes!$A:$D,4,FALSE)="",""," ["&amp;VLOOKUP('.'!S157,Recipes!$A:$D,4,FALSE)&amp;"]"))</f>
        <v/>
      </c>
      <c r="T157" s="46" t="str">
        <f t="array" ref="T157">IF('.'!T157="","",'.'!T157&amp;IF(VLOOKUP('.'!T157,Recipes!$A:$D,4,FALSE)="",""," ["&amp;VLOOKUP('.'!T157,Recipes!$A:$D,4,FALSE)&amp;"]"))</f>
        <v/>
      </c>
      <c r="U157" s="46" t="str">
        <f t="array" ref="U157">IF('.'!U157="","",'.'!U157&amp;IF(VLOOKUP('.'!U157,Recipes!$A:$D,4,FALSE)="",""," ["&amp;VLOOKUP('.'!U157,Recipes!$A:$D,4,FALSE)&amp;"]"))</f>
        <v/>
      </c>
      <c r="V157" s="46" t="str">
        <f t="array" ref="V157">IF('.'!V157="","",'.'!V157&amp;IF(VLOOKUP('.'!V157,Recipes!$A:$D,4,FALSE)="",""," ["&amp;VLOOKUP('.'!V157,Recipes!$A:$D,4,FALSE)&amp;"]"))</f>
        <v/>
      </c>
      <c r="W157" s="46" t="str">
        <f t="array" ref="W157">IF('.'!W157="","",'.'!W157&amp;IF(VLOOKUP('.'!W157,Recipes!$A:$D,4,FALSE)="",""," ["&amp;VLOOKUP('.'!W157,Recipes!$A:$D,4,FALSE)&amp;"]"))</f>
        <v/>
      </c>
      <c r="X157" s="46" t="str">
        <f t="array" ref="X157">IF('.'!X157="","",'.'!X157&amp;IF(VLOOKUP('.'!X157,Recipes!$A:$D,4,FALSE)="",""," ["&amp;VLOOKUP('.'!X157,Recipes!$A:$D,4,FALSE)&amp;"]"))</f>
        <v/>
      </c>
      <c r="Y157" s="46" t="str">
        <f t="array" ref="Y157">IF('.'!Y157="","",'.'!Y157&amp;IF(VLOOKUP('.'!Y157,Recipes!$A:$D,4,FALSE)="",""," ["&amp;VLOOKUP('.'!Y157,Recipes!$A:$D,4,FALSE)&amp;"]"))</f>
        <v/>
      </c>
      <c r="Z157" s="46" t="str">
        <f t="array" ref="Z157">IF('.'!Z157="","",'.'!Z157&amp;IF(VLOOKUP('.'!Z157,Recipes!$A:$D,4,FALSE)="",""," ["&amp;VLOOKUP('.'!Z157,Recipes!$A:$D,4,FALSE)&amp;"]"))</f>
        <v/>
      </c>
      <c r="AA157" s="46" t="str">
        <f t="array" ref="AA157">IF('.'!AA157="","",'.'!AA157&amp;IF(VLOOKUP('.'!AA157,Recipes!$A:$D,4,FALSE)="",""," ["&amp;VLOOKUP('.'!AA157,Recipes!$A:$D,4,FALSE)&amp;"]"))</f>
        <v/>
      </c>
      <c r="AB157" s="46" t="str">
        <f t="array" ref="AB157">IF('.'!AB157="","",'.'!AB157&amp;IF(VLOOKUP('.'!AB157,Recipes!$A:$D,4,FALSE)="",""," ["&amp;VLOOKUP('.'!AB157,Recipes!$A:$D,4,FALSE)&amp;"]"))</f>
        <v/>
      </c>
      <c r="AC157" s="46" t="str">
        <f t="array" ref="AC157">IF('.'!AC157="","",'.'!AC157&amp;IF(VLOOKUP('.'!AC157,Recipes!$A:$D,4,FALSE)="",""," ["&amp;VLOOKUP('.'!AC157,Recipes!$A:$D,4,FALSE)&amp;"]"))</f>
        <v/>
      </c>
      <c r="AD157" s="46" t="str">
        <f t="array" ref="AD157">IF('.'!AD157="","",'.'!AD157&amp;IF(VLOOKUP('.'!AD157,Recipes!$A:$D,4,FALSE)="",""," ["&amp;VLOOKUP('.'!AD157,Recipes!$A:$D,4,FALSE)&amp;"]"))</f>
        <v/>
      </c>
      <c r="AE157" s="47"/>
      <c r="AF157" s="47"/>
      <c r="AG157" s="47"/>
      <c r="AH157" s="47"/>
      <c r="AI157" s="47"/>
      <c r="AJ157" s="47"/>
      <c r="AK157" s="47"/>
      <c r="AL157" s="47"/>
      <c r="AM157" s="47"/>
      <c r="AN157" s="47"/>
      <c r="AO157" s="47"/>
      <c r="AP157" s="47"/>
      <c r="AQ157" s="47"/>
      <c r="AR157" s="47"/>
      <c r="AS157" s="47"/>
      <c r="AT157" s="47"/>
      <c r="AU157" s="47"/>
      <c r="AV157" s="47"/>
      <c r="AW157" s="47"/>
      <c r="AX157" s="47"/>
      <c r="AY157" s="47"/>
      <c r="AZ157" s="47"/>
      <c r="BA157" s="47"/>
      <c r="BB157" s="47"/>
      <c r="BC157" s="47"/>
      <c r="BD157" s="47"/>
      <c r="BE157" s="47"/>
      <c r="BF157" s="47"/>
      <c r="BG157" s="47"/>
      <c r="BH157" s="47"/>
      <c r="BI157" s="47"/>
      <c r="BJ157" s="47"/>
      <c r="BK157" s="47"/>
      <c r="BL157" s="47"/>
      <c r="BM157" s="47"/>
      <c r="BN157" s="47"/>
      <c r="BO157" s="47"/>
      <c r="BP157" s="47"/>
      <c r="BQ157" s="47"/>
      <c r="BR157" s="47"/>
      <c r="BS157" s="47"/>
      <c r="BT157" s="47"/>
      <c r="BU157" s="47"/>
      <c r="BV157" s="47"/>
      <c r="BW157" s="47"/>
      <c r="BX157" s="47"/>
      <c r="BY157" s="47"/>
      <c r="BZ157" s="47"/>
    </row>
    <row r="158" spans="1:78" ht="13">
      <c r="A158" s="48" t="str">
        <f ca="1">'.'!A158</f>
        <v>Empty Perfume Bottle</v>
      </c>
      <c r="B158" s="46" t="str">
        <f t="array" aca="1" ref="B158" ca="1">IF('.'!B158="","",'.'!B158&amp;IF(VLOOKUP('.'!B158,Recipes!$A:$D,4,FALSE)="",""," ["&amp;VLOOKUP('.'!B158,Recipes!$A:$D,4,FALSE)&amp;"]"))</f>
        <v>Love Grenade [-20]</v>
      </c>
      <c r="C158" s="46" t="str">
        <f t="array" ref="C158">IF('.'!C158="","",'.'!C158&amp;IF(VLOOKUP('.'!C158,Recipes!$A:$D,4,FALSE)="",""," ["&amp;VLOOKUP('.'!C158,Recipes!$A:$D,4,FALSE)&amp;"]"))</f>
        <v/>
      </c>
      <c r="D158" s="46" t="str">
        <f t="array" ref="D158">IF('.'!D158="","",'.'!D158&amp;IF(VLOOKUP('.'!D158,Recipes!$A:$D,4,FALSE)="",""," ["&amp;VLOOKUP('.'!D158,Recipes!$A:$D,4,FALSE)&amp;"]"))</f>
        <v/>
      </c>
      <c r="E158" s="46" t="str">
        <f t="array" ref="E158">IF('.'!E158="","",'.'!E158&amp;IF(VLOOKUP('.'!E158,Recipes!$A:$D,4,FALSE)="",""," ["&amp;VLOOKUP('.'!E158,Recipes!$A:$D,4,FALSE)&amp;"]"))</f>
        <v/>
      </c>
      <c r="F158" s="46" t="str">
        <f t="array" ref="F158">IF('.'!F158="","",'.'!F158&amp;IF(VLOOKUP('.'!F158,Recipes!$A:$D,4,FALSE)="",""," ["&amp;VLOOKUP('.'!F158,Recipes!$A:$D,4,FALSE)&amp;"]"))</f>
        <v/>
      </c>
      <c r="G158" s="46" t="str">
        <f t="array" ref="G158">IF('.'!G158="","",'.'!G158&amp;IF(VLOOKUP('.'!G158,Recipes!$A:$D,4,FALSE)="",""," ["&amp;VLOOKUP('.'!G158,Recipes!$A:$D,4,FALSE)&amp;"]"))</f>
        <v/>
      </c>
      <c r="H158" s="46" t="str">
        <f t="array" ref="H158">IF('.'!H158="","",'.'!H158&amp;IF(VLOOKUP('.'!H158,Recipes!$A:$D,4,FALSE)="",""," ["&amp;VLOOKUP('.'!H158,Recipes!$A:$D,4,FALSE)&amp;"]"))</f>
        <v/>
      </c>
      <c r="I158" s="46" t="str">
        <f t="array" ref="I158">IF('.'!I158="","",'.'!I158&amp;IF(VLOOKUP('.'!I158,Recipes!$A:$D,4,FALSE)="",""," ["&amp;VLOOKUP('.'!I158,Recipes!$A:$D,4,FALSE)&amp;"]"))</f>
        <v/>
      </c>
      <c r="J158" s="46" t="str">
        <f t="array" ref="J158">IF('.'!J158="","",'.'!J158&amp;IF(VLOOKUP('.'!J158,Recipes!$A:$D,4,FALSE)="",""," ["&amp;VLOOKUP('.'!J158,Recipes!$A:$D,4,FALSE)&amp;"]"))</f>
        <v/>
      </c>
      <c r="K158" s="46" t="str">
        <f t="array" ref="K158">IF('.'!K158="","",'.'!K158&amp;IF(VLOOKUP('.'!K158,Recipes!$A:$D,4,FALSE)="",""," ["&amp;VLOOKUP('.'!K158,Recipes!$A:$D,4,FALSE)&amp;"]"))</f>
        <v/>
      </c>
      <c r="L158" s="46" t="str">
        <f t="array" ref="L158">IF('.'!L158="","",'.'!L158&amp;IF(VLOOKUP('.'!L158,Recipes!$A:$D,4,FALSE)="",""," ["&amp;VLOOKUP('.'!L158,Recipes!$A:$D,4,FALSE)&amp;"]"))</f>
        <v/>
      </c>
      <c r="M158" s="46" t="str">
        <f t="array" ref="M158">IF('.'!M158="","",'.'!M158&amp;IF(VLOOKUP('.'!M158,Recipes!$A:$D,4,FALSE)="",""," ["&amp;VLOOKUP('.'!M158,Recipes!$A:$D,4,FALSE)&amp;"]"))</f>
        <v/>
      </c>
      <c r="N158" s="46" t="str">
        <f t="array" ref="N158">IF('.'!N158="","",'.'!N158&amp;IF(VLOOKUP('.'!N158,Recipes!$A:$D,4,FALSE)="",""," ["&amp;VLOOKUP('.'!N158,Recipes!$A:$D,4,FALSE)&amp;"]"))</f>
        <v/>
      </c>
      <c r="O158" s="46" t="str">
        <f t="array" ref="O158">IF('.'!O158="","",'.'!O158&amp;IF(VLOOKUP('.'!O158,Recipes!$A:$D,4,FALSE)="",""," ["&amp;VLOOKUP('.'!O158,Recipes!$A:$D,4,FALSE)&amp;"]"))</f>
        <v/>
      </c>
      <c r="P158" s="46" t="str">
        <f t="array" ref="P158">IF('.'!P158="","",'.'!P158&amp;IF(VLOOKUP('.'!P158,Recipes!$A:$D,4,FALSE)="",""," ["&amp;VLOOKUP('.'!P158,Recipes!$A:$D,4,FALSE)&amp;"]"))</f>
        <v/>
      </c>
      <c r="Q158" s="46" t="str">
        <f t="array" ref="Q158">IF('.'!Q158="","",'.'!Q158&amp;IF(VLOOKUP('.'!Q158,Recipes!$A:$D,4,FALSE)="",""," ["&amp;VLOOKUP('.'!Q158,Recipes!$A:$D,4,FALSE)&amp;"]"))</f>
        <v/>
      </c>
      <c r="R158" s="46" t="str">
        <f t="array" ref="R158">IF('.'!R158="","",'.'!R158&amp;IF(VLOOKUP('.'!R158,Recipes!$A:$D,4,FALSE)="",""," ["&amp;VLOOKUP('.'!R158,Recipes!$A:$D,4,FALSE)&amp;"]"))</f>
        <v/>
      </c>
      <c r="S158" s="46" t="str">
        <f t="array" ref="S158">IF('.'!S158="","",'.'!S158&amp;IF(VLOOKUP('.'!S158,Recipes!$A:$D,4,FALSE)="",""," ["&amp;VLOOKUP('.'!S158,Recipes!$A:$D,4,FALSE)&amp;"]"))</f>
        <v/>
      </c>
      <c r="T158" s="46" t="str">
        <f t="array" ref="T158">IF('.'!T158="","",'.'!T158&amp;IF(VLOOKUP('.'!T158,Recipes!$A:$D,4,FALSE)="",""," ["&amp;VLOOKUP('.'!T158,Recipes!$A:$D,4,FALSE)&amp;"]"))</f>
        <v/>
      </c>
      <c r="U158" s="46" t="str">
        <f t="array" ref="U158">IF('.'!U158="","",'.'!U158&amp;IF(VLOOKUP('.'!U158,Recipes!$A:$D,4,FALSE)="",""," ["&amp;VLOOKUP('.'!U158,Recipes!$A:$D,4,FALSE)&amp;"]"))</f>
        <v/>
      </c>
      <c r="V158" s="46" t="str">
        <f t="array" ref="V158">IF('.'!V158="","",'.'!V158&amp;IF(VLOOKUP('.'!V158,Recipes!$A:$D,4,FALSE)="",""," ["&amp;VLOOKUP('.'!V158,Recipes!$A:$D,4,FALSE)&amp;"]"))</f>
        <v/>
      </c>
      <c r="W158" s="46" t="str">
        <f t="array" ref="W158">IF('.'!W158="","",'.'!W158&amp;IF(VLOOKUP('.'!W158,Recipes!$A:$D,4,FALSE)="",""," ["&amp;VLOOKUP('.'!W158,Recipes!$A:$D,4,FALSE)&amp;"]"))</f>
        <v/>
      </c>
      <c r="X158" s="46" t="str">
        <f t="array" ref="X158">IF('.'!X158="","",'.'!X158&amp;IF(VLOOKUP('.'!X158,Recipes!$A:$D,4,FALSE)="",""," ["&amp;VLOOKUP('.'!X158,Recipes!$A:$D,4,FALSE)&amp;"]"))</f>
        <v/>
      </c>
      <c r="Y158" s="46" t="str">
        <f t="array" ref="Y158">IF('.'!Y158="","",'.'!Y158&amp;IF(VLOOKUP('.'!Y158,Recipes!$A:$D,4,FALSE)="",""," ["&amp;VLOOKUP('.'!Y158,Recipes!$A:$D,4,FALSE)&amp;"]"))</f>
        <v/>
      </c>
      <c r="Z158" s="46" t="str">
        <f t="array" ref="Z158">IF('.'!Z158="","",'.'!Z158&amp;IF(VLOOKUP('.'!Z158,Recipes!$A:$D,4,FALSE)="",""," ["&amp;VLOOKUP('.'!Z158,Recipes!$A:$D,4,FALSE)&amp;"]"))</f>
        <v/>
      </c>
      <c r="AA158" s="46" t="str">
        <f t="array" ref="AA158">IF('.'!AA158="","",'.'!AA158&amp;IF(VLOOKUP('.'!AA158,Recipes!$A:$D,4,FALSE)="",""," ["&amp;VLOOKUP('.'!AA158,Recipes!$A:$D,4,FALSE)&amp;"]"))</f>
        <v/>
      </c>
      <c r="AB158" s="46" t="str">
        <f t="array" ref="AB158">IF('.'!AB158="","",'.'!AB158&amp;IF(VLOOKUP('.'!AB158,Recipes!$A:$D,4,FALSE)="",""," ["&amp;VLOOKUP('.'!AB158,Recipes!$A:$D,4,FALSE)&amp;"]"))</f>
        <v/>
      </c>
      <c r="AC158" s="46" t="str">
        <f t="array" ref="AC158">IF('.'!AC158="","",'.'!AC158&amp;IF(VLOOKUP('.'!AC158,Recipes!$A:$D,4,FALSE)="",""," ["&amp;VLOOKUP('.'!AC158,Recipes!$A:$D,4,FALSE)&amp;"]"))</f>
        <v/>
      </c>
      <c r="AD158" s="46" t="str">
        <f t="array" ref="AD158">IF('.'!AD158="","",'.'!AD158&amp;IF(VLOOKUP('.'!AD158,Recipes!$A:$D,4,FALSE)="",""," ["&amp;VLOOKUP('.'!AD158,Recipes!$A:$D,4,FALSE)&amp;"]"))</f>
        <v/>
      </c>
      <c r="AE158" s="47"/>
      <c r="AF158" s="47"/>
      <c r="AG158" s="47"/>
      <c r="AH158" s="47"/>
      <c r="AI158" s="47"/>
      <c r="AJ158" s="47"/>
      <c r="AK158" s="47"/>
      <c r="AL158" s="47"/>
      <c r="AM158" s="47"/>
      <c r="AN158" s="47"/>
      <c r="AO158" s="47"/>
      <c r="AP158" s="47"/>
      <c r="AQ158" s="47"/>
      <c r="AR158" s="47"/>
      <c r="AS158" s="47"/>
      <c r="AT158" s="47"/>
      <c r="AU158" s="47"/>
      <c r="AV158" s="47"/>
      <c r="AW158" s="47"/>
      <c r="AX158" s="47"/>
      <c r="AY158" s="47"/>
      <c r="AZ158" s="47"/>
      <c r="BA158" s="47"/>
      <c r="BB158" s="47"/>
      <c r="BC158" s="47"/>
      <c r="BD158" s="47"/>
      <c r="BE158" s="47"/>
      <c r="BF158" s="47"/>
      <c r="BG158" s="47"/>
      <c r="BH158" s="47"/>
      <c r="BI158" s="47"/>
      <c r="BJ158" s="47"/>
      <c r="BK158" s="47"/>
      <c r="BL158" s="47"/>
      <c r="BM158" s="47"/>
      <c r="BN158" s="47"/>
      <c r="BO158" s="47"/>
      <c r="BP158" s="47"/>
      <c r="BQ158" s="47"/>
      <c r="BR158" s="47"/>
      <c r="BS158" s="47"/>
      <c r="BT158" s="47"/>
      <c r="BU158" s="47"/>
      <c r="BV158" s="47"/>
      <c r="BW158" s="47"/>
      <c r="BX158" s="47"/>
      <c r="BY158" s="47"/>
      <c r="BZ158" s="47"/>
    </row>
    <row r="159" spans="1:78" ht="13">
      <c r="A159" s="48" t="str">
        <f ca="1">'.'!A159</f>
        <v>Empty Potion Bottle</v>
      </c>
      <c r="B159" s="46" t="str">
        <f t="array" aca="1" ref="B159" ca="1">IF('.'!B159="","",'.'!B159&amp;IF(VLOOKUP('.'!B159,Recipes!$A:$D,4,FALSE)="",""," ["&amp;VLOOKUP('.'!B159,Recipes!$A:$D,4,FALSE)&amp;"]"))</f>
        <v>Attar of the Blood Rose [80]</v>
      </c>
      <c r="C159" s="46" t="str">
        <f t="array" aca="1" ref="C159" ca="1">IF('.'!C159="","",'.'!C159&amp;IF(VLOOKUP('.'!C159,Recipes!$A:$D,4,FALSE)="",""," ["&amp;VLOOKUP('.'!C159,Recipes!$A:$D,4,FALSE)&amp;"]"))</f>
        <v>Earth Resistance Potion [-70]</v>
      </c>
      <c r="D159" s="46" t="str">
        <f t="array" aca="1" ref="D159" ca="1">IF('.'!D159="","",'.'!D159&amp;IF(VLOOKUP('.'!D159,Recipes!$A:$D,4,FALSE)="",""," ["&amp;VLOOKUP('.'!D159,Recipes!$A:$D,4,FALSE)&amp;"]"))</f>
        <v>Fire Resistance Potion [-70]</v>
      </c>
      <c r="E159" s="46" t="str">
        <f t="array" aca="1" ref="E159" ca="1">IF('.'!E159="","",'.'!E159&amp;IF(VLOOKUP('.'!E159,Recipes!$A:$D,4,FALSE)="",""," ["&amp;VLOOKUP('.'!E159,Recipes!$A:$D,4,FALSE)&amp;"]"))</f>
        <v>Invisibility Potion [-30]</v>
      </c>
      <c r="F159" s="46" t="str">
        <f t="array" aca="1" ref="F159" ca="1">IF('.'!F159="","",'.'!F159&amp;IF(VLOOKUP('.'!F159,Recipes!$A:$D,4,FALSE)="",""," ["&amp;VLOOKUP('.'!F159,Recipes!$A:$D,4,FALSE)&amp;"]"))</f>
        <v>Minor Constitution Potion [-30]</v>
      </c>
      <c r="G159" s="46" t="str">
        <f t="array" aca="1" ref="G159" ca="1">IF('.'!G159="","",'.'!G159&amp;IF(VLOOKUP('.'!G159,Recipes!$A:$D,4,FALSE)="",""," ["&amp;VLOOKUP('.'!G159,Recipes!$A:$D,4,FALSE)&amp;"]"))</f>
        <v>Minor Finesse Potion [-15]</v>
      </c>
      <c r="H159" s="46" t="str">
        <f t="array" aca="1" ref="H159" ca="1">IF('.'!H159="","",'.'!H159&amp;IF(VLOOKUP('.'!H159,Recipes!$A:$D,4,FALSE)="",""," ["&amp;VLOOKUP('.'!H159,Recipes!$A:$D,4,FALSE)&amp;"]"))</f>
        <v>Minor Intelligence Potion [-40]</v>
      </c>
      <c r="I159" s="46" t="str">
        <f t="array" aca="1" ref="I159" ca="1">IF('.'!I159="","",'.'!I159&amp;IF(VLOOKUP('.'!I159,Recipes!$A:$D,4,FALSE)="",""," ["&amp;VLOOKUP('.'!I159,Recipes!$A:$D,4,FALSE)&amp;"]"))</f>
        <v>Minor Resist All Potion [70]</v>
      </c>
      <c r="J159" s="46" t="str">
        <f t="array" aca="1" ref="J159" ca="1">IF('.'!J159="","",'.'!J159&amp;IF(VLOOKUP('.'!J159,Recipes!$A:$D,4,FALSE)="",""," ["&amp;VLOOKUP('.'!J159,Recipes!$A:$D,4,FALSE)&amp;"]"))</f>
        <v>Minor Strength Potion [-35]</v>
      </c>
      <c r="K159" s="46" t="str">
        <f t="array" aca="1" ref="K159" ca="1">IF('.'!K159="","",'.'!K159&amp;IF(VLOOKUP('.'!K159,Recipes!$A:$D,4,FALSE)="",""," ["&amp;VLOOKUP('.'!K159,Recipes!$A:$D,4,FALSE)&amp;"]"))</f>
        <v>Minor Wits Potion [49]</v>
      </c>
      <c r="L159" s="46" t="str">
        <f t="array" aca="1" ref="L159" ca="1">IF('.'!L159="","",'.'!L159&amp;IF(VLOOKUP('.'!L159,Recipes!$A:$D,4,FALSE)="",""," ["&amp;VLOOKUP('.'!L159,Recipes!$A:$D,4,FALSE)&amp;"]"))</f>
        <v>Physical Armor Potion [-4]</v>
      </c>
      <c r="M159" s="46" t="str">
        <f t="array" aca="1" ref="M159" ca="1">IF('.'!M159="","",'.'!M159&amp;IF(VLOOKUP('.'!M159,Recipes!$A:$D,4,FALSE)="",""," ["&amp;VLOOKUP('.'!M159,Recipes!$A:$D,4,FALSE)&amp;"]"))</f>
        <v>Potion of Jellyfish Skin [560]</v>
      </c>
      <c r="N159" s="46" t="str">
        <f t="array" aca="1" ref="N159" ca="1">IF('.'!N159="","",'.'!N159&amp;IF(VLOOKUP('.'!N159,Recipes!$A:$D,4,FALSE)="",""," ["&amp;VLOOKUP('.'!N159,Recipes!$A:$D,4,FALSE)&amp;"]"))</f>
        <v>Potion of Nimble Tumble [310]</v>
      </c>
      <c r="O159" s="46" t="str">
        <f t="array" aca="1" ref="O159" ca="1">IF('.'!O159="","",'.'!O159&amp;IF(VLOOKUP('.'!O159,Recipes!$A:$D,4,FALSE)="",""," ["&amp;VLOOKUP('.'!O159,Recipes!$A:$D,4,FALSE)&amp;"]"))</f>
        <v>Potion of Strong Will [260]</v>
      </c>
      <c r="P159" s="46" t="str">
        <f t="array" aca="1" ref="P159" ca="1">IF('.'!P159="","",'.'!P159&amp;IF(VLOOKUP('.'!P159,Recipes!$A:$D,4,FALSE)="",""," ["&amp;VLOOKUP('.'!P159,Recipes!$A:$D,4,FALSE)&amp;"]"))</f>
        <v>Small Air Resistance Potion [-70]</v>
      </c>
      <c r="Q159" s="46" t="str">
        <f t="array" aca="1" ref="Q159" ca="1">IF('.'!Q159="","",'.'!Q159&amp;IF(VLOOKUP('.'!Q159,Recipes!$A:$D,4,FALSE)="",""," ["&amp;VLOOKUP('.'!Q159,Recipes!$A:$D,4,FALSE)&amp;"]"))</f>
        <v>Small Magic Armor Potion [-7]</v>
      </c>
      <c r="R159" s="46" t="str">
        <f t="array" aca="1" ref="R159" ca="1">IF('.'!R159="","",'.'!R159&amp;IF(VLOOKUP('.'!R159,Recipes!$A:$D,4,FALSE)="",""," ["&amp;VLOOKUP('.'!R159,Recipes!$A:$D,4,FALSE)&amp;"]"))</f>
        <v>Stoneskin Potion [360]</v>
      </c>
      <c r="S159" s="46" t="str">
        <f t="array" aca="1" ref="S159" ca="1">IF('.'!S159="","",'.'!S159&amp;IF(VLOOKUP('.'!S159,Recipes!$A:$D,4,FALSE)="",""," ["&amp;VLOOKUP('.'!S159,Recipes!$A:$D,4,FALSE)&amp;"]"))</f>
        <v>Water Resistance Potion [-70]</v>
      </c>
      <c r="T159" s="46" t="str">
        <f t="array" aca="1" ref="T159" ca="1">IF('.'!T159="","",'.'!T159&amp;IF(VLOOKUP('.'!T159,Recipes!$A:$D,4,FALSE)="",""," ["&amp;VLOOKUP('.'!T159,Recipes!$A:$D,4,FALSE)&amp;"]"))</f>
        <v>Healing Elixir [45]</v>
      </c>
      <c r="U159" s="46" t="str">
        <f t="array" aca="1" ref="U159" ca="1">IF('.'!U159="","",'.'!U159&amp;IF(VLOOKUP('.'!U159,Recipes!$A:$D,4,FALSE)="",""," ["&amp;VLOOKUP('.'!U159,Recipes!$A:$D,4,FALSE)&amp;"]"))</f>
        <v>Minor Healing Potion [-20]</v>
      </c>
      <c r="V159" s="46" t="str">
        <f t="array" aca="1" ref="V159" ca="1">IF('.'!V159="","",'.'!V159&amp;IF(VLOOKUP('.'!V159,Recipes!$A:$D,4,FALSE)="",""," ["&amp;VLOOKUP('.'!V159,Recipes!$A:$D,4,FALSE)&amp;"]"))</f>
        <v>Small Poison Bottle [-10]</v>
      </c>
      <c r="W159" s="46" t="str">
        <f t="array" ref="W159">IF('.'!W159="","",'.'!W159&amp;IF(VLOOKUP('.'!W159,Recipes!$A:$D,4,FALSE)="",""," ["&amp;VLOOKUP('.'!W159,Recipes!$A:$D,4,FALSE)&amp;"]"))</f>
        <v/>
      </c>
      <c r="X159" s="46" t="str">
        <f t="array" ref="X159">IF('.'!X159="","",'.'!X159&amp;IF(VLOOKUP('.'!X159,Recipes!$A:$D,4,FALSE)="",""," ["&amp;VLOOKUP('.'!X159,Recipes!$A:$D,4,FALSE)&amp;"]"))</f>
        <v/>
      </c>
      <c r="Y159" s="46" t="str">
        <f t="array" ref="Y159">IF('.'!Y159="","",'.'!Y159&amp;IF(VLOOKUP('.'!Y159,Recipes!$A:$D,4,FALSE)="",""," ["&amp;VLOOKUP('.'!Y159,Recipes!$A:$D,4,FALSE)&amp;"]"))</f>
        <v/>
      </c>
      <c r="Z159" s="46" t="str">
        <f t="array" ref="Z159">IF('.'!Z159="","",'.'!Z159&amp;IF(VLOOKUP('.'!Z159,Recipes!$A:$D,4,FALSE)="",""," ["&amp;VLOOKUP('.'!Z159,Recipes!$A:$D,4,FALSE)&amp;"]"))</f>
        <v/>
      </c>
      <c r="AA159" s="46" t="str">
        <f t="array" ref="AA159">IF('.'!AA159="","",'.'!AA159&amp;IF(VLOOKUP('.'!AA159,Recipes!$A:$D,4,FALSE)="",""," ["&amp;VLOOKUP('.'!AA159,Recipes!$A:$D,4,FALSE)&amp;"]"))</f>
        <v/>
      </c>
      <c r="AB159" s="46" t="str">
        <f t="array" ref="AB159">IF('.'!AB159="","",'.'!AB159&amp;IF(VLOOKUP('.'!AB159,Recipes!$A:$D,4,FALSE)="",""," ["&amp;VLOOKUP('.'!AB159,Recipes!$A:$D,4,FALSE)&amp;"]"))</f>
        <v/>
      </c>
      <c r="AC159" s="46" t="str">
        <f t="array" ref="AC159">IF('.'!AC159="","",'.'!AC159&amp;IF(VLOOKUP('.'!AC159,Recipes!$A:$D,4,FALSE)="",""," ["&amp;VLOOKUP('.'!AC159,Recipes!$A:$D,4,FALSE)&amp;"]"))</f>
        <v/>
      </c>
      <c r="AD159" s="46" t="str">
        <f t="array" ref="AD159">IF('.'!AD159="","",'.'!AD159&amp;IF(VLOOKUP('.'!AD159,Recipes!$A:$D,4,FALSE)="",""," ["&amp;VLOOKUP('.'!AD159,Recipes!$A:$D,4,FALSE)&amp;"]"))</f>
        <v/>
      </c>
      <c r="AE159" s="47"/>
      <c r="AF159" s="47"/>
      <c r="AG159" s="47"/>
      <c r="AH159" s="47"/>
      <c r="AI159" s="47"/>
      <c r="AJ159" s="47"/>
      <c r="AK159" s="47"/>
      <c r="AL159" s="47"/>
      <c r="AM159" s="47"/>
      <c r="AN159" s="47"/>
      <c r="AO159" s="47"/>
      <c r="AP159" s="47"/>
      <c r="AQ159" s="47"/>
      <c r="AR159" s="47"/>
      <c r="AS159" s="47"/>
      <c r="AT159" s="47"/>
      <c r="AU159" s="47"/>
      <c r="AV159" s="47"/>
      <c r="AW159" s="47"/>
      <c r="AX159" s="47"/>
      <c r="AY159" s="47"/>
      <c r="AZ159" s="47"/>
      <c r="BA159" s="47"/>
      <c r="BB159" s="47"/>
      <c r="BC159" s="47"/>
      <c r="BD159" s="47"/>
      <c r="BE159" s="47"/>
      <c r="BF159" s="47"/>
      <c r="BG159" s="47"/>
      <c r="BH159" s="47"/>
      <c r="BI159" s="47"/>
      <c r="BJ159" s="47"/>
      <c r="BK159" s="47"/>
      <c r="BL159" s="47"/>
      <c r="BM159" s="47"/>
      <c r="BN159" s="47"/>
      <c r="BO159" s="47"/>
      <c r="BP159" s="47"/>
      <c r="BQ159" s="47"/>
      <c r="BR159" s="47"/>
      <c r="BS159" s="47"/>
      <c r="BT159" s="47"/>
      <c r="BU159" s="47"/>
      <c r="BV159" s="47"/>
      <c r="BW159" s="47"/>
      <c r="BX159" s="47"/>
      <c r="BY159" s="47"/>
      <c r="BZ159" s="47"/>
    </row>
    <row r="160" spans="1:78" ht="13">
      <c r="A160" s="48" t="str">
        <f ca="1">'.'!A160</f>
        <v>Enlightenment Herbmix</v>
      </c>
      <c r="B160" s="46" t="str">
        <f t="array" aca="1" ref="B160" ca="1">IF('.'!B160="","",'.'!B160&amp;IF(VLOOKUP('.'!B160,Recipes!$A:$D,4,FALSE)="",""," ["&amp;VLOOKUP('.'!B160,Recipes!$A:$D,4,FALSE)&amp;"]"))</f>
        <v>Potent Enlightenment Herbmix [39]</v>
      </c>
      <c r="C160" s="46" t="str">
        <f t="array" ref="C160">IF('.'!C160="","",'.'!C160&amp;IF(VLOOKUP('.'!C160,Recipes!$A:$D,4,FALSE)="",""," ["&amp;VLOOKUP('.'!C160,Recipes!$A:$D,4,FALSE)&amp;"]"))</f>
        <v/>
      </c>
      <c r="D160" s="46" t="str">
        <f t="array" ref="D160">IF('.'!D160="","",'.'!D160&amp;IF(VLOOKUP('.'!D160,Recipes!$A:$D,4,FALSE)="",""," ["&amp;VLOOKUP('.'!D160,Recipes!$A:$D,4,FALSE)&amp;"]"))</f>
        <v/>
      </c>
      <c r="E160" s="46" t="str">
        <f t="array" ref="E160">IF('.'!E160="","",'.'!E160&amp;IF(VLOOKUP('.'!E160,Recipes!$A:$D,4,FALSE)="",""," ["&amp;VLOOKUP('.'!E160,Recipes!$A:$D,4,FALSE)&amp;"]"))</f>
        <v/>
      </c>
      <c r="F160" s="46" t="str">
        <f t="array" ref="F160">IF('.'!F160="","",'.'!F160&amp;IF(VLOOKUP('.'!F160,Recipes!$A:$D,4,FALSE)="",""," ["&amp;VLOOKUP('.'!F160,Recipes!$A:$D,4,FALSE)&amp;"]"))</f>
        <v/>
      </c>
      <c r="G160" s="46" t="str">
        <f t="array" ref="G160">IF('.'!G160="","",'.'!G160&amp;IF(VLOOKUP('.'!G160,Recipes!$A:$D,4,FALSE)="",""," ["&amp;VLOOKUP('.'!G160,Recipes!$A:$D,4,FALSE)&amp;"]"))</f>
        <v/>
      </c>
      <c r="H160" s="46" t="str">
        <f t="array" ref="H160">IF('.'!H160="","",'.'!H160&amp;IF(VLOOKUP('.'!H160,Recipes!$A:$D,4,FALSE)="",""," ["&amp;VLOOKUP('.'!H160,Recipes!$A:$D,4,FALSE)&amp;"]"))</f>
        <v/>
      </c>
      <c r="I160" s="46" t="str">
        <f t="array" ref="I160">IF('.'!I160="","",'.'!I160&amp;IF(VLOOKUP('.'!I160,Recipes!$A:$D,4,FALSE)="",""," ["&amp;VLOOKUP('.'!I160,Recipes!$A:$D,4,FALSE)&amp;"]"))</f>
        <v/>
      </c>
      <c r="J160" s="46" t="str">
        <f t="array" ref="J160">IF('.'!J160="","",'.'!J160&amp;IF(VLOOKUP('.'!J160,Recipes!$A:$D,4,FALSE)="",""," ["&amp;VLOOKUP('.'!J160,Recipes!$A:$D,4,FALSE)&amp;"]"))</f>
        <v/>
      </c>
      <c r="K160" s="46" t="str">
        <f t="array" ref="K160">IF('.'!K160="","",'.'!K160&amp;IF(VLOOKUP('.'!K160,Recipes!$A:$D,4,FALSE)="",""," ["&amp;VLOOKUP('.'!K160,Recipes!$A:$D,4,FALSE)&amp;"]"))</f>
        <v/>
      </c>
      <c r="L160" s="46" t="str">
        <f t="array" ref="L160">IF('.'!L160="","",'.'!L160&amp;IF(VLOOKUP('.'!L160,Recipes!$A:$D,4,FALSE)="",""," ["&amp;VLOOKUP('.'!L160,Recipes!$A:$D,4,FALSE)&amp;"]"))</f>
        <v/>
      </c>
      <c r="M160" s="46" t="str">
        <f t="array" ref="M160">IF('.'!M160="","",'.'!M160&amp;IF(VLOOKUP('.'!M160,Recipes!$A:$D,4,FALSE)="",""," ["&amp;VLOOKUP('.'!M160,Recipes!$A:$D,4,FALSE)&amp;"]"))</f>
        <v/>
      </c>
      <c r="N160" s="46" t="str">
        <f t="array" ref="N160">IF('.'!N160="","",'.'!N160&amp;IF(VLOOKUP('.'!N160,Recipes!$A:$D,4,FALSE)="",""," ["&amp;VLOOKUP('.'!N160,Recipes!$A:$D,4,FALSE)&amp;"]"))</f>
        <v/>
      </c>
      <c r="O160" s="46" t="str">
        <f t="array" ref="O160">IF('.'!O160="","",'.'!O160&amp;IF(VLOOKUP('.'!O160,Recipes!$A:$D,4,FALSE)="",""," ["&amp;VLOOKUP('.'!O160,Recipes!$A:$D,4,FALSE)&amp;"]"))</f>
        <v/>
      </c>
      <c r="P160" s="46" t="str">
        <f t="array" ref="P160">IF('.'!P160="","",'.'!P160&amp;IF(VLOOKUP('.'!P160,Recipes!$A:$D,4,FALSE)="",""," ["&amp;VLOOKUP('.'!P160,Recipes!$A:$D,4,FALSE)&amp;"]"))</f>
        <v/>
      </c>
      <c r="Q160" s="46" t="str">
        <f t="array" ref="Q160">IF('.'!Q160="","",'.'!Q160&amp;IF(VLOOKUP('.'!Q160,Recipes!$A:$D,4,FALSE)="",""," ["&amp;VLOOKUP('.'!Q160,Recipes!$A:$D,4,FALSE)&amp;"]"))</f>
        <v/>
      </c>
      <c r="R160" s="46" t="str">
        <f t="array" ref="R160">IF('.'!R160="","",'.'!R160&amp;IF(VLOOKUP('.'!R160,Recipes!$A:$D,4,FALSE)="",""," ["&amp;VLOOKUP('.'!R160,Recipes!$A:$D,4,FALSE)&amp;"]"))</f>
        <v/>
      </c>
      <c r="S160" s="46" t="str">
        <f t="array" ref="S160">IF('.'!S160="","",'.'!S160&amp;IF(VLOOKUP('.'!S160,Recipes!$A:$D,4,FALSE)="",""," ["&amp;VLOOKUP('.'!S160,Recipes!$A:$D,4,FALSE)&amp;"]"))</f>
        <v/>
      </c>
      <c r="T160" s="46" t="str">
        <f t="array" ref="T160">IF('.'!T160="","",'.'!T160&amp;IF(VLOOKUP('.'!T160,Recipes!$A:$D,4,FALSE)="",""," ["&amp;VLOOKUP('.'!T160,Recipes!$A:$D,4,FALSE)&amp;"]"))</f>
        <v/>
      </c>
      <c r="U160" s="46" t="str">
        <f t="array" ref="U160">IF('.'!U160="","",'.'!U160&amp;IF(VLOOKUP('.'!U160,Recipes!$A:$D,4,FALSE)="",""," ["&amp;VLOOKUP('.'!U160,Recipes!$A:$D,4,FALSE)&amp;"]"))</f>
        <v/>
      </c>
      <c r="V160" s="46" t="str">
        <f t="array" ref="V160">IF('.'!V160="","",'.'!V160&amp;IF(VLOOKUP('.'!V160,Recipes!$A:$D,4,FALSE)="",""," ["&amp;VLOOKUP('.'!V160,Recipes!$A:$D,4,FALSE)&amp;"]"))</f>
        <v/>
      </c>
      <c r="W160" s="46" t="str">
        <f t="array" ref="W160">IF('.'!W160="","",'.'!W160&amp;IF(VLOOKUP('.'!W160,Recipes!$A:$D,4,FALSE)="",""," ["&amp;VLOOKUP('.'!W160,Recipes!$A:$D,4,FALSE)&amp;"]"))</f>
        <v/>
      </c>
      <c r="X160" s="46" t="str">
        <f t="array" ref="X160">IF('.'!X160="","",'.'!X160&amp;IF(VLOOKUP('.'!X160,Recipes!$A:$D,4,FALSE)="",""," ["&amp;VLOOKUP('.'!X160,Recipes!$A:$D,4,FALSE)&amp;"]"))</f>
        <v/>
      </c>
      <c r="Y160" s="46" t="str">
        <f t="array" ref="Y160">IF('.'!Y160="","",'.'!Y160&amp;IF(VLOOKUP('.'!Y160,Recipes!$A:$D,4,FALSE)="",""," ["&amp;VLOOKUP('.'!Y160,Recipes!$A:$D,4,FALSE)&amp;"]"))</f>
        <v/>
      </c>
      <c r="Z160" s="46" t="str">
        <f t="array" ref="Z160">IF('.'!Z160="","",'.'!Z160&amp;IF(VLOOKUP('.'!Z160,Recipes!$A:$D,4,FALSE)="",""," ["&amp;VLOOKUP('.'!Z160,Recipes!$A:$D,4,FALSE)&amp;"]"))</f>
        <v/>
      </c>
      <c r="AA160" s="46" t="str">
        <f t="array" ref="AA160">IF('.'!AA160="","",'.'!AA160&amp;IF(VLOOKUP('.'!AA160,Recipes!$A:$D,4,FALSE)="",""," ["&amp;VLOOKUP('.'!AA160,Recipes!$A:$D,4,FALSE)&amp;"]"))</f>
        <v/>
      </c>
      <c r="AB160" s="46" t="str">
        <f t="array" ref="AB160">IF('.'!AB160="","",'.'!AB160&amp;IF(VLOOKUP('.'!AB160,Recipes!$A:$D,4,FALSE)="",""," ["&amp;VLOOKUP('.'!AB160,Recipes!$A:$D,4,FALSE)&amp;"]"))</f>
        <v/>
      </c>
      <c r="AC160" s="46" t="str">
        <f t="array" ref="AC160">IF('.'!AC160="","",'.'!AC160&amp;IF(VLOOKUP('.'!AC160,Recipes!$A:$D,4,FALSE)="",""," ["&amp;VLOOKUP('.'!AC160,Recipes!$A:$D,4,FALSE)&amp;"]"))</f>
        <v/>
      </c>
      <c r="AD160" s="46" t="str">
        <f t="array" ref="AD160">IF('.'!AD160="","",'.'!AD160&amp;IF(VLOOKUP('.'!AD160,Recipes!$A:$D,4,FALSE)="",""," ["&amp;VLOOKUP('.'!AD160,Recipes!$A:$D,4,FALSE)&amp;"]"))</f>
        <v/>
      </c>
      <c r="AE160" s="47"/>
      <c r="AF160" s="47"/>
      <c r="AG160" s="47"/>
      <c r="AH160" s="47"/>
      <c r="AI160" s="47"/>
      <c r="AJ160" s="47"/>
      <c r="AK160" s="47"/>
      <c r="AL160" s="47"/>
      <c r="AM160" s="47"/>
      <c r="AN160" s="47"/>
      <c r="AO160" s="47"/>
      <c r="AP160" s="47"/>
      <c r="AQ160" s="47"/>
      <c r="AR160" s="47"/>
      <c r="AS160" s="47"/>
      <c r="AT160" s="47"/>
      <c r="AU160" s="47"/>
      <c r="AV160" s="47"/>
      <c r="AW160" s="47"/>
      <c r="AX160" s="47"/>
      <c r="AY160" s="47"/>
      <c r="AZ160" s="47"/>
      <c r="BA160" s="47"/>
      <c r="BB160" s="47"/>
      <c r="BC160" s="47"/>
      <c r="BD160" s="47"/>
      <c r="BE160" s="47"/>
      <c r="BF160" s="47"/>
      <c r="BG160" s="47"/>
      <c r="BH160" s="47"/>
      <c r="BI160" s="47"/>
      <c r="BJ160" s="47"/>
      <c r="BK160" s="47"/>
      <c r="BL160" s="47"/>
      <c r="BM160" s="47"/>
      <c r="BN160" s="47"/>
      <c r="BO160" s="47"/>
      <c r="BP160" s="47"/>
      <c r="BQ160" s="47"/>
      <c r="BR160" s="47"/>
      <c r="BS160" s="47"/>
      <c r="BT160" s="47"/>
      <c r="BU160" s="47"/>
      <c r="BV160" s="47"/>
      <c r="BW160" s="47"/>
      <c r="BX160" s="47"/>
      <c r="BY160" s="47"/>
      <c r="BZ160" s="47"/>
    </row>
    <row r="161" spans="1:78" ht="13">
      <c r="A161" s="48" t="str">
        <f ca="1">'.'!A161</f>
        <v>Epidemic of Fire Scroll</v>
      </c>
      <c r="B161" s="46" t="str">
        <f t="array" aca="1" ref="B161" ca="1">IF('.'!B161="","",'.'!B161&amp;IF(VLOOKUP('.'!B161,Recipes!$A:$D,4,FALSE)="",""," ["&amp;VLOOKUP('.'!B161,Recipes!$A:$D,4,FALSE)&amp;"]"))</f>
        <v>Epidemic of Fire Skillbook [0]</v>
      </c>
      <c r="C161" s="46" t="str">
        <f t="array" ref="C161">IF('.'!C161="","",'.'!C161&amp;IF(VLOOKUP('.'!C161,Recipes!$A:$D,4,FALSE)="",""," ["&amp;VLOOKUP('.'!C161,Recipes!$A:$D,4,FALSE)&amp;"]"))</f>
        <v/>
      </c>
      <c r="D161" s="46" t="str">
        <f t="array" ref="D161">IF('.'!D161="","",'.'!D161&amp;IF(VLOOKUP('.'!D161,Recipes!$A:$D,4,FALSE)="",""," ["&amp;VLOOKUP('.'!D161,Recipes!$A:$D,4,FALSE)&amp;"]"))</f>
        <v/>
      </c>
      <c r="E161" s="46" t="str">
        <f t="array" ref="E161">IF('.'!E161="","",'.'!E161&amp;IF(VLOOKUP('.'!E161,Recipes!$A:$D,4,FALSE)="",""," ["&amp;VLOOKUP('.'!E161,Recipes!$A:$D,4,FALSE)&amp;"]"))</f>
        <v/>
      </c>
      <c r="F161" s="46" t="str">
        <f t="array" ref="F161">IF('.'!F161="","",'.'!F161&amp;IF(VLOOKUP('.'!F161,Recipes!$A:$D,4,FALSE)="",""," ["&amp;VLOOKUP('.'!F161,Recipes!$A:$D,4,FALSE)&amp;"]"))</f>
        <v/>
      </c>
      <c r="G161" s="46" t="str">
        <f t="array" ref="G161">IF('.'!G161="","",'.'!G161&amp;IF(VLOOKUP('.'!G161,Recipes!$A:$D,4,FALSE)="",""," ["&amp;VLOOKUP('.'!G161,Recipes!$A:$D,4,FALSE)&amp;"]"))</f>
        <v/>
      </c>
      <c r="H161" s="46" t="str">
        <f t="array" ref="H161">IF('.'!H161="","",'.'!H161&amp;IF(VLOOKUP('.'!H161,Recipes!$A:$D,4,FALSE)="",""," ["&amp;VLOOKUP('.'!H161,Recipes!$A:$D,4,FALSE)&amp;"]"))</f>
        <v/>
      </c>
      <c r="I161" s="46" t="str">
        <f t="array" ref="I161">IF('.'!I161="","",'.'!I161&amp;IF(VLOOKUP('.'!I161,Recipes!$A:$D,4,FALSE)="",""," ["&amp;VLOOKUP('.'!I161,Recipes!$A:$D,4,FALSE)&amp;"]"))</f>
        <v/>
      </c>
      <c r="J161" s="46" t="str">
        <f t="array" ref="J161">IF('.'!J161="","",'.'!J161&amp;IF(VLOOKUP('.'!J161,Recipes!$A:$D,4,FALSE)="",""," ["&amp;VLOOKUP('.'!J161,Recipes!$A:$D,4,FALSE)&amp;"]"))</f>
        <v/>
      </c>
      <c r="K161" s="46" t="str">
        <f t="array" ref="K161">IF('.'!K161="","",'.'!K161&amp;IF(VLOOKUP('.'!K161,Recipes!$A:$D,4,FALSE)="",""," ["&amp;VLOOKUP('.'!K161,Recipes!$A:$D,4,FALSE)&amp;"]"))</f>
        <v/>
      </c>
      <c r="L161" s="46" t="str">
        <f t="array" ref="L161">IF('.'!L161="","",'.'!L161&amp;IF(VLOOKUP('.'!L161,Recipes!$A:$D,4,FALSE)="",""," ["&amp;VLOOKUP('.'!L161,Recipes!$A:$D,4,FALSE)&amp;"]"))</f>
        <v/>
      </c>
      <c r="M161" s="46" t="str">
        <f t="array" ref="M161">IF('.'!M161="","",'.'!M161&amp;IF(VLOOKUP('.'!M161,Recipes!$A:$D,4,FALSE)="",""," ["&amp;VLOOKUP('.'!M161,Recipes!$A:$D,4,FALSE)&amp;"]"))</f>
        <v/>
      </c>
      <c r="N161" s="46" t="str">
        <f t="array" ref="N161">IF('.'!N161="","",'.'!N161&amp;IF(VLOOKUP('.'!N161,Recipes!$A:$D,4,FALSE)="",""," ["&amp;VLOOKUP('.'!N161,Recipes!$A:$D,4,FALSE)&amp;"]"))</f>
        <v/>
      </c>
      <c r="O161" s="46" t="str">
        <f t="array" ref="O161">IF('.'!O161="","",'.'!O161&amp;IF(VLOOKUP('.'!O161,Recipes!$A:$D,4,FALSE)="",""," ["&amp;VLOOKUP('.'!O161,Recipes!$A:$D,4,FALSE)&amp;"]"))</f>
        <v/>
      </c>
      <c r="P161" s="46" t="str">
        <f t="array" ref="P161">IF('.'!P161="","",'.'!P161&amp;IF(VLOOKUP('.'!P161,Recipes!$A:$D,4,FALSE)="",""," ["&amp;VLOOKUP('.'!P161,Recipes!$A:$D,4,FALSE)&amp;"]"))</f>
        <v/>
      </c>
      <c r="Q161" s="46" t="str">
        <f t="array" ref="Q161">IF('.'!Q161="","",'.'!Q161&amp;IF(VLOOKUP('.'!Q161,Recipes!$A:$D,4,FALSE)="",""," ["&amp;VLOOKUP('.'!Q161,Recipes!$A:$D,4,FALSE)&amp;"]"))</f>
        <v/>
      </c>
      <c r="R161" s="46" t="str">
        <f t="array" ref="R161">IF('.'!R161="","",'.'!R161&amp;IF(VLOOKUP('.'!R161,Recipes!$A:$D,4,FALSE)="",""," ["&amp;VLOOKUP('.'!R161,Recipes!$A:$D,4,FALSE)&amp;"]"))</f>
        <v/>
      </c>
      <c r="S161" s="46" t="str">
        <f t="array" ref="S161">IF('.'!S161="","",'.'!S161&amp;IF(VLOOKUP('.'!S161,Recipes!$A:$D,4,FALSE)="",""," ["&amp;VLOOKUP('.'!S161,Recipes!$A:$D,4,FALSE)&amp;"]"))</f>
        <v/>
      </c>
      <c r="T161" s="46" t="str">
        <f t="array" ref="T161">IF('.'!T161="","",'.'!T161&amp;IF(VLOOKUP('.'!T161,Recipes!$A:$D,4,FALSE)="",""," ["&amp;VLOOKUP('.'!T161,Recipes!$A:$D,4,FALSE)&amp;"]"))</f>
        <v/>
      </c>
      <c r="U161" s="46" t="str">
        <f t="array" ref="U161">IF('.'!U161="","",'.'!U161&amp;IF(VLOOKUP('.'!U161,Recipes!$A:$D,4,FALSE)="",""," ["&amp;VLOOKUP('.'!U161,Recipes!$A:$D,4,FALSE)&amp;"]"))</f>
        <v/>
      </c>
      <c r="V161" s="46" t="str">
        <f t="array" ref="V161">IF('.'!V161="","",'.'!V161&amp;IF(VLOOKUP('.'!V161,Recipes!$A:$D,4,FALSE)="",""," ["&amp;VLOOKUP('.'!V161,Recipes!$A:$D,4,FALSE)&amp;"]"))</f>
        <v/>
      </c>
      <c r="W161" s="46" t="str">
        <f t="array" ref="W161">IF('.'!W161="","",'.'!W161&amp;IF(VLOOKUP('.'!W161,Recipes!$A:$D,4,FALSE)="",""," ["&amp;VLOOKUP('.'!W161,Recipes!$A:$D,4,FALSE)&amp;"]"))</f>
        <v/>
      </c>
      <c r="X161" s="46" t="str">
        <f t="array" ref="X161">IF('.'!X161="","",'.'!X161&amp;IF(VLOOKUP('.'!X161,Recipes!$A:$D,4,FALSE)="",""," ["&amp;VLOOKUP('.'!X161,Recipes!$A:$D,4,FALSE)&amp;"]"))</f>
        <v/>
      </c>
      <c r="Y161" s="46" t="str">
        <f t="array" ref="Y161">IF('.'!Y161="","",'.'!Y161&amp;IF(VLOOKUP('.'!Y161,Recipes!$A:$D,4,FALSE)="",""," ["&amp;VLOOKUP('.'!Y161,Recipes!$A:$D,4,FALSE)&amp;"]"))</f>
        <v/>
      </c>
      <c r="Z161" s="46" t="str">
        <f t="array" ref="Z161">IF('.'!Z161="","",'.'!Z161&amp;IF(VLOOKUP('.'!Z161,Recipes!$A:$D,4,FALSE)="",""," ["&amp;VLOOKUP('.'!Z161,Recipes!$A:$D,4,FALSE)&amp;"]"))</f>
        <v/>
      </c>
      <c r="AA161" s="46" t="str">
        <f t="array" ref="AA161">IF('.'!AA161="","",'.'!AA161&amp;IF(VLOOKUP('.'!AA161,Recipes!$A:$D,4,FALSE)="",""," ["&amp;VLOOKUP('.'!AA161,Recipes!$A:$D,4,FALSE)&amp;"]"))</f>
        <v/>
      </c>
      <c r="AB161" s="46" t="str">
        <f t="array" ref="AB161">IF('.'!AB161="","",'.'!AB161&amp;IF(VLOOKUP('.'!AB161,Recipes!$A:$D,4,FALSE)="",""," ["&amp;VLOOKUP('.'!AB161,Recipes!$A:$D,4,FALSE)&amp;"]"))</f>
        <v/>
      </c>
      <c r="AC161" s="46" t="str">
        <f t="array" ref="AC161">IF('.'!AC161="","",'.'!AC161&amp;IF(VLOOKUP('.'!AC161,Recipes!$A:$D,4,FALSE)="",""," ["&amp;VLOOKUP('.'!AC161,Recipes!$A:$D,4,FALSE)&amp;"]"))</f>
        <v/>
      </c>
      <c r="AD161" s="46" t="str">
        <f t="array" ref="AD161">IF('.'!AD161="","",'.'!AD161&amp;IF(VLOOKUP('.'!AD161,Recipes!$A:$D,4,FALSE)="",""," ["&amp;VLOOKUP('.'!AD161,Recipes!$A:$D,4,FALSE)&amp;"]"))</f>
        <v/>
      </c>
      <c r="AE161" s="47"/>
      <c r="AF161" s="47"/>
      <c r="AG161" s="47"/>
      <c r="AH161" s="47"/>
      <c r="AI161" s="47"/>
      <c r="AJ161" s="47"/>
      <c r="AK161" s="47"/>
      <c r="AL161" s="47"/>
      <c r="AM161" s="47"/>
      <c r="AN161" s="47"/>
      <c r="AO161" s="47"/>
      <c r="AP161" s="47"/>
      <c r="AQ161" s="47"/>
      <c r="AR161" s="47"/>
      <c r="AS161" s="47"/>
      <c r="AT161" s="47"/>
      <c r="AU161" s="47"/>
      <c r="AV161" s="47"/>
      <c r="AW161" s="47"/>
      <c r="AX161" s="47"/>
      <c r="AY161" s="47"/>
      <c r="AZ161" s="47"/>
      <c r="BA161" s="47"/>
      <c r="BB161" s="47"/>
      <c r="BC161" s="47"/>
      <c r="BD161" s="47"/>
      <c r="BE161" s="47"/>
      <c r="BF161" s="47"/>
      <c r="BG161" s="47"/>
      <c r="BH161" s="47"/>
      <c r="BI161" s="47"/>
      <c r="BJ161" s="47"/>
      <c r="BK161" s="47"/>
      <c r="BL161" s="47"/>
      <c r="BM161" s="47"/>
      <c r="BN161" s="47"/>
      <c r="BO161" s="47"/>
      <c r="BP161" s="47"/>
      <c r="BQ161" s="47"/>
      <c r="BR161" s="47"/>
      <c r="BS161" s="47"/>
      <c r="BT161" s="47"/>
      <c r="BU161" s="47"/>
      <c r="BV161" s="47"/>
      <c r="BW161" s="47"/>
      <c r="BX161" s="47"/>
      <c r="BY161" s="47"/>
      <c r="BZ161" s="47"/>
    </row>
    <row r="162" spans="1:78" ht="13">
      <c r="A162" s="48" t="str">
        <f ca="1">'.'!A162</f>
        <v>Equalise Scroll</v>
      </c>
      <c r="B162" s="46" t="str">
        <f t="array" aca="1" ref="B162" ca="1">IF('.'!B162="","",'.'!B162&amp;IF(VLOOKUP('.'!B162,Recipes!$A:$D,4,FALSE)="",""," ["&amp;VLOOKUP('.'!B162,Recipes!$A:$D,4,FALSE)&amp;"]"))</f>
        <v>Equalise Skillbook [650]</v>
      </c>
      <c r="C162" s="46" t="str">
        <f t="array" ref="C162">IF('.'!C162="","",'.'!C162&amp;IF(VLOOKUP('.'!C162,Recipes!$A:$D,4,FALSE)="",""," ["&amp;VLOOKUP('.'!C162,Recipes!$A:$D,4,FALSE)&amp;"]"))</f>
        <v/>
      </c>
      <c r="D162" s="46" t="str">
        <f t="array" ref="D162">IF('.'!D162="","",'.'!D162&amp;IF(VLOOKUP('.'!D162,Recipes!$A:$D,4,FALSE)="",""," ["&amp;VLOOKUP('.'!D162,Recipes!$A:$D,4,FALSE)&amp;"]"))</f>
        <v/>
      </c>
      <c r="E162" s="46" t="str">
        <f t="array" ref="E162">IF('.'!E162="","",'.'!E162&amp;IF(VLOOKUP('.'!E162,Recipes!$A:$D,4,FALSE)="",""," ["&amp;VLOOKUP('.'!E162,Recipes!$A:$D,4,FALSE)&amp;"]"))</f>
        <v/>
      </c>
      <c r="F162" s="46" t="str">
        <f t="array" ref="F162">IF('.'!F162="","",'.'!F162&amp;IF(VLOOKUP('.'!F162,Recipes!$A:$D,4,FALSE)="",""," ["&amp;VLOOKUP('.'!F162,Recipes!$A:$D,4,FALSE)&amp;"]"))</f>
        <v/>
      </c>
      <c r="G162" s="46" t="str">
        <f t="array" ref="G162">IF('.'!G162="","",'.'!G162&amp;IF(VLOOKUP('.'!G162,Recipes!$A:$D,4,FALSE)="",""," ["&amp;VLOOKUP('.'!G162,Recipes!$A:$D,4,FALSE)&amp;"]"))</f>
        <v/>
      </c>
      <c r="H162" s="46" t="str">
        <f t="array" ref="H162">IF('.'!H162="","",'.'!H162&amp;IF(VLOOKUP('.'!H162,Recipes!$A:$D,4,FALSE)="",""," ["&amp;VLOOKUP('.'!H162,Recipes!$A:$D,4,FALSE)&amp;"]"))</f>
        <v/>
      </c>
      <c r="I162" s="46" t="str">
        <f t="array" ref="I162">IF('.'!I162="","",'.'!I162&amp;IF(VLOOKUP('.'!I162,Recipes!$A:$D,4,FALSE)="",""," ["&amp;VLOOKUP('.'!I162,Recipes!$A:$D,4,FALSE)&amp;"]"))</f>
        <v/>
      </c>
      <c r="J162" s="46" t="str">
        <f t="array" ref="J162">IF('.'!J162="","",'.'!J162&amp;IF(VLOOKUP('.'!J162,Recipes!$A:$D,4,FALSE)="",""," ["&amp;VLOOKUP('.'!J162,Recipes!$A:$D,4,FALSE)&amp;"]"))</f>
        <v/>
      </c>
      <c r="K162" s="46" t="str">
        <f t="array" ref="K162">IF('.'!K162="","",'.'!K162&amp;IF(VLOOKUP('.'!K162,Recipes!$A:$D,4,FALSE)="",""," ["&amp;VLOOKUP('.'!K162,Recipes!$A:$D,4,FALSE)&amp;"]"))</f>
        <v/>
      </c>
      <c r="L162" s="46" t="str">
        <f t="array" ref="L162">IF('.'!L162="","",'.'!L162&amp;IF(VLOOKUP('.'!L162,Recipes!$A:$D,4,FALSE)="",""," ["&amp;VLOOKUP('.'!L162,Recipes!$A:$D,4,FALSE)&amp;"]"))</f>
        <v/>
      </c>
      <c r="M162" s="46" t="str">
        <f t="array" ref="M162">IF('.'!M162="","",'.'!M162&amp;IF(VLOOKUP('.'!M162,Recipes!$A:$D,4,FALSE)="",""," ["&amp;VLOOKUP('.'!M162,Recipes!$A:$D,4,FALSE)&amp;"]"))</f>
        <v/>
      </c>
      <c r="N162" s="46" t="str">
        <f t="array" ref="N162">IF('.'!N162="","",'.'!N162&amp;IF(VLOOKUP('.'!N162,Recipes!$A:$D,4,FALSE)="",""," ["&amp;VLOOKUP('.'!N162,Recipes!$A:$D,4,FALSE)&amp;"]"))</f>
        <v/>
      </c>
      <c r="O162" s="46" t="str">
        <f t="array" ref="O162">IF('.'!O162="","",'.'!O162&amp;IF(VLOOKUP('.'!O162,Recipes!$A:$D,4,FALSE)="",""," ["&amp;VLOOKUP('.'!O162,Recipes!$A:$D,4,FALSE)&amp;"]"))</f>
        <v/>
      </c>
      <c r="P162" s="46" t="str">
        <f t="array" ref="P162">IF('.'!P162="","",'.'!P162&amp;IF(VLOOKUP('.'!P162,Recipes!$A:$D,4,FALSE)="",""," ["&amp;VLOOKUP('.'!P162,Recipes!$A:$D,4,FALSE)&amp;"]"))</f>
        <v/>
      </c>
      <c r="Q162" s="46" t="str">
        <f t="array" ref="Q162">IF('.'!Q162="","",'.'!Q162&amp;IF(VLOOKUP('.'!Q162,Recipes!$A:$D,4,FALSE)="",""," ["&amp;VLOOKUP('.'!Q162,Recipes!$A:$D,4,FALSE)&amp;"]"))</f>
        <v/>
      </c>
      <c r="R162" s="46" t="str">
        <f t="array" ref="R162">IF('.'!R162="","",'.'!R162&amp;IF(VLOOKUP('.'!R162,Recipes!$A:$D,4,FALSE)="",""," ["&amp;VLOOKUP('.'!R162,Recipes!$A:$D,4,FALSE)&amp;"]"))</f>
        <v/>
      </c>
      <c r="S162" s="46" t="str">
        <f t="array" ref="S162">IF('.'!S162="","",'.'!S162&amp;IF(VLOOKUP('.'!S162,Recipes!$A:$D,4,FALSE)="",""," ["&amp;VLOOKUP('.'!S162,Recipes!$A:$D,4,FALSE)&amp;"]"))</f>
        <v/>
      </c>
      <c r="T162" s="46" t="str">
        <f t="array" ref="T162">IF('.'!T162="","",'.'!T162&amp;IF(VLOOKUP('.'!T162,Recipes!$A:$D,4,FALSE)="",""," ["&amp;VLOOKUP('.'!T162,Recipes!$A:$D,4,FALSE)&amp;"]"))</f>
        <v/>
      </c>
      <c r="U162" s="46" t="str">
        <f t="array" ref="U162">IF('.'!U162="","",'.'!U162&amp;IF(VLOOKUP('.'!U162,Recipes!$A:$D,4,FALSE)="",""," ["&amp;VLOOKUP('.'!U162,Recipes!$A:$D,4,FALSE)&amp;"]"))</f>
        <v/>
      </c>
      <c r="V162" s="46" t="str">
        <f t="array" ref="V162">IF('.'!V162="","",'.'!V162&amp;IF(VLOOKUP('.'!V162,Recipes!$A:$D,4,FALSE)="",""," ["&amp;VLOOKUP('.'!V162,Recipes!$A:$D,4,FALSE)&amp;"]"))</f>
        <v/>
      </c>
      <c r="W162" s="46" t="str">
        <f t="array" ref="W162">IF('.'!W162="","",'.'!W162&amp;IF(VLOOKUP('.'!W162,Recipes!$A:$D,4,FALSE)="",""," ["&amp;VLOOKUP('.'!W162,Recipes!$A:$D,4,FALSE)&amp;"]"))</f>
        <v/>
      </c>
      <c r="X162" s="46" t="str">
        <f t="array" ref="X162">IF('.'!X162="","",'.'!X162&amp;IF(VLOOKUP('.'!X162,Recipes!$A:$D,4,FALSE)="",""," ["&amp;VLOOKUP('.'!X162,Recipes!$A:$D,4,FALSE)&amp;"]"))</f>
        <v/>
      </c>
      <c r="Y162" s="46" t="str">
        <f t="array" ref="Y162">IF('.'!Y162="","",'.'!Y162&amp;IF(VLOOKUP('.'!Y162,Recipes!$A:$D,4,FALSE)="",""," ["&amp;VLOOKUP('.'!Y162,Recipes!$A:$D,4,FALSE)&amp;"]"))</f>
        <v/>
      </c>
      <c r="Z162" s="46" t="str">
        <f t="array" ref="Z162">IF('.'!Z162="","",'.'!Z162&amp;IF(VLOOKUP('.'!Z162,Recipes!$A:$D,4,FALSE)="",""," ["&amp;VLOOKUP('.'!Z162,Recipes!$A:$D,4,FALSE)&amp;"]"))</f>
        <v/>
      </c>
      <c r="AA162" s="46" t="str">
        <f t="array" ref="AA162">IF('.'!AA162="","",'.'!AA162&amp;IF(VLOOKUP('.'!AA162,Recipes!$A:$D,4,FALSE)="",""," ["&amp;VLOOKUP('.'!AA162,Recipes!$A:$D,4,FALSE)&amp;"]"))</f>
        <v/>
      </c>
      <c r="AB162" s="46" t="str">
        <f t="array" ref="AB162">IF('.'!AB162="","",'.'!AB162&amp;IF(VLOOKUP('.'!AB162,Recipes!$A:$D,4,FALSE)="",""," ["&amp;VLOOKUP('.'!AB162,Recipes!$A:$D,4,FALSE)&amp;"]"))</f>
        <v/>
      </c>
      <c r="AC162" s="46" t="str">
        <f t="array" ref="AC162">IF('.'!AC162="","",'.'!AC162&amp;IF(VLOOKUP('.'!AC162,Recipes!$A:$D,4,FALSE)="",""," ["&amp;VLOOKUP('.'!AC162,Recipes!$A:$D,4,FALSE)&amp;"]"))</f>
        <v/>
      </c>
      <c r="AD162" s="46" t="str">
        <f t="array" ref="AD162">IF('.'!AD162="","",'.'!AD162&amp;IF(VLOOKUP('.'!AD162,Recipes!$A:$D,4,FALSE)="",""," ["&amp;VLOOKUP('.'!AD162,Recipes!$A:$D,4,FALSE)&amp;"]"))</f>
        <v/>
      </c>
      <c r="AE162" s="47"/>
      <c r="AF162" s="47"/>
      <c r="AG162" s="47"/>
      <c r="AH162" s="47"/>
      <c r="AI162" s="47"/>
      <c r="AJ162" s="47"/>
      <c r="AK162" s="47"/>
      <c r="AL162" s="47"/>
      <c r="AM162" s="47"/>
      <c r="AN162" s="47"/>
      <c r="AO162" s="47"/>
      <c r="AP162" s="47"/>
      <c r="AQ162" s="47"/>
      <c r="AR162" s="47"/>
      <c r="AS162" s="47"/>
      <c r="AT162" s="47"/>
      <c r="AU162" s="47"/>
      <c r="AV162" s="47"/>
      <c r="AW162" s="47"/>
      <c r="AX162" s="47"/>
      <c r="AY162" s="47"/>
      <c r="AZ162" s="47"/>
      <c r="BA162" s="47"/>
      <c r="BB162" s="47"/>
      <c r="BC162" s="47"/>
      <c r="BD162" s="47"/>
      <c r="BE162" s="47"/>
      <c r="BF162" s="47"/>
      <c r="BG162" s="47"/>
      <c r="BH162" s="47"/>
      <c r="BI162" s="47"/>
      <c r="BJ162" s="47"/>
      <c r="BK162" s="47"/>
      <c r="BL162" s="47"/>
      <c r="BM162" s="47"/>
      <c r="BN162" s="47"/>
      <c r="BO162" s="47"/>
      <c r="BP162" s="47"/>
      <c r="BQ162" s="47"/>
      <c r="BR162" s="47"/>
      <c r="BS162" s="47"/>
      <c r="BT162" s="47"/>
      <c r="BU162" s="47"/>
      <c r="BV162" s="47"/>
      <c r="BW162" s="47"/>
      <c r="BX162" s="47"/>
      <c r="BY162" s="47"/>
      <c r="BZ162" s="47"/>
    </row>
    <row r="163" spans="1:78" ht="13">
      <c r="A163" s="48" t="str">
        <f ca="1">'.'!A163</f>
        <v>Eternal Artefact [A]</v>
      </c>
      <c r="B163" s="46" t="str">
        <f t="array" aca="1" ref="B163" ca="1">IF('.'!B163="","",'.'!B163&amp;IF(VLOOKUP('.'!B163,Recipes!$A:$D,4,FALSE)="",""," ["&amp;VLOOKUP('.'!B163,Recipes!$A:$D,4,FALSE)&amp;"]"))</f>
        <v>Armour of the Eternals [V]</v>
      </c>
      <c r="C163" s="46" t="str">
        <f t="array" aca="1" ref="C163" ca="1">IF('.'!C163="","",'.'!C163&amp;IF(VLOOKUP('.'!C163,Recipes!$A:$D,4,FALSE)="",""," ["&amp;VLOOKUP('.'!C163,Recipes!$A:$D,4,FALSE)&amp;"]"))</f>
        <v>Boost Amulet [-700]</v>
      </c>
      <c r="D163" s="46" t="str">
        <f t="array" aca="1" ref="D163" ca="1">IF('.'!D163="","",'.'!D163&amp;IF(VLOOKUP('.'!D163,Recipes!$A:$D,4,FALSE)="",""," ["&amp;VLOOKUP('.'!D163,Recipes!$A:$D,4,FALSE)&amp;"]"))</f>
        <v>Boost Chest Armor [-700]</v>
      </c>
      <c r="E163" s="46" t="str">
        <f t="array" aca="1" ref="E163" ca="1">IF('.'!E163="","",'.'!E163&amp;IF(VLOOKUP('.'!E163,Recipes!$A:$D,4,FALSE)="",""," ["&amp;VLOOKUP('.'!E163,Recipes!$A:$D,4,FALSE)&amp;"]"))</f>
        <v>Boost Boots [-700]</v>
      </c>
      <c r="F163" s="46" t="str">
        <f t="array" aca="1" ref="F163" ca="1">IF('.'!F163="","",'.'!F163&amp;IF(VLOOKUP('.'!F163,Recipes!$A:$D,4,FALSE)="",""," ["&amp;VLOOKUP('.'!F163,Recipes!$A:$D,4,FALSE)&amp;"]"))</f>
        <v>Boost Gloves [-700]</v>
      </c>
      <c r="G163" s="46" t="str">
        <f t="array" aca="1" ref="G163" ca="1">IF('.'!G163="","",'.'!G163&amp;IF(VLOOKUP('.'!G163,Recipes!$A:$D,4,FALSE)="",""," ["&amp;VLOOKUP('.'!G163,Recipes!$A:$D,4,FALSE)&amp;"]"))</f>
        <v>Boost Helmet [-700]</v>
      </c>
      <c r="H163" s="46" t="str">
        <f t="array" aca="1" ref="H163" ca="1">IF('.'!H163="","",'.'!H163&amp;IF(VLOOKUP('.'!H163,Recipes!$A:$D,4,FALSE)="",""," ["&amp;VLOOKUP('.'!H163,Recipes!$A:$D,4,FALSE)&amp;"]"))</f>
        <v>Boost Legs [-700]</v>
      </c>
      <c r="I163" s="46" t="str">
        <f t="array" aca="1" ref="I163" ca="1">IF('.'!I163="","",'.'!I163&amp;IF(VLOOKUP('.'!I163,Recipes!$A:$D,4,FALSE)="",""," ["&amp;VLOOKUP('.'!I163,Recipes!$A:$D,4,FALSE)&amp;"]"))</f>
        <v>Boost Ring [-700]</v>
      </c>
      <c r="J163" s="46" t="str">
        <f t="array" aca="1" ref="J163" ca="1">IF('.'!J163="","",'.'!J163&amp;IF(VLOOKUP('.'!J163,Recipes!$A:$D,4,FALSE)="",""," ["&amp;VLOOKUP('.'!J163,Recipes!$A:$D,4,FALSE)&amp;"]"))</f>
        <v>Boost Belt [-700]</v>
      </c>
      <c r="K163" s="46" t="str">
        <f t="array" ref="K163">IF('.'!K163="","",'.'!K163&amp;IF(VLOOKUP('.'!K163,Recipes!$A:$D,4,FALSE)="",""," ["&amp;VLOOKUP('.'!K163,Recipes!$A:$D,4,FALSE)&amp;"]"))</f>
        <v/>
      </c>
      <c r="L163" s="46" t="str">
        <f t="array" ref="L163">IF('.'!L163="","",'.'!L163&amp;IF(VLOOKUP('.'!L163,Recipes!$A:$D,4,FALSE)="",""," ["&amp;VLOOKUP('.'!L163,Recipes!$A:$D,4,FALSE)&amp;"]"))</f>
        <v/>
      </c>
      <c r="M163" s="46" t="str">
        <f t="array" ref="M163">IF('.'!M163="","",'.'!M163&amp;IF(VLOOKUP('.'!M163,Recipes!$A:$D,4,FALSE)="",""," ["&amp;VLOOKUP('.'!M163,Recipes!$A:$D,4,FALSE)&amp;"]"))</f>
        <v/>
      </c>
      <c r="N163" s="46" t="str">
        <f t="array" ref="N163">IF('.'!N163="","",'.'!N163&amp;IF(VLOOKUP('.'!N163,Recipes!$A:$D,4,FALSE)="",""," ["&amp;VLOOKUP('.'!N163,Recipes!$A:$D,4,FALSE)&amp;"]"))</f>
        <v/>
      </c>
      <c r="O163" s="46" t="str">
        <f t="array" ref="O163">IF('.'!O163="","",'.'!O163&amp;IF(VLOOKUP('.'!O163,Recipes!$A:$D,4,FALSE)="",""," ["&amp;VLOOKUP('.'!O163,Recipes!$A:$D,4,FALSE)&amp;"]"))</f>
        <v/>
      </c>
      <c r="P163" s="46" t="str">
        <f t="array" ref="P163">IF('.'!P163="","",'.'!P163&amp;IF(VLOOKUP('.'!P163,Recipes!$A:$D,4,FALSE)="",""," ["&amp;VLOOKUP('.'!P163,Recipes!$A:$D,4,FALSE)&amp;"]"))</f>
        <v/>
      </c>
      <c r="Q163" s="46" t="str">
        <f t="array" ref="Q163">IF('.'!Q163="","",'.'!Q163&amp;IF(VLOOKUP('.'!Q163,Recipes!$A:$D,4,FALSE)="",""," ["&amp;VLOOKUP('.'!Q163,Recipes!$A:$D,4,FALSE)&amp;"]"))</f>
        <v/>
      </c>
      <c r="R163" s="46" t="str">
        <f t="array" ref="R163">IF('.'!R163="","",'.'!R163&amp;IF(VLOOKUP('.'!R163,Recipes!$A:$D,4,FALSE)="",""," ["&amp;VLOOKUP('.'!R163,Recipes!$A:$D,4,FALSE)&amp;"]"))</f>
        <v/>
      </c>
      <c r="S163" s="46" t="str">
        <f t="array" ref="S163">IF('.'!S163="","",'.'!S163&amp;IF(VLOOKUP('.'!S163,Recipes!$A:$D,4,FALSE)="",""," ["&amp;VLOOKUP('.'!S163,Recipes!$A:$D,4,FALSE)&amp;"]"))</f>
        <v/>
      </c>
      <c r="T163" s="46" t="str">
        <f t="array" ref="T163">IF('.'!T163="","",'.'!T163&amp;IF(VLOOKUP('.'!T163,Recipes!$A:$D,4,FALSE)="",""," ["&amp;VLOOKUP('.'!T163,Recipes!$A:$D,4,FALSE)&amp;"]"))</f>
        <v/>
      </c>
      <c r="U163" s="46" t="str">
        <f t="array" ref="U163">IF('.'!U163="","",'.'!U163&amp;IF(VLOOKUP('.'!U163,Recipes!$A:$D,4,FALSE)="",""," ["&amp;VLOOKUP('.'!U163,Recipes!$A:$D,4,FALSE)&amp;"]"))</f>
        <v/>
      </c>
      <c r="V163" s="46" t="str">
        <f t="array" ref="V163">IF('.'!V163="","",'.'!V163&amp;IF(VLOOKUP('.'!V163,Recipes!$A:$D,4,FALSE)="",""," ["&amp;VLOOKUP('.'!V163,Recipes!$A:$D,4,FALSE)&amp;"]"))</f>
        <v/>
      </c>
      <c r="W163" s="46" t="str">
        <f t="array" ref="W163">IF('.'!W163="","",'.'!W163&amp;IF(VLOOKUP('.'!W163,Recipes!$A:$D,4,FALSE)="",""," ["&amp;VLOOKUP('.'!W163,Recipes!$A:$D,4,FALSE)&amp;"]"))</f>
        <v/>
      </c>
      <c r="X163" s="46" t="str">
        <f t="array" ref="X163">IF('.'!X163="","",'.'!X163&amp;IF(VLOOKUP('.'!X163,Recipes!$A:$D,4,FALSE)="",""," ["&amp;VLOOKUP('.'!X163,Recipes!$A:$D,4,FALSE)&amp;"]"))</f>
        <v/>
      </c>
      <c r="Y163" s="46" t="str">
        <f t="array" ref="Y163">IF('.'!Y163="","",'.'!Y163&amp;IF(VLOOKUP('.'!Y163,Recipes!$A:$D,4,FALSE)="",""," ["&amp;VLOOKUP('.'!Y163,Recipes!$A:$D,4,FALSE)&amp;"]"))</f>
        <v/>
      </c>
      <c r="Z163" s="46" t="str">
        <f t="array" ref="Z163">IF('.'!Z163="","",'.'!Z163&amp;IF(VLOOKUP('.'!Z163,Recipes!$A:$D,4,FALSE)="",""," ["&amp;VLOOKUP('.'!Z163,Recipes!$A:$D,4,FALSE)&amp;"]"))</f>
        <v/>
      </c>
      <c r="AA163" s="46" t="str">
        <f t="array" ref="AA163">IF('.'!AA163="","",'.'!AA163&amp;IF(VLOOKUP('.'!AA163,Recipes!$A:$D,4,FALSE)="",""," ["&amp;VLOOKUP('.'!AA163,Recipes!$A:$D,4,FALSE)&amp;"]"))</f>
        <v/>
      </c>
      <c r="AB163" s="46" t="str">
        <f t="array" ref="AB163">IF('.'!AB163="","",'.'!AB163&amp;IF(VLOOKUP('.'!AB163,Recipes!$A:$D,4,FALSE)="",""," ["&amp;VLOOKUP('.'!AB163,Recipes!$A:$D,4,FALSE)&amp;"]"))</f>
        <v/>
      </c>
      <c r="AC163" s="46" t="str">
        <f t="array" ref="AC163">IF('.'!AC163="","",'.'!AC163&amp;IF(VLOOKUP('.'!AC163,Recipes!$A:$D,4,FALSE)="",""," ["&amp;VLOOKUP('.'!AC163,Recipes!$A:$D,4,FALSE)&amp;"]"))</f>
        <v/>
      </c>
      <c r="AD163" s="46" t="str">
        <f t="array" ref="AD163">IF('.'!AD163="","",'.'!AD163&amp;IF(VLOOKUP('.'!AD163,Recipes!$A:$D,4,FALSE)="",""," ["&amp;VLOOKUP('.'!AD163,Recipes!$A:$D,4,FALSE)&amp;"]"))</f>
        <v/>
      </c>
      <c r="AE163" s="47"/>
      <c r="AF163" s="47"/>
      <c r="AG163" s="47"/>
      <c r="AH163" s="47"/>
      <c r="AI163" s="47"/>
      <c r="AJ163" s="47"/>
      <c r="AK163" s="47"/>
      <c r="AL163" s="47"/>
      <c r="AM163" s="47"/>
      <c r="AN163" s="47"/>
      <c r="AO163" s="47"/>
      <c r="AP163" s="47"/>
      <c r="AQ163" s="47"/>
      <c r="AR163" s="47"/>
      <c r="AS163" s="47"/>
      <c r="AT163" s="47"/>
      <c r="AU163" s="47"/>
      <c r="AV163" s="47"/>
      <c r="AW163" s="47"/>
      <c r="AX163" s="47"/>
      <c r="AY163" s="47"/>
      <c r="AZ163" s="47"/>
      <c r="BA163" s="47"/>
      <c r="BB163" s="47"/>
      <c r="BC163" s="47"/>
      <c r="BD163" s="47"/>
      <c r="BE163" s="47"/>
      <c r="BF163" s="47"/>
      <c r="BG163" s="47"/>
      <c r="BH163" s="47"/>
      <c r="BI163" s="47"/>
      <c r="BJ163" s="47"/>
      <c r="BK163" s="47"/>
      <c r="BL163" s="47"/>
      <c r="BM163" s="47"/>
      <c r="BN163" s="47"/>
      <c r="BO163" s="47"/>
      <c r="BP163" s="47"/>
      <c r="BQ163" s="47"/>
      <c r="BR163" s="47"/>
      <c r="BS163" s="47"/>
      <c r="BT163" s="47"/>
      <c r="BU163" s="47"/>
      <c r="BV163" s="47"/>
      <c r="BW163" s="47"/>
      <c r="BX163" s="47"/>
      <c r="BY163" s="47"/>
      <c r="BZ163" s="47"/>
    </row>
    <row r="164" spans="1:78" ht="13">
      <c r="A164" s="48" t="str">
        <f ca="1">'.'!A164</f>
        <v>Eternal Artefact [C]</v>
      </c>
      <c r="B164" s="46" t="str">
        <f t="array" aca="1" ref="B164" ca="1">IF('.'!B164="","",'.'!B164&amp;IF(VLOOKUP('.'!B164,Recipes!$A:$D,4,FALSE)="",""," ["&amp;VLOOKUP('.'!B164,Recipes!$A:$D,4,FALSE)&amp;"]"))</f>
        <v>Armour of the Eternals [V]</v>
      </c>
      <c r="C164" s="46" t="str">
        <f t="array" aca="1" ref="C164" ca="1">IF('.'!C164="","",'.'!C164&amp;IF(VLOOKUP('.'!C164,Recipes!$A:$D,4,FALSE)="",""," ["&amp;VLOOKUP('.'!C164,Recipes!$A:$D,4,FALSE)&amp;"]"))</f>
        <v>Add Air Damage [-350]</v>
      </c>
      <c r="D164" s="46" t="str">
        <f t="array" ref="D164">IF('.'!D164="","",'.'!D164&amp;IF(VLOOKUP('.'!D164,Recipes!$A:$D,4,FALSE)="",""," ["&amp;VLOOKUP('.'!D164,Recipes!$A:$D,4,FALSE)&amp;"]"))</f>
        <v/>
      </c>
      <c r="E164" s="46" t="str">
        <f t="array" ref="E164">IF('.'!E164="","",'.'!E164&amp;IF(VLOOKUP('.'!E164,Recipes!$A:$D,4,FALSE)="",""," ["&amp;VLOOKUP('.'!E164,Recipes!$A:$D,4,FALSE)&amp;"]"))</f>
        <v/>
      </c>
      <c r="F164" s="46" t="str">
        <f t="array" ref="F164">IF('.'!F164="","",'.'!F164&amp;IF(VLOOKUP('.'!F164,Recipes!$A:$D,4,FALSE)="",""," ["&amp;VLOOKUP('.'!F164,Recipes!$A:$D,4,FALSE)&amp;"]"))</f>
        <v/>
      </c>
      <c r="G164" s="46" t="str">
        <f t="array" ref="G164">IF('.'!G164="","",'.'!G164&amp;IF(VLOOKUP('.'!G164,Recipes!$A:$D,4,FALSE)="",""," ["&amp;VLOOKUP('.'!G164,Recipes!$A:$D,4,FALSE)&amp;"]"))</f>
        <v/>
      </c>
      <c r="H164" s="46" t="str">
        <f t="array" ref="H164">IF('.'!H164="","",'.'!H164&amp;IF(VLOOKUP('.'!H164,Recipes!$A:$D,4,FALSE)="",""," ["&amp;VLOOKUP('.'!H164,Recipes!$A:$D,4,FALSE)&amp;"]"))</f>
        <v/>
      </c>
      <c r="I164" s="46" t="str">
        <f t="array" ref="I164">IF('.'!I164="","",'.'!I164&amp;IF(VLOOKUP('.'!I164,Recipes!$A:$D,4,FALSE)="",""," ["&amp;VLOOKUP('.'!I164,Recipes!$A:$D,4,FALSE)&amp;"]"))</f>
        <v/>
      </c>
      <c r="J164" s="46" t="str">
        <f t="array" ref="J164">IF('.'!J164="","",'.'!J164&amp;IF(VLOOKUP('.'!J164,Recipes!$A:$D,4,FALSE)="",""," ["&amp;VLOOKUP('.'!J164,Recipes!$A:$D,4,FALSE)&amp;"]"))</f>
        <v/>
      </c>
      <c r="K164" s="46" t="str">
        <f t="array" ref="K164">IF('.'!K164="","",'.'!K164&amp;IF(VLOOKUP('.'!K164,Recipes!$A:$D,4,FALSE)="",""," ["&amp;VLOOKUP('.'!K164,Recipes!$A:$D,4,FALSE)&amp;"]"))</f>
        <v/>
      </c>
      <c r="L164" s="46" t="str">
        <f t="array" ref="L164">IF('.'!L164="","",'.'!L164&amp;IF(VLOOKUP('.'!L164,Recipes!$A:$D,4,FALSE)="",""," ["&amp;VLOOKUP('.'!L164,Recipes!$A:$D,4,FALSE)&amp;"]"))</f>
        <v/>
      </c>
      <c r="M164" s="46" t="str">
        <f t="array" ref="M164">IF('.'!M164="","",'.'!M164&amp;IF(VLOOKUP('.'!M164,Recipes!$A:$D,4,FALSE)="",""," ["&amp;VLOOKUP('.'!M164,Recipes!$A:$D,4,FALSE)&amp;"]"))</f>
        <v/>
      </c>
      <c r="N164" s="46" t="str">
        <f t="array" ref="N164">IF('.'!N164="","",'.'!N164&amp;IF(VLOOKUP('.'!N164,Recipes!$A:$D,4,FALSE)="",""," ["&amp;VLOOKUP('.'!N164,Recipes!$A:$D,4,FALSE)&amp;"]"))</f>
        <v/>
      </c>
      <c r="O164" s="46" t="str">
        <f t="array" ref="O164">IF('.'!O164="","",'.'!O164&amp;IF(VLOOKUP('.'!O164,Recipes!$A:$D,4,FALSE)="",""," ["&amp;VLOOKUP('.'!O164,Recipes!$A:$D,4,FALSE)&amp;"]"))</f>
        <v/>
      </c>
      <c r="P164" s="46" t="str">
        <f t="array" ref="P164">IF('.'!P164="","",'.'!P164&amp;IF(VLOOKUP('.'!P164,Recipes!$A:$D,4,FALSE)="",""," ["&amp;VLOOKUP('.'!P164,Recipes!$A:$D,4,FALSE)&amp;"]"))</f>
        <v/>
      </c>
      <c r="Q164" s="46" t="str">
        <f t="array" ref="Q164">IF('.'!Q164="","",'.'!Q164&amp;IF(VLOOKUP('.'!Q164,Recipes!$A:$D,4,FALSE)="",""," ["&amp;VLOOKUP('.'!Q164,Recipes!$A:$D,4,FALSE)&amp;"]"))</f>
        <v/>
      </c>
      <c r="R164" s="46" t="str">
        <f t="array" ref="R164">IF('.'!R164="","",'.'!R164&amp;IF(VLOOKUP('.'!R164,Recipes!$A:$D,4,FALSE)="",""," ["&amp;VLOOKUP('.'!R164,Recipes!$A:$D,4,FALSE)&amp;"]"))</f>
        <v/>
      </c>
      <c r="S164" s="46" t="str">
        <f t="array" ref="S164">IF('.'!S164="","",'.'!S164&amp;IF(VLOOKUP('.'!S164,Recipes!$A:$D,4,FALSE)="",""," ["&amp;VLOOKUP('.'!S164,Recipes!$A:$D,4,FALSE)&amp;"]"))</f>
        <v/>
      </c>
      <c r="T164" s="46" t="str">
        <f t="array" ref="T164">IF('.'!T164="","",'.'!T164&amp;IF(VLOOKUP('.'!T164,Recipes!$A:$D,4,FALSE)="",""," ["&amp;VLOOKUP('.'!T164,Recipes!$A:$D,4,FALSE)&amp;"]"))</f>
        <v/>
      </c>
      <c r="U164" s="46" t="str">
        <f t="array" ref="U164">IF('.'!U164="","",'.'!U164&amp;IF(VLOOKUP('.'!U164,Recipes!$A:$D,4,FALSE)="",""," ["&amp;VLOOKUP('.'!U164,Recipes!$A:$D,4,FALSE)&amp;"]"))</f>
        <v/>
      </c>
      <c r="V164" s="46" t="str">
        <f t="array" ref="V164">IF('.'!V164="","",'.'!V164&amp;IF(VLOOKUP('.'!V164,Recipes!$A:$D,4,FALSE)="",""," ["&amp;VLOOKUP('.'!V164,Recipes!$A:$D,4,FALSE)&amp;"]"))</f>
        <v/>
      </c>
      <c r="W164" s="46" t="str">
        <f t="array" ref="W164">IF('.'!W164="","",'.'!W164&amp;IF(VLOOKUP('.'!W164,Recipes!$A:$D,4,FALSE)="",""," ["&amp;VLOOKUP('.'!W164,Recipes!$A:$D,4,FALSE)&amp;"]"))</f>
        <v/>
      </c>
      <c r="X164" s="46" t="str">
        <f t="array" ref="X164">IF('.'!X164="","",'.'!X164&amp;IF(VLOOKUP('.'!X164,Recipes!$A:$D,4,FALSE)="",""," ["&amp;VLOOKUP('.'!X164,Recipes!$A:$D,4,FALSE)&amp;"]"))</f>
        <v/>
      </c>
      <c r="Y164" s="46" t="str">
        <f t="array" ref="Y164">IF('.'!Y164="","",'.'!Y164&amp;IF(VLOOKUP('.'!Y164,Recipes!$A:$D,4,FALSE)="",""," ["&amp;VLOOKUP('.'!Y164,Recipes!$A:$D,4,FALSE)&amp;"]"))</f>
        <v/>
      </c>
      <c r="Z164" s="46" t="str">
        <f t="array" ref="Z164">IF('.'!Z164="","",'.'!Z164&amp;IF(VLOOKUP('.'!Z164,Recipes!$A:$D,4,FALSE)="",""," ["&amp;VLOOKUP('.'!Z164,Recipes!$A:$D,4,FALSE)&amp;"]"))</f>
        <v/>
      </c>
      <c r="AA164" s="46" t="str">
        <f t="array" ref="AA164">IF('.'!AA164="","",'.'!AA164&amp;IF(VLOOKUP('.'!AA164,Recipes!$A:$D,4,FALSE)="",""," ["&amp;VLOOKUP('.'!AA164,Recipes!$A:$D,4,FALSE)&amp;"]"))</f>
        <v/>
      </c>
      <c r="AB164" s="46" t="str">
        <f t="array" ref="AB164">IF('.'!AB164="","",'.'!AB164&amp;IF(VLOOKUP('.'!AB164,Recipes!$A:$D,4,FALSE)="",""," ["&amp;VLOOKUP('.'!AB164,Recipes!$A:$D,4,FALSE)&amp;"]"))</f>
        <v/>
      </c>
      <c r="AC164" s="46" t="str">
        <f t="array" ref="AC164">IF('.'!AC164="","",'.'!AC164&amp;IF(VLOOKUP('.'!AC164,Recipes!$A:$D,4,FALSE)="",""," ["&amp;VLOOKUP('.'!AC164,Recipes!$A:$D,4,FALSE)&amp;"]"))</f>
        <v/>
      </c>
      <c r="AD164" s="46" t="str">
        <f t="array" ref="AD164">IF('.'!AD164="","",'.'!AD164&amp;IF(VLOOKUP('.'!AD164,Recipes!$A:$D,4,FALSE)="",""," ["&amp;VLOOKUP('.'!AD164,Recipes!$A:$D,4,FALSE)&amp;"]"))</f>
        <v/>
      </c>
      <c r="AE164" s="47"/>
      <c r="AF164" s="47"/>
      <c r="AG164" s="47"/>
      <c r="AH164" s="47"/>
      <c r="AI164" s="47"/>
      <c r="AJ164" s="47"/>
      <c r="AK164" s="47"/>
      <c r="AL164" s="47"/>
      <c r="AM164" s="47"/>
      <c r="AN164" s="47"/>
      <c r="AO164" s="47"/>
      <c r="AP164" s="47"/>
      <c r="AQ164" s="47"/>
      <c r="AR164" s="47"/>
      <c r="AS164" s="47"/>
      <c r="AT164" s="47"/>
      <c r="AU164" s="47"/>
      <c r="AV164" s="47"/>
      <c r="AW164" s="47"/>
      <c r="AX164" s="47"/>
      <c r="AY164" s="47"/>
      <c r="AZ164" s="47"/>
      <c r="BA164" s="47"/>
      <c r="BB164" s="47"/>
      <c r="BC164" s="47"/>
      <c r="BD164" s="47"/>
      <c r="BE164" s="47"/>
      <c r="BF164" s="47"/>
      <c r="BG164" s="47"/>
      <c r="BH164" s="47"/>
      <c r="BI164" s="47"/>
      <c r="BJ164" s="47"/>
      <c r="BK164" s="47"/>
      <c r="BL164" s="47"/>
      <c r="BM164" s="47"/>
      <c r="BN164" s="47"/>
      <c r="BO164" s="47"/>
      <c r="BP164" s="47"/>
      <c r="BQ164" s="47"/>
      <c r="BR164" s="47"/>
      <c r="BS164" s="47"/>
      <c r="BT164" s="47"/>
      <c r="BU164" s="47"/>
      <c r="BV164" s="47"/>
      <c r="BW164" s="47"/>
      <c r="BX164" s="47"/>
      <c r="BY164" s="47"/>
      <c r="BZ164" s="47"/>
    </row>
    <row r="165" spans="1:78" ht="13">
      <c r="A165" s="48" t="str">
        <f ca="1">'.'!A165</f>
        <v>Eternal Plate</v>
      </c>
      <c r="B165" s="46" t="str">
        <f t="array" aca="1" ref="B165" ca="1">IF('.'!B165="","",'.'!B165&amp;IF(VLOOKUP('.'!B165,Recipes!$A:$D,4,FALSE)="",""," ["&amp;VLOOKUP('.'!B165,Recipes!$A:$D,4,FALSE)&amp;"]"))</f>
        <v>Armour of the Eternals [V]</v>
      </c>
      <c r="C165" s="46" t="str">
        <f t="array" ref="C165">IF('.'!C165="","",'.'!C165&amp;IF(VLOOKUP('.'!C165,Recipes!$A:$D,4,FALSE)="",""," ["&amp;VLOOKUP('.'!C165,Recipes!$A:$D,4,FALSE)&amp;"]"))</f>
        <v/>
      </c>
      <c r="D165" s="46" t="str">
        <f t="array" ref="D165">IF('.'!D165="","",'.'!D165&amp;IF(VLOOKUP('.'!D165,Recipes!$A:$D,4,FALSE)="",""," ["&amp;VLOOKUP('.'!D165,Recipes!$A:$D,4,FALSE)&amp;"]"))</f>
        <v/>
      </c>
      <c r="E165" s="46" t="str">
        <f t="array" ref="E165">IF('.'!E165="","",'.'!E165&amp;IF(VLOOKUP('.'!E165,Recipes!$A:$D,4,FALSE)="",""," ["&amp;VLOOKUP('.'!E165,Recipes!$A:$D,4,FALSE)&amp;"]"))</f>
        <v/>
      </c>
      <c r="F165" s="46" t="str">
        <f t="array" ref="F165">IF('.'!F165="","",'.'!F165&amp;IF(VLOOKUP('.'!F165,Recipes!$A:$D,4,FALSE)="",""," ["&amp;VLOOKUP('.'!F165,Recipes!$A:$D,4,FALSE)&amp;"]"))</f>
        <v/>
      </c>
      <c r="G165" s="46" t="str">
        <f t="array" ref="G165">IF('.'!G165="","",'.'!G165&amp;IF(VLOOKUP('.'!G165,Recipes!$A:$D,4,FALSE)="",""," ["&amp;VLOOKUP('.'!G165,Recipes!$A:$D,4,FALSE)&amp;"]"))</f>
        <v/>
      </c>
      <c r="H165" s="46" t="str">
        <f t="array" ref="H165">IF('.'!H165="","",'.'!H165&amp;IF(VLOOKUP('.'!H165,Recipes!$A:$D,4,FALSE)="",""," ["&amp;VLOOKUP('.'!H165,Recipes!$A:$D,4,FALSE)&amp;"]"))</f>
        <v/>
      </c>
      <c r="I165" s="46" t="str">
        <f t="array" ref="I165">IF('.'!I165="","",'.'!I165&amp;IF(VLOOKUP('.'!I165,Recipes!$A:$D,4,FALSE)="",""," ["&amp;VLOOKUP('.'!I165,Recipes!$A:$D,4,FALSE)&amp;"]"))</f>
        <v/>
      </c>
      <c r="J165" s="46" t="str">
        <f t="array" ref="J165">IF('.'!J165="","",'.'!J165&amp;IF(VLOOKUP('.'!J165,Recipes!$A:$D,4,FALSE)="",""," ["&amp;VLOOKUP('.'!J165,Recipes!$A:$D,4,FALSE)&amp;"]"))</f>
        <v/>
      </c>
      <c r="K165" s="46" t="str">
        <f t="array" ref="K165">IF('.'!K165="","",'.'!K165&amp;IF(VLOOKUP('.'!K165,Recipes!$A:$D,4,FALSE)="",""," ["&amp;VLOOKUP('.'!K165,Recipes!$A:$D,4,FALSE)&amp;"]"))</f>
        <v/>
      </c>
      <c r="L165" s="46" t="str">
        <f t="array" ref="L165">IF('.'!L165="","",'.'!L165&amp;IF(VLOOKUP('.'!L165,Recipes!$A:$D,4,FALSE)="",""," ["&amp;VLOOKUP('.'!L165,Recipes!$A:$D,4,FALSE)&amp;"]"))</f>
        <v/>
      </c>
      <c r="M165" s="46" t="str">
        <f t="array" ref="M165">IF('.'!M165="","",'.'!M165&amp;IF(VLOOKUP('.'!M165,Recipes!$A:$D,4,FALSE)="",""," ["&amp;VLOOKUP('.'!M165,Recipes!$A:$D,4,FALSE)&amp;"]"))</f>
        <v/>
      </c>
      <c r="N165" s="46" t="str">
        <f t="array" ref="N165">IF('.'!N165="","",'.'!N165&amp;IF(VLOOKUP('.'!N165,Recipes!$A:$D,4,FALSE)="",""," ["&amp;VLOOKUP('.'!N165,Recipes!$A:$D,4,FALSE)&amp;"]"))</f>
        <v/>
      </c>
      <c r="O165" s="46" t="str">
        <f t="array" ref="O165">IF('.'!O165="","",'.'!O165&amp;IF(VLOOKUP('.'!O165,Recipes!$A:$D,4,FALSE)="",""," ["&amp;VLOOKUP('.'!O165,Recipes!$A:$D,4,FALSE)&amp;"]"))</f>
        <v/>
      </c>
      <c r="P165" s="46" t="str">
        <f t="array" ref="P165">IF('.'!P165="","",'.'!P165&amp;IF(VLOOKUP('.'!P165,Recipes!$A:$D,4,FALSE)="",""," ["&amp;VLOOKUP('.'!P165,Recipes!$A:$D,4,FALSE)&amp;"]"))</f>
        <v/>
      </c>
      <c r="Q165" s="46" t="str">
        <f t="array" ref="Q165">IF('.'!Q165="","",'.'!Q165&amp;IF(VLOOKUP('.'!Q165,Recipes!$A:$D,4,FALSE)="",""," ["&amp;VLOOKUP('.'!Q165,Recipes!$A:$D,4,FALSE)&amp;"]"))</f>
        <v/>
      </c>
      <c r="R165" s="46" t="str">
        <f t="array" ref="R165">IF('.'!R165="","",'.'!R165&amp;IF(VLOOKUP('.'!R165,Recipes!$A:$D,4,FALSE)="",""," ["&amp;VLOOKUP('.'!R165,Recipes!$A:$D,4,FALSE)&amp;"]"))</f>
        <v/>
      </c>
      <c r="S165" s="46" t="str">
        <f t="array" ref="S165">IF('.'!S165="","",'.'!S165&amp;IF(VLOOKUP('.'!S165,Recipes!$A:$D,4,FALSE)="",""," ["&amp;VLOOKUP('.'!S165,Recipes!$A:$D,4,FALSE)&amp;"]"))</f>
        <v/>
      </c>
      <c r="T165" s="46" t="str">
        <f t="array" ref="T165">IF('.'!T165="","",'.'!T165&amp;IF(VLOOKUP('.'!T165,Recipes!$A:$D,4,FALSE)="",""," ["&amp;VLOOKUP('.'!T165,Recipes!$A:$D,4,FALSE)&amp;"]"))</f>
        <v/>
      </c>
      <c r="U165" s="46" t="str">
        <f t="array" ref="U165">IF('.'!U165="","",'.'!U165&amp;IF(VLOOKUP('.'!U165,Recipes!$A:$D,4,FALSE)="",""," ["&amp;VLOOKUP('.'!U165,Recipes!$A:$D,4,FALSE)&amp;"]"))</f>
        <v/>
      </c>
      <c r="V165" s="46" t="str">
        <f t="array" ref="V165">IF('.'!V165="","",'.'!V165&amp;IF(VLOOKUP('.'!V165,Recipes!$A:$D,4,FALSE)="",""," ["&amp;VLOOKUP('.'!V165,Recipes!$A:$D,4,FALSE)&amp;"]"))</f>
        <v/>
      </c>
      <c r="W165" s="46" t="str">
        <f t="array" ref="W165">IF('.'!W165="","",'.'!W165&amp;IF(VLOOKUP('.'!W165,Recipes!$A:$D,4,FALSE)="",""," ["&amp;VLOOKUP('.'!W165,Recipes!$A:$D,4,FALSE)&amp;"]"))</f>
        <v/>
      </c>
      <c r="X165" s="46" t="str">
        <f t="array" ref="X165">IF('.'!X165="","",'.'!X165&amp;IF(VLOOKUP('.'!X165,Recipes!$A:$D,4,FALSE)="",""," ["&amp;VLOOKUP('.'!X165,Recipes!$A:$D,4,FALSE)&amp;"]"))</f>
        <v/>
      </c>
      <c r="Y165" s="46" t="str">
        <f t="array" ref="Y165">IF('.'!Y165="","",'.'!Y165&amp;IF(VLOOKUP('.'!Y165,Recipes!$A:$D,4,FALSE)="",""," ["&amp;VLOOKUP('.'!Y165,Recipes!$A:$D,4,FALSE)&amp;"]"))</f>
        <v/>
      </c>
      <c r="Z165" s="46" t="str">
        <f t="array" ref="Z165">IF('.'!Z165="","",'.'!Z165&amp;IF(VLOOKUP('.'!Z165,Recipes!$A:$D,4,FALSE)="",""," ["&amp;VLOOKUP('.'!Z165,Recipes!$A:$D,4,FALSE)&amp;"]"))</f>
        <v/>
      </c>
      <c r="AA165" s="46" t="str">
        <f t="array" ref="AA165">IF('.'!AA165="","",'.'!AA165&amp;IF(VLOOKUP('.'!AA165,Recipes!$A:$D,4,FALSE)="",""," ["&amp;VLOOKUP('.'!AA165,Recipes!$A:$D,4,FALSE)&amp;"]"))</f>
        <v/>
      </c>
      <c r="AB165" s="46" t="str">
        <f t="array" ref="AB165">IF('.'!AB165="","",'.'!AB165&amp;IF(VLOOKUP('.'!AB165,Recipes!$A:$D,4,FALSE)="",""," ["&amp;VLOOKUP('.'!AB165,Recipes!$A:$D,4,FALSE)&amp;"]"))</f>
        <v/>
      </c>
      <c r="AC165" s="46" t="str">
        <f t="array" ref="AC165">IF('.'!AC165="","",'.'!AC165&amp;IF(VLOOKUP('.'!AC165,Recipes!$A:$D,4,FALSE)="",""," ["&amp;VLOOKUP('.'!AC165,Recipes!$A:$D,4,FALSE)&amp;"]"))</f>
        <v/>
      </c>
      <c r="AD165" s="46" t="str">
        <f t="array" ref="AD165">IF('.'!AD165="","",'.'!AD165&amp;IF(VLOOKUP('.'!AD165,Recipes!$A:$D,4,FALSE)="",""," ["&amp;VLOOKUP('.'!AD165,Recipes!$A:$D,4,FALSE)&amp;"]"))</f>
        <v/>
      </c>
      <c r="AE165" s="47"/>
      <c r="AF165" s="47"/>
      <c r="AG165" s="47"/>
      <c r="AH165" s="47"/>
      <c r="AI165" s="47"/>
      <c r="AJ165" s="47"/>
      <c r="AK165" s="47"/>
      <c r="AL165" s="47"/>
      <c r="AM165" s="47"/>
      <c r="AN165" s="47"/>
      <c r="AO165" s="47"/>
      <c r="AP165" s="47"/>
      <c r="AQ165" s="47"/>
      <c r="AR165" s="47"/>
      <c r="AS165" s="47"/>
      <c r="AT165" s="47"/>
      <c r="AU165" s="47"/>
      <c r="AV165" s="47"/>
      <c r="AW165" s="47"/>
      <c r="AX165" s="47"/>
      <c r="AY165" s="47"/>
      <c r="AZ165" s="47"/>
      <c r="BA165" s="47"/>
      <c r="BB165" s="47"/>
      <c r="BC165" s="47"/>
      <c r="BD165" s="47"/>
      <c r="BE165" s="47"/>
      <c r="BF165" s="47"/>
      <c r="BG165" s="47"/>
      <c r="BH165" s="47"/>
      <c r="BI165" s="47"/>
      <c r="BJ165" s="47"/>
      <c r="BK165" s="47"/>
      <c r="BL165" s="47"/>
      <c r="BM165" s="47"/>
      <c r="BN165" s="47"/>
      <c r="BO165" s="47"/>
      <c r="BP165" s="47"/>
      <c r="BQ165" s="47"/>
      <c r="BR165" s="47"/>
      <c r="BS165" s="47"/>
      <c r="BT165" s="47"/>
      <c r="BU165" s="47"/>
      <c r="BV165" s="47"/>
      <c r="BW165" s="47"/>
      <c r="BX165" s="47"/>
      <c r="BY165" s="47"/>
      <c r="BZ165" s="47"/>
    </row>
    <row r="166" spans="1:78" ht="13">
      <c r="A166" s="48" t="str">
        <f ca="1">'.'!A166</f>
        <v>Ethereal Storm Scroll</v>
      </c>
      <c r="B166" s="46" t="str">
        <f t="array" aca="1" ref="B166" ca="1">IF('.'!B166="","",'.'!B166&amp;IF(VLOOKUP('.'!B166,Recipes!$A:$D,4,FALSE)="",""," ["&amp;VLOOKUP('.'!B166,Recipes!$A:$D,4,FALSE)&amp;"]"))</f>
        <v>Ethereal Storm Skillbook [2340]</v>
      </c>
      <c r="C166" s="46" t="str">
        <f t="array" ref="C166">IF('.'!C166="","",'.'!C166&amp;IF(VLOOKUP('.'!C166,Recipes!$A:$D,4,FALSE)="",""," ["&amp;VLOOKUP('.'!C166,Recipes!$A:$D,4,FALSE)&amp;"]"))</f>
        <v/>
      </c>
      <c r="D166" s="46" t="str">
        <f t="array" ref="D166">IF('.'!D166="","",'.'!D166&amp;IF(VLOOKUP('.'!D166,Recipes!$A:$D,4,FALSE)="",""," ["&amp;VLOOKUP('.'!D166,Recipes!$A:$D,4,FALSE)&amp;"]"))</f>
        <v/>
      </c>
      <c r="E166" s="46" t="str">
        <f t="array" ref="E166">IF('.'!E166="","",'.'!E166&amp;IF(VLOOKUP('.'!E166,Recipes!$A:$D,4,FALSE)="",""," ["&amp;VLOOKUP('.'!E166,Recipes!$A:$D,4,FALSE)&amp;"]"))</f>
        <v/>
      </c>
      <c r="F166" s="46" t="str">
        <f t="array" ref="F166">IF('.'!F166="","",'.'!F166&amp;IF(VLOOKUP('.'!F166,Recipes!$A:$D,4,FALSE)="",""," ["&amp;VLOOKUP('.'!F166,Recipes!$A:$D,4,FALSE)&amp;"]"))</f>
        <v/>
      </c>
      <c r="G166" s="46" t="str">
        <f t="array" ref="G166">IF('.'!G166="","",'.'!G166&amp;IF(VLOOKUP('.'!G166,Recipes!$A:$D,4,FALSE)="",""," ["&amp;VLOOKUP('.'!G166,Recipes!$A:$D,4,FALSE)&amp;"]"))</f>
        <v/>
      </c>
      <c r="H166" s="46" t="str">
        <f t="array" ref="H166">IF('.'!H166="","",'.'!H166&amp;IF(VLOOKUP('.'!H166,Recipes!$A:$D,4,FALSE)="",""," ["&amp;VLOOKUP('.'!H166,Recipes!$A:$D,4,FALSE)&amp;"]"))</f>
        <v/>
      </c>
      <c r="I166" s="46" t="str">
        <f t="array" ref="I166">IF('.'!I166="","",'.'!I166&amp;IF(VLOOKUP('.'!I166,Recipes!$A:$D,4,FALSE)="",""," ["&amp;VLOOKUP('.'!I166,Recipes!$A:$D,4,FALSE)&amp;"]"))</f>
        <v/>
      </c>
      <c r="J166" s="46" t="str">
        <f t="array" ref="J166">IF('.'!J166="","",'.'!J166&amp;IF(VLOOKUP('.'!J166,Recipes!$A:$D,4,FALSE)="",""," ["&amp;VLOOKUP('.'!J166,Recipes!$A:$D,4,FALSE)&amp;"]"))</f>
        <v/>
      </c>
      <c r="K166" s="46" t="str">
        <f t="array" ref="K166">IF('.'!K166="","",'.'!K166&amp;IF(VLOOKUP('.'!K166,Recipes!$A:$D,4,FALSE)="",""," ["&amp;VLOOKUP('.'!K166,Recipes!$A:$D,4,FALSE)&amp;"]"))</f>
        <v/>
      </c>
      <c r="L166" s="46" t="str">
        <f t="array" ref="L166">IF('.'!L166="","",'.'!L166&amp;IF(VLOOKUP('.'!L166,Recipes!$A:$D,4,FALSE)="",""," ["&amp;VLOOKUP('.'!L166,Recipes!$A:$D,4,FALSE)&amp;"]"))</f>
        <v/>
      </c>
      <c r="M166" s="46" t="str">
        <f t="array" ref="M166">IF('.'!M166="","",'.'!M166&amp;IF(VLOOKUP('.'!M166,Recipes!$A:$D,4,FALSE)="",""," ["&amp;VLOOKUP('.'!M166,Recipes!$A:$D,4,FALSE)&amp;"]"))</f>
        <v/>
      </c>
      <c r="N166" s="46" t="str">
        <f t="array" ref="N166">IF('.'!N166="","",'.'!N166&amp;IF(VLOOKUP('.'!N166,Recipes!$A:$D,4,FALSE)="",""," ["&amp;VLOOKUP('.'!N166,Recipes!$A:$D,4,FALSE)&amp;"]"))</f>
        <v/>
      </c>
      <c r="O166" s="46" t="str">
        <f t="array" ref="O166">IF('.'!O166="","",'.'!O166&amp;IF(VLOOKUP('.'!O166,Recipes!$A:$D,4,FALSE)="",""," ["&amp;VLOOKUP('.'!O166,Recipes!$A:$D,4,FALSE)&amp;"]"))</f>
        <v/>
      </c>
      <c r="P166" s="46" t="str">
        <f t="array" ref="P166">IF('.'!P166="","",'.'!P166&amp;IF(VLOOKUP('.'!P166,Recipes!$A:$D,4,FALSE)="",""," ["&amp;VLOOKUP('.'!P166,Recipes!$A:$D,4,FALSE)&amp;"]"))</f>
        <v/>
      </c>
      <c r="Q166" s="46" t="str">
        <f t="array" ref="Q166">IF('.'!Q166="","",'.'!Q166&amp;IF(VLOOKUP('.'!Q166,Recipes!$A:$D,4,FALSE)="",""," ["&amp;VLOOKUP('.'!Q166,Recipes!$A:$D,4,FALSE)&amp;"]"))</f>
        <v/>
      </c>
      <c r="R166" s="46" t="str">
        <f t="array" ref="R166">IF('.'!R166="","",'.'!R166&amp;IF(VLOOKUP('.'!R166,Recipes!$A:$D,4,FALSE)="",""," ["&amp;VLOOKUP('.'!R166,Recipes!$A:$D,4,FALSE)&amp;"]"))</f>
        <v/>
      </c>
      <c r="S166" s="46" t="str">
        <f t="array" ref="S166">IF('.'!S166="","",'.'!S166&amp;IF(VLOOKUP('.'!S166,Recipes!$A:$D,4,FALSE)="",""," ["&amp;VLOOKUP('.'!S166,Recipes!$A:$D,4,FALSE)&amp;"]"))</f>
        <v/>
      </c>
      <c r="T166" s="46" t="str">
        <f t="array" ref="T166">IF('.'!T166="","",'.'!T166&amp;IF(VLOOKUP('.'!T166,Recipes!$A:$D,4,FALSE)="",""," ["&amp;VLOOKUP('.'!T166,Recipes!$A:$D,4,FALSE)&amp;"]"))</f>
        <v/>
      </c>
      <c r="U166" s="46" t="str">
        <f t="array" ref="U166">IF('.'!U166="","",'.'!U166&amp;IF(VLOOKUP('.'!U166,Recipes!$A:$D,4,FALSE)="",""," ["&amp;VLOOKUP('.'!U166,Recipes!$A:$D,4,FALSE)&amp;"]"))</f>
        <v/>
      </c>
      <c r="V166" s="46" t="str">
        <f t="array" ref="V166">IF('.'!V166="","",'.'!V166&amp;IF(VLOOKUP('.'!V166,Recipes!$A:$D,4,FALSE)="",""," ["&amp;VLOOKUP('.'!V166,Recipes!$A:$D,4,FALSE)&amp;"]"))</f>
        <v/>
      </c>
      <c r="W166" s="46" t="str">
        <f t="array" ref="W166">IF('.'!W166="","",'.'!W166&amp;IF(VLOOKUP('.'!W166,Recipes!$A:$D,4,FALSE)="",""," ["&amp;VLOOKUP('.'!W166,Recipes!$A:$D,4,FALSE)&amp;"]"))</f>
        <v/>
      </c>
      <c r="X166" s="46" t="str">
        <f t="array" ref="X166">IF('.'!X166="","",'.'!X166&amp;IF(VLOOKUP('.'!X166,Recipes!$A:$D,4,FALSE)="",""," ["&amp;VLOOKUP('.'!X166,Recipes!$A:$D,4,FALSE)&amp;"]"))</f>
        <v/>
      </c>
      <c r="Y166" s="46" t="str">
        <f t="array" ref="Y166">IF('.'!Y166="","",'.'!Y166&amp;IF(VLOOKUP('.'!Y166,Recipes!$A:$D,4,FALSE)="",""," ["&amp;VLOOKUP('.'!Y166,Recipes!$A:$D,4,FALSE)&amp;"]"))</f>
        <v/>
      </c>
      <c r="Z166" s="46" t="str">
        <f t="array" ref="Z166">IF('.'!Z166="","",'.'!Z166&amp;IF(VLOOKUP('.'!Z166,Recipes!$A:$D,4,FALSE)="",""," ["&amp;VLOOKUP('.'!Z166,Recipes!$A:$D,4,FALSE)&amp;"]"))</f>
        <v/>
      </c>
      <c r="AA166" s="46" t="str">
        <f t="array" ref="AA166">IF('.'!AA166="","",'.'!AA166&amp;IF(VLOOKUP('.'!AA166,Recipes!$A:$D,4,FALSE)="",""," ["&amp;VLOOKUP('.'!AA166,Recipes!$A:$D,4,FALSE)&amp;"]"))</f>
        <v/>
      </c>
      <c r="AB166" s="46" t="str">
        <f t="array" ref="AB166">IF('.'!AB166="","",'.'!AB166&amp;IF(VLOOKUP('.'!AB166,Recipes!$A:$D,4,FALSE)="",""," ["&amp;VLOOKUP('.'!AB166,Recipes!$A:$D,4,FALSE)&amp;"]"))</f>
        <v/>
      </c>
      <c r="AC166" s="46" t="str">
        <f t="array" ref="AC166">IF('.'!AC166="","",'.'!AC166&amp;IF(VLOOKUP('.'!AC166,Recipes!$A:$D,4,FALSE)="",""," ["&amp;VLOOKUP('.'!AC166,Recipes!$A:$D,4,FALSE)&amp;"]"))</f>
        <v/>
      </c>
      <c r="AD166" s="46" t="str">
        <f t="array" ref="AD166">IF('.'!AD166="","",'.'!AD166&amp;IF(VLOOKUP('.'!AD166,Recipes!$A:$D,4,FALSE)="",""," ["&amp;VLOOKUP('.'!AD166,Recipes!$A:$D,4,FALSE)&amp;"]"))</f>
        <v/>
      </c>
      <c r="AE166" s="47"/>
      <c r="AF166" s="47"/>
      <c r="AG166" s="47"/>
      <c r="AH166" s="47"/>
      <c r="AI166" s="47"/>
      <c r="AJ166" s="47"/>
      <c r="AK166" s="47"/>
      <c r="AL166" s="47"/>
      <c r="AM166" s="47"/>
      <c r="AN166" s="47"/>
      <c r="AO166" s="47"/>
      <c r="AP166" s="47"/>
      <c r="AQ166" s="47"/>
      <c r="AR166" s="47"/>
      <c r="AS166" s="47"/>
      <c r="AT166" s="47"/>
      <c r="AU166" s="47"/>
      <c r="AV166" s="47"/>
      <c r="AW166" s="47"/>
      <c r="AX166" s="47"/>
      <c r="AY166" s="47"/>
      <c r="AZ166" s="47"/>
      <c r="BA166" s="47"/>
      <c r="BB166" s="47"/>
      <c r="BC166" s="47"/>
      <c r="BD166" s="47"/>
      <c r="BE166" s="47"/>
      <c r="BF166" s="47"/>
      <c r="BG166" s="47"/>
      <c r="BH166" s="47"/>
      <c r="BI166" s="47"/>
      <c r="BJ166" s="47"/>
      <c r="BK166" s="47"/>
      <c r="BL166" s="47"/>
      <c r="BM166" s="47"/>
      <c r="BN166" s="47"/>
      <c r="BO166" s="47"/>
      <c r="BP166" s="47"/>
      <c r="BQ166" s="47"/>
      <c r="BR166" s="47"/>
      <c r="BS166" s="47"/>
      <c r="BT166" s="47"/>
      <c r="BU166" s="47"/>
      <c r="BV166" s="47"/>
      <c r="BW166" s="47"/>
      <c r="BX166" s="47"/>
      <c r="BY166" s="47"/>
      <c r="BZ166" s="47"/>
    </row>
    <row r="167" spans="1:78" ht="13">
      <c r="A167" s="48" t="str">
        <f ca="1">'.'!A167</f>
        <v>Explosive Arrowhead</v>
      </c>
      <c r="B167" s="46" t="str">
        <f t="array" aca="1" ref="B167" ca="1">IF('.'!B167="","",'.'!B167&amp;IF(VLOOKUP('.'!B167,Recipes!$A:$D,4,FALSE)="",""," ["&amp;VLOOKUP('.'!B167,Recipes!$A:$D,4,FALSE)&amp;"]"))</f>
        <v>Explosive Arrow [19]</v>
      </c>
      <c r="C167" s="46" t="str">
        <f t="array" ref="C167">IF('.'!C167="","",'.'!C167&amp;IF(VLOOKUP('.'!C167,Recipes!$A:$D,4,FALSE)="",""," ["&amp;VLOOKUP('.'!C167,Recipes!$A:$D,4,FALSE)&amp;"]"))</f>
        <v/>
      </c>
      <c r="D167" s="46" t="str">
        <f t="array" ref="D167">IF('.'!D167="","",'.'!D167&amp;IF(VLOOKUP('.'!D167,Recipes!$A:$D,4,FALSE)="",""," ["&amp;VLOOKUP('.'!D167,Recipes!$A:$D,4,FALSE)&amp;"]"))</f>
        <v/>
      </c>
      <c r="E167" s="46" t="str">
        <f t="array" ref="E167">IF('.'!E167="","",'.'!E167&amp;IF(VLOOKUP('.'!E167,Recipes!$A:$D,4,FALSE)="",""," ["&amp;VLOOKUP('.'!E167,Recipes!$A:$D,4,FALSE)&amp;"]"))</f>
        <v/>
      </c>
      <c r="F167" s="46" t="str">
        <f t="array" ref="F167">IF('.'!F167="","",'.'!F167&amp;IF(VLOOKUP('.'!F167,Recipes!$A:$D,4,FALSE)="",""," ["&amp;VLOOKUP('.'!F167,Recipes!$A:$D,4,FALSE)&amp;"]"))</f>
        <v/>
      </c>
      <c r="G167" s="46" t="str">
        <f t="array" ref="G167">IF('.'!G167="","",'.'!G167&amp;IF(VLOOKUP('.'!G167,Recipes!$A:$D,4,FALSE)="",""," ["&amp;VLOOKUP('.'!G167,Recipes!$A:$D,4,FALSE)&amp;"]"))</f>
        <v/>
      </c>
      <c r="H167" s="46" t="str">
        <f t="array" ref="H167">IF('.'!H167="","",'.'!H167&amp;IF(VLOOKUP('.'!H167,Recipes!$A:$D,4,FALSE)="",""," ["&amp;VLOOKUP('.'!H167,Recipes!$A:$D,4,FALSE)&amp;"]"))</f>
        <v/>
      </c>
      <c r="I167" s="46" t="str">
        <f t="array" ref="I167">IF('.'!I167="","",'.'!I167&amp;IF(VLOOKUP('.'!I167,Recipes!$A:$D,4,FALSE)="",""," ["&amp;VLOOKUP('.'!I167,Recipes!$A:$D,4,FALSE)&amp;"]"))</f>
        <v/>
      </c>
      <c r="J167" s="46" t="str">
        <f t="array" ref="J167">IF('.'!J167="","",'.'!J167&amp;IF(VLOOKUP('.'!J167,Recipes!$A:$D,4,FALSE)="",""," ["&amp;VLOOKUP('.'!J167,Recipes!$A:$D,4,FALSE)&amp;"]"))</f>
        <v/>
      </c>
      <c r="K167" s="46" t="str">
        <f t="array" ref="K167">IF('.'!K167="","",'.'!K167&amp;IF(VLOOKUP('.'!K167,Recipes!$A:$D,4,FALSE)="",""," ["&amp;VLOOKUP('.'!K167,Recipes!$A:$D,4,FALSE)&amp;"]"))</f>
        <v/>
      </c>
      <c r="L167" s="46" t="str">
        <f t="array" ref="L167">IF('.'!L167="","",'.'!L167&amp;IF(VLOOKUP('.'!L167,Recipes!$A:$D,4,FALSE)="",""," ["&amp;VLOOKUP('.'!L167,Recipes!$A:$D,4,FALSE)&amp;"]"))</f>
        <v/>
      </c>
      <c r="M167" s="46" t="str">
        <f t="array" ref="M167">IF('.'!M167="","",'.'!M167&amp;IF(VLOOKUP('.'!M167,Recipes!$A:$D,4,FALSE)="",""," ["&amp;VLOOKUP('.'!M167,Recipes!$A:$D,4,FALSE)&amp;"]"))</f>
        <v/>
      </c>
      <c r="N167" s="46" t="str">
        <f t="array" ref="N167">IF('.'!N167="","",'.'!N167&amp;IF(VLOOKUP('.'!N167,Recipes!$A:$D,4,FALSE)="",""," ["&amp;VLOOKUP('.'!N167,Recipes!$A:$D,4,FALSE)&amp;"]"))</f>
        <v/>
      </c>
      <c r="O167" s="46" t="str">
        <f t="array" ref="O167">IF('.'!O167="","",'.'!O167&amp;IF(VLOOKUP('.'!O167,Recipes!$A:$D,4,FALSE)="",""," ["&amp;VLOOKUP('.'!O167,Recipes!$A:$D,4,FALSE)&amp;"]"))</f>
        <v/>
      </c>
      <c r="P167" s="46" t="str">
        <f t="array" ref="P167">IF('.'!P167="","",'.'!P167&amp;IF(VLOOKUP('.'!P167,Recipes!$A:$D,4,FALSE)="",""," ["&amp;VLOOKUP('.'!P167,Recipes!$A:$D,4,FALSE)&amp;"]"))</f>
        <v/>
      </c>
      <c r="Q167" s="46" t="str">
        <f t="array" ref="Q167">IF('.'!Q167="","",'.'!Q167&amp;IF(VLOOKUP('.'!Q167,Recipes!$A:$D,4,FALSE)="",""," ["&amp;VLOOKUP('.'!Q167,Recipes!$A:$D,4,FALSE)&amp;"]"))</f>
        <v/>
      </c>
      <c r="R167" s="46" t="str">
        <f t="array" ref="R167">IF('.'!R167="","",'.'!R167&amp;IF(VLOOKUP('.'!R167,Recipes!$A:$D,4,FALSE)="",""," ["&amp;VLOOKUP('.'!R167,Recipes!$A:$D,4,FALSE)&amp;"]"))</f>
        <v/>
      </c>
      <c r="S167" s="46" t="str">
        <f t="array" ref="S167">IF('.'!S167="","",'.'!S167&amp;IF(VLOOKUP('.'!S167,Recipes!$A:$D,4,FALSE)="",""," ["&amp;VLOOKUP('.'!S167,Recipes!$A:$D,4,FALSE)&amp;"]"))</f>
        <v/>
      </c>
      <c r="T167" s="46" t="str">
        <f t="array" ref="T167">IF('.'!T167="","",'.'!T167&amp;IF(VLOOKUP('.'!T167,Recipes!$A:$D,4,FALSE)="",""," ["&amp;VLOOKUP('.'!T167,Recipes!$A:$D,4,FALSE)&amp;"]"))</f>
        <v/>
      </c>
      <c r="U167" s="46" t="str">
        <f t="array" ref="U167">IF('.'!U167="","",'.'!U167&amp;IF(VLOOKUP('.'!U167,Recipes!$A:$D,4,FALSE)="",""," ["&amp;VLOOKUP('.'!U167,Recipes!$A:$D,4,FALSE)&amp;"]"))</f>
        <v/>
      </c>
      <c r="V167" s="46" t="str">
        <f t="array" ref="V167">IF('.'!V167="","",'.'!V167&amp;IF(VLOOKUP('.'!V167,Recipes!$A:$D,4,FALSE)="",""," ["&amp;VLOOKUP('.'!V167,Recipes!$A:$D,4,FALSE)&amp;"]"))</f>
        <v/>
      </c>
      <c r="W167" s="46" t="str">
        <f t="array" ref="W167">IF('.'!W167="","",'.'!W167&amp;IF(VLOOKUP('.'!W167,Recipes!$A:$D,4,FALSE)="",""," ["&amp;VLOOKUP('.'!W167,Recipes!$A:$D,4,FALSE)&amp;"]"))</f>
        <v/>
      </c>
      <c r="X167" s="46" t="str">
        <f t="array" ref="X167">IF('.'!X167="","",'.'!X167&amp;IF(VLOOKUP('.'!X167,Recipes!$A:$D,4,FALSE)="",""," ["&amp;VLOOKUP('.'!X167,Recipes!$A:$D,4,FALSE)&amp;"]"))</f>
        <v/>
      </c>
      <c r="Y167" s="46" t="str">
        <f t="array" ref="Y167">IF('.'!Y167="","",'.'!Y167&amp;IF(VLOOKUP('.'!Y167,Recipes!$A:$D,4,FALSE)="",""," ["&amp;VLOOKUP('.'!Y167,Recipes!$A:$D,4,FALSE)&amp;"]"))</f>
        <v/>
      </c>
      <c r="Z167" s="46" t="str">
        <f t="array" ref="Z167">IF('.'!Z167="","",'.'!Z167&amp;IF(VLOOKUP('.'!Z167,Recipes!$A:$D,4,FALSE)="",""," ["&amp;VLOOKUP('.'!Z167,Recipes!$A:$D,4,FALSE)&amp;"]"))</f>
        <v/>
      </c>
      <c r="AA167" s="46" t="str">
        <f t="array" ref="AA167">IF('.'!AA167="","",'.'!AA167&amp;IF(VLOOKUP('.'!AA167,Recipes!$A:$D,4,FALSE)="",""," ["&amp;VLOOKUP('.'!AA167,Recipes!$A:$D,4,FALSE)&amp;"]"))</f>
        <v/>
      </c>
      <c r="AB167" s="46" t="str">
        <f t="array" ref="AB167">IF('.'!AB167="","",'.'!AB167&amp;IF(VLOOKUP('.'!AB167,Recipes!$A:$D,4,FALSE)="",""," ["&amp;VLOOKUP('.'!AB167,Recipes!$A:$D,4,FALSE)&amp;"]"))</f>
        <v/>
      </c>
      <c r="AC167" s="46" t="str">
        <f t="array" ref="AC167">IF('.'!AC167="","",'.'!AC167&amp;IF(VLOOKUP('.'!AC167,Recipes!$A:$D,4,FALSE)="",""," ["&amp;VLOOKUP('.'!AC167,Recipes!$A:$D,4,FALSE)&amp;"]"))</f>
        <v/>
      </c>
      <c r="AD167" s="46" t="str">
        <f t="array" ref="AD167">IF('.'!AD167="","",'.'!AD167&amp;IF(VLOOKUP('.'!AD167,Recipes!$A:$D,4,FALSE)="",""," ["&amp;VLOOKUP('.'!AD167,Recipes!$A:$D,4,FALSE)&amp;"]"))</f>
        <v/>
      </c>
      <c r="AE167" s="47"/>
      <c r="AF167" s="47"/>
      <c r="AG167" s="47"/>
      <c r="AH167" s="47"/>
      <c r="AI167" s="47"/>
      <c r="AJ167" s="47"/>
      <c r="AK167" s="47"/>
      <c r="AL167" s="47"/>
      <c r="AM167" s="47"/>
      <c r="AN167" s="47"/>
      <c r="AO167" s="47"/>
      <c r="AP167" s="47"/>
      <c r="AQ167" s="47"/>
      <c r="AR167" s="47"/>
      <c r="AS167" s="47"/>
      <c r="AT167" s="47"/>
      <c r="AU167" s="47"/>
      <c r="AV167" s="47"/>
      <c r="AW167" s="47"/>
      <c r="AX167" s="47"/>
      <c r="AY167" s="47"/>
      <c r="AZ167" s="47"/>
      <c r="BA167" s="47"/>
      <c r="BB167" s="47"/>
      <c r="BC167" s="47"/>
      <c r="BD167" s="47"/>
      <c r="BE167" s="47"/>
      <c r="BF167" s="47"/>
      <c r="BG167" s="47"/>
      <c r="BH167" s="47"/>
      <c r="BI167" s="47"/>
      <c r="BJ167" s="47"/>
      <c r="BK167" s="47"/>
      <c r="BL167" s="47"/>
      <c r="BM167" s="47"/>
      <c r="BN167" s="47"/>
      <c r="BO167" s="47"/>
      <c r="BP167" s="47"/>
      <c r="BQ167" s="47"/>
      <c r="BR167" s="47"/>
      <c r="BS167" s="47"/>
      <c r="BT167" s="47"/>
      <c r="BU167" s="47"/>
      <c r="BV167" s="47"/>
      <c r="BW167" s="47"/>
      <c r="BX167" s="47"/>
      <c r="BY167" s="47"/>
      <c r="BZ167" s="47"/>
    </row>
    <row r="168" spans="1:78" ht="13">
      <c r="A168" s="48" t="str">
        <f ca="1">'.'!A168</f>
        <v>Eye</v>
      </c>
      <c r="B168" s="46" t="str">
        <f t="array" aca="1" ref="B168" ca="1">IF('.'!B168="","",'.'!B168&amp;IF(VLOOKUP('.'!B168,Recipes!$A:$D,4,FALSE)="",""," ["&amp;VLOOKUP('.'!B168,Recipes!$A:$D,4,FALSE)&amp;"]"))</f>
        <v>Decaying Touch Scroll [-75]</v>
      </c>
      <c r="C168" s="46" t="str">
        <f t="array" ref="C168">IF('.'!C168="","",'.'!C168&amp;IF(VLOOKUP('.'!C168,Recipes!$A:$D,4,FALSE)="",""," ["&amp;VLOOKUP('.'!C168,Recipes!$A:$D,4,FALSE)&amp;"]"))</f>
        <v/>
      </c>
      <c r="D168" s="46" t="str">
        <f t="array" ref="D168">IF('.'!D168="","",'.'!D168&amp;IF(VLOOKUP('.'!D168,Recipes!$A:$D,4,FALSE)="",""," ["&amp;VLOOKUP('.'!D168,Recipes!$A:$D,4,FALSE)&amp;"]"))</f>
        <v/>
      </c>
      <c r="E168" s="46" t="str">
        <f t="array" ref="E168">IF('.'!E168="","",'.'!E168&amp;IF(VLOOKUP('.'!E168,Recipes!$A:$D,4,FALSE)="",""," ["&amp;VLOOKUP('.'!E168,Recipes!$A:$D,4,FALSE)&amp;"]"))</f>
        <v/>
      </c>
      <c r="F168" s="46" t="str">
        <f t="array" ref="F168">IF('.'!F168="","",'.'!F168&amp;IF(VLOOKUP('.'!F168,Recipes!$A:$D,4,FALSE)="",""," ["&amp;VLOOKUP('.'!F168,Recipes!$A:$D,4,FALSE)&amp;"]"))</f>
        <v/>
      </c>
      <c r="G168" s="46" t="str">
        <f t="array" ref="G168">IF('.'!G168="","",'.'!G168&amp;IF(VLOOKUP('.'!G168,Recipes!$A:$D,4,FALSE)="",""," ["&amp;VLOOKUP('.'!G168,Recipes!$A:$D,4,FALSE)&amp;"]"))</f>
        <v/>
      </c>
      <c r="H168" s="46" t="str">
        <f t="array" ref="H168">IF('.'!H168="","",'.'!H168&amp;IF(VLOOKUP('.'!H168,Recipes!$A:$D,4,FALSE)="",""," ["&amp;VLOOKUP('.'!H168,Recipes!$A:$D,4,FALSE)&amp;"]"))</f>
        <v/>
      </c>
      <c r="I168" s="46" t="str">
        <f t="array" ref="I168">IF('.'!I168="","",'.'!I168&amp;IF(VLOOKUP('.'!I168,Recipes!$A:$D,4,FALSE)="",""," ["&amp;VLOOKUP('.'!I168,Recipes!$A:$D,4,FALSE)&amp;"]"))</f>
        <v/>
      </c>
      <c r="J168" s="46" t="str">
        <f t="array" ref="J168">IF('.'!J168="","",'.'!J168&amp;IF(VLOOKUP('.'!J168,Recipes!$A:$D,4,FALSE)="",""," ["&amp;VLOOKUP('.'!J168,Recipes!$A:$D,4,FALSE)&amp;"]"))</f>
        <v/>
      </c>
      <c r="K168" s="46" t="str">
        <f t="array" ref="K168">IF('.'!K168="","",'.'!K168&amp;IF(VLOOKUP('.'!K168,Recipes!$A:$D,4,FALSE)="",""," ["&amp;VLOOKUP('.'!K168,Recipes!$A:$D,4,FALSE)&amp;"]"))</f>
        <v/>
      </c>
      <c r="L168" s="46" t="str">
        <f t="array" ref="L168">IF('.'!L168="","",'.'!L168&amp;IF(VLOOKUP('.'!L168,Recipes!$A:$D,4,FALSE)="",""," ["&amp;VLOOKUP('.'!L168,Recipes!$A:$D,4,FALSE)&amp;"]"))</f>
        <v/>
      </c>
      <c r="M168" s="46" t="str">
        <f t="array" ref="M168">IF('.'!M168="","",'.'!M168&amp;IF(VLOOKUP('.'!M168,Recipes!$A:$D,4,FALSE)="",""," ["&amp;VLOOKUP('.'!M168,Recipes!$A:$D,4,FALSE)&amp;"]"))</f>
        <v/>
      </c>
      <c r="N168" s="46" t="str">
        <f t="array" ref="N168">IF('.'!N168="","",'.'!N168&amp;IF(VLOOKUP('.'!N168,Recipes!$A:$D,4,FALSE)="",""," ["&amp;VLOOKUP('.'!N168,Recipes!$A:$D,4,FALSE)&amp;"]"))</f>
        <v/>
      </c>
      <c r="O168" s="46" t="str">
        <f t="array" ref="O168">IF('.'!O168="","",'.'!O168&amp;IF(VLOOKUP('.'!O168,Recipes!$A:$D,4,FALSE)="",""," ["&amp;VLOOKUP('.'!O168,Recipes!$A:$D,4,FALSE)&amp;"]"))</f>
        <v/>
      </c>
      <c r="P168" s="46" t="str">
        <f t="array" ref="P168">IF('.'!P168="","",'.'!P168&amp;IF(VLOOKUP('.'!P168,Recipes!$A:$D,4,FALSE)="",""," ["&amp;VLOOKUP('.'!P168,Recipes!$A:$D,4,FALSE)&amp;"]"))</f>
        <v/>
      </c>
      <c r="Q168" s="46" t="str">
        <f t="array" ref="Q168">IF('.'!Q168="","",'.'!Q168&amp;IF(VLOOKUP('.'!Q168,Recipes!$A:$D,4,FALSE)="",""," ["&amp;VLOOKUP('.'!Q168,Recipes!$A:$D,4,FALSE)&amp;"]"))</f>
        <v/>
      </c>
      <c r="R168" s="46" t="str">
        <f t="array" ref="R168">IF('.'!R168="","",'.'!R168&amp;IF(VLOOKUP('.'!R168,Recipes!$A:$D,4,FALSE)="",""," ["&amp;VLOOKUP('.'!R168,Recipes!$A:$D,4,FALSE)&amp;"]"))</f>
        <v/>
      </c>
      <c r="S168" s="46" t="str">
        <f t="array" ref="S168">IF('.'!S168="","",'.'!S168&amp;IF(VLOOKUP('.'!S168,Recipes!$A:$D,4,FALSE)="",""," ["&amp;VLOOKUP('.'!S168,Recipes!$A:$D,4,FALSE)&amp;"]"))</f>
        <v/>
      </c>
      <c r="T168" s="46" t="str">
        <f t="array" ref="T168">IF('.'!T168="","",'.'!T168&amp;IF(VLOOKUP('.'!T168,Recipes!$A:$D,4,FALSE)="",""," ["&amp;VLOOKUP('.'!T168,Recipes!$A:$D,4,FALSE)&amp;"]"))</f>
        <v/>
      </c>
      <c r="U168" s="46" t="str">
        <f t="array" ref="U168">IF('.'!U168="","",'.'!U168&amp;IF(VLOOKUP('.'!U168,Recipes!$A:$D,4,FALSE)="",""," ["&amp;VLOOKUP('.'!U168,Recipes!$A:$D,4,FALSE)&amp;"]"))</f>
        <v/>
      </c>
      <c r="V168" s="46" t="str">
        <f t="array" ref="V168">IF('.'!V168="","",'.'!V168&amp;IF(VLOOKUP('.'!V168,Recipes!$A:$D,4,FALSE)="",""," ["&amp;VLOOKUP('.'!V168,Recipes!$A:$D,4,FALSE)&amp;"]"))</f>
        <v/>
      </c>
      <c r="W168" s="46" t="str">
        <f t="array" ref="W168">IF('.'!W168="","",'.'!W168&amp;IF(VLOOKUP('.'!W168,Recipes!$A:$D,4,FALSE)="",""," ["&amp;VLOOKUP('.'!W168,Recipes!$A:$D,4,FALSE)&amp;"]"))</f>
        <v/>
      </c>
      <c r="X168" s="46" t="str">
        <f t="array" ref="X168">IF('.'!X168="","",'.'!X168&amp;IF(VLOOKUP('.'!X168,Recipes!$A:$D,4,FALSE)="",""," ["&amp;VLOOKUP('.'!X168,Recipes!$A:$D,4,FALSE)&amp;"]"))</f>
        <v/>
      </c>
      <c r="Y168" s="46" t="str">
        <f t="array" ref="Y168">IF('.'!Y168="","",'.'!Y168&amp;IF(VLOOKUP('.'!Y168,Recipes!$A:$D,4,FALSE)="",""," ["&amp;VLOOKUP('.'!Y168,Recipes!$A:$D,4,FALSE)&amp;"]"))</f>
        <v/>
      </c>
      <c r="Z168" s="46" t="str">
        <f t="array" ref="Z168">IF('.'!Z168="","",'.'!Z168&amp;IF(VLOOKUP('.'!Z168,Recipes!$A:$D,4,FALSE)="",""," ["&amp;VLOOKUP('.'!Z168,Recipes!$A:$D,4,FALSE)&amp;"]"))</f>
        <v/>
      </c>
      <c r="AA168" s="46" t="str">
        <f t="array" ref="AA168">IF('.'!AA168="","",'.'!AA168&amp;IF(VLOOKUP('.'!AA168,Recipes!$A:$D,4,FALSE)="",""," ["&amp;VLOOKUP('.'!AA168,Recipes!$A:$D,4,FALSE)&amp;"]"))</f>
        <v/>
      </c>
      <c r="AB168" s="46" t="str">
        <f t="array" ref="AB168">IF('.'!AB168="","",'.'!AB168&amp;IF(VLOOKUP('.'!AB168,Recipes!$A:$D,4,FALSE)="",""," ["&amp;VLOOKUP('.'!AB168,Recipes!$A:$D,4,FALSE)&amp;"]"))</f>
        <v/>
      </c>
      <c r="AC168" s="46" t="str">
        <f t="array" ref="AC168">IF('.'!AC168="","",'.'!AC168&amp;IF(VLOOKUP('.'!AC168,Recipes!$A:$D,4,FALSE)="",""," ["&amp;VLOOKUP('.'!AC168,Recipes!$A:$D,4,FALSE)&amp;"]"))</f>
        <v/>
      </c>
      <c r="AD168" s="46" t="str">
        <f t="array" ref="AD168">IF('.'!AD168="","",'.'!AD168&amp;IF(VLOOKUP('.'!AD168,Recipes!$A:$D,4,FALSE)="",""," ["&amp;VLOOKUP('.'!AD168,Recipes!$A:$D,4,FALSE)&amp;"]"))</f>
        <v/>
      </c>
      <c r="AE168" s="47"/>
      <c r="AF168" s="47"/>
      <c r="AG168" s="47"/>
      <c r="AH168" s="47"/>
      <c r="AI168" s="47"/>
      <c r="AJ168" s="47"/>
      <c r="AK168" s="47"/>
      <c r="AL168" s="47"/>
      <c r="AM168" s="47"/>
      <c r="AN168" s="47"/>
      <c r="AO168" s="47"/>
      <c r="AP168" s="47"/>
      <c r="AQ168" s="47"/>
      <c r="AR168" s="47"/>
      <c r="AS168" s="47"/>
      <c r="AT168" s="47"/>
      <c r="AU168" s="47"/>
      <c r="AV168" s="47"/>
      <c r="AW168" s="47"/>
      <c r="AX168" s="47"/>
      <c r="AY168" s="47"/>
      <c r="AZ168" s="47"/>
      <c r="BA168" s="47"/>
      <c r="BB168" s="47"/>
      <c r="BC168" s="47"/>
      <c r="BD168" s="47"/>
      <c r="BE168" s="47"/>
      <c r="BF168" s="47"/>
      <c r="BG168" s="47"/>
      <c r="BH168" s="47"/>
      <c r="BI168" s="47"/>
      <c r="BJ168" s="47"/>
      <c r="BK168" s="47"/>
      <c r="BL168" s="47"/>
      <c r="BM168" s="47"/>
      <c r="BN168" s="47"/>
      <c r="BO168" s="47"/>
      <c r="BP168" s="47"/>
      <c r="BQ168" s="47"/>
      <c r="BR168" s="47"/>
      <c r="BS168" s="47"/>
      <c r="BT168" s="47"/>
      <c r="BU168" s="47"/>
      <c r="BV168" s="47"/>
      <c r="BW168" s="47"/>
      <c r="BX168" s="47"/>
      <c r="BY168" s="47"/>
      <c r="BZ168" s="47"/>
    </row>
    <row r="169" spans="1:78" ht="13">
      <c r="A169" s="48" t="str">
        <f ca="1">'.'!A169</f>
        <v>Fancy Feather</v>
      </c>
      <c r="B169" s="46" t="str">
        <f t="array" aca="1" ref="B169" ca="1">IF('.'!B169="","",'.'!B169&amp;IF(VLOOKUP('.'!B169,Recipes!$A:$D,4,FALSE)="",""," ["&amp;VLOOKUP('.'!B169,Recipes!$A:$D,4,FALSE)&amp;"]"))</f>
        <v>Tornado Scroll [-175]</v>
      </c>
      <c r="C169" s="46" t="str">
        <f t="array" ref="C169">IF('.'!C169="","",'.'!C169&amp;IF(VLOOKUP('.'!C169,Recipes!$A:$D,4,FALSE)="",""," ["&amp;VLOOKUP('.'!C169,Recipes!$A:$D,4,FALSE)&amp;"]"))</f>
        <v/>
      </c>
      <c r="D169" s="46" t="str">
        <f t="array" ref="D169">IF('.'!D169="","",'.'!D169&amp;IF(VLOOKUP('.'!D169,Recipes!$A:$D,4,FALSE)="",""," ["&amp;VLOOKUP('.'!D169,Recipes!$A:$D,4,FALSE)&amp;"]"))</f>
        <v/>
      </c>
      <c r="E169" s="46" t="str">
        <f t="array" ref="E169">IF('.'!E169="","",'.'!E169&amp;IF(VLOOKUP('.'!E169,Recipes!$A:$D,4,FALSE)="",""," ["&amp;VLOOKUP('.'!E169,Recipes!$A:$D,4,FALSE)&amp;"]"))</f>
        <v/>
      </c>
      <c r="F169" s="46" t="str">
        <f t="array" ref="F169">IF('.'!F169="","",'.'!F169&amp;IF(VLOOKUP('.'!F169,Recipes!$A:$D,4,FALSE)="",""," ["&amp;VLOOKUP('.'!F169,Recipes!$A:$D,4,FALSE)&amp;"]"))</f>
        <v/>
      </c>
      <c r="G169" s="46" t="str">
        <f t="array" ref="G169">IF('.'!G169="","",'.'!G169&amp;IF(VLOOKUP('.'!G169,Recipes!$A:$D,4,FALSE)="",""," ["&amp;VLOOKUP('.'!G169,Recipes!$A:$D,4,FALSE)&amp;"]"))</f>
        <v/>
      </c>
      <c r="H169" s="46" t="str">
        <f t="array" ref="H169">IF('.'!H169="","",'.'!H169&amp;IF(VLOOKUP('.'!H169,Recipes!$A:$D,4,FALSE)="",""," ["&amp;VLOOKUP('.'!H169,Recipes!$A:$D,4,FALSE)&amp;"]"))</f>
        <v/>
      </c>
      <c r="I169" s="46" t="str">
        <f t="array" ref="I169">IF('.'!I169="","",'.'!I169&amp;IF(VLOOKUP('.'!I169,Recipes!$A:$D,4,FALSE)="",""," ["&amp;VLOOKUP('.'!I169,Recipes!$A:$D,4,FALSE)&amp;"]"))</f>
        <v/>
      </c>
      <c r="J169" s="46" t="str">
        <f t="array" ref="J169">IF('.'!J169="","",'.'!J169&amp;IF(VLOOKUP('.'!J169,Recipes!$A:$D,4,FALSE)="",""," ["&amp;VLOOKUP('.'!J169,Recipes!$A:$D,4,FALSE)&amp;"]"))</f>
        <v/>
      </c>
      <c r="K169" s="46" t="str">
        <f t="array" ref="K169">IF('.'!K169="","",'.'!K169&amp;IF(VLOOKUP('.'!K169,Recipes!$A:$D,4,FALSE)="",""," ["&amp;VLOOKUP('.'!K169,Recipes!$A:$D,4,FALSE)&amp;"]"))</f>
        <v/>
      </c>
      <c r="L169" s="46" t="str">
        <f t="array" ref="L169">IF('.'!L169="","",'.'!L169&amp;IF(VLOOKUP('.'!L169,Recipes!$A:$D,4,FALSE)="",""," ["&amp;VLOOKUP('.'!L169,Recipes!$A:$D,4,FALSE)&amp;"]"))</f>
        <v/>
      </c>
      <c r="M169" s="46" t="str">
        <f t="array" ref="M169">IF('.'!M169="","",'.'!M169&amp;IF(VLOOKUP('.'!M169,Recipes!$A:$D,4,FALSE)="",""," ["&amp;VLOOKUP('.'!M169,Recipes!$A:$D,4,FALSE)&amp;"]"))</f>
        <v/>
      </c>
      <c r="N169" s="46" t="str">
        <f t="array" ref="N169">IF('.'!N169="","",'.'!N169&amp;IF(VLOOKUP('.'!N169,Recipes!$A:$D,4,FALSE)="",""," ["&amp;VLOOKUP('.'!N169,Recipes!$A:$D,4,FALSE)&amp;"]"))</f>
        <v/>
      </c>
      <c r="O169" s="46" t="str">
        <f t="array" ref="O169">IF('.'!O169="","",'.'!O169&amp;IF(VLOOKUP('.'!O169,Recipes!$A:$D,4,FALSE)="",""," ["&amp;VLOOKUP('.'!O169,Recipes!$A:$D,4,FALSE)&amp;"]"))</f>
        <v/>
      </c>
      <c r="P169" s="46" t="str">
        <f t="array" ref="P169">IF('.'!P169="","",'.'!P169&amp;IF(VLOOKUP('.'!P169,Recipes!$A:$D,4,FALSE)="",""," ["&amp;VLOOKUP('.'!P169,Recipes!$A:$D,4,FALSE)&amp;"]"))</f>
        <v/>
      </c>
      <c r="Q169" s="46" t="str">
        <f t="array" ref="Q169">IF('.'!Q169="","",'.'!Q169&amp;IF(VLOOKUP('.'!Q169,Recipes!$A:$D,4,FALSE)="",""," ["&amp;VLOOKUP('.'!Q169,Recipes!$A:$D,4,FALSE)&amp;"]"))</f>
        <v/>
      </c>
      <c r="R169" s="46" t="str">
        <f t="array" ref="R169">IF('.'!R169="","",'.'!R169&amp;IF(VLOOKUP('.'!R169,Recipes!$A:$D,4,FALSE)="",""," ["&amp;VLOOKUP('.'!R169,Recipes!$A:$D,4,FALSE)&amp;"]"))</f>
        <v/>
      </c>
      <c r="S169" s="46" t="str">
        <f t="array" ref="S169">IF('.'!S169="","",'.'!S169&amp;IF(VLOOKUP('.'!S169,Recipes!$A:$D,4,FALSE)="",""," ["&amp;VLOOKUP('.'!S169,Recipes!$A:$D,4,FALSE)&amp;"]"))</f>
        <v/>
      </c>
      <c r="T169" s="46" t="str">
        <f t="array" ref="T169">IF('.'!T169="","",'.'!T169&amp;IF(VLOOKUP('.'!T169,Recipes!$A:$D,4,FALSE)="",""," ["&amp;VLOOKUP('.'!T169,Recipes!$A:$D,4,FALSE)&amp;"]"))</f>
        <v/>
      </c>
      <c r="U169" s="46" t="str">
        <f t="array" ref="U169">IF('.'!U169="","",'.'!U169&amp;IF(VLOOKUP('.'!U169,Recipes!$A:$D,4,FALSE)="",""," ["&amp;VLOOKUP('.'!U169,Recipes!$A:$D,4,FALSE)&amp;"]"))</f>
        <v/>
      </c>
      <c r="V169" s="46" t="str">
        <f t="array" ref="V169">IF('.'!V169="","",'.'!V169&amp;IF(VLOOKUP('.'!V169,Recipes!$A:$D,4,FALSE)="",""," ["&amp;VLOOKUP('.'!V169,Recipes!$A:$D,4,FALSE)&amp;"]"))</f>
        <v/>
      </c>
      <c r="W169" s="46" t="str">
        <f t="array" ref="W169">IF('.'!W169="","",'.'!W169&amp;IF(VLOOKUP('.'!W169,Recipes!$A:$D,4,FALSE)="",""," ["&amp;VLOOKUP('.'!W169,Recipes!$A:$D,4,FALSE)&amp;"]"))</f>
        <v/>
      </c>
      <c r="X169" s="46" t="str">
        <f t="array" ref="X169">IF('.'!X169="","",'.'!X169&amp;IF(VLOOKUP('.'!X169,Recipes!$A:$D,4,FALSE)="",""," ["&amp;VLOOKUP('.'!X169,Recipes!$A:$D,4,FALSE)&amp;"]"))</f>
        <v/>
      </c>
      <c r="Y169" s="46" t="str">
        <f t="array" ref="Y169">IF('.'!Y169="","",'.'!Y169&amp;IF(VLOOKUP('.'!Y169,Recipes!$A:$D,4,FALSE)="",""," ["&amp;VLOOKUP('.'!Y169,Recipes!$A:$D,4,FALSE)&amp;"]"))</f>
        <v/>
      </c>
      <c r="Z169" s="46" t="str">
        <f t="array" ref="Z169">IF('.'!Z169="","",'.'!Z169&amp;IF(VLOOKUP('.'!Z169,Recipes!$A:$D,4,FALSE)="",""," ["&amp;VLOOKUP('.'!Z169,Recipes!$A:$D,4,FALSE)&amp;"]"))</f>
        <v/>
      </c>
      <c r="AA169" s="46" t="str">
        <f t="array" ref="AA169">IF('.'!AA169="","",'.'!AA169&amp;IF(VLOOKUP('.'!AA169,Recipes!$A:$D,4,FALSE)="",""," ["&amp;VLOOKUP('.'!AA169,Recipes!$A:$D,4,FALSE)&amp;"]"))</f>
        <v/>
      </c>
      <c r="AB169" s="46" t="str">
        <f t="array" ref="AB169">IF('.'!AB169="","",'.'!AB169&amp;IF(VLOOKUP('.'!AB169,Recipes!$A:$D,4,FALSE)="",""," ["&amp;VLOOKUP('.'!AB169,Recipes!$A:$D,4,FALSE)&amp;"]"))</f>
        <v/>
      </c>
      <c r="AC169" s="46" t="str">
        <f t="array" ref="AC169">IF('.'!AC169="","",'.'!AC169&amp;IF(VLOOKUP('.'!AC169,Recipes!$A:$D,4,FALSE)="",""," ["&amp;VLOOKUP('.'!AC169,Recipes!$A:$D,4,FALSE)&amp;"]"))</f>
        <v/>
      </c>
      <c r="AD169" s="46" t="str">
        <f t="array" ref="AD169">IF('.'!AD169="","",'.'!AD169&amp;IF(VLOOKUP('.'!AD169,Recipes!$A:$D,4,FALSE)="",""," ["&amp;VLOOKUP('.'!AD169,Recipes!$A:$D,4,FALSE)&amp;"]"))</f>
        <v/>
      </c>
      <c r="AE169" s="47"/>
      <c r="AF169" s="47"/>
      <c r="AG169" s="47"/>
      <c r="AH169" s="47"/>
      <c r="AI169" s="47"/>
      <c r="AJ169" s="47"/>
      <c r="AK169" s="47"/>
      <c r="AL169" s="47"/>
      <c r="AM169" s="47"/>
      <c r="AN169" s="47"/>
      <c r="AO169" s="47"/>
      <c r="AP169" s="47"/>
      <c r="AQ169" s="47"/>
      <c r="AR169" s="47"/>
      <c r="AS169" s="47"/>
      <c r="AT169" s="47"/>
      <c r="AU169" s="47"/>
      <c r="AV169" s="47"/>
      <c r="AW169" s="47"/>
      <c r="AX169" s="47"/>
      <c r="AY169" s="47"/>
      <c r="AZ169" s="47"/>
      <c r="BA169" s="47"/>
      <c r="BB169" s="47"/>
      <c r="BC169" s="47"/>
      <c r="BD169" s="47"/>
      <c r="BE169" s="47"/>
      <c r="BF169" s="47"/>
      <c r="BG169" s="47"/>
      <c r="BH169" s="47"/>
      <c r="BI169" s="47"/>
      <c r="BJ169" s="47"/>
      <c r="BK169" s="47"/>
      <c r="BL169" s="47"/>
      <c r="BM169" s="47"/>
      <c r="BN169" s="47"/>
      <c r="BO169" s="47"/>
      <c r="BP169" s="47"/>
      <c r="BQ169" s="47"/>
      <c r="BR169" s="47"/>
      <c r="BS169" s="47"/>
      <c r="BT169" s="47"/>
      <c r="BU169" s="47"/>
      <c r="BV169" s="47"/>
      <c r="BW169" s="47"/>
      <c r="BX169" s="47"/>
      <c r="BY169" s="47"/>
      <c r="BZ169" s="47"/>
    </row>
    <row r="170" spans="1:78" ht="13">
      <c r="A170" s="48" t="str">
        <f ca="1">'.'!A170</f>
        <v>Fang</v>
      </c>
      <c r="B170" s="46" t="str">
        <f t="array" aca="1" ref="B170" ca="1">IF('.'!B170="","",'.'!B170&amp;IF(VLOOKUP('.'!B170,Recipes!$A:$D,4,FALSE)="",""," ["&amp;VLOOKUP('.'!B170,Recipes!$A:$D,4,FALSE)&amp;"]"))</f>
        <v>Firebrand Scroll [-55]</v>
      </c>
      <c r="C170" s="46" t="str">
        <f t="array" ref="C170">IF('.'!C170="","",'.'!C170&amp;IF(VLOOKUP('.'!C170,Recipes!$A:$D,4,FALSE)="",""," ["&amp;VLOOKUP('.'!C170,Recipes!$A:$D,4,FALSE)&amp;"]"))</f>
        <v/>
      </c>
      <c r="D170" s="46" t="str">
        <f t="array" ref="D170">IF('.'!D170="","",'.'!D170&amp;IF(VLOOKUP('.'!D170,Recipes!$A:$D,4,FALSE)="",""," ["&amp;VLOOKUP('.'!D170,Recipes!$A:$D,4,FALSE)&amp;"]"))</f>
        <v/>
      </c>
      <c r="E170" s="46" t="str">
        <f t="array" ref="E170">IF('.'!E170="","",'.'!E170&amp;IF(VLOOKUP('.'!E170,Recipes!$A:$D,4,FALSE)="",""," ["&amp;VLOOKUP('.'!E170,Recipes!$A:$D,4,FALSE)&amp;"]"))</f>
        <v/>
      </c>
      <c r="F170" s="46" t="str">
        <f t="array" ref="F170">IF('.'!F170="","",'.'!F170&amp;IF(VLOOKUP('.'!F170,Recipes!$A:$D,4,FALSE)="",""," ["&amp;VLOOKUP('.'!F170,Recipes!$A:$D,4,FALSE)&amp;"]"))</f>
        <v/>
      </c>
      <c r="G170" s="46" t="str">
        <f t="array" ref="G170">IF('.'!G170="","",'.'!G170&amp;IF(VLOOKUP('.'!G170,Recipes!$A:$D,4,FALSE)="",""," ["&amp;VLOOKUP('.'!G170,Recipes!$A:$D,4,FALSE)&amp;"]"))</f>
        <v/>
      </c>
      <c r="H170" s="46" t="str">
        <f t="array" ref="H170">IF('.'!H170="","",'.'!H170&amp;IF(VLOOKUP('.'!H170,Recipes!$A:$D,4,FALSE)="",""," ["&amp;VLOOKUP('.'!H170,Recipes!$A:$D,4,FALSE)&amp;"]"))</f>
        <v/>
      </c>
      <c r="I170" s="46" t="str">
        <f t="array" ref="I170">IF('.'!I170="","",'.'!I170&amp;IF(VLOOKUP('.'!I170,Recipes!$A:$D,4,FALSE)="",""," ["&amp;VLOOKUP('.'!I170,Recipes!$A:$D,4,FALSE)&amp;"]"))</f>
        <v/>
      </c>
      <c r="J170" s="46" t="str">
        <f t="array" ref="J170">IF('.'!J170="","",'.'!J170&amp;IF(VLOOKUP('.'!J170,Recipes!$A:$D,4,FALSE)="",""," ["&amp;VLOOKUP('.'!J170,Recipes!$A:$D,4,FALSE)&amp;"]"))</f>
        <v/>
      </c>
      <c r="K170" s="46" t="str">
        <f t="array" ref="K170">IF('.'!K170="","",'.'!K170&amp;IF(VLOOKUP('.'!K170,Recipes!$A:$D,4,FALSE)="",""," ["&amp;VLOOKUP('.'!K170,Recipes!$A:$D,4,FALSE)&amp;"]"))</f>
        <v/>
      </c>
      <c r="L170" s="46" t="str">
        <f t="array" ref="L170">IF('.'!L170="","",'.'!L170&amp;IF(VLOOKUP('.'!L170,Recipes!$A:$D,4,FALSE)="",""," ["&amp;VLOOKUP('.'!L170,Recipes!$A:$D,4,FALSE)&amp;"]"))</f>
        <v/>
      </c>
      <c r="M170" s="46" t="str">
        <f t="array" ref="M170">IF('.'!M170="","",'.'!M170&amp;IF(VLOOKUP('.'!M170,Recipes!$A:$D,4,FALSE)="",""," ["&amp;VLOOKUP('.'!M170,Recipes!$A:$D,4,FALSE)&amp;"]"))</f>
        <v/>
      </c>
      <c r="N170" s="46" t="str">
        <f t="array" ref="N170">IF('.'!N170="","",'.'!N170&amp;IF(VLOOKUP('.'!N170,Recipes!$A:$D,4,FALSE)="",""," ["&amp;VLOOKUP('.'!N170,Recipes!$A:$D,4,FALSE)&amp;"]"))</f>
        <v/>
      </c>
      <c r="O170" s="46" t="str">
        <f t="array" ref="O170">IF('.'!O170="","",'.'!O170&amp;IF(VLOOKUP('.'!O170,Recipes!$A:$D,4,FALSE)="",""," ["&amp;VLOOKUP('.'!O170,Recipes!$A:$D,4,FALSE)&amp;"]"))</f>
        <v/>
      </c>
      <c r="P170" s="46" t="str">
        <f t="array" ref="P170">IF('.'!P170="","",'.'!P170&amp;IF(VLOOKUP('.'!P170,Recipes!$A:$D,4,FALSE)="",""," ["&amp;VLOOKUP('.'!P170,Recipes!$A:$D,4,FALSE)&amp;"]"))</f>
        <v/>
      </c>
      <c r="Q170" s="46" t="str">
        <f t="array" ref="Q170">IF('.'!Q170="","",'.'!Q170&amp;IF(VLOOKUP('.'!Q170,Recipes!$A:$D,4,FALSE)="",""," ["&amp;VLOOKUP('.'!Q170,Recipes!$A:$D,4,FALSE)&amp;"]"))</f>
        <v/>
      </c>
      <c r="R170" s="46" t="str">
        <f t="array" ref="R170">IF('.'!R170="","",'.'!R170&amp;IF(VLOOKUP('.'!R170,Recipes!$A:$D,4,FALSE)="",""," ["&amp;VLOOKUP('.'!R170,Recipes!$A:$D,4,FALSE)&amp;"]"))</f>
        <v/>
      </c>
      <c r="S170" s="46" t="str">
        <f t="array" ref="S170">IF('.'!S170="","",'.'!S170&amp;IF(VLOOKUP('.'!S170,Recipes!$A:$D,4,FALSE)="",""," ["&amp;VLOOKUP('.'!S170,Recipes!$A:$D,4,FALSE)&amp;"]"))</f>
        <v/>
      </c>
      <c r="T170" s="46" t="str">
        <f t="array" ref="T170">IF('.'!T170="","",'.'!T170&amp;IF(VLOOKUP('.'!T170,Recipes!$A:$D,4,FALSE)="",""," ["&amp;VLOOKUP('.'!T170,Recipes!$A:$D,4,FALSE)&amp;"]"))</f>
        <v/>
      </c>
      <c r="U170" s="46" t="str">
        <f t="array" ref="U170">IF('.'!U170="","",'.'!U170&amp;IF(VLOOKUP('.'!U170,Recipes!$A:$D,4,FALSE)="",""," ["&amp;VLOOKUP('.'!U170,Recipes!$A:$D,4,FALSE)&amp;"]"))</f>
        <v/>
      </c>
      <c r="V170" s="46" t="str">
        <f t="array" ref="V170">IF('.'!V170="","",'.'!V170&amp;IF(VLOOKUP('.'!V170,Recipes!$A:$D,4,FALSE)="",""," ["&amp;VLOOKUP('.'!V170,Recipes!$A:$D,4,FALSE)&amp;"]"))</f>
        <v/>
      </c>
      <c r="W170" s="46" t="str">
        <f t="array" ref="W170">IF('.'!W170="","",'.'!W170&amp;IF(VLOOKUP('.'!W170,Recipes!$A:$D,4,FALSE)="",""," ["&amp;VLOOKUP('.'!W170,Recipes!$A:$D,4,FALSE)&amp;"]"))</f>
        <v/>
      </c>
      <c r="X170" s="46" t="str">
        <f t="array" ref="X170">IF('.'!X170="","",'.'!X170&amp;IF(VLOOKUP('.'!X170,Recipes!$A:$D,4,FALSE)="",""," ["&amp;VLOOKUP('.'!X170,Recipes!$A:$D,4,FALSE)&amp;"]"))</f>
        <v/>
      </c>
      <c r="Y170" s="46" t="str">
        <f t="array" ref="Y170">IF('.'!Y170="","",'.'!Y170&amp;IF(VLOOKUP('.'!Y170,Recipes!$A:$D,4,FALSE)="",""," ["&amp;VLOOKUP('.'!Y170,Recipes!$A:$D,4,FALSE)&amp;"]"))</f>
        <v/>
      </c>
      <c r="Z170" s="46" t="str">
        <f t="array" ref="Z170">IF('.'!Z170="","",'.'!Z170&amp;IF(VLOOKUP('.'!Z170,Recipes!$A:$D,4,FALSE)="",""," ["&amp;VLOOKUP('.'!Z170,Recipes!$A:$D,4,FALSE)&amp;"]"))</f>
        <v/>
      </c>
      <c r="AA170" s="46" t="str">
        <f t="array" ref="AA170">IF('.'!AA170="","",'.'!AA170&amp;IF(VLOOKUP('.'!AA170,Recipes!$A:$D,4,FALSE)="",""," ["&amp;VLOOKUP('.'!AA170,Recipes!$A:$D,4,FALSE)&amp;"]"))</f>
        <v/>
      </c>
      <c r="AB170" s="46" t="str">
        <f t="array" ref="AB170">IF('.'!AB170="","",'.'!AB170&amp;IF(VLOOKUP('.'!AB170,Recipes!$A:$D,4,FALSE)="",""," ["&amp;VLOOKUP('.'!AB170,Recipes!$A:$D,4,FALSE)&amp;"]"))</f>
        <v/>
      </c>
      <c r="AC170" s="46" t="str">
        <f t="array" ref="AC170">IF('.'!AC170="","",'.'!AC170&amp;IF(VLOOKUP('.'!AC170,Recipes!$A:$D,4,FALSE)="",""," ["&amp;VLOOKUP('.'!AC170,Recipes!$A:$D,4,FALSE)&amp;"]"))</f>
        <v/>
      </c>
      <c r="AD170" s="46" t="str">
        <f t="array" ref="AD170">IF('.'!AD170="","",'.'!AD170&amp;IF(VLOOKUP('.'!AD170,Recipes!$A:$D,4,FALSE)="",""," ["&amp;VLOOKUP('.'!AD170,Recipes!$A:$D,4,FALSE)&amp;"]"))</f>
        <v/>
      </c>
      <c r="AE170" s="47"/>
      <c r="AF170" s="47"/>
      <c r="AG170" s="47"/>
      <c r="AH170" s="47"/>
      <c r="AI170" s="47"/>
      <c r="AJ170" s="47"/>
      <c r="AK170" s="47"/>
      <c r="AL170" s="47"/>
      <c r="AM170" s="47"/>
      <c r="AN170" s="47"/>
      <c r="AO170" s="47"/>
      <c r="AP170" s="47"/>
      <c r="AQ170" s="47"/>
      <c r="AR170" s="47"/>
      <c r="AS170" s="47"/>
      <c r="AT170" s="47"/>
      <c r="AU170" s="47"/>
      <c r="AV170" s="47"/>
      <c r="AW170" s="47"/>
      <c r="AX170" s="47"/>
      <c r="AY170" s="47"/>
      <c r="AZ170" s="47"/>
      <c r="BA170" s="47"/>
      <c r="BB170" s="47"/>
      <c r="BC170" s="47"/>
      <c r="BD170" s="47"/>
      <c r="BE170" s="47"/>
      <c r="BF170" s="47"/>
      <c r="BG170" s="47"/>
      <c r="BH170" s="47"/>
      <c r="BI170" s="47"/>
      <c r="BJ170" s="47"/>
      <c r="BK170" s="47"/>
      <c r="BL170" s="47"/>
      <c r="BM170" s="47"/>
      <c r="BN170" s="47"/>
      <c r="BO170" s="47"/>
      <c r="BP170" s="47"/>
      <c r="BQ170" s="47"/>
      <c r="BR170" s="47"/>
      <c r="BS170" s="47"/>
      <c r="BT170" s="47"/>
      <c r="BU170" s="47"/>
      <c r="BV170" s="47"/>
      <c r="BW170" s="47"/>
      <c r="BX170" s="47"/>
      <c r="BY170" s="47"/>
      <c r="BZ170" s="47"/>
    </row>
    <row r="171" spans="1:78" ht="13">
      <c r="A171" s="48" t="str">
        <f ca="1">'.'!A171</f>
        <v>Farhangite</v>
      </c>
      <c r="B171" s="46" t="str">
        <f t="array" aca="1" ref="B171" ca="1">IF('.'!B171="","",'.'!B171&amp;IF(VLOOKUP('.'!B171,Recipes!$A:$D,4,FALSE)="",""," ["&amp;VLOOKUP('.'!B171,Recipes!$A:$D,4,FALSE)&amp;"]"))</f>
        <v>Minor Constitution Potion [-30]</v>
      </c>
      <c r="C171" s="46" t="str">
        <f t="array" aca="1" ref="C171" ca="1">IF('.'!C171="","",'.'!C171&amp;IF(VLOOKUP('.'!C171,Recipes!$A:$D,4,FALSE)="",""," ["&amp;VLOOKUP('.'!C171,Recipes!$A:$D,4,FALSE)&amp;"]"))</f>
        <v>Courage Herbmix [-205]</v>
      </c>
      <c r="D171" s="46" t="str">
        <f t="array" ref="D171">IF('.'!D171="","",'.'!D171&amp;IF(VLOOKUP('.'!D171,Recipes!$A:$D,4,FALSE)="",""," ["&amp;VLOOKUP('.'!D171,Recipes!$A:$D,4,FALSE)&amp;"]"))</f>
        <v/>
      </c>
      <c r="E171" s="46" t="str">
        <f t="array" ref="E171">IF('.'!E171="","",'.'!E171&amp;IF(VLOOKUP('.'!E171,Recipes!$A:$D,4,FALSE)="",""," ["&amp;VLOOKUP('.'!E171,Recipes!$A:$D,4,FALSE)&amp;"]"))</f>
        <v/>
      </c>
      <c r="F171" s="46" t="str">
        <f t="array" ref="F171">IF('.'!F171="","",'.'!F171&amp;IF(VLOOKUP('.'!F171,Recipes!$A:$D,4,FALSE)="",""," ["&amp;VLOOKUP('.'!F171,Recipes!$A:$D,4,FALSE)&amp;"]"))</f>
        <v/>
      </c>
      <c r="G171" s="46" t="str">
        <f t="array" ref="G171">IF('.'!G171="","",'.'!G171&amp;IF(VLOOKUP('.'!G171,Recipes!$A:$D,4,FALSE)="",""," ["&amp;VLOOKUP('.'!G171,Recipes!$A:$D,4,FALSE)&amp;"]"))</f>
        <v/>
      </c>
      <c r="H171" s="46" t="str">
        <f t="array" ref="H171">IF('.'!H171="","",'.'!H171&amp;IF(VLOOKUP('.'!H171,Recipes!$A:$D,4,FALSE)="",""," ["&amp;VLOOKUP('.'!H171,Recipes!$A:$D,4,FALSE)&amp;"]"))</f>
        <v/>
      </c>
      <c r="I171" s="46" t="str">
        <f t="array" ref="I171">IF('.'!I171="","",'.'!I171&amp;IF(VLOOKUP('.'!I171,Recipes!$A:$D,4,FALSE)="",""," ["&amp;VLOOKUP('.'!I171,Recipes!$A:$D,4,FALSE)&amp;"]"))</f>
        <v/>
      </c>
      <c r="J171" s="46" t="str">
        <f t="array" ref="J171">IF('.'!J171="","",'.'!J171&amp;IF(VLOOKUP('.'!J171,Recipes!$A:$D,4,FALSE)="",""," ["&amp;VLOOKUP('.'!J171,Recipes!$A:$D,4,FALSE)&amp;"]"))</f>
        <v/>
      </c>
      <c r="K171" s="46" t="str">
        <f t="array" ref="K171">IF('.'!K171="","",'.'!K171&amp;IF(VLOOKUP('.'!K171,Recipes!$A:$D,4,FALSE)="",""," ["&amp;VLOOKUP('.'!K171,Recipes!$A:$D,4,FALSE)&amp;"]"))</f>
        <v/>
      </c>
      <c r="L171" s="46" t="str">
        <f t="array" ref="L171">IF('.'!L171="","",'.'!L171&amp;IF(VLOOKUP('.'!L171,Recipes!$A:$D,4,FALSE)="",""," ["&amp;VLOOKUP('.'!L171,Recipes!$A:$D,4,FALSE)&amp;"]"))</f>
        <v/>
      </c>
      <c r="M171" s="46" t="str">
        <f t="array" ref="M171">IF('.'!M171="","",'.'!M171&amp;IF(VLOOKUP('.'!M171,Recipes!$A:$D,4,FALSE)="",""," ["&amp;VLOOKUP('.'!M171,Recipes!$A:$D,4,FALSE)&amp;"]"))</f>
        <v/>
      </c>
      <c r="N171" s="46" t="str">
        <f t="array" ref="N171">IF('.'!N171="","",'.'!N171&amp;IF(VLOOKUP('.'!N171,Recipes!$A:$D,4,FALSE)="",""," ["&amp;VLOOKUP('.'!N171,Recipes!$A:$D,4,FALSE)&amp;"]"))</f>
        <v/>
      </c>
      <c r="O171" s="46" t="str">
        <f t="array" ref="O171">IF('.'!O171="","",'.'!O171&amp;IF(VLOOKUP('.'!O171,Recipes!$A:$D,4,FALSE)="",""," ["&amp;VLOOKUP('.'!O171,Recipes!$A:$D,4,FALSE)&amp;"]"))</f>
        <v/>
      </c>
      <c r="P171" s="46" t="str">
        <f t="array" ref="P171">IF('.'!P171="","",'.'!P171&amp;IF(VLOOKUP('.'!P171,Recipes!$A:$D,4,FALSE)="",""," ["&amp;VLOOKUP('.'!P171,Recipes!$A:$D,4,FALSE)&amp;"]"))</f>
        <v/>
      </c>
      <c r="Q171" s="46" t="str">
        <f t="array" ref="Q171">IF('.'!Q171="","",'.'!Q171&amp;IF(VLOOKUP('.'!Q171,Recipes!$A:$D,4,FALSE)="",""," ["&amp;VLOOKUP('.'!Q171,Recipes!$A:$D,4,FALSE)&amp;"]"))</f>
        <v/>
      </c>
      <c r="R171" s="46" t="str">
        <f t="array" ref="R171">IF('.'!R171="","",'.'!R171&amp;IF(VLOOKUP('.'!R171,Recipes!$A:$D,4,FALSE)="",""," ["&amp;VLOOKUP('.'!R171,Recipes!$A:$D,4,FALSE)&amp;"]"))</f>
        <v/>
      </c>
      <c r="S171" s="46" t="str">
        <f t="array" ref="S171">IF('.'!S171="","",'.'!S171&amp;IF(VLOOKUP('.'!S171,Recipes!$A:$D,4,FALSE)="",""," ["&amp;VLOOKUP('.'!S171,Recipes!$A:$D,4,FALSE)&amp;"]"))</f>
        <v/>
      </c>
      <c r="T171" s="46" t="str">
        <f t="array" ref="T171">IF('.'!T171="","",'.'!T171&amp;IF(VLOOKUP('.'!T171,Recipes!$A:$D,4,FALSE)="",""," ["&amp;VLOOKUP('.'!T171,Recipes!$A:$D,4,FALSE)&amp;"]"))</f>
        <v/>
      </c>
      <c r="U171" s="46" t="str">
        <f t="array" ref="U171">IF('.'!U171="","",'.'!U171&amp;IF(VLOOKUP('.'!U171,Recipes!$A:$D,4,FALSE)="",""," ["&amp;VLOOKUP('.'!U171,Recipes!$A:$D,4,FALSE)&amp;"]"))</f>
        <v/>
      </c>
      <c r="V171" s="46" t="str">
        <f t="array" ref="V171">IF('.'!V171="","",'.'!V171&amp;IF(VLOOKUP('.'!V171,Recipes!$A:$D,4,FALSE)="",""," ["&amp;VLOOKUP('.'!V171,Recipes!$A:$D,4,FALSE)&amp;"]"))</f>
        <v/>
      </c>
      <c r="W171" s="46" t="str">
        <f t="array" ref="W171">IF('.'!W171="","",'.'!W171&amp;IF(VLOOKUP('.'!W171,Recipes!$A:$D,4,FALSE)="",""," ["&amp;VLOOKUP('.'!W171,Recipes!$A:$D,4,FALSE)&amp;"]"))</f>
        <v/>
      </c>
      <c r="X171" s="46" t="str">
        <f t="array" ref="X171">IF('.'!X171="","",'.'!X171&amp;IF(VLOOKUP('.'!X171,Recipes!$A:$D,4,FALSE)="",""," ["&amp;VLOOKUP('.'!X171,Recipes!$A:$D,4,FALSE)&amp;"]"))</f>
        <v/>
      </c>
      <c r="Y171" s="46" t="str">
        <f t="array" ref="Y171">IF('.'!Y171="","",'.'!Y171&amp;IF(VLOOKUP('.'!Y171,Recipes!$A:$D,4,FALSE)="",""," ["&amp;VLOOKUP('.'!Y171,Recipes!$A:$D,4,FALSE)&amp;"]"))</f>
        <v/>
      </c>
      <c r="Z171" s="46" t="str">
        <f t="array" ref="Z171">IF('.'!Z171="","",'.'!Z171&amp;IF(VLOOKUP('.'!Z171,Recipes!$A:$D,4,FALSE)="",""," ["&amp;VLOOKUP('.'!Z171,Recipes!$A:$D,4,FALSE)&amp;"]"))</f>
        <v/>
      </c>
      <c r="AA171" s="46" t="str">
        <f t="array" ref="AA171">IF('.'!AA171="","",'.'!AA171&amp;IF(VLOOKUP('.'!AA171,Recipes!$A:$D,4,FALSE)="",""," ["&amp;VLOOKUP('.'!AA171,Recipes!$A:$D,4,FALSE)&amp;"]"))</f>
        <v/>
      </c>
      <c r="AB171" s="46" t="str">
        <f t="array" ref="AB171">IF('.'!AB171="","",'.'!AB171&amp;IF(VLOOKUP('.'!AB171,Recipes!$A:$D,4,FALSE)="",""," ["&amp;VLOOKUP('.'!AB171,Recipes!$A:$D,4,FALSE)&amp;"]"))</f>
        <v/>
      </c>
      <c r="AC171" s="46" t="str">
        <f t="array" ref="AC171">IF('.'!AC171="","",'.'!AC171&amp;IF(VLOOKUP('.'!AC171,Recipes!$A:$D,4,FALSE)="",""," ["&amp;VLOOKUP('.'!AC171,Recipes!$A:$D,4,FALSE)&amp;"]"))</f>
        <v/>
      </c>
      <c r="AD171" s="46" t="str">
        <f t="array" ref="AD171">IF('.'!AD171="","",'.'!AD171&amp;IF(VLOOKUP('.'!AD171,Recipes!$A:$D,4,FALSE)="",""," ["&amp;VLOOKUP('.'!AD171,Recipes!$A:$D,4,FALSE)&amp;"]"))</f>
        <v/>
      </c>
      <c r="AE171" s="47"/>
      <c r="AF171" s="47"/>
      <c r="AG171" s="47"/>
      <c r="AH171" s="47"/>
      <c r="AI171" s="47"/>
      <c r="AJ171" s="47"/>
      <c r="AK171" s="47"/>
      <c r="AL171" s="47"/>
      <c r="AM171" s="47"/>
      <c r="AN171" s="47"/>
      <c r="AO171" s="47"/>
      <c r="AP171" s="47"/>
      <c r="AQ171" s="47"/>
      <c r="AR171" s="47"/>
      <c r="AS171" s="47"/>
      <c r="AT171" s="47"/>
      <c r="AU171" s="47"/>
      <c r="AV171" s="47"/>
      <c r="AW171" s="47"/>
      <c r="AX171" s="47"/>
      <c r="AY171" s="47"/>
      <c r="AZ171" s="47"/>
      <c r="BA171" s="47"/>
      <c r="BB171" s="47"/>
      <c r="BC171" s="47"/>
      <c r="BD171" s="47"/>
      <c r="BE171" s="47"/>
      <c r="BF171" s="47"/>
      <c r="BG171" s="47"/>
      <c r="BH171" s="47"/>
      <c r="BI171" s="47"/>
      <c r="BJ171" s="47"/>
      <c r="BK171" s="47"/>
      <c r="BL171" s="47"/>
      <c r="BM171" s="47"/>
      <c r="BN171" s="47"/>
      <c r="BO171" s="47"/>
      <c r="BP171" s="47"/>
      <c r="BQ171" s="47"/>
      <c r="BR171" s="47"/>
      <c r="BS171" s="47"/>
      <c r="BT171" s="47"/>
      <c r="BU171" s="47"/>
      <c r="BV171" s="47"/>
      <c r="BW171" s="47"/>
      <c r="BX171" s="47"/>
      <c r="BY171" s="47"/>
      <c r="BZ171" s="47"/>
    </row>
    <row r="172" spans="1:78" ht="13">
      <c r="A172" s="48" t="str">
        <f ca="1">'.'!A172</f>
        <v>Farsight Infusion Scroll</v>
      </c>
      <c r="B172" s="46" t="str">
        <f t="array" aca="1" ref="B172" ca="1">IF('.'!B172="","",'.'!B172&amp;IF(VLOOKUP('.'!B172,Recipes!$A:$D,4,FALSE)="",""," ["&amp;VLOOKUP('.'!B172,Recipes!$A:$D,4,FALSE)&amp;"]"))</f>
        <v>Farsight Infusion Skillbook [-130]</v>
      </c>
      <c r="C172" s="46" t="str">
        <f t="array" ref="C172">IF('.'!C172="","",'.'!C172&amp;IF(VLOOKUP('.'!C172,Recipes!$A:$D,4,FALSE)="",""," ["&amp;VLOOKUP('.'!C172,Recipes!$A:$D,4,FALSE)&amp;"]"))</f>
        <v/>
      </c>
      <c r="D172" s="46" t="str">
        <f t="array" ref="D172">IF('.'!D172="","",'.'!D172&amp;IF(VLOOKUP('.'!D172,Recipes!$A:$D,4,FALSE)="",""," ["&amp;VLOOKUP('.'!D172,Recipes!$A:$D,4,FALSE)&amp;"]"))</f>
        <v/>
      </c>
      <c r="E172" s="46" t="str">
        <f t="array" ref="E172">IF('.'!E172="","",'.'!E172&amp;IF(VLOOKUP('.'!E172,Recipes!$A:$D,4,FALSE)="",""," ["&amp;VLOOKUP('.'!E172,Recipes!$A:$D,4,FALSE)&amp;"]"))</f>
        <v/>
      </c>
      <c r="F172" s="46" t="str">
        <f t="array" ref="F172">IF('.'!F172="","",'.'!F172&amp;IF(VLOOKUP('.'!F172,Recipes!$A:$D,4,FALSE)="",""," ["&amp;VLOOKUP('.'!F172,Recipes!$A:$D,4,FALSE)&amp;"]"))</f>
        <v/>
      </c>
      <c r="G172" s="46" t="str">
        <f t="array" ref="G172">IF('.'!G172="","",'.'!G172&amp;IF(VLOOKUP('.'!G172,Recipes!$A:$D,4,FALSE)="",""," ["&amp;VLOOKUP('.'!G172,Recipes!$A:$D,4,FALSE)&amp;"]"))</f>
        <v/>
      </c>
      <c r="H172" s="46" t="str">
        <f t="array" ref="H172">IF('.'!H172="","",'.'!H172&amp;IF(VLOOKUP('.'!H172,Recipes!$A:$D,4,FALSE)="",""," ["&amp;VLOOKUP('.'!H172,Recipes!$A:$D,4,FALSE)&amp;"]"))</f>
        <v/>
      </c>
      <c r="I172" s="46" t="str">
        <f t="array" ref="I172">IF('.'!I172="","",'.'!I172&amp;IF(VLOOKUP('.'!I172,Recipes!$A:$D,4,FALSE)="",""," ["&amp;VLOOKUP('.'!I172,Recipes!$A:$D,4,FALSE)&amp;"]"))</f>
        <v/>
      </c>
      <c r="J172" s="46" t="str">
        <f t="array" ref="J172">IF('.'!J172="","",'.'!J172&amp;IF(VLOOKUP('.'!J172,Recipes!$A:$D,4,FALSE)="",""," ["&amp;VLOOKUP('.'!J172,Recipes!$A:$D,4,FALSE)&amp;"]"))</f>
        <v/>
      </c>
      <c r="K172" s="46" t="str">
        <f t="array" ref="K172">IF('.'!K172="","",'.'!K172&amp;IF(VLOOKUP('.'!K172,Recipes!$A:$D,4,FALSE)="",""," ["&amp;VLOOKUP('.'!K172,Recipes!$A:$D,4,FALSE)&amp;"]"))</f>
        <v/>
      </c>
      <c r="L172" s="46" t="str">
        <f t="array" ref="L172">IF('.'!L172="","",'.'!L172&amp;IF(VLOOKUP('.'!L172,Recipes!$A:$D,4,FALSE)="",""," ["&amp;VLOOKUP('.'!L172,Recipes!$A:$D,4,FALSE)&amp;"]"))</f>
        <v/>
      </c>
      <c r="M172" s="46" t="str">
        <f t="array" ref="M172">IF('.'!M172="","",'.'!M172&amp;IF(VLOOKUP('.'!M172,Recipes!$A:$D,4,FALSE)="",""," ["&amp;VLOOKUP('.'!M172,Recipes!$A:$D,4,FALSE)&amp;"]"))</f>
        <v/>
      </c>
      <c r="N172" s="46" t="str">
        <f t="array" ref="N172">IF('.'!N172="","",'.'!N172&amp;IF(VLOOKUP('.'!N172,Recipes!$A:$D,4,FALSE)="",""," ["&amp;VLOOKUP('.'!N172,Recipes!$A:$D,4,FALSE)&amp;"]"))</f>
        <v/>
      </c>
      <c r="O172" s="46" t="str">
        <f t="array" ref="O172">IF('.'!O172="","",'.'!O172&amp;IF(VLOOKUP('.'!O172,Recipes!$A:$D,4,FALSE)="",""," ["&amp;VLOOKUP('.'!O172,Recipes!$A:$D,4,FALSE)&amp;"]"))</f>
        <v/>
      </c>
      <c r="P172" s="46" t="str">
        <f t="array" ref="P172">IF('.'!P172="","",'.'!P172&amp;IF(VLOOKUP('.'!P172,Recipes!$A:$D,4,FALSE)="",""," ["&amp;VLOOKUP('.'!P172,Recipes!$A:$D,4,FALSE)&amp;"]"))</f>
        <v/>
      </c>
      <c r="Q172" s="46" t="str">
        <f t="array" ref="Q172">IF('.'!Q172="","",'.'!Q172&amp;IF(VLOOKUP('.'!Q172,Recipes!$A:$D,4,FALSE)="",""," ["&amp;VLOOKUP('.'!Q172,Recipes!$A:$D,4,FALSE)&amp;"]"))</f>
        <v/>
      </c>
      <c r="R172" s="46" t="str">
        <f t="array" ref="R172">IF('.'!R172="","",'.'!R172&amp;IF(VLOOKUP('.'!R172,Recipes!$A:$D,4,FALSE)="",""," ["&amp;VLOOKUP('.'!R172,Recipes!$A:$D,4,FALSE)&amp;"]"))</f>
        <v/>
      </c>
      <c r="S172" s="46" t="str">
        <f t="array" ref="S172">IF('.'!S172="","",'.'!S172&amp;IF(VLOOKUP('.'!S172,Recipes!$A:$D,4,FALSE)="",""," ["&amp;VLOOKUP('.'!S172,Recipes!$A:$D,4,FALSE)&amp;"]"))</f>
        <v/>
      </c>
      <c r="T172" s="46" t="str">
        <f t="array" ref="T172">IF('.'!T172="","",'.'!T172&amp;IF(VLOOKUP('.'!T172,Recipes!$A:$D,4,FALSE)="",""," ["&amp;VLOOKUP('.'!T172,Recipes!$A:$D,4,FALSE)&amp;"]"))</f>
        <v/>
      </c>
      <c r="U172" s="46" t="str">
        <f t="array" ref="U172">IF('.'!U172="","",'.'!U172&amp;IF(VLOOKUP('.'!U172,Recipes!$A:$D,4,FALSE)="",""," ["&amp;VLOOKUP('.'!U172,Recipes!$A:$D,4,FALSE)&amp;"]"))</f>
        <v/>
      </c>
      <c r="V172" s="46" t="str">
        <f t="array" ref="V172">IF('.'!V172="","",'.'!V172&amp;IF(VLOOKUP('.'!V172,Recipes!$A:$D,4,FALSE)="",""," ["&amp;VLOOKUP('.'!V172,Recipes!$A:$D,4,FALSE)&amp;"]"))</f>
        <v/>
      </c>
      <c r="W172" s="46" t="str">
        <f t="array" ref="W172">IF('.'!W172="","",'.'!W172&amp;IF(VLOOKUP('.'!W172,Recipes!$A:$D,4,FALSE)="",""," ["&amp;VLOOKUP('.'!W172,Recipes!$A:$D,4,FALSE)&amp;"]"))</f>
        <v/>
      </c>
      <c r="X172" s="46" t="str">
        <f t="array" ref="X172">IF('.'!X172="","",'.'!X172&amp;IF(VLOOKUP('.'!X172,Recipes!$A:$D,4,FALSE)="",""," ["&amp;VLOOKUP('.'!X172,Recipes!$A:$D,4,FALSE)&amp;"]"))</f>
        <v/>
      </c>
      <c r="Y172" s="46" t="str">
        <f t="array" ref="Y172">IF('.'!Y172="","",'.'!Y172&amp;IF(VLOOKUP('.'!Y172,Recipes!$A:$D,4,FALSE)="",""," ["&amp;VLOOKUP('.'!Y172,Recipes!$A:$D,4,FALSE)&amp;"]"))</f>
        <v/>
      </c>
      <c r="Z172" s="46" t="str">
        <f t="array" ref="Z172">IF('.'!Z172="","",'.'!Z172&amp;IF(VLOOKUP('.'!Z172,Recipes!$A:$D,4,FALSE)="",""," ["&amp;VLOOKUP('.'!Z172,Recipes!$A:$D,4,FALSE)&amp;"]"))</f>
        <v/>
      </c>
      <c r="AA172" s="46" t="str">
        <f t="array" ref="AA172">IF('.'!AA172="","",'.'!AA172&amp;IF(VLOOKUP('.'!AA172,Recipes!$A:$D,4,FALSE)="",""," ["&amp;VLOOKUP('.'!AA172,Recipes!$A:$D,4,FALSE)&amp;"]"))</f>
        <v/>
      </c>
      <c r="AB172" s="46" t="str">
        <f t="array" ref="AB172">IF('.'!AB172="","",'.'!AB172&amp;IF(VLOOKUP('.'!AB172,Recipes!$A:$D,4,FALSE)="",""," ["&amp;VLOOKUP('.'!AB172,Recipes!$A:$D,4,FALSE)&amp;"]"))</f>
        <v/>
      </c>
      <c r="AC172" s="46" t="str">
        <f t="array" ref="AC172">IF('.'!AC172="","",'.'!AC172&amp;IF(VLOOKUP('.'!AC172,Recipes!$A:$D,4,FALSE)="",""," ["&amp;VLOOKUP('.'!AC172,Recipes!$A:$D,4,FALSE)&amp;"]"))</f>
        <v/>
      </c>
      <c r="AD172" s="46" t="str">
        <f t="array" ref="AD172">IF('.'!AD172="","",'.'!AD172&amp;IF(VLOOKUP('.'!AD172,Recipes!$A:$D,4,FALSE)="",""," ["&amp;VLOOKUP('.'!AD172,Recipes!$A:$D,4,FALSE)&amp;"]"))</f>
        <v/>
      </c>
      <c r="AE172" s="47"/>
      <c r="AF172" s="47"/>
      <c r="AG172" s="47"/>
      <c r="AH172" s="47"/>
      <c r="AI172" s="47"/>
      <c r="AJ172" s="47"/>
      <c r="AK172" s="47"/>
      <c r="AL172" s="47"/>
      <c r="AM172" s="47"/>
      <c r="AN172" s="47"/>
      <c r="AO172" s="47"/>
      <c r="AP172" s="47"/>
      <c r="AQ172" s="47"/>
      <c r="AR172" s="47"/>
      <c r="AS172" s="47"/>
      <c r="AT172" s="47"/>
      <c r="AU172" s="47"/>
      <c r="AV172" s="47"/>
      <c r="AW172" s="47"/>
      <c r="AX172" s="47"/>
      <c r="AY172" s="47"/>
      <c r="AZ172" s="47"/>
      <c r="BA172" s="47"/>
      <c r="BB172" s="47"/>
      <c r="BC172" s="47"/>
      <c r="BD172" s="47"/>
      <c r="BE172" s="47"/>
      <c r="BF172" s="47"/>
      <c r="BG172" s="47"/>
      <c r="BH172" s="47"/>
      <c r="BI172" s="47"/>
      <c r="BJ172" s="47"/>
      <c r="BK172" s="47"/>
      <c r="BL172" s="47"/>
      <c r="BM172" s="47"/>
      <c r="BN172" s="47"/>
      <c r="BO172" s="47"/>
      <c r="BP172" s="47"/>
      <c r="BQ172" s="47"/>
      <c r="BR172" s="47"/>
      <c r="BS172" s="47"/>
      <c r="BT172" s="47"/>
      <c r="BU172" s="47"/>
      <c r="BV172" s="47"/>
      <c r="BW172" s="47"/>
      <c r="BX172" s="47"/>
      <c r="BY172" s="47"/>
      <c r="BZ172" s="47"/>
    </row>
    <row r="173" spans="1:78" ht="13">
      <c r="A173" s="48" t="str">
        <f ca="1">'.'!A173</f>
        <v>Favourable Wind Scroll</v>
      </c>
      <c r="B173" s="46" t="str">
        <f t="array" aca="1" ref="B173" ca="1">IF('.'!B173="","",'.'!B173&amp;IF(VLOOKUP('.'!B173,Recipes!$A:$D,4,FALSE)="",""," ["&amp;VLOOKUP('.'!B173,Recipes!$A:$D,4,FALSE)&amp;"]"))</f>
        <v>Favourable Wind Skillbook [-190]</v>
      </c>
      <c r="C173" s="46" t="str">
        <f t="array" ref="C173">IF('.'!C173="","",'.'!C173&amp;IF(VLOOKUP('.'!C173,Recipes!$A:$D,4,FALSE)="",""," ["&amp;VLOOKUP('.'!C173,Recipes!$A:$D,4,FALSE)&amp;"]"))</f>
        <v/>
      </c>
      <c r="D173" s="46" t="str">
        <f t="array" ref="D173">IF('.'!D173="","",'.'!D173&amp;IF(VLOOKUP('.'!D173,Recipes!$A:$D,4,FALSE)="",""," ["&amp;VLOOKUP('.'!D173,Recipes!$A:$D,4,FALSE)&amp;"]"))</f>
        <v/>
      </c>
      <c r="E173" s="46" t="str">
        <f t="array" ref="E173">IF('.'!E173="","",'.'!E173&amp;IF(VLOOKUP('.'!E173,Recipes!$A:$D,4,FALSE)="",""," ["&amp;VLOOKUP('.'!E173,Recipes!$A:$D,4,FALSE)&amp;"]"))</f>
        <v/>
      </c>
      <c r="F173" s="46" t="str">
        <f t="array" ref="F173">IF('.'!F173="","",'.'!F173&amp;IF(VLOOKUP('.'!F173,Recipes!$A:$D,4,FALSE)="",""," ["&amp;VLOOKUP('.'!F173,Recipes!$A:$D,4,FALSE)&amp;"]"))</f>
        <v/>
      </c>
      <c r="G173" s="46" t="str">
        <f t="array" ref="G173">IF('.'!G173="","",'.'!G173&amp;IF(VLOOKUP('.'!G173,Recipes!$A:$D,4,FALSE)="",""," ["&amp;VLOOKUP('.'!G173,Recipes!$A:$D,4,FALSE)&amp;"]"))</f>
        <v/>
      </c>
      <c r="H173" s="46" t="str">
        <f t="array" ref="H173">IF('.'!H173="","",'.'!H173&amp;IF(VLOOKUP('.'!H173,Recipes!$A:$D,4,FALSE)="",""," ["&amp;VLOOKUP('.'!H173,Recipes!$A:$D,4,FALSE)&amp;"]"))</f>
        <v/>
      </c>
      <c r="I173" s="46" t="str">
        <f t="array" ref="I173">IF('.'!I173="","",'.'!I173&amp;IF(VLOOKUP('.'!I173,Recipes!$A:$D,4,FALSE)="",""," ["&amp;VLOOKUP('.'!I173,Recipes!$A:$D,4,FALSE)&amp;"]"))</f>
        <v/>
      </c>
      <c r="J173" s="46" t="str">
        <f t="array" ref="J173">IF('.'!J173="","",'.'!J173&amp;IF(VLOOKUP('.'!J173,Recipes!$A:$D,4,FALSE)="",""," ["&amp;VLOOKUP('.'!J173,Recipes!$A:$D,4,FALSE)&amp;"]"))</f>
        <v/>
      </c>
      <c r="K173" s="46" t="str">
        <f t="array" ref="K173">IF('.'!K173="","",'.'!K173&amp;IF(VLOOKUP('.'!K173,Recipes!$A:$D,4,FALSE)="",""," ["&amp;VLOOKUP('.'!K173,Recipes!$A:$D,4,FALSE)&amp;"]"))</f>
        <v/>
      </c>
      <c r="L173" s="46" t="str">
        <f t="array" ref="L173">IF('.'!L173="","",'.'!L173&amp;IF(VLOOKUP('.'!L173,Recipes!$A:$D,4,FALSE)="",""," ["&amp;VLOOKUP('.'!L173,Recipes!$A:$D,4,FALSE)&amp;"]"))</f>
        <v/>
      </c>
      <c r="M173" s="46" t="str">
        <f t="array" ref="M173">IF('.'!M173="","",'.'!M173&amp;IF(VLOOKUP('.'!M173,Recipes!$A:$D,4,FALSE)="",""," ["&amp;VLOOKUP('.'!M173,Recipes!$A:$D,4,FALSE)&amp;"]"))</f>
        <v/>
      </c>
      <c r="N173" s="46" t="str">
        <f t="array" ref="N173">IF('.'!N173="","",'.'!N173&amp;IF(VLOOKUP('.'!N173,Recipes!$A:$D,4,FALSE)="",""," ["&amp;VLOOKUP('.'!N173,Recipes!$A:$D,4,FALSE)&amp;"]"))</f>
        <v/>
      </c>
      <c r="O173" s="46" t="str">
        <f t="array" ref="O173">IF('.'!O173="","",'.'!O173&amp;IF(VLOOKUP('.'!O173,Recipes!$A:$D,4,FALSE)="",""," ["&amp;VLOOKUP('.'!O173,Recipes!$A:$D,4,FALSE)&amp;"]"))</f>
        <v/>
      </c>
      <c r="P173" s="46" t="str">
        <f t="array" ref="P173">IF('.'!P173="","",'.'!P173&amp;IF(VLOOKUP('.'!P173,Recipes!$A:$D,4,FALSE)="",""," ["&amp;VLOOKUP('.'!P173,Recipes!$A:$D,4,FALSE)&amp;"]"))</f>
        <v/>
      </c>
      <c r="Q173" s="46" t="str">
        <f t="array" ref="Q173">IF('.'!Q173="","",'.'!Q173&amp;IF(VLOOKUP('.'!Q173,Recipes!$A:$D,4,FALSE)="",""," ["&amp;VLOOKUP('.'!Q173,Recipes!$A:$D,4,FALSE)&amp;"]"))</f>
        <v/>
      </c>
      <c r="R173" s="46" t="str">
        <f t="array" ref="R173">IF('.'!R173="","",'.'!R173&amp;IF(VLOOKUP('.'!R173,Recipes!$A:$D,4,FALSE)="",""," ["&amp;VLOOKUP('.'!R173,Recipes!$A:$D,4,FALSE)&amp;"]"))</f>
        <v/>
      </c>
      <c r="S173" s="46" t="str">
        <f t="array" ref="S173">IF('.'!S173="","",'.'!S173&amp;IF(VLOOKUP('.'!S173,Recipes!$A:$D,4,FALSE)="",""," ["&amp;VLOOKUP('.'!S173,Recipes!$A:$D,4,FALSE)&amp;"]"))</f>
        <v/>
      </c>
      <c r="T173" s="46" t="str">
        <f t="array" ref="T173">IF('.'!T173="","",'.'!T173&amp;IF(VLOOKUP('.'!T173,Recipes!$A:$D,4,FALSE)="",""," ["&amp;VLOOKUP('.'!T173,Recipes!$A:$D,4,FALSE)&amp;"]"))</f>
        <v/>
      </c>
      <c r="U173" s="46" t="str">
        <f t="array" ref="U173">IF('.'!U173="","",'.'!U173&amp;IF(VLOOKUP('.'!U173,Recipes!$A:$D,4,FALSE)="",""," ["&amp;VLOOKUP('.'!U173,Recipes!$A:$D,4,FALSE)&amp;"]"))</f>
        <v/>
      </c>
      <c r="V173" s="46" t="str">
        <f t="array" ref="V173">IF('.'!V173="","",'.'!V173&amp;IF(VLOOKUP('.'!V173,Recipes!$A:$D,4,FALSE)="",""," ["&amp;VLOOKUP('.'!V173,Recipes!$A:$D,4,FALSE)&amp;"]"))</f>
        <v/>
      </c>
      <c r="W173" s="46" t="str">
        <f t="array" ref="W173">IF('.'!W173="","",'.'!W173&amp;IF(VLOOKUP('.'!W173,Recipes!$A:$D,4,FALSE)="",""," ["&amp;VLOOKUP('.'!W173,Recipes!$A:$D,4,FALSE)&amp;"]"))</f>
        <v/>
      </c>
      <c r="X173" s="46" t="str">
        <f t="array" ref="X173">IF('.'!X173="","",'.'!X173&amp;IF(VLOOKUP('.'!X173,Recipes!$A:$D,4,FALSE)="",""," ["&amp;VLOOKUP('.'!X173,Recipes!$A:$D,4,FALSE)&amp;"]"))</f>
        <v/>
      </c>
      <c r="Y173" s="46" t="str">
        <f t="array" ref="Y173">IF('.'!Y173="","",'.'!Y173&amp;IF(VLOOKUP('.'!Y173,Recipes!$A:$D,4,FALSE)="",""," ["&amp;VLOOKUP('.'!Y173,Recipes!$A:$D,4,FALSE)&amp;"]"))</f>
        <v/>
      </c>
      <c r="Z173" s="46" t="str">
        <f t="array" ref="Z173">IF('.'!Z173="","",'.'!Z173&amp;IF(VLOOKUP('.'!Z173,Recipes!$A:$D,4,FALSE)="",""," ["&amp;VLOOKUP('.'!Z173,Recipes!$A:$D,4,FALSE)&amp;"]"))</f>
        <v/>
      </c>
      <c r="AA173" s="46" t="str">
        <f t="array" ref="AA173">IF('.'!AA173="","",'.'!AA173&amp;IF(VLOOKUP('.'!AA173,Recipes!$A:$D,4,FALSE)="",""," ["&amp;VLOOKUP('.'!AA173,Recipes!$A:$D,4,FALSE)&amp;"]"))</f>
        <v/>
      </c>
      <c r="AB173" s="46" t="str">
        <f t="array" ref="AB173">IF('.'!AB173="","",'.'!AB173&amp;IF(VLOOKUP('.'!AB173,Recipes!$A:$D,4,FALSE)="",""," ["&amp;VLOOKUP('.'!AB173,Recipes!$A:$D,4,FALSE)&amp;"]"))</f>
        <v/>
      </c>
      <c r="AC173" s="46" t="str">
        <f t="array" ref="AC173">IF('.'!AC173="","",'.'!AC173&amp;IF(VLOOKUP('.'!AC173,Recipes!$A:$D,4,FALSE)="",""," ["&amp;VLOOKUP('.'!AC173,Recipes!$A:$D,4,FALSE)&amp;"]"))</f>
        <v/>
      </c>
      <c r="AD173" s="46" t="str">
        <f t="array" ref="AD173">IF('.'!AD173="","",'.'!AD173&amp;IF(VLOOKUP('.'!AD173,Recipes!$A:$D,4,FALSE)="",""," ["&amp;VLOOKUP('.'!AD173,Recipes!$A:$D,4,FALSE)&amp;"]"))</f>
        <v/>
      </c>
      <c r="AE173" s="47"/>
      <c r="AF173" s="47"/>
      <c r="AG173" s="47"/>
      <c r="AH173" s="47"/>
      <c r="AI173" s="47"/>
      <c r="AJ173" s="47"/>
      <c r="AK173" s="47"/>
      <c r="AL173" s="47"/>
      <c r="AM173" s="47"/>
      <c r="AN173" s="47"/>
      <c r="AO173" s="47"/>
      <c r="AP173" s="47"/>
      <c r="AQ173" s="47"/>
      <c r="AR173" s="47"/>
      <c r="AS173" s="47"/>
      <c r="AT173" s="47"/>
      <c r="AU173" s="47"/>
      <c r="AV173" s="47"/>
      <c r="AW173" s="47"/>
      <c r="AX173" s="47"/>
      <c r="AY173" s="47"/>
      <c r="AZ173" s="47"/>
      <c r="BA173" s="47"/>
      <c r="BB173" s="47"/>
      <c r="BC173" s="47"/>
      <c r="BD173" s="47"/>
      <c r="BE173" s="47"/>
      <c r="BF173" s="47"/>
      <c r="BG173" s="47"/>
      <c r="BH173" s="47"/>
      <c r="BI173" s="47"/>
      <c r="BJ173" s="47"/>
      <c r="BK173" s="47"/>
      <c r="BL173" s="47"/>
      <c r="BM173" s="47"/>
      <c r="BN173" s="47"/>
      <c r="BO173" s="47"/>
      <c r="BP173" s="47"/>
      <c r="BQ173" s="47"/>
      <c r="BR173" s="47"/>
      <c r="BS173" s="47"/>
      <c r="BT173" s="47"/>
      <c r="BU173" s="47"/>
      <c r="BV173" s="47"/>
      <c r="BW173" s="47"/>
      <c r="BX173" s="47"/>
      <c r="BY173" s="47"/>
      <c r="BZ173" s="47"/>
    </row>
    <row r="174" spans="1:78" ht="13">
      <c r="A174" s="48" t="str">
        <f ca="1">'.'!A174</f>
        <v>Feather</v>
      </c>
      <c r="B174" s="46" t="str">
        <f t="array" aca="1" ref="B174" ca="1">IF('.'!B174="","",'.'!B174&amp;IF(VLOOKUP('.'!B174,Recipes!$A:$D,4,FALSE)="",""," ["&amp;VLOOKUP('.'!B174,Recipes!$A:$D,4,FALSE)&amp;"]"))</f>
        <v>Teleportation Scroll [54]</v>
      </c>
      <c r="C174" s="46" t="str">
        <f t="array" ref="C174">IF('.'!C174="","",'.'!C174&amp;IF(VLOOKUP('.'!C174,Recipes!$A:$D,4,FALSE)="",""," ["&amp;VLOOKUP('.'!C174,Recipes!$A:$D,4,FALSE)&amp;"]"))</f>
        <v/>
      </c>
      <c r="D174" s="46" t="str">
        <f t="array" ref="D174">IF('.'!D174="","",'.'!D174&amp;IF(VLOOKUP('.'!D174,Recipes!$A:$D,4,FALSE)="",""," ["&amp;VLOOKUP('.'!D174,Recipes!$A:$D,4,FALSE)&amp;"]"))</f>
        <v/>
      </c>
      <c r="E174" s="46" t="str">
        <f t="array" ref="E174">IF('.'!E174="","",'.'!E174&amp;IF(VLOOKUP('.'!E174,Recipes!$A:$D,4,FALSE)="",""," ["&amp;VLOOKUP('.'!E174,Recipes!$A:$D,4,FALSE)&amp;"]"))</f>
        <v/>
      </c>
      <c r="F174" s="46" t="str">
        <f t="array" ref="F174">IF('.'!F174="","",'.'!F174&amp;IF(VLOOKUP('.'!F174,Recipes!$A:$D,4,FALSE)="",""," ["&amp;VLOOKUP('.'!F174,Recipes!$A:$D,4,FALSE)&amp;"]"))</f>
        <v/>
      </c>
      <c r="G174" s="46" t="str">
        <f t="array" ref="G174">IF('.'!G174="","",'.'!G174&amp;IF(VLOOKUP('.'!G174,Recipes!$A:$D,4,FALSE)="",""," ["&amp;VLOOKUP('.'!G174,Recipes!$A:$D,4,FALSE)&amp;"]"))</f>
        <v/>
      </c>
      <c r="H174" s="46" t="str">
        <f t="array" ref="H174">IF('.'!H174="","",'.'!H174&amp;IF(VLOOKUP('.'!H174,Recipes!$A:$D,4,FALSE)="",""," ["&amp;VLOOKUP('.'!H174,Recipes!$A:$D,4,FALSE)&amp;"]"))</f>
        <v/>
      </c>
      <c r="I174" s="46" t="str">
        <f t="array" ref="I174">IF('.'!I174="","",'.'!I174&amp;IF(VLOOKUP('.'!I174,Recipes!$A:$D,4,FALSE)="",""," ["&amp;VLOOKUP('.'!I174,Recipes!$A:$D,4,FALSE)&amp;"]"))</f>
        <v/>
      </c>
      <c r="J174" s="46" t="str">
        <f t="array" ref="J174">IF('.'!J174="","",'.'!J174&amp;IF(VLOOKUP('.'!J174,Recipes!$A:$D,4,FALSE)="",""," ["&amp;VLOOKUP('.'!J174,Recipes!$A:$D,4,FALSE)&amp;"]"))</f>
        <v/>
      </c>
      <c r="K174" s="46" t="str">
        <f t="array" ref="K174">IF('.'!K174="","",'.'!K174&amp;IF(VLOOKUP('.'!K174,Recipes!$A:$D,4,FALSE)="",""," ["&amp;VLOOKUP('.'!K174,Recipes!$A:$D,4,FALSE)&amp;"]"))</f>
        <v/>
      </c>
      <c r="L174" s="46" t="str">
        <f t="array" ref="L174">IF('.'!L174="","",'.'!L174&amp;IF(VLOOKUP('.'!L174,Recipes!$A:$D,4,FALSE)="",""," ["&amp;VLOOKUP('.'!L174,Recipes!$A:$D,4,FALSE)&amp;"]"))</f>
        <v/>
      </c>
      <c r="M174" s="46" t="str">
        <f t="array" ref="M174">IF('.'!M174="","",'.'!M174&amp;IF(VLOOKUP('.'!M174,Recipes!$A:$D,4,FALSE)="",""," ["&amp;VLOOKUP('.'!M174,Recipes!$A:$D,4,FALSE)&amp;"]"))</f>
        <v/>
      </c>
      <c r="N174" s="46" t="str">
        <f t="array" ref="N174">IF('.'!N174="","",'.'!N174&amp;IF(VLOOKUP('.'!N174,Recipes!$A:$D,4,FALSE)="",""," ["&amp;VLOOKUP('.'!N174,Recipes!$A:$D,4,FALSE)&amp;"]"))</f>
        <v/>
      </c>
      <c r="O174" s="46" t="str">
        <f t="array" ref="O174">IF('.'!O174="","",'.'!O174&amp;IF(VLOOKUP('.'!O174,Recipes!$A:$D,4,FALSE)="",""," ["&amp;VLOOKUP('.'!O174,Recipes!$A:$D,4,FALSE)&amp;"]"))</f>
        <v/>
      </c>
      <c r="P174" s="46" t="str">
        <f t="array" ref="P174">IF('.'!P174="","",'.'!P174&amp;IF(VLOOKUP('.'!P174,Recipes!$A:$D,4,FALSE)="",""," ["&amp;VLOOKUP('.'!P174,Recipes!$A:$D,4,FALSE)&amp;"]"))</f>
        <v/>
      </c>
      <c r="Q174" s="46" t="str">
        <f t="array" ref="Q174">IF('.'!Q174="","",'.'!Q174&amp;IF(VLOOKUP('.'!Q174,Recipes!$A:$D,4,FALSE)="",""," ["&amp;VLOOKUP('.'!Q174,Recipes!$A:$D,4,FALSE)&amp;"]"))</f>
        <v/>
      </c>
      <c r="R174" s="46" t="str">
        <f t="array" ref="R174">IF('.'!R174="","",'.'!R174&amp;IF(VLOOKUP('.'!R174,Recipes!$A:$D,4,FALSE)="",""," ["&amp;VLOOKUP('.'!R174,Recipes!$A:$D,4,FALSE)&amp;"]"))</f>
        <v/>
      </c>
      <c r="S174" s="46" t="str">
        <f t="array" ref="S174">IF('.'!S174="","",'.'!S174&amp;IF(VLOOKUP('.'!S174,Recipes!$A:$D,4,FALSE)="",""," ["&amp;VLOOKUP('.'!S174,Recipes!$A:$D,4,FALSE)&amp;"]"))</f>
        <v/>
      </c>
      <c r="T174" s="46" t="str">
        <f t="array" ref="T174">IF('.'!T174="","",'.'!T174&amp;IF(VLOOKUP('.'!T174,Recipes!$A:$D,4,FALSE)="",""," ["&amp;VLOOKUP('.'!T174,Recipes!$A:$D,4,FALSE)&amp;"]"))</f>
        <v/>
      </c>
      <c r="U174" s="46" t="str">
        <f t="array" ref="U174">IF('.'!U174="","",'.'!U174&amp;IF(VLOOKUP('.'!U174,Recipes!$A:$D,4,FALSE)="",""," ["&amp;VLOOKUP('.'!U174,Recipes!$A:$D,4,FALSE)&amp;"]"))</f>
        <v/>
      </c>
      <c r="V174" s="46" t="str">
        <f t="array" ref="V174">IF('.'!V174="","",'.'!V174&amp;IF(VLOOKUP('.'!V174,Recipes!$A:$D,4,FALSE)="",""," ["&amp;VLOOKUP('.'!V174,Recipes!$A:$D,4,FALSE)&amp;"]"))</f>
        <v/>
      </c>
      <c r="W174" s="46" t="str">
        <f t="array" ref="W174">IF('.'!W174="","",'.'!W174&amp;IF(VLOOKUP('.'!W174,Recipes!$A:$D,4,FALSE)="",""," ["&amp;VLOOKUP('.'!W174,Recipes!$A:$D,4,FALSE)&amp;"]"))</f>
        <v/>
      </c>
      <c r="X174" s="46" t="str">
        <f t="array" ref="X174">IF('.'!X174="","",'.'!X174&amp;IF(VLOOKUP('.'!X174,Recipes!$A:$D,4,FALSE)="",""," ["&amp;VLOOKUP('.'!X174,Recipes!$A:$D,4,FALSE)&amp;"]"))</f>
        <v/>
      </c>
      <c r="Y174" s="46" t="str">
        <f t="array" ref="Y174">IF('.'!Y174="","",'.'!Y174&amp;IF(VLOOKUP('.'!Y174,Recipes!$A:$D,4,FALSE)="",""," ["&amp;VLOOKUP('.'!Y174,Recipes!$A:$D,4,FALSE)&amp;"]"))</f>
        <v/>
      </c>
      <c r="Z174" s="46" t="str">
        <f t="array" ref="Z174">IF('.'!Z174="","",'.'!Z174&amp;IF(VLOOKUP('.'!Z174,Recipes!$A:$D,4,FALSE)="",""," ["&amp;VLOOKUP('.'!Z174,Recipes!$A:$D,4,FALSE)&amp;"]"))</f>
        <v/>
      </c>
      <c r="AA174" s="46" t="str">
        <f t="array" ref="AA174">IF('.'!AA174="","",'.'!AA174&amp;IF(VLOOKUP('.'!AA174,Recipes!$A:$D,4,FALSE)="",""," ["&amp;VLOOKUP('.'!AA174,Recipes!$A:$D,4,FALSE)&amp;"]"))</f>
        <v/>
      </c>
      <c r="AB174" s="46" t="str">
        <f t="array" ref="AB174">IF('.'!AB174="","",'.'!AB174&amp;IF(VLOOKUP('.'!AB174,Recipes!$A:$D,4,FALSE)="",""," ["&amp;VLOOKUP('.'!AB174,Recipes!$A:$D,4,FALSE)&amp;"]"))</f>
        <v/>
      </c>
      <c r="AC174" s="46" t="str">
        <f t="array" ref="AC174">IF('.'!AC174="","",'.'!AC174&amp;IF(VLOOKUP('.'!AC174,Recipes!$A:$D,4,FALSE)="",""," ["&amp;VLOOKUP('.'!AC174,Recipes!$A:$D,4,FALSE)&amp;"]"))</f>
        <v/>
      </c>
      <c r="AD174" s="46" t="str">
        <f t="array" ref="AD174">IF('.'!AD174="","",'.'!AD174&amp;IF(VLOOKUP('.'!AD174,Recipes!$A:$D,4,FALSE)="",""," ["&amp;VLOOKUP('.'!AD174,Recipes!$A:$D,4,FALSE)&amp;"]"))</f>
        <v/>
      </c>
      <c r="AE174" s="47"/>
      <c r="AF174" s="47"/>
      <c r="AG174" s="47"/>
      <c r="AH174" s="47"/>
      <c r="AI174" s="47"/>
      <c r="AJ174" s="47"/>
      <c r="AK174" s="47"/>
      <c r="AL174" s="47"/>
      <c r="AM174" s="47"/>
      <c r="AN174" s="47"/>
      <c r="AO174" s="47"/>
      <c r="AP174" s="47"/>
      <c r="AQ174" s="47"/>
      <c r="AR174" s="47"/>
      <c r="AS174" s="47"/>
      <c r="AT174" s="47"/>
      <c r="AU174" s="47"/>
      <c r="AV174" s="47"/>
      <c r="AW174" s="47"/>
      <c r="AX174" s="47"/>
      <c r="AY174" s="47"/>
      <c r="AZ174" s="47"/>
      <c r="BA174" s="47"/>
      <c r="BB174" s="47"/>
      <c r="BC174" s="47"/>
      <c r="BD174" s="47"/>
      <c r="BE174" s="47"/>
      <c r="BF174" s="47"/>
      <c r="BG174" s="47"/>
      <c r="BH174" s="47"/>
      <c r="BI174" s="47"/>
      <c r="BJ174" s="47"/>
      <c r="BK174" s="47"/>
      <c r="BL174" s="47"/>
      <c r="BM174" s="47"/>
      <c r="BN174" s="47"/>
      <c r="BO174" s="47"/>
      <c r="BP174" s="47"/>
      <c r="BQ174" s="47"/>
      <c r="BR174" s="47"/>
      <c r="BS174" s="47"/>
      <c r="BT174" s="47"/>
      <c r="BU174" s="47"/>
      <c r="BV174" s="47"/>
      <c r="BW174" s="47"/>
      <c r="BX174" s="47"/>
      <c r="BY174" s="47"/>
      <c r="BZ174" s="47"/>
    </row>
    <row r="175" spans="1:78" ht="13">
      <c r="A175" s="48" t="str">
        <f ca="1">'.'!A175</f>
        <v>Ferocity Herbmix</v>
      </c>
      <c r="B175" s="46" t="str">
        <f t="array" aca="1" ref="B175" ca="1">IF('.'!B175="","",'.'!B175&amp;IF(VLOOKUP('.'!B175,Recipes!$A:$D,4,FALSE)="",""," ["&amp;VLOOKUP('.'!B175,Recipes!$A:$D,4,FALSE)&amp;"]"))</f>
        <v>Potent Ferocity Herbmix [39]</v>
      </c>
      <c r="C175" s="46" t="str">
        <f t="array" ref="C175">IF('.'!C175="","",'.'!C175&amp;IF(VLOOKUP('.'!C175,Recipes!$A:$D,4,FALSE)="",""," ["&amp;VLOOKUP('.'!C175,Recipes!$A:$D,4,FALSE)&amp;"]"))</f>
        <v/>
      </c>
      <c r="D175" s="46" t="str">
        <f t="array" ref="D175">IF('.'!D175="","",'.'!D175&amp;IF(VLOOKUP('.'!D175,Recipes!$A:$D,4,FALSE)="",""," ["&amp;VLOOKUP('.'!D175,Recipes!$A:$D,4,FALSE)&amp;"]"))</f>
        <v/>
      </c>
      <c r="E175" s="46" t="str">
        <f t="array" ref="E175">IF('.'!E175="","",'.'!E175&amp;IF(VLOOKUP('.'!E175,Recipes!$A:$D,4,FALSE)="",""," ["&amp;VLOOKUP('.'!E175,Recipes!$A:$D,4,FALSE)&amp;"]"))</f>
        <v/>
      </c>
      <c r="F175" s="46" t="str">
        <f t="array" ref="F175">IF('.'!F175="","",'.'!F175&amp;IF(VLOOKUP('.'!F175,Recipes!$A:$D,4,FALSE)="",""," ["&amp;VLOOKUP('.'!F175,Recipes!$A:$D,4,FALSE)&amp;"]"))</f>
        <v/>
      </c>
      <c r="G175" s="46" t="str">
        <f t="array" ref="G175">IF('.'!G175="","",'.'!G175&amp;IF(VLOOKUP('.'!G175,Recipes!$A:$D,4,FALSE)="",""," ["&amp;VLOOKUP('.'!G175,Recipes!$A:$D,4,FALSE)&amp;"]"))</f>
        <v/>
      </c>
      <c r="H175" s="46" t="str">
        <f t="array" ref="H175">IF('.'!H175="","",'.'!H175&amp;IF(VLOOKUP('.'!H175,Recipes!$A:$D,4,FALSE)="",""," ["&amp;VLOOKUP('.'!H175,Recipes!$A:$D,4,FALSE)&amp;"]"))</f>
        <v/>
      </c>
      <c r="I175" s="46" t="str">
        <f t="array" ref="I175">IF('.'!I175="","",'.'!I175&amp;IF(VLOOKUP('.'!I175,Recipes!$A:$D,4,FALSE)="",""," ["&amp;VLOOKUP('.'!I175,Recipes!$A:$D,4,FALSE)&amp;"]"))</f>
        <v/>
      </c>
      <c r="J175" s="46" t="str">
        <f t="array" ref="J175">IF('.'!J175="","",'.'!J175&amp;IF(VLOOKUP('.'!J175,Recipes!$A:$D,4,FALSE)="",""," ["&amp;VLOOKUP('.'!J175,Recipes!$A:$D,4,FALSE)&amp;"]"))</f>
        <v/>
      </c>
      <c r="K175" s="46" t="str">
        <f t="array" ref="K175">IF('.'!K175="","",'.'!K175&amp;IF(VLOOKUP('.'!K175,Recipes!$A:$D,4,FALSE)="",""," ["&amp;VLOOKUP('.'!K175,Recipes!$A:$D,4,FALSE)&amp;"]"))</f>
        <v/>
      </c>
      <c r="L175" s="46" t="str">
        <f t="array" ref="L175">IF('.'!L175="","",'.'!L175&amp;IF(VLOOKUP('.'!L175,Recipes!$A:$D,4,FALSE)="",""," ["&amp;VLOOKUP('.'!L175,Recipes!$A:$D,4,FALSE)&amp;"]"))</f>
        <v/>
      </c>
      <c r="M175" s="46" t="str">
        <f t="array" ref="M175">IF('.'!M175="","",'.'!M175&amp;IF(VLOOKUP('.'!M175,Recipes!$A:$D,4,FALSE)="",""," ["&amp;VLOOKUP('.'!M175,Recipes!$A:$D,4,FALSE)&amp;"]"))</f>
        <v/>
      </c>
      <c r="N175" s="46" t="str">
        <f t="array" ref="N175">IF('.'!N175="","",'.'!N175&amp;IF(VLOOKUP('.'!N175,Recipes!$A:$D,4,FALSE)="",""," ["&amp;VLOOKUP('.'!N175,Recipes!$A:$D,4,FALSE)&amp;"]"))</f>
        <v/>
      </c>
      <c r="O175" s="46" t="str">
        <f t="array" ref="O175">IF('.'!O175="","",'.'!O175&amp;IF(VLOOKUP('.'!O175,Recipes!$A:$D,4,FALSE)="",""," ["&amp;VLOOKUP('.'!O175,Recipes!$A:$D,4,FALSE)&amp;"]"))</f>
        <v/>
      </c>
      <c r="P175" s="46" t="str">
        <f t="array" ref="P175">IF('.'!P175="","",'.'!P175&amp;IF(VLOOKUP('.'!P175,Recipes!$A:$D,4,FALSE)="",""," ["&amp;VLOOKUP('.'!P175,Recipes!$A:$D,4,FALSE)&amp;"]"))</f>
        <v/>
      </c>
      <c r="Q175" s="46" t="str">
        <f t="array" ref="Q175">IF('.'!Q175="","",'.'!Q175&amp;IF(VLOOKUP('.'!Q175,Recipes!$A:$D,4,FALSE)="",""," ["&amp;VLOOKUP('.'!Q175,Recipes!$A:$D,4,FALSE)&amp;"]"))</f>
        <v/>
      </c>
      <c r="R175" s="46" t="str">
        <f t="array" ref="R175">IF('.'!R175="","",'.'!R175&amp;IF(VLOOKUP('.'!R175,Recipes!$A:$D,4,FALSE)="",""," ["&amp;VLOOKUP('.'!R175,Recipes!$A:$D,4,FALSE)&amp;"]"))</f>
        <v/>
      </c>
      <c r="S175" s="46" t="str">
        <f t="array" ref="S175">IF('.'!S175="","",'.'!S175&amp;IF(VLOOKUP('.'!S175,Recipes!$A:$D,4,FALSE)="",""," ["&amp;VLOOKUP('.'!S175,Recipes!$A:$D,4,FALSE)&amp;"]"))</f>
        <v/>
      </c>
      <c r="T175" s="46" t="str">
        <f t="array" ref="T175">IF('.'!T175="","",'.'!T175&amp;IF(VLOOKUP('.'!T175,Recipes!$A:$D,4,FALSE)="",""," ["&amp;VLOOKUP('.'!T175,Recipes!$A:$D,4,FALSE)&amp;"]"))</f>
        <v/>
      </c>
      <c r="U175" s="46" t="str">
        <f t="array" ref="U175">IF('.'!U175="","",'.'!U175&amp;IF(VLOOKUP('.'!U175,Recipes!$A:$D,4,FALSE)="",""," ["&amp;VLOOKUP('.'!U175,Recipes!$A:$D,4,FALSE)&amp;"]"))</f>
        <v/>
      </c>
      <c r="V175" s="46" t="str">
        <f t="array" ref="V175">IF('.'!V175="","",'.'!V175&amp;IF(VLOOKUP('.'!V175,Recipes!$A:$D,4,FALSE)="",""," ["&amp;VLOOKUP('.'!V175,Recipes!$A:$D,4,FALSE)&amp;"]"))</f>
        <v/>
      </c>
      <c r="W175" s="46" t="str">
        <f t="array" ref="W175">IF('.'!W175="","",'.'!W175&amp;IF(VLOOKUP('.'!W175,Recipes!$A:$D,4,FALSE)="",""," ["&amp;VLOOKUP('.'!W175,Recipes!$A:$D,4,FALSE)&amp;"]"))</f>
        <v/>
      </c>
      <c r="X175" s="46" t="str">
        <f t="array" ref="X175">IF('.'!X175="","",'.'!X175&amp;IF(VLOOKUP('.'!X175,Recipes!$A:$D,4,FALSE)="",""," ["&amp;VLOOKUP('.'!X175,Recipes!$A:$D,4,FALSE)&amp;"]"))</f>
        <v/>
      </c>
      <c r="Y175" s="46" t="str">
        <f t="array" ref="Y175">IF('.'!Y175="","",'.'!Y175&amp;IF(VLOOKUP('.'!Y175,Recipes!$A:$D,4,FALSE)="",""," ["&amp;VLOOKUP('.'!Y175,Recipes!$A:$D,4,FALSE)&amp;"]"))</f>
        <v/>
      </c>
      <c r="Z175" s="46" t="str">
        <f t="array" ref="Z175">IF('.'!Z175="","",'.'!Z175&amp;IF(VLOOKUP('.'!Z175,Recipes!$A:$D,4,FALSE)="",""," ["&amp;VLOOKUP('.'!Z175,Recipes!$A:$D,4,FALSE)&amp;"]"))</f>
        <v/>
      </c>
      <c r="AA175" s="46" t="str">
        <f t="array" ref="AA175">IF('.'!AA175="","",'.'!AA175&amp;IF(VLOOKUP('.'!AA175,Recipes!$A:$D,4,FALSE)="",""," ["&amp;VLOOKUP('.'!AA175,Recipes!$A:$D,4,FALSE)&amp;"]"))</f>
        <v/>
      </c>
      <c r="AB175" s="46" t="str">
        <f t="array" ref="AB175">IF('.'!AB175="","",'.'!AB175&amp;IF(VLOOKUP('.'!AB175,Recipes!$A:$D,4,FALSE)="",""," ["&amp;VLOOKUP('.'!AB175,Recipes!$A:$D,4,FALSE)&amp;"]"))</f>
        <v/>
      </c>
      <c r="AC175" s="46" t="str">
        <f t="array" ref="AC175">IF('.'!AC175="","",'.'!AC175&amp;IF(VLOOKUP('.'!AC175,Recipes!$A:$D,4,FALSE)="",""," ["&amp;VLOOKUP('.'!AC175,Recipes!$A:$D,4,FALSE)&amp;"]"))</f>
        <v/>
      </c>
      <c r="AD175" s="46" t="str">
        <f t="array" ref="AD175">IF('.'!AD175="","",'.'!AD175&amp;IF(VLOOKUP('.'!AD175,Recipes!$A:$D,4,FALSE)="",""," ["&amp;VLOOKUP('.'!AD175,Recipes!$A:$D,4,FALSE)&amp;"]"))</f>
        <v/>
      </c>
      <c r="AE175" s="47"/>
      <c r="AF175" s="47"/>
      <c r="AG175" s="47"/>
      <c r="AH175" s="47"/>
      <c r="AI175" s="47"/>
      <c r="AJ175" s="47"/>
      <c r="AK175" s="47"/>
      <c r="AL175" s="47"/>
      <c r="AM175" s="47"/>
      <c r="AN175" s="47"/>
      <c r="AO175" s="47"/>
      <c r="AP175" s="47"/>
      <c r="AQ175" s="47"/>
      <c r="AR175" s="47"/>
      <c r="AS175" s="47"/>
      <c r="AT175" s="47"/>
      <c r="AU175" s="47"/>
      <c r="AV175" s="47"/>
      <c r="AW175" s="47"/>
      <c r="AX175" s="47"/>
      <c r="AY175" s="47"/>
      <c r="AZ175" s="47"/>
      <c r="BA175" s="47"/>
      <c r="BB175" s="47"/>
      <c r="BC175" s="47"/>
      <c r="BD175" s="47"/>
      <c r="BE175" s="47"/>
      <c r="BF175" s="47"/>
      <c r="BG175" s="47"/>
      <c r="BH175" s="47"/>
      <c r="BI175" s="47"/>
      <c r="BJ175" s="47"/>
      <c r="BK175" s="47"/>
      <c r="BL175" s="47"/>
      <c r="BM175" s="47"/>
      <c r="BN175" s="47"/>
      <c r="BO175" s="47"/>
      <c r="BP175" s="47"/>
      <c r="BQ175" s="47"/>
      <c r="BR175" s="47"/>
      <c r="BS175" s="47"/>
      <c r="BT175" s="47"/>
      <c r="BU175" s="47"/>
      <c r="BV175" s="47"/>
      <c r="BW175" s="47"/>
      <c r="BX175" s="47"/>
      <c r="BY175" s="47"/>
      <c r="BZ175" s="47"/>
    </row>
    <row r="176" spans="1:78" ht="13">
      <c r="A176" s="48" t="str">
        <f ca="1">'.'!A176</f>
        <v>Fire Arrow</v>
      </c>
      <c r="B176" s="46" t="str">
        <f t="array" aca="1" ref="B176" ca="1">IF('.'!B176="","",'.'!B176&amp;IF(VLOOKUP('.'!B176,Recipes!$A:$D,4,FALSE)="",""," ["&amp;VLOOKUP('.'!B176,Recipes!$A:$D,4,FALSE)&amp;"]"))</f>
        <v>Cursed Fire Arrow [-1050]</v>
      </c>
      <c r="C176" s="46" t="str">
        <f t="array" ref="C176">IF('.'!C176="","",'.'!C176&amp;IF(VLOOKUP('.'!C176,Recipes!$A:$D,4,FALSE)="",""," ["&amp;VLOOKUP('.'!C176,Recipes!$A:$D,4,FALSE)&amp;"]"))</f>
        <v/>
      </c>
      <c r="D176" s="46" t="str">
        <f t="array" ref="D176">IF('.'!D176="","",'.'!D176&amp;IF(VLOOKUP('.'!D176,Recipes!$A:$D,4,FALSE)="",""," ["&amp;VLOOKUP('.'!D176,Recipes!$A:$D,4,FALSE)&amp;"]"))</f>
        <v/>
      </c>
      <c r="E176" s="46" t="str">
        <f t="array" ref="E176">IF('.'!E176="","",'.'!E176&amp;IF(VLOOKUP('.'!E176,Recipes!$A:$D,4,FALSE)="",""," ["&amp;VLOOKUP('.'!E176,Recipes!$A:$D,4,FALSE)&amp;"]"))</f>
        <v/>
      </c>
      <c r="F176" s="46" t="str">
        <f t="array" ref="F176">IF('.'!F176="","",'.'!F176&amp;IF(VLOOKUP('.'!F176,Recipes!$A:$D,4,FALSE)="",""," ["&amp;VLOOKUP('.'!F176,Recipes!$A:$D,4,FALSE)&amp;"]"))</f>
        <v/>
      </c>
      <c r="G176" s="46" t="str">
        <f t="array" ref="G176">IF('.'!G176="","",'.'!G176&amp;IF(VLOOKUP('.'!G176,Recipes!$A:$D,4,FALSE)="",""," ["&amp;VLOOKUP('.'!G176,Recipes!$A:$D,4,FALSE)&amp;"]"))</f>
        <v/>
      </c>
      <c r="H176" s="46" t="str">
        <f t="array" ref="H176">IF('.'!H176="","",'.'!H176&amp;IF(VLOOKUP('.'!H176,Recipes!$A:$D,4,FALSE)="",""," ["&amp;VLOOKUP('.'!H176,Recipes!$A:$D,4,FALSE)&amp;"]"))</f>
        <v/>
      </c>
      <c r="I176" s="46" t="str">
        <f t="array" ref="I176">IF('.'!I176="","",'.'!I176&amp;IF(VLOOKUP('.'!I176,Recipes!$A:$D,4,FALSE)="",""," ["&amp;VLOOKUP('.'!I176,Recipes!$A:$D,4,FALSE)&amp;"]"))</f>
        <v/>
      </c>
      <c r="J176" s="46" t="str">
        <f t="array" ref="J176">IF('.'!J176="","",'.'!J176&amp;IF(VLOOKUP('.'!J176,Recipes!$A:$D,4,FALSE)="",""," ["&amp;VLOOKUP('.'!J176,Recipes!$A:$D,4,FALSE)&amp;"]"))</f>
        <v/>
      </c>
      <c r="K176" s="46" t="str">
        <f t="array" ref="K176">IF('.'!K176="","",'.'!K176&amp;IF(VLOOKUP('.'!K176,Recipes!$A:$D,4,FALSE)="",""," ["&amp;VLOOKUP('.'!K176,Recipes!$A:$D,4,FALSE)&amp;"]"))</f>
        <v/>
      </c>
      <c r="L176" s="46" t="str">
        <f t="array" ref="L176">IF('.'!L176="","",'.'!L176&amp;IF(VLOOKUP('.'!L176,Recipes!$A:$D,4,FALSE)="",""," ["&amp;VLOOKUP('.'!L176,Recipes!$A:$D,4,FALSE)&amp;"]"))</f>
        <v/>
      </c>
      <c r="M176" s="46" t="str">
        <f t="array" ref="M176">IF('.'!M176="","",'.'!M176&amp;IF(VLOOKUP('.'!M176,Recipes!$A:$D,4,FALSE)="",""," ["&amp;VLOOKUP('.'!M176,Recipes!$A:$D,4,FALSE)&amp;"]"))</f>
        <v/>
      </c>
      <c r="N176" s="46" t="str">
        <f t="array" ref="N176">IF('.'!N176="","",'.'!N176&amp;IF(VLOOKUP('.'!N176,Recipes!$A:$D,4,FALSE)="",""," ["&amp;VLOOKUP('.'!N176,Recipes!$A:$D,4,FALSE)&amp;"]"))</f>
        <v/>
      </c>
      <c r="O176" s="46" t="str">
        <f t="array" ref="O176">IF('.'!O176="","",'.'!O176&amp;IF(VLOOKUP('.'!O176,Recipes!$A:$D,4,FALSE)="",""," ["&amp;VLOOKUP('.'!O176,Recipes!$A:$D,4,FALSE)&amp;"]"))</f>
        <v/>
      </c>
      <c r="P176" s="46" t="str">
        <f t="array" ref="P176">IF('.'!P176="","",'.'!P176&amp;IF(VLOOKUP('.'!P176,Recipes!$A:$D,4,FALSE)="",""," ["&amp;VLOOKUP('.'!P176,Recipes!$A:$D,4,FALSE)&amp;"]"))</f>
        <v/>
      </c>
      <c r="Q176" s="46" t="str">
        <f t="array" ref="Q176">IF('.'!Q176="","",'.'!Q176&amp;IF(VLOOKUP('.'!Q176,Recipes!$A:$D,4,FALSE)="",""," ["&amp;VLOOKUP('.'!Q176,Recipes!$A:$D,4,FALSE)&amp;"]"))</f>
        <v/>
      </c>
      <c r="R176" s="46" t="str">
        <f t="array" ref="R176">IF('.'!R176="","",'.'!R176&amp;IF(VLOOKUP('.'!R176,Recipes!$A:$D,4,FALSE)="",""," ["&amp;VLOOKUP('.'!R176,Recipes!$A:$D,4,FALSE)&amp;"]"))</f>
        <v/>
      </c>
      <c r="S176" s="46" t="str">
        <f t="array" ref="S176">IF('.'!S176="","",'.'!S176&amp;IF(VLOOKUP('.'!S176,Recipes!$A:$D,4,FALSE)="",""," ["&amp;VLOOKUP('.'!S176,Recipes!$A:$D,4,FALSE)&amp;"]"))</f>
        <v/>
      </c>
      <c r="T176" s="46" t="str">
        <f t="array" ref="T176">IF('.'!T176="","",'.'!T176&amp;IF(VLOOKUP('.'!T176,Recipes!$A:$D,4,FALSE)="",""," ["&amp;VLOOKUP('.'!T176,Recipes!$A:$D,4,FALSE)&amp;"]"))</f>
        <v/>
      </c>
      <c r="U176" s="46" t="str">
        <f t="array" ref="U176">IF('.'!U176="","",'.'!U176&amp;IF(VLOOKUP('.'!U176,Recipes!$A:$D,4,FALSE)="",""," ["&amp;VLOOKUP('.'!U176,Recipes!$A:$D,4,FALSE)&amp;"]"))</f>
        <v/>
      </c>
      <c r="V176" s="46" t="str">
        <f t="array" ref="V176">IF('.'!V176="","",'.'!V176&amp;IF(VLOOKUP('.'!V176,Recipes!$A:$D,4,FALSE)="",""," ["&amp;VLOOKUP('.'!V176,Recipes!$A:$D,4,FALSE)&amp;"]"))</f>
        <v/>
      </c>
      <c r="W176" s="46" t="str">
        <f t="array" ref="W176">IF('.'!W176="","",'.'!W176&amp;IF(VLOOKUP('.'!W176,Recipes!$A:$D,4,FALSE)="",""," ["&amp;VLOOKUP('.'!W176,Recipes!$A:$D,4,FALSE)&amp;"]"))</f>
        <v/>
      </c>
      <c r="X176" s="46" t="str">
        <f t="array" ref="X176">IF('.'!X176="","",'.'!X176&amp;IF(VLOOKUP('.'!X176,Recipes!$A:$D,4,FALSE)="",""," ["&amp;VLOOKUP('.'!X176,Recipes!$A:$D,4,FALSE)&amp;"]"))</f>
        <v/>
      </c>
      <c r="Y176" s="46" t="str">
        <f t="array" ref="Y176">IF('.'!Y176="","",'.'!Y176&amp;IF(VLOOKUP('.'!Y176,Recipes!$A:$D,4,FALSE)="",""," ["&amp;VLOOKUP('.'!Y176,Recipes!$A:$D,4,FALSE)&amp;"]"))</f>
        <v/>
      </c>
      <c r="Z176" s="46" t="str">
        <f t="array" ref="Z176">IF('.'!Z176="","",'.'!Z176&amp;IF(VLOOKUP('.'!Z176,Recipes!$A:$D,4,FALSE)="",""," ["&amp;VLOOKUP('.'!Z176,Recipes!$A:$D,4,FALSE)&amp;"]"))</f>
        <v/>
      </c>
      <c r="AA176" s="46" t="str">
        <f t="array" ref="AA176">IF('.'!AA176="","",'.'!AA176&amp;IF(VLOOKUP('.'!AA176,Recipes!$A:$D,4,FALSE)="",""," ["&amp;VLOOKUP('.'!AA176,Recipes!$A:$D,4,FALSE)&amp;"]"))</f>
        <v/>
      </c>
      <c r="AB176" s="46" t="str">
        <f t="array" ref="AB176">IF('.'!AB176="","",'.'!AB176&amp;IF(VLOOKUP('.'!AB176,Recipes!$A:$D,4,FALSE)="",""," ["&amp;VLOOKUP('.'!AB176,Recipes!$A:$D,4,FALSE)&amp;"]"))</f>
        <v/>
      </c>
      <c r="AC176" s="46" t="str">
        <f t="array" ref="AC176">IF('.'!AC176="","",'.'!AC176&amp;IF(VLOOKUP('.'!AC176,Recipes!$A:$D,4,FALSE)="",""," ["&amp;VLOOKUP('.'!AC176,Recipes!$A:$D,4,FALSE)&amp;"]"))</f>
        <v/>
      </c>
      <c r="AD176" s="46" t="str">
        <f t="array" ref="AD176">IF('.'!AD176="","",'.'!AD176&amp;IF(VLOOKUP('.'!AD176,Recipes!$A:$D,4,FALSE)="",""," ["&amp;VLOOKUP('.'!AD176,Recipes!$A:$D,4,FALSE)&amp;"]"))</f>
        <v/>
      </c>
      <c r="AE176" s="47"/>
      <c r="AF176" s="47"/>
      <c r="AG176" s="47"/>
      <c r="AH176" s="47"/>
      <c r="AI176" s="47"/>
      <c r="AJ176" s="47"/>
      <c r="AK176" s="47"/>
      <c r="AL176" s="47"/>
      <c r="AM176" s="47"/>
      <c r="AN176" s="47"/>
      <c r="AO176" s="47"/>
      <c r="AP176" s="47"/>
      <c r="AQ176" s="47"/>
      <c r="AR176" s="47"/>
      <c r="AS176" s="47"/>
      <c r="AT176" s="47"/>
      <c r="AU176" s="47"/>
      <c r="AV176" s="47"/>
      <c r="AW176" s="47"/>
      <c r="AX176" s="47"/>
      <c r="AY176" s="47"/>
      <c r="AZ176" s="47"/>
      <c r="BA176" s="47"/>
      <c r="BB176" s="47"/>
      <c r="BC176" s="47"/>
      <c r="BD176" s="47"/>
      <c r="BE176" s="47"/>
      <c r="BF176" s="47"/>
      <c r="BG176" s="47"/>
      <c r="BH176" s="47"/>
      <c r="BI176" s="47"/>
      <c r="BJ176" s="47"/>
      <c r="BK176" s="47"/>
      <c r="BL176" s="47"/>
      <c r="BM176" s="47"/>
      <c r="BN176" s="47"/>
      <c r="BO176" s="47"/>
      <c r="BP176" s="47"/>
      <c r="BQ176" s="47"/>
      <c r="BR176" s="47"/>
      <c r="BS176" s="47"/>
      <c r="BT176" s="47"/>
      <c r="BU176" s="47"/>
      <c r="BV176" s="47"/>
      <c r="BW176" s="47"/>
      <c r="BX176" s="47"/>
      <c r="BY176" s="47"/>
      <c r="BZ176" s="47"/>
    </row>
    <row r="177" spans="1:78" ht="13">
      <c r="A177" s="48" t="str">
        <f ca="1">'.'!A177</f>
        <v>Fire Arrowhead</v>
      </c>
      <c r="B177" s="49" t="s">
        <v>1180</v>
      </c>
      <c r="C177" s="46" t="str">
        <f t="array" aca="1" ref="C177" ca="1">IF('.'!C177="","",'.'!C177&amp;IF(VLOOKUP('.'!C177,Recipes!$A:$D,4,FALSE)="",""," ["&amp;VLOOKUP('.'!C177,Recipes!$A:$D,4,FALSE)&amp;"]"))</f>
        <v>Cursed Fire Arrowhead [-1115]</v>
      </c>
      <c r="D177" s="46" t="str">
        <f t="array" aca="1" ref="D177" ca="1">IF('.'!D177="","",'.'!D177&amp;IF(VLOOKUP('.'!D177,Recipes!$A:$D,4,FALSE)="",""," ["&amp;VLOOKUP('.'!D177,Recipes!$A:$D,4,FALSE)&amp;"]"))</f>
        <v>Explosive Arrowhead [105]</v>
      </c>
      <c r="E177" s="46" t="str">
        <f t="array" aca="1" ref="E177" ca="1">IF('.'!E177="","",'.'!E177&amp;IF(VLOOKUP('.'!E177,Recipes!$A:$D,4,FALSE)="",""," ["&amp;VLOOKUP('.'!E177,Recipes!$A:$D,4,FALSE)&amp;"]"))</f>
        <v>Steamcloud Arrowhead [55]</v>
      </c>
      <c r="F177" s="46" t="str">
        <f t="array" ref="F177">IF('.'!F177="","",'.'!F177&amp;IF(VLOOKUP('.'!F177,Recipes!$A:$D,4,FALSE)="",""," ["&amp;VLOOKUP('.'!F177,Recipes!$A:$D,4,FALSE)&amp;"]"))</f>
        <v/>
      </c>
      <c r="G177" s="46" t="str">
        <f t="array" ref="G177">IF('.'!G177="","",'.'!G177&amp;IF(VLOOKUP('.'!G177,Recipes!$A:$D,4,FALSE)="",""," ["&amp;VLOOKUP('.'!G177,Recipes!$A:$D,4,FALSE)&amp;"]"))</f>
        <v/>
      </c>
      <c r="H177" s="46" t="str">
        <f t="array" ref="H177">IF('.'!H177="","",'.'!H177&amp;IF(VLOOKUP('.'!H177,Recipes!$A:$D,4,FALSE)="",""," ["&amp;VLOOKUP('.'!H177,Recipes!$A:$D,4,FALSE)&amp;"]"))</f>
        <v/>
      </c>
      <c r="I177" s="46" t="str">
        <f t="array" ref="I177">IF('.'!I177="","",'.'!I177&amp;IF(VLOOKUP('.'!I177,Recipes!$A:$D,4,FALSE)="",""," ["&amp;VLOOKUP('.'!I177,Recipes!$A:$D,4,FALSE)&amp;"]"))</f>
        <v/>
      </c>
      <c r="J177" s="46" t="str">
        <f t="array" ref="J177">IF('.'!J177="","",'.'!J177&amp;IF(VLOOKUP('.'!J177,Recipes!$A:$D,4,FALSE)="",""," ["&amp;VLOOKUP('.'!J177,Recipes!$A:$D,4,FALSE)&amp;"]"))</f>
        <v/>
      </c>
      <c r="K177" s="46" t="str">
        <f t="array" ref="K177">IF('.'!K177="","",'.'!K177&amp;IF(VLOOKUP('.'!K177,Recipes!$A:$D,4,FALSE)="",""," ["&amp;VLOOKUP('.'!K177,Recipes!$A:$D,4,FALSE)&amp;"]"))</f>
        <v/>
      </c>
      <c r="L177" s="46" t="str">
        <f t="array" ref="L177">IF('.'!L177="","",'.'!L177&amp;IF(VLOOKUP('.'!L177,Recipes!$A:$D,4,FALSE)="",""," ["&amp;VLOOKUP('.'!L177,Recipes!$A:$D,4,FALSE)&amp;"]"))</f>
        <v/>
      </c>
      <c r="M177" s="46" t="str">
        <f t="array" ref="M177">IF('.'!M177="","",'.'!M177&amp;IF(VLOOKUP('.'!M177,Recipes!$A:$D,4,FALSE)="",""," ["&amp;VLOOKUP('.'!M177,Recipes!$A:$D,4,FALSE)&amp;"]"))</f>
        <v/>
      </c>
      <c r="N177" s="46" t="str">
        <f t="array" ref="N177">IF('.'!N177="","",'.'!N177&amp;IF(VLOOKUP('.'!N177,Recipes!$A:$D,4,FALSE)="",""," ["&amp;VLOOKUP('.'!N177,Recipes!$A:$D,4,FALSE)&amp;"]"))</f>
        <v/>
      </c>
      <c r="O177" s="46" t="str">
        <f t="array" ref="O177">IF('.'!O177="","",'.'!O177&amp;IF(VLOOKUP('.'!O177,Recipes!$A:$D,4,FALSE)="",""," ["&amp;VLOOKUP('.'!O177,Recipes!$A:$D,4,FALSE)&amp;"]"))</f>
        <v/>
      </c>
      <c r="P177" s="46" t="str">
        <f t="array" ref="P177">IF('.'!P177="","",'.'!P177&amp;IF(VLOOKUP('.'!P177,Recipes!$A:$D,4,FALSE)="",""," ["&amp;VLOOKUP('.'!P177,Recipes!$A:$D,4,FALSE)&amp;"]"))</f>
        <v/>
      </c>
      <c r="Q177" s="46" t="str">
        <f t="array" ref="Q177">IF('.'!Q177="","",'.'!Q177&amp;IF(VLOOKUP('.'!Q177,Recipes!$A:$D,4,FALSE)="",""," ["&amp;VLOOKUP('.'!Q177,Recipes!$A:$D,4,FALSE)&amp;"]"))</f>
        <v/>
      </c>
      <c r="R177" s="46" t="str">
        <f t="array" ref="R177">IF('.'!R177="","",'.'!R177&amp;IF(VLOOKUP('.'!R177,Recipes!$A:$D,4,FALSE)="",""," ["&amp;VLOOKUP('.'!R177,Recipes!$A:$D,4,FALSE)&amp;"]"))</f>
        <v/>
      </c>
      <c r="S177" s="46" t="str">
        <f t="array" ref="S177">IF('.'!S177="","",'.'!S177&amp;IF(VLOOKUP('.'!S177,Recipes!$A:$D,4,FALSE)="",""," ["&amp;VLOOKUP('.'!S177,Recipes!$A:$D,4,FALSE)&amp;"]"))</f>
        <v/>
      </c>
      <c r="T177" s="46" t="str">
        <f t="array" ref="T177">IF('.'!T177="","",'.'!T177&amp;IF(VLOOKUP('.'!T177,Recipes!$A:$D,4,FALSE)="",""," ["&amp;VLOOKUP('.'!T177,Recipes!$A:$D,4,FALSE)&amp;"]"))</f>
        <v/>
      </c>
      <c r="U177" s="46" t="str">
        <f t="array" ref="U177">IF('.'!U177="","",'.'!U177&amp;IF(VLOOKUP('.'!U177,Recipes!$A:$D,4,FALSE)="",""," ["&amp;VLOOKUP('.'!U177,Recipes!$A:$D,4,FALSE)&amp;"]"))</f>
        <v/>
      </c>
      <c r="V177" s="46" t="str">
        <f t="array" ref="V177">IF('.'!V177="","",'.'!V177&amp;IF(VLOOKUP('.'!V177,Recipes!$A:$D,4,FALSE)="",""," ["&amp;VLOOKUP('.'!V177,Recipes!$A:$D,4,FALSE)&amp;"]"))</f>
        <v/>
      </c>
      <c r="W177" s="46" t="str">
        <f t="array" ref="W177">IF('.'!W177="","",'.'!W177&amp;IF(VLOOKUP('.'!W177,Recipes!$A:$D,4,FALSE)="",""," ["&amp;VLOOKUP('.'!W177,Recipes!$A:$D,4,FALSE)&amp;"]"))</f>
        <v/>
      </c>
      <c r="X177" s="46" t="str">
        <f t="array" ref="X177">IF('.'!X177="","",'.'!X177&amp;IF(VLOOKUP('.'!X177,Recipes!$A:$D,4,FALSE)="",""," ["&amp;VLOOKUP('.'!X177,Recipes!$A:$D,4,FALSE)&amp;"]"))</f>
        <v/>
      </c>
      <c r="Y177" s="46" t="str">
        <f t="array" ref="Y177">IF('.'!Y177="","",'.'!Y177&amp;IF(VLOOKUP('.'!Y177,Recipes!$A:$D,4,FALSE)="",""," ["&amp;VLOOKUP('.'!Y177,Recipes!$A:$D,4,FALSE)&amp;"]"))</f>
        <v/>
      </c>
      <c r="Z177" s="46" t="str">
        <f t="array" ref="Z177">IF('.'!Z177="","",'.'!Z177&amp;IF(VLOOKUP('.'!Z177,Recipes!$A:$D,4,FALSE)="",""," ["&amp;VLOOKUP('.'!Z177,Recipes!$A:$D,4,FALSE)&amp;"]"))</f>
        <v/>
      </c>
      <c r="AA177" s="46" t="str">
        <f t="array" ref="AA177">IF('.'!AA177="","",'.'!AA177&amp;IF(VLOOKUP('.'!AA177,Recipes!$A:$D,4,FALSE)="",""," ["&amp;VLOOKUP('.'!AA177,Recipes!$A:$D,4,FALSE)&amp;"]"))</f>
        <v/>
      </c>
      <c r="AB177" s="46" t="str">
        <f t="array" ref="AB177">IF('.'!AB177="","",'.'!AB177&amp;IF(VLOOKUP('.'!AB177,Recipes!$A:$D,4,FALSE)="",""," ["&amp;VLOOKUP('.'!AB177,Recipes!$A:$D,4,FALSE)&amp;"]"))</f>
        <v/>
      </c>
      <c r="AC177" s="46" t="str">
        <f t="array" ref="AC177">IF('.'!AC177="","",'.'!AC177&amp;IF(VLOOKUP('.'!AC177,Recipes!$A:$D,4,FALSE)="",""," ["&amp;VLOOKUP('.'!AC177,Recipes!$A:$D,4,FALSE)&amp;"]"))</f>
        <v/>
      </c>
      <c r="AD177" s="46" t="str">
        <f t="array" ref="AD177">IF('.'!AD177="","",'.'!AD177&amp;IF(VLOOKUP('.'!AD177,Recipes!$A:$D,4,FALSE)="",""," ["&amp;VLOOKUP('.'!AD177,Recipes!$A:$D,4,FALSE)&amp;"]"))</f>
        <v/>
      </c>
      <c r="AE177" s="47"/>
      <c r="AF177" s="47"/>
      <c r="AG177" s="47"/>
      <c r="AH177" s="47"/>
      <c r="AI177" s="47"/>
      <c r="AJ177" s="47"/>
      <c r="AK177" s="47"/>
      <c r="AL177" s="47"/>
      <c r="AM177" s="47"/>
      <c r="AN177" s="47"/>
      <c r="AO177" s="47"/>
      <c r="AP177" s="47"/>
      <c r="AQ177" s="47"/>
      <c r="AR177" s="47"/>
      <c r="AS177" s="47"/>
      <c r="AT177" s="47"/>
      <c r="AU177" s="47"/>
      <c r="AV177" s="47"/>
      <c r="AW177" s="47"/>
      <c r="AX177" s="47"/>
      <c r="AY177" s="47"/>
      <c r="AZ177" s="47"/>
      <c r="BA177" s="47"/>
      <c r="BB177" s="47"/>
      <c r="BC177" s="47"/>
      <c r="BD177" s="47"/>
      <c r="BE177" s="47"/>
      <c r="BF177" s="47"/>
      <c r="BG177" s="47"/>
      <c r="BH177" s="47"/>
      <c r="BI177" s="47"/>
      <c r="BJ177" s="47"/>
      <c r="BK177" s="47"/>
      <c r="BL177" s="47"/>
      <c r="BM177" s="47"/>
      <c r="BN177" s="47"/>
      <c r="BO177" s="47"/>
      <c r="BP177" s="47"/>
      <c r="BQ177" s="47"/>
      <c r="BR177" s="47"/>
      <c r="BS177" s="47"/>
      <c r="BT177" s="47"/>
      <c r="BU177" s="47"/>
      <c r="BV177" s="47"/>
      <c r="BW177" s="47"/>
      <c r="BX177" s="47"/>
      <c r="BY177" s="47"/>
      <c r="BZ177" s="47"/>
    </row>
    <row r="178" spans="1:78" ht="13">
      <c r="A178" s="48" t="str">
        <f ca="1">'.'!A178</f>
        <v>Fire Essence</v>
      </c>
      <c r="B178" s="46" t="str">
        <f t="array" aca="1" ref="B178" ca="1">IF('.'!B178="","",'.'!B178&amp;IF(VLOOKUP('.'!B178,Recipes!$A:$D,4,FALSE)="",""," ["&amp;VLOOKUP('.'!B178,Recipes!$A:$D,4,FALSE)&amp;"]"))</f>
        <v>Fire Arrow [14]</v>
      </c>
      <c r="C178" s="46" t="str">
        <f t="array" aca="1" ref="C178" ca="1">IF('.'!C178="","",'.'!C178&amp;IF(VLOOKUP('.'!C178,Recipes!$A:$D,4,FALSE)="",""," ["&amp;VLOOKUP('.'!C178,Recipes!$A:$D,4,FALSE)&amp;"]"))</f>
        <v>Fire Arrowhead [3]</v>
      </c>
      <c r="D178" s="46" t="str">
        <f t="array" aca="1" ref="D178" ca="1">IF('.'!D178="","",'.'!D178&amp;IF(VLOOKUP('.'!D178,Recipes!$A:$D,4,FALSE)="",""," ["&amp;VLOOKUP('.'!D178,Recipes!$A:$D,4,FALSE)&amp;"]"))</f>
        <v>Cluster Grenade [770]</v>
      </c>
      <c r="E178" s="46" t="str">
        <f t="array" aca="1" ref="E178" ca="1">IF('.'!E178="","",'.'!E178&amp;IF(VLOOKUP('.'!E178,Recipes!$A:$D,4,FALSE)="",""," ["&amp;VLOOKUP('.'!E178,Recipes!$A:$D,4,FALSE)&amp;"]"))</f>
        <v>Fireball Scroll [-50]</v>
      </c>
      <c r="F178" s="46" t="str">
        <f t="array" aca="1" ref="F178" ca="1">IF('.'!F178="","",'.'!F178&amp;IF(VLOOKUP('.'!F178,Recipes!$A:$D,4,FALSE)="",""," ["&amp;VLOOKUP('.'!F178,Recipes!$A:$D,4,FALSE)&amp;"]"))</f>
        <v>Haste Scroll [-65]</v>
      </c>
      <c r="G178" s="46" t="str">
        <f t="array" aca="1" ref="G178" ca="1">IF('.'!G178="","",'.'!G178&amp;IF(VLOOKUP('.'!G178,Recipes!$A:$D,4,FALSE)="",""," ["&amp;VLOOKUP('.'!G178,Recipes!$A:$D,4,FALSE)&amp;"]"))</f>
        <v>Ignition Scroll [-35]</v>
      </c>
      <c r="H178" s="46" t="str">
        <f t="array" aca="1" ref="H178" ca="1">IF('.'!H178="","",'.'!H178&amp;IF(VLOOKUP('.'!H178,Recipes!$A:$D,4,FALSE)="",""," ["&amp;VLOOKUP('.'!H178,Recipes!$A:$D,4,FALSE)&amp;"]"))</f>
        <v>Peace of Mind Scroll [8]</v>
      </c>
      <c r="I178" s="46" t="str">
        <f t="array" aca="1" ref="I178" ca="1">IF('.'!I178="","",'.'!I178&amp;IF(VLOOKUP('.'!I178,Recipes!$A:$D,4,FALSE)="",""," ["&amp;VLOOKUP('.'!I178,Recipes!$A:$D,4,FALSE)&amp;"]"))</f>
        <v>Searing Daggers Scroll [-10]</v>
      </c>
      <c r="J178" s="46" t="str">
        <f t="array" aca="1" ref="J178" ca="1">IF('.'!J178="","",'.'!J178&amp;IF(VLOOKUP('.'!J178,Recipes!$A:$D,4,FALSE)="",""," ["&amp;VLOOKUP('.'!J178,Recipes!$A:$D,4,FALSE)&amp;"]"))</f>
        <v>Potion of Strong Will [260]</v>
      </c>
      <c r="K178" s="46" t="str">
        <f t="array" ref="K178">IF('.'!K178="","",'.'!K178&amp;IF(VLOOKUP('.'!K178,Recipes!$A:$D,4,FALSE)="",""," ["&amp;VLOOKUP('.'!K178,Recipes!$A:$D,4,FALSE)&amp;"]"))</f>
        <v/>
      </c>
      <c r="L178" s="46" t="str">
        <f t="array" ref="L178">IF('.'!L178="","",'.'!L178&amp;IF(VLOOKUP('.'!L178,Recipes!$A:$D,4,FALSE)="",""," ["&amp;VLOOKUP('.'!L178,Recipes!$A:$D,4,FALSE)&amp;"]"))</f>
        <v/>
      </c>
      <c r="M178" s="46" t="str">
        <f t="array" ref="M178">IF('.'!M178="","",'.'!M178&amp;IF(VLOOKUP('.'!M178,Recipes!$A:$D,4,FALSE)="",""," ["&amp;VLOOKUP('.'!M178,Recipes!$A:$D,4,FALSE)&amp;"]"))</f>
        <v/>
      </c>
      <c r="N178" s="46" t="str">
        <f t="array" ref="N178">IF('.'!N178="","",'.'!N178&amp;IF(VLOOKUP('.'!N178,Recipes!$A:$D,4,FALSE)="",""," ["&amp;VLOOKUP('.'!N178,Recipes!$A:$D,4,FALSE)&amp;"]"))</f>
        <v/>
      </c>
      <c r="O178" s="46" t="str">
        <f t="array" ref="O178">IF('.'!O178="","",'.'!O178&amp;IF(VLOOKUP('.'!O178,Recipes!$A:$D,4,FALSE)="",""," ["&amp;VLOOKUP('.'!O178,Recipes!$A:$D,4,FALSE)&amp;"]"))</f>
        <v/>
      </c>
      <c r="P178" s="46" t="str">
        <f t="array" ref="P178">IF('.'!P178="","",'.'!P178&amp;IF(VLOOKUP('.'!P178,Recipes!$A:$D,4,FALSE)="",""," ["&amp;VLOOKUP('.'!P178,Recipes!$A:$D,4,FALSE)&amp;"]"))</f>
        <v/>
      </c>
      <c r="Q178" s="46" t="str">
        <f t="array" ref="Q178">IF('.'!Q178="","",'.'!Q178&amp;IF(VLOOKUP('.'!Q178,Recipes!$A:$D,4,FALSE)="",""," ["&amp;VLOOKUP('.'!Q178,Recipes!$A:$D,4,FALSE)&amp;"]"))</f>
        <v/>
      </c>
      <c r="R178" s="46" t="str">
        <f t="array" ref="R178">IF('.'!R178="","",'.'!R178&amp;IF(VLOOKUP('.'!R178,Recipes!$A:$D,4,FALSE)="",""," ["&amp;VLOOKUP('.'!R178,Recipes!$A:$D,4,FALSE)&amp;"]"))</f>
        <v/>
      </c>
      <c r="S178" s="46" t="str">
        <f t="array" ref="S178">IF('.'!S178="","",'.'!S178&amp;IF(VLOOKUP('.'!S178,Recipes!$A:$D,4,FALSE)="",""," ["&amp;VLOOKUP('.'!S178,Recipes!$A:$D,4,FALSE)&amp;"]"))</f>
        <v/>
      </c>
      <c r="T178" s="46" t="str">
        <f t="array" ref="T178">IF('.'!T178="","",'.'!T178&amp;IF(VLOOKUP('.'!T178,Recipes!$A:$D,4,FALSE)="",""," ["&amp;VLOOKUP('.'!T178,Recipes!$A:$D,4,FALSE)&amp;"]"))</f>
        <v/>
      </c>
      <c r="U178" s="46" t="str">
        <f t="array" ref="U178">IF('.'!U178="","",'.'!U178&amp;IF(VLOOKUP('.'!U178,Recipes!$A:$D,4,FALSE)="",""," ["&amp;VLOOKUP('.'!U178,Recipes!$A:$D,4,FALSE)&amp;"]"))</f>
        <v/>
      </c>
      <c r="V178" s="46" t="str">
        <f t="array" ref="V178">IF('.'!V178="","",'.'!V178&amp;IF(VLOOKUP('.'!V178,Recipes!$A:$D,4,FALSE)="",""," ["&amp;VLOOKUP('.'!V178,Recipes!$A:$D,4,FALSE)&amp;"]"))</f>
        <v/>
      </c>
      <c r="W178" s="46" t="str">
        <f t="array" ref="W178">IF('.'!W178="","",'.'!W178&amp;IF(VLOOKUP('.'!W178,Recipes!$A:$D,4,FALSE)="",""," ["&amp;VLOOKUP('.'!W178,Recipes!$A:$D,4,FALSE)&amp;"]"))</f>
        <v/>
      </c>
      <c r="X178" s="46" t="str">
        <f t="array" ref="X178">IF('.'!X178="","",'.'!X178&amp;IF(VLOOKUP('.'!X178,Recipes!$A:$D,4,FALSE)="",""," ["&amp;VLOOKUP('.'!X178,Recipes!$A:$D,4,FALSE)&amp;"]"))</f>
        <v/>
      </c>
      <c r="Y178" s="46" t="str">
        <f t="array" ref="Y178">IF('.'!Y178="","",'.'!Y178&amp;IF(VLOOKUP('.'!Y178,Recipes!$A:$D,4,FALSE)="",""," ["&amp;VLOOKUP('.'!Y178,Recipes!$A:$D,4,FALSE)&amp;"]"))</f>
        <v/>
      </c>
      <c r="Z178" s="46" t="str">
        <f t="array" ref="Z178">IF('.'!Z178="","",'.'!Z178&amp;IF(VLOOKUP('.'!Z178,Recipes!$A:$D,4,FALSE)="",""," ["&amp;VLOOKUP('.'!Z178,Recipes!$A:$D,4,FALSE)&amp;"]"))</f>
        <v/>
      </c>
      <c r="AA178" s="46" t="str">
        <f t="array" ref="AA178">IF('.'!AA178="","",'.'!AA178&amp;IF(VLOOKUP('.'!AA178,Recipes!$A:$D,4,FALSE)="",""," ["&amp;VLOOKUP('.'!AA178,Recipes!$A:$D,4,FALSE)&amp;"]"))</f>
        <v/>
      </c>
      <c r="AB178" s="46" t="str">
        <f t="array" ref="AB178">IF('.'!AB178="","",'.'!AB178&amp;IF(VLOOKUP('.'!AB178,Recipes!$A:$D,4,FALSE)="",""," ["&amp;VLOOKUP('.'!AB178,Recipes!$A:$D,4,FALSE)&amp;"]"))</f>
        <v/>
      </c>
      <c r="AC178" s="46" t="str">
        <f t="array" ref="AC178">IF('.'!AC178="","",'.'!AC178&amp;IF(VLOOKUP('.'!AC178,Recipes!$A:$D,4,FALSE)="",""," ["&amp;VLOOKUP('.'!AC178,Recipes!$A:$D,4,FALSE)&amp;"]"))</f>
        <v/>
      </c>
      <c r="AD178" s="46" t="str">
        <f t="array" ref="AD178">IF('.'!AD178="","",'.'!AD178&amp;IF(VLOOKUP('.'!AD178,Recipes!$A:$D,4,FALSE)="",""," ["&amp;VLOOKUP('.'!AD178,Recipes!$A:$D,4,FALSE)&amp;"]"))</f>
        <v/>
      </c>
      <c r="AE178" s="47"/>
      <c r="AF178" s="47"/>
      <c r="AG178" s="47"/>
      <c r="AH178" s="47"/>
      <c r="AI178" s="47"/>
      <c r="AJ178" s="47"/>
      <c r="AK178" s="47"/>
      <c r="AL178" s="47"/>
      <c r="AM178" s="47"/>
      <c r="AN178" s="47"/>
      <c r="AO178" s="47"/>
      <c r="AP178" s="47"/>
      <c r="AQ178" s="47"/>
      <c r="AR178" s="47"/>
      <c r="AS178" s="47"/>
      <c r="AT178" s="47"/>
      <c r="AU178" s="47"/>
      <c r="AV178" s="47"/>
      <c r="AW178" s="47"/>
      <c r="AX178" s="47"/>
      <c r="AY178" s="47"/>
      <c r="AZ178" s="47"/>
      <c r="BA178" s="47"/>
      <c r="BB178" s="47"/>
      <c r="BC178" s="47"/>
      <c r="BD178" s="47"/>
      <c r="BE178" s="47"/>
      <c r="BF178" s="47"/>
      <c r="BG178" s="47"/>
      <c r="BH178" s="47"/>
      <c r="BI178" s="47"/>
      <c r="BJ178" s="47"/>
      <c r="BK178" s="47"/>
      <c r="BL178" s="47"/>
      <c r="BM178" s="47"/>
      <c r="BN178" s="47"/>
      <c r="BO178" s="47"/>
      <c r="BP178" s="47"/>
      <c r="BQ178" s="47"/>
      <c r="BR178" s="47"/>
      <c r="BS178" s="47"/>
      <c r="BT178" s="47"/>
      <c r="BU178" s="47"/>
      <c r="BV178" s="47"/>
      <c r="BW178" s="47"/>
      <c r="BX178" s="47"/>
      <c r="BY178" s="47"/>
      <c r="BZ178" s="47"/>
    </row>
    <row r="179" spans="1:78" ht="13">
      <c r="A179" s="48" t="str">
        <f ca="1">'.'!A179</f>
        <v>Fire Resistance Potion</v>
      </c>
      <c r="B179" s="46" t="str">
        <f t="array" aca="1" ref="B179" ca="1">IF('.'!B179="","",'.'!B179&amp;IF(VLOOKUP('.'!B179,Recipes!$A:$D,4,FALSE)="",""," ["&amp;VLOOKUP('.'!B179,Recipes!$A:$D,4,FALSE)&amp;"]"))</f>
        <v>Medium Fire Resistance Potion [-35]</v>
      </c>
      <c r="C179" s="46" t="str">
        <f t="array" ref="C179">IF('.'!C179="","",'.'!C179&amp;IF(VLOOKUP('.'!C179,Recipes!$A:$D,4,FALSE)="",""," ["&amp;VLOOKUP('.'!C179,Recipes!$A:$D,4,FALSE)&amp;"]"))</f>
        <v/>
      </c>
      <c r="D179" s="46" t="str">
        <f t="array" ref="D179">IF('.'!D179="","",'.'!D179&amp;IF(VLOOKUP('.'!D179,Recipes!$A:$D,4,FALSE)="",""," ["&amp;VLOOKUP('.'!D179,Recipes!$A:$D,4,FALSE)&amp;"]"))</f>
        <v/>
      </c>
      <c r="E179" s="46" t="str">
        <f t="array" ref="E179">IF('.'!E179="","",'.'!E179&amp;IF(VLOOKUP('.'!E179,Recipes!$A:$D,4,FALSE)="",""," ["&amp;VLOOKUP('.'!E179,Recipes!$A:$D,4,FALSE)&amp;"]"))</f>
        <v/>
      </c>
      <c r="F179" s="46" t="str">
        <f t="array" ref="F179">IF('.'!F179="","",'.'!F179&amp;IF(VLOOKUP('.'!F179,Recipes!$A:$D,4,FALSE)="",""," ["&amp;VLOOKUP('.'!F179,Recipes!$A:$D,4,FALSE)&amp;"]"))</f>
        <v/>
      </c>
      <c r="G179" s="46" t="str">
        <f t="array" ref="G179">IF('.'!G179="","",'.'!G179&amp;IF(VLOOKUP('.'!G179,Recipes!$A:$D,4,FALSE)="",""," ["&amp;VLOOKUP('.'!G179,Recipes!$A:$D,4,FALSE)&amp;"]"))</f>
        <v/>
      </c>
      <c r="H179" s="46" t="str">
        <f t="array" ref="H179">IF('.'!H179="","",'.'!H179&amp;IF(VLOOKUP('.'!H179,Recipes!$A:$D,4,FALSE)="",""," ["&amp;VLOOKUP('.'!H179,Recipes!$A:$D,4,FALSE)&amp;"]"))</f>
        <v/>
      </c>
      <c r="I179" s="46" t="str">
        <f t="array" ref="I179">IF('.'!I179="","",'.'!I179&amp;IF(VLOOKUP('.'!I179,Recipes!$A:$D,4,FALSE)="",""," ["&amp;VLOOKUP('.'!I179,Recipes!$A:$D,4,FALSE)&amp;"]"))</f>
        <v/>
      </c>
      <c r="J179" s="46" t="str">
        <f t="array" ref="J179">IF('.'!J179="","",'.'!J179&amp;IF(VLOOKUP('.'!J179,Recipes!$A:$D,4,FALSE)="",""," ["&amp;VLOOKUP('.'!J179,Recipes!$A:$D,4,FALSE)&amp;"]"))</f>
        <v/>
      </c>
      <c r="K179" s="46" t="str">
        <f t="array" ref="K179">IF('.'!K179="","",'.'!K179&amp;IF(VLOOKUP('.'!K179,Recipes!$A:$D,4,FALSE)="",""," ["&amp;VLOOKUP('.'!K179,Recipes!$A:$D,4,FALSE)&amp;"]"))</f>
        <v/>
      </c>
      <c r="L179" s="46" t="str">
        <f t="array" ref="L179">IF('.'!L179="","",'.'!L179&amp;IF(VLOOKUP('.'!L179,Recipes!$A:$D,4,FALSE)="",""," ["&amp;VLOOKUP('.'!L179,Recipes!$A:$D,4,FALSE)&amp;"]"))</f>
        <v/>
      </c>
      <c r="M179" s="46" t="str">
        <f t="array" ref="M179">IF('.'!M179="","",'.'!M179&amp;IF(VLOOKUP('.'!M179,Recipes!$A:$D,4,FALSE)="",""," ["&amp;VLOOKUP('.'!M179,Recipes!$A:$D,4,FALSE)&amp;"]"))</f>
        <v/>
      </c>
      <c r="N179" s="46" t="str">
        <f t="array" ref="N179">IF('.'!N179="","",'.'!N179&amp;IF(VLOOKUP('.'!N179,Recipes!$A:$D,4,FALSE)="",""," ["&amp;VLOOKUP('.'!N179,Recipes!$A:$D,4,FALSE)&amp;"]"))</f>
        <v/>
      </c>
      <c r="O179" s="46" t="str">
        <f t="array" ref="O179">IF('.'!O179="","",'.'!O179&amp;IF(VLOOKUP('.'!O179,Recipes!$A:$D,4,FALSE)="",""," ["&amp;VLOOKUP('.'!O179,Recipes!$A:$D,4,FALSE)&amp;"]"))</f>
        <v/>
      </c>
      <c r="P179" s="46" t="str">
        <f t="array" ref="P179">IF('.'!P179="","",'.'!P179&amp;IF(VLOOKUP('.'!P179,Recipes!$A:$D,4,FALSE)="",""," ["&amp;VLOOKUP('.'!P179,Recipes!$A:$D,4,FALSE)&amp;"]"))</f>
        <v/>
      </c>
      <c r="Q179" s="46" t="str">
        <f t="array" ref="Q179">IF('.'!Q179="","",'.'!Q179&amp;IF(VLOOKUP('.'!Q179,Recipes!$A:$D,4,FALSE)="",""," ["&amp;VLOOKUP('.'!Q179,Recipes!$A:$D,4,FALSE)&amp;"]"))</f>
        <v/>
      </c>
      <c r="R179" s="46" t="str">
        <f t="array" ref="R179">IF('.'!R179="","",'.'!R179&amp;IF(VLOOKUP('.'!R179,Recipes!$A:$D,4,FALSE)="",""," ["&amp;VLOOKUP('.'!R179,Recipes!$A:$D,4,FALSE)&amp;"]"))</f>
        <v/>
      </c>
      <c r="S179" s="46" t="str">
        <f t="array" ref="S179">IF('.'!S179="","",'.'!S179&amp;IF(VLOOKUP('.'!S179,Recipes!$A:$D,4,FALSE)="",""," ["&amp;VLOOKUP('.'!S179,Recipes!$A:$D,4,FALSE)&amp;"]"))</f>
        <v/>
      </c>
      <c r="T179" s="46" t="str">
        <f t="array" ref="T179">IF('.'!T179="","",'.'!T179&amp;IF(VLOOKUP('.'!T179,Recipes!$A:$D,4,FALSE)="",""," ["&amp;VLOOKUP('.'!T179,Recipes!$A:$D,4,FALSE)&amp;"]"))</f>
        <v/>
      </c>
      <c r="U179" s="46" t="str">
        <f t="array" ref="U179">IF('.'!U179="","",'.'!U179&amp;IF(VLOOKUP('.'!U179,Recipes!$A:$D,4,FALSE)="",""," ["&amp;VLOOKUP('.'!U179,Recipes!$A:$D,4,FALSE)&amp;"]"))</f>
        <v/>
      </c>
      <c r="V179" s="46" t="str">
        <f t="array" ref="V179">IF('.'!V179="","",'.'!V179&amp;IF(VLOOKUP('.'!V179,Recipes!$A:$D,4,FALSE)="",""," ["&amp;VLOOKUP('.'!V179,Recipes!$A:$D,4,FALSE)&amp;"]"))</f>
        <v/>
      </c>
      <c r="W179" s="46" t="str">
        <f t="array" ref="W179">IF('.'!W179="","",'.'!W179&amp;IF(VLOOKUP('.'!W179,Recipes!$A:$D,4,FALSE)="",""," ["&amp;VLOOKUP('.'!W179,Recipes!$A:$D,4,FALSE)&amp;"]"))</f>
        <v/>
      </c>
      <c r="X179" s="46" t="str">
        <f t="array" ref="X179">IF('.'!X179="","",'.'!X179&amp;IF(VLOOKUP('.'!X179,Recipes!$A:$D,4,FALSE)="",""," ["&amp;VLOOKUP('.'!X179,Recipes!$A:$D,4,FALSE)&amp;"]"))</f>
        <v/>
      </c>
      <c r="Y179" s="46" t="str">
        <f t="array" ref="Y179">IF('.'!Y179="","",'.'!Y179&amp;IF(VLOOKUP('.'!Y179,Recipes!$A:$D,4,FALSE)="",""," ["&amp;VLOOKUP('.'!Y179,Recipes!$A:$D,4,FALSE)&amp;"]"))</f>
        <v/>
      </c>
      <c r="Z179" s="46" t="str">
        <f t="array" ref="Z179">IF('.'!Z179="","",'.'!Z179&amp;IF(VLOOKUP('.'!Z179,Recipes!$A:$D,4,FALSE)="",""," ["&amp;VLOOKUP('.'!Z179,Recipes!$A:$D,4,FALSE)&amp;"]"))</f>
        <v/>
      </c>
      <c r="AA179" s="46" t="str">
        <f t="array" ref="AA179">IF('.'!AA179="","",'.'!AA179&amp;IF(VLOOKUP('.'!AA179,Recipes!$A:$D,4,FALSE)="",""," ["&amp;VLOOKUP('.'!AA179,Recipes!$A:$D,4,FALSE)&amp;"]"))</f>
        <v/>
      </c>
      <c r="AB179" s="46" t="str">
        <f t="array" ref="AB179">IF('.'!AB179="","",'.'!AB179&amp;IF(VLOOKUP('.'!AB179,Recipes!$A:$D,4,FALSE)="",""," ["&amp;VLOOKUP('.'!AB179,Recipes!$A:$D,4,FALSE)&amp;"]"))</f>
        <v/>
      </c>
      <c r="AC179" s="46" t="str">
        <f t="array" ref="AC179">IF('.'!AC179="","",'.'!AC179&amp;IF(VLOOKUP('.'!AC179,Recipes!$A:$D,4,FALSE)="",""," ["&amp;VLOOKUP('.'!AC179,Recipes!$A:$D,4,FALSE)&amp;"]"))</f>
        <v/>
      </c>
      <c r="AD179" s="46" t="str">
        <f t="array" ref="AD179">IF('.'!AD179="","",'.'!AD179&amp;IF(VLOOKUP('.'!AD179,Recipes!$A:$D,4,FALSE)="",""," ["&amp;VLOOKUP('.'!AD179,Recipes!$A:$D,4,FALSE)&amp;"]"))</f>
        <v/>
      </c>
      <c r="AE179" s="47"/>
      <c r="AF179" s="47"/>
      <c r="AG179" s="47"/>
      <c r="AH179" s="47"/>
      <c r="AI179" s="47"/>
      <c r="AJ179" s="47"/>
      <c r="AK179" s="47"/>
      <c r="AL179" s="47"/>
      <c r="AM179" s="47"/>
      <c r="AN179" s="47"/>
      <c r="AO179" s="47"/>
      <c r="AP179" s="47"/>
      <c r="AQ179" s="47"/>
      <c r="AR179" s="47"/>
      <c r="AS179" s="47"/>
      <c r="AT179" s="47"/>
      <c r="AU179" s="47"/>
      <c r="AV179" s="47"/>
      <c r="AW179" s="47"/>
      <c r="AX179" s="47"/>
      <c r="AY179" s="47"/>
      <c r="AZ179" s="47"/>
      <c r="BA179" s="47"/>
      <c r="BB179" s="47"/>
      <c r="BC179" s="47"/>
      <c r="BD179" s="47"/>
      <c r="BE179" s="47"/>
      <c r="BF179" s="47"/>
      <c r="BG179" s="47"/>
      <c r="BH179" s="47"/>
      <c r="BI179" s="47"/>
      <c r="BJ179" s="47"/>
      <c r="BK179" s="47"/>
      <c r="BL179" s="47"/>
      <c r="BM179" s="47"/>
      <c r="BN179" s="47"/>
      <c r="BO179" s="47"/>
      <c r="BP179" s="47"/>
      <c r="BQ179" s="47"/>
      <c r="BR179" s="47"/>
      <c r="BS179" s="47"/>
      <c r="BT179" s="47"/>
      <c r="BU179" s="47"/>
      <c r="BV179" s="47"/>
      <c r="BW179" s="47"/>
      <c r="BX179" s="47"/>
      <c r="BY179" s="47"/>
      <c r="BZ179" s="47"/>
    </row>
    <row r="180" spans="1:78" ht="13">
      <c r="A180" s="48" t="str">
        <f ca="1">'.'!A180</f>
        <v>Fire Whip Scroll</v>
      </c>
      <c r="B180" s="46" t="str">
        <f t="array" aca="1" ref="B180" ca="1">IF('.'!B180="","",'.'!B180&amp;IF(VLOOKUP('.'!B180,Recipes!$A:$D,4,FALSE)="",""," ["&amp;VLOOKUP('.'!B180,Recipes!$A:$D,4,FALSE)&amp;"]"))</f>
        <v>Fire Whip Skillbook [-10]</v>
      </c>
      <c r="C180" s="46" t="str">
        <f t="array" ref="C180">IF('.'!C180="","",'.'!C180&amp;IF(VLOOKUP('.'!C180,Recipes!$A:$D,4,FALSE)="",""," ["&amp;VLOOKUP('.'!C180,Recipes!$A:$D,4,FALSE)&amp;"]"))</f>
        <v/>
      </c>
      <c r="D180" s="46" t="str">
        <f t="array" ref="D180">IF('.'!D180="","",'.'!D180&amp;IF(VLOOKUP('.'!D180,Recipes!$A:$D,4,FALSE)="",""," ["&amp;VLOOKUP('.'!D180,Recipes!$A:$D,4,FALSE)&amp;"]"))</f>
        <v/>
      </c>
      <c r="E180" s="46" t="str">
        <f t="array" ref="E180">IF('.'!E180="","",'.'!E180&amp;IF(VLOOKUP('.'!E180,Recipes!$A:$D,4,FALSE)="",""," ["&amp;VLOOKUP('.'!E180,Recipes!$A:$D,4,FALSE)&amp;"]"))</f>
        <v/>
      </c>
      <c r="F180" s="46" t="str">
        <f t="array" ref="F180">IF('.'!F180="","",'.'!F180&amp;IF(VLOOKUP('.'!F180,Recipes!$A:$D,4,FALSE)="",""," ["&amp;VLOOKUP('.'!F180,Recipes!$A:$D,4,FALSE)&amp;"]"))</f>
        <v/>
      </c>
      <c r="G180" s="46" t="str">
        <f t="array" ref="G180">IF('.'!G180="","",'.'!G180&amp;IF(VLOOKUP('.'!G180,Recipes!$A:$D,4,FALSE)="",""," ["&amp;VLOOKUP('.'!G180,Recipes!$A:$D,4,FALSE)&amp;"]"))</f>
        <v/>
      </c>
      <c r="H180" s="46" t="str">
        <f t="array" ref="H180">IF('.'!H180="","",'.'!H180&amp;IF(VLOOKUP('.'!H180,Recipes!$A:$D,4,FALSE)="",""," ["&amp;VLOOKUP('.'!H180,Recipes!$A:$D,4,FALSE)&amp;"]"))</f>
        <v/>
      </c>
      <c r="I180" s="46" t="str">
        <f t="array" ref="I180">IF('.'!I180="","",'.'!I180&amp;IF(VLOOKUP('.'!I180,Recipes!$A:$D,4,FALSE)="",""," ["&amp;VLOOKUP('.'!I180,Recipes!$A:$D,4,FALSE)&amp;"]"))</f>
        <v/>
      </c>
      <c r="J180" s="46" t="str">
        <f t="array" ref="J180">IF('.'!J180="","",'.'!J180&amp;IF(VLOOKUP('.'!J180,Recipes!$A:$D,4,FALSE)="",""," ["&amp;VLOOKUP('.'!J180,Recipes!$A:$D,4,FALSE)&amp;"]"))</f>
        <v/>
      </c>
      <c r="K180" s="46" t="str">
        <f t="array" ref="K180">IF('.'!K180="","",'.'!K180&amp;IF(VLOOKUP('.'!K180,Recipes!$A:$D,4,FALSE)="",""," ["&amp;VLOOKUP('.'!K180,Recipes!$A:$D,4,FALSE)&amp;"]"))</f>
        <v/>
      </c>
      <c r="L180" s="46" t="str">
        <f t="array" ref="L180">IF('.'!L180="","",'.'!L180&amp;IF(VLOOKUP('.'!L180,Recipes!$A:$D,4,FALSE)="",""," ["&amp;VLOOKUP('.'!L180,Recipes!$A:$D,4,FALSE)&amp;"]"))</f>
        <v/>
      </c>
      <c r="M180" s="46" t="str">
        <f t="array" ref="M180">IF('.'!M180="","",'.'!M180&amp;IF(VLOOKUP('.'!M180,Recipes!$A:$D,4,FALSE)="",""," ["&amp;VLOOKUP('.'!M180,Recipes!$A:$D,4,FALSE)&amp;"]"))</f>
        <v/>
      </c>
      <c r="N180" s="46" t="str">
        <f t="array" ref="N180">IF('.'!N180="","",'.'!N180&amp;IF(VLOOKUP('.'!N180,Recipes!$A:$D,4,FALSE)="",""," ["&amp;VLOOKUP('.'!N180,Recipes!$A:$D,4,FALSE)&amp;"]"))</f>
        <v/>
      </c>
      <c r="O180" s="46" t="str">
        <f t="array" ref="O180">IF('.'!O180="","",'.'!O180&amp;IF(VLOOKUP('.'!O180,Recipes!$A:$D,4,FALSE)="",""," ["&amp;VLOOKUP('.'!O180,Recipes!$A:$D,4,FALSE)&amp;"]"))</f>
        <v/>
      </c>
      <c r="P180" s="46" t="str">
        <f t="array" ref="P180">IF('.'!P180="","",'.'!P180&amp;IF(VLOOKUP('.'!P180,Recipes!$A:$D,4,FALSE)="",""," ["&amp;VLOOKUP('.'!P180,Recipes!$A:$D,4,FALSE)&amp;"]"))</f>
        <v/>
      </c>
      <c r="Q180" s="46" t="str">
        <f t="array" ref="Q180">IF('.'!Q180="","",'.'!Q180&amp;IF(VLOOKUP('.'!Q180,Recipes!$A:$D,4,FALSE)="",""," ["&amp;VLOOKUP('.'!Q180,Recipes!$A:$D,4,FALSE)&amp;"]"))</f>
        <v/>
      </c>
      <c r="R180" s="46" t="str">
        <f t="array" ref="R180">IF('.'!R180="","",'.'!R180&amp;IF(VLOOKUP('.'!R180,Recipes!$A:$D,4,FALSE)="",""," ["&amp;VLOOKUP('.'!R180,Recipes!$A:$D,4,FALSE)&amp;"]"))</f>
        <v/>
      </c>
      <c r="S180" s="46" t="str">
        <f t="array" ref="S180">IF('.'!S180="","",'.'!S180&amp;IF(VLOOKUP('.'!S180,Recipes!$A:$D,4,FALSE)="",""," ["&amp;VLOOKUP('.'!S180,Recipes!$A:$D,4,FALSE)&amp;"]"))</f>
        <v/>
      </c>
      <c r="T180" s="46" t="str">
        <f t="array" ref="T180">IF('.'!T180="","",'.'!T180&amp;IF(VLOOKUP('.'!T180,Recipes!$A:$D,4,FALSE)="",""," ["&amp;VLOOKUP('.'!T180,Recipes!$A:$D,4,FALSE)&amp;"]"))</f>
        <v/>
      </c>
      <c r="U180" s="46" t="str">
        <f t="array" ref="U180">IF('.'!U180="","",'.'!U180&amp;IF(VLOOKUP('.'!U180,Recipes!$A:$D,4,FALSE)="",""," ["&amp;VLOOKUP('.'!U180,Recipes!$A:$D,4,FALSE)&amp;"]"))</f>
        <v/>
      </c>
      <c r="V180" s="46" t="str">
        <f t="array" ref="V180">IF('.'!V180="","",'.'!V180&amp;IF(VLOOKUP('.'!V180,Recipes!$A:$D,4,FALSE)="",""," ["&amp;VLOOKUP('.'!V180,Recipes!$A:$D,4,FALSE)&amp;"]"))</f>
        <v/>
      </c>
      <c r="W180" s="46" t="str">
        <f t="array" ref="W180">IF('.'!W180="","",'.'!W180&amp;IF(VLOOKUP('.'!W180,Recipes!$A:$D,4,FALSE)="",""," ["&amp;VLOOKUP('.'!W180,Recipes!$A:$D,4,FALSE)&amp;"]"))</f>
        <v/>
      </c>
      <c r="X180" s="46" t="str">
        <f t="array" ref="X180">IF('.'!X180="","",'.'!X180&amp;IF(VLOOKUP('.'!X180,Recipes!$A:$D,4,FALSE)="",""," ["&amp;VLOOKUP('.'!X180,Recipes!$A:$D,4,FALSE)&amp;"]"))</f>
        <v/>
      </c>
      <c r="Y180" s="46" t="str">
        <f t="array" ref="Y180">IF('.'!Y180="","",'.'!Y180&amp;IF(VLOOKUP('.'!Y180,Recipes!$A:$D,4,FALSE)="",""," ["&amp;VLOOKUP('.'!Y180,Recipes!$A:$D,4,FALSE)&amp;"]"))</f>
        <v/>
      </c>
      <c r="Z180" s="46" t="str">
        <f t="array" ref="Z180">IF('.'!Z180="","",'.'!Z180&amp;IF(VLOOKUP('.'!Z180,Recipes!$A:$D,4,FALSE)="",""," ["&amp;VLOOKUP('.'!Z180,Recipes!$A:$D,4,FALSE)&amp;"]"))</f>
        <v/>
      </c>
      <c r="AA180" s="46" t="str">
        <f t="array" ref="AA180">IF('.'!AA180="","",'.'!AA180&amp;IF(VLOOKUP('.'!AA180,Recipes!$A:$D,4,FALSE)="",""," ["&amp;VLOOKUP('.'!AA180,Recipes!$A:$D,4,FALSE)&amp;"]"))</f>
        <v/>
      </c>
      <c r="AB180" s="46" t="str">
        <f t="array" ref="AB180">IF('.'!AB180="","",'.'!AB180&amp;IF(VLOOKUP('.'!AB180,Recipes!$A:$D,4,FALSE)="",""," ["&amp;VLOOKUP('.'!AB180,Recipes!$A:$D,4,FALSE)&amp;"]"))</f>
        <v/>
      </c>
      <c r="AC180" s="46" t="str">
        <f t="array" ref="AC180">IF('.'!AC180="","",'.'!AC180&amp;IF(VLOOKUP('.'!AC180,Recipes!$A:$D,4,FALSE)="",""," ["&amp;VLOOKUP('.'!AC180,Recipes!$A:$D,4,FALSE)&amp;"]"))</f>
        <v/>
      </c>
      <c r="AD180" s="46" t="str">
        <f t="array" ref="AD180">IF('.'!AD180="","",'.'!AD180&amp;IF(VLOOKUP('.'!AD180,Recipes!$A:$D,4,FALSE)="",""," ["&amp;VLOOKUP('.'!AD180,Recipes!$A:$D,4,FALSE)&amp;"]"))</f>
        <v/>
      </c>
      <c r="AE180" s="47"/>
      <c r="AF180" s="47"/>
      <c r="AG180" s="47"/>
      <c r="AH180" s="47"/>
      <c r="AI180" s="47"/>
      <c r="AJ180" s="47"/>
      <c r="AK180" s="47"/>
      <c r="AL180" s="47"/>
      <c r="AM180" s="47"/>
      <c r="AN180" s="47"/>
      <c r="AO180" s="47"/>
      <c r="AP180" s="47"/>
      <c r="AQ180" s="47"/>
      <c r="AR180" s="47"/>
      <c r="AS180" s="47"/>
      <c r="AT180" s="47"/>
      <c r="AU180" s="47"/>
      <c r="AV180" s="47"/>
      <c r="AW180" s="47"/>
      <c r="AX180" s="47"/>
      <c r="AY180" s="47"/>
      <c r="AZ180" s="47"/>
      <c r="BA180" s="47"/>
      <c r="BB180" s="47"/>
      <c r="BC180" s="47"/>
      <c r="BD180" s="47"/>
      <c r="BE180" s="47"/>
      <c r="BF180" s="47"/>
      <c r="BG180" s="47"/>
      <c r="BH180" s="47"/>
      <c r="BI180" s="47"/>
      <c r="BJ180" s="47"/>
      <c r="BK180" s="47"/>
      <c r="BL180" s="47"/>
      <c r="BM180" s="47"/>
      <c r="BN180" s="47"/>
      <c r="BO180" s="47"/>
      <c r="BP180" s="47"/>
      <c r="BQ180" s="47"/>
      <c r="BR180" s="47"/>
      <c r="BS180" s="47"/>
      <c r="BT180" s="47"/>
      <c r="BU180" s="47"/>
      <c r="BV180" s="47"/>
      <c r="BW180" s="47"/>
      <c r="BX180" s="47"/>
      <c r="BY180" s="47"/>
      <c r="BZ180" s="47"/>
    </row>
    <row r="181" spans="1:78" ht="13">
      <c r="A181" s="48" t="str">
        <f ca="1">'.'!A181</f>
        <v>Fireball Scroll</v>
      </c>
      <c r="B181" s="46" t="str">
        <f t="array" aca="1" ref="B181" ca="1">IF('.'!B181="","",'.'!B181&amp;IF(VLOOKUP('.'!B181,Recipes!$A:$D,4,FALSE)="",""," ["&amp;VLOOKUP('.'!B181,Recipes!$A:$D,4,FALSE)&amp;"]"))</f>
        <v>Fireball Skillbook [-160]</v>
      </c>
      <c r="C181" s="46" t="str">
        <f t="array" ref="C181">IF('.'!C181="","",'.'!C181&amp;IF(VLOOKUP('.'!C181,Recipes!$A:$D,4,FALSE)="",""," ["&amp;VLOOKUP('.'!C181,Recipes!$A:$D,4,FALSE)&amp;"]"))</f>
        <v/>
      </c>
      <c r="D181" s="46" t="str">
        <f t="array" ref="D181">IF('.'!D181="","",'.'!D181&amp;IF(VLOOKUP('.'!D181,Recipes!$A:$D,4,FALSE)="",""," ["&amp;VLOOKUP('.'!D181,Recipes!$A:$D,4,FALSE)&amp;"]"))</f>
        <v/>
      </c>
      <c r="E181" s="46" t="str">
        <f t="array" ref="E181">IF('.'!E181="","",'.'!E181&amp;IF(VLOOKUP('.'!E181,Recipes!$A:$D,4,FALSE)="",""," ["&amp;VLOOKUP('.'!E181,Recipes!$A:$D,4,FALSE)&amp;"]"))</f>
        <v/>
      </c>
      <c r="F181" s="46" t="str">
        <f t="array" ref="F181">IF('.'!F181="","",'.'!F181&amp;IF(VLOOKUP('.'!F181,Recipes!$A:$D,4,FALSE)="",""," ["&amp;VLOOKUP('.'!F181,Recipes!$A:$D,4,FALSE)&amp;"]"))</f>
        <v/>
      </c>
      <c r="G181" s="46" t="str">
        <f t="array" ref="G181">IF('.'!G181="","",'.'!G181&amp;IF(VLOOKUP('.'!G181,Recipes!$A:$D,4,FALSE)="",""," ["&amp;VLOOKUP('.'!G181,Recipes!$A:$D,4,FALSE)&amp;"]"))</f>
        <v/>
      </c>
      <c r="H181" s="46" t="str">
        <f t="array" ref="H181">IF('.'!H181="","",'.'!H181&amp;IF(VLOOKUP('.'!H181,Recipes!$A:$D,4,FALSE)="",""," ["&amp;VLOOKUP('.'!H181,Recipes!$A:$D,4,FALSE)&amp;"]"))</f>
        <v/>
      </c>
      <c r="I181" s="46" t="str">
        <f t="array" ref="I181">IF('.'!I181="","",'.'!I181&amp;IF(VLOOKUP('.'!I181,Recipes!$A:$D,4,FALSE)="",""," ["&amp;VLOOKUP('.'!I181,Recipes!$A:$D,4,FALSE)&amp;"]"))</f>
        <v/>
      </c>
      <c r="J181" s="46" t="str">
        <f t="array" ref="J181">IF('.'!J181="","",'.'!J181&amp;IF(VLOOKUP('.'!J181,Recipes!$A:$D,4,FALSE)="",""," ["&amp;VLOOKUP('.'!J181,Recipes!$A:$D,4,FALSE)&amp;"]"))</f>
        <v/>
      </c>
      <c r="K181" s="46" t="str">
        <f t="array" ref="K181">IF('.'!K181="","",'.'!K181&amp;IF(VLOOKUP('.'!K181,Recipes!$A:$D,4,FALSE)="",""," ["&amp;VLOOKUP('.'!K181,Recipes!$A:$D,4,FALSE)&amp;"]"))</f>
        <v/>
      </c>
      <c r="L181" s="46" t="str">
        <f t="array" ref="L181">IF('.'!L181="","",'.'!L181&amp;IF(VLOOKUP('.'!L181,Recipes!$A:$D,4,FALSE)="",""," ["&amp;VLOOKUP('.'!L181,Recipes!$A:$D,4,FALSE)&amp;"]"))</f>
        <v/>
      </c>
      <c r="M181" s="46" t="str">
        <f t="array" ref="M181">IF('.'!M181="","",'.'!M181&amp;IF(VLOOKUP('.'!M181,Recipes!$A:$D,4,FALSE)="",""," ["&amp;VLOOKUP('.'!M181,Recipes!$A:$D,4,FALSE)&amp;"]"))</f>
        <v/>
      </c>
      <c r="N181" s="46" t="str">
        <f t="array" ref="N181">IF('.'!N181="","",'.'!N181&amp;IF(VLOOKUP('.'!N181,Recipes!$A:$D,4,FALSE)="",""," ["&amp;VLOOKUP('.'!N181,Recipes!$A:$D,4,FALSE)&amp;"]"))</f>
        <v/>
      </c>
      <c r="O181" s="46" t="str">
        <f t="array" ref="O181">IF('.'!O181="","",'.'!O181&amp;IF(VLOOKUP('.'!O181,Recipes!$A:$D,4,FALSE)="",""," ["&amp;VLOOKUP('.'!O181,Recipes!$A:$D,4,FALSE)&amp;"]"))</f>
        <v/>
      </c>
      <c r="P181" s="46" t="str">
        <f t="array" ref="P181">IF('.'!P181="","",'.'!P181&amp;IF(VLOOKUP('.'!P181,Recipes!$A:$D,4,FALSE)="",""," ["&amp;VLOOKUP('.'!P181,Recipes!$A:$D,4,FALSE)&amp;"]"))</f>
        <v/>
      </c>
      <c r="Q181" s="46" t="str">
        <f t="array" ref="Q181">IF('.'!Q181="","",'.'!Q181&amp;IF(VLOOKUP('.'!Q181,Recipes!$A:$D,4,FALSE)="",""," ["&amp;VLOOKUP('.'!Q181,Recipes!$A:$D,4,FALSE)&amp;"]"))</f>
        <v/>
      </c>
      <c r="R181" s="46" t="str">
        <f t="array" ref="R181">IF('.'!R181="","",'.'!R181&amp;IF(VLOOKUP('.'!R181,Recipes!$A:$D,4,FALSE)="",""," ["&amp;VLOOKUP('.'!R181,Recipes!$A:$D,4,FALSE)&amp;"]"))</f>
        <v/>
      </c>
      <c r="S181" s="46" t="str">
        <f t="array" ref="S181">IF('.'!S181="","",'.'!S181&amp;IF(VLOOKUP('.'!S181,Recipes!$A:$D,4,FALSE)="",""," ["&amp;VLOOKUP('.'!S181,Recipes!$A:$D,4,FALSE)&amp;"]"))</f>
        <v/>
      </c>
      <c r="T181" s="46" t="str">
        <f t="array" ref="T181">IF('.'!T181="","",'.'!T181&amp;IF(VLOOKUP('.'!T181,Recipes!$A:$D,4,FALSE)="",""," ["&amp;VLOOKUP('.'!T181,Recipes!$A:$D,4,FALSE)&amp;"]"))</f>
        <v/>
      </c>
      <c r="U181" s="46" t="str">
        <f t="array" ref="U181">IF('.'!U181="","",'.'!U181&amp;IF(VLOOKUP('.'!U181,Recipes!$A:$D,4,FALSE)="",""," ["&amp;VLOOKUP('.'!U181,Recipes!$A:$D,4,FALSE)&amp;"]"))</f>
        <v/>
      </c>
      <c r="V181" s="46" t="str">
        <f t="array" ref="V181">IF('.'!V181="","",'.'!V181&amp;IF(VLOOKUP('.'!V181,Recipes!$A:$D,4,FALSE)="",""," ["&amp;VLOOKUP('.'!V181,Recipes!$A:$D,4,FALSE)&amp;"]"))</f>
        <v/>
      </c>
      <c r="W181" s="46" t="str">
        <f t="array" ref="W181">IF('.'!W181="","",'.'!W181&amp;IF(VLOOKUP('.'!W181,Recipes!$A:$D,4,FALSE)="",""," ["&amp;VLOOKUP('.'!W181,Recipes!$A:$D,4,FALSE)&amp;"]"))</f>
        <v/>
      </c>
      <c r="X181" s="46" t="str">
        <f t="array" ref="X181">IF('.'!X181="","",'.'!X181&amp;IF(VLOOKUP('.'!X181,Recipes!$A:$D,4,FALSE)="",""," ["&amp;VLOOKUP('.'!X181,Recipes!$A:$D,4,FALSE)&amp;"]"))</f>
        <v/>
      </c>
      <c r="Y181" s="46" t="str">
        <f t="array" ref="Y181">IF('.'!Y181="","",'.'!Y181&amp;IF(VLOOKUP('.'!Y181,Recipes!$A:$D,4,FALSE)="",""," ["&amp;VLOOKUP('.'!Y181,Recipes!$A:$D,4,FALSE)&amp;"]"))</f>
        <v/>
      </c>
      <c r="Z181" s="46" t="str">
        <f t="array" ref="Z181">IF('.'!Z181="","",'.'!Z181&amp;IF(VLOOKUP('.'!Z181,Recipes!$A:$D,4,FALSE)="",""," ["&amp;VLOOKUP('.'!Z181,Recipes!$A:$D,4,FALSE)&amp;"]"))</f>
        <v/>
      </c>
      <c r="AA181" s="46" t="str">
        <f t="array" ref="AA181">IF('.'!AA181="","",'.'!AA181&amp;IF(VLOOKUP('.'!AA181,Recipes!$A:$D,4,FALSE)="",""," ["&amp;VLOOKUP('.'!AA181,Recipes!$A:$D,4,FALSE)&amp;"]"))</f>
        <v/>
      </c>
      <c r="AB181" s="46" t="str">
        <f t="array" ref="AB181">IF('.'!AB181="","",'.'!AB181&amp;IF(VLOOKUP('.'!AB181,Recipes!$A:$D,4,FALSE)="",""," ["&amp;VLOOKUP('.'!AB181,Recipes!$A:$D,4,FALSE)&amp;"]"))</f>
        <v/>
      </c>
      <c r="AC181" s="46" t="str">
        <f t="array" ref="AC181">IF('.'!AC181="","",'.'!AC181&amp;IF(VLOOKUP('.'!AC181,Recipes!$A:$D,4,FALSE)="",""," ["&amp;VLOOKUP('.'!AC181,Recipes!$A:$D,4,FALSE)&amp;"]"))</f>
        <v/>
      </c>
      <c r="AD181" s="46" t="str">
        <f t="array" ref="AD181">IF('.'!AD181="","",'.'!AD181&amp;IF(VLOOKUP('.'!AD181,Recipes!$A:$D,4,FALSE)="",""," ["&amp;VLOOKUP('.'!AD181,Recipes!$A:$D,4,FALSE)&amp;"]"))</f>
        <v/>
      </c>
      <c r="AE181" s="47"/>
      <c r="AF181" s="47"/>
      <c r="AG181" s="47"/>
      <c r="AH181" s="47"/>
      <c r="AI181" s="47"/>
      <c r="AJ181" s="47"/>
      <c r="AK181" s="47"/>
      <c r="AL181" s="47"/>
      <c r="AM181" s="47"/>
      <c r="AN181" s="47"/>
      <c r="AO181" s="47"/>
      <c r="AP181" s="47"/>
      <c r="AQ181" s="47"/>
      <c r="AR181" s="47"/>
      <c r="AS181" s="47"/>
      <c r="AT181" s="47"/>
      <c r="AU181" s="47"/>
      <c r="AV181" s="47"/>
      <c r="AW181" s="47"/>
      <c r="AX181" s="47"/>
      <c r="AY181" s="47"/>
      <c r="AZ181" s="47"/>
      <c r="BA181" s="47"/>
      <c r="BB181" s="47"/>
      <c r="BC181" s="47"/>
      <c r="BD181" s="47"/>
      <c r="BE181" s="47"/>
      <c r="BF181" s="47"/>
      <c r="BG181" s="47"/>
      <c r="BH181" s="47"/>
      <c r="BI181" s="47"/>
      <c r="BJ181" s="47"/>
      <c r="BK181" s="47"/>
      <c r="BL181" s="47"/>
      <c r="BM181" s="47"/>
      <c r="BN181" s="47"/>
      <c r="BO181" s="47"/>
      <c r="BP181" s="47"/>
      <c r="BQ181" s="47"/>
      <c r="BR181" s="47"/>
      <c r="BS181" s="47"/>
      <c r="BT181" s="47"/>
      <c r="BU181" s="47"/>
      <c r="BV181" s="47"/>
      <c r="BW181" s="47"/>
      <c r="BX181" s="47"/>
      <c r="BY181" s="47"/>
      <c r="BZ181" s="47"/>
    </row>
    <row r="182" spans="1:78" ht="13">
      <c r="A182" s="48" t="str">
        <f ca="1">'.'!A182</f>
        <v>Firebrand Scroll</v>
      </c>
      <c r="B182" s="46" t="str">
        <f t="array" aca="1" ref="B182" ca="1">IF('.'!B182="","",'.'!B182&amp;IF(VLOOKUP('.'!B182,Recipes!$A:$D,4,FALSE)="",""," ["&amp;VLOOKUP('.'!B182,Recipes!$A:$D,4,FALSE)&amp;"]"))</f>
        <v>Firebrand Skillbook [650]</v>
      </c>
      <c r="C182" s="46" t="str">
        <f t="array" ref="C182">IF('.'!C182="","",'.'!C182&amp;IF(VLOOKUP('.'!C182,Recipes!$A:$D,4,FALSE)="",""," ["&amp;VLOOKUP('.'!C182,Recipes!$A:$D,4,FALSE)&amp;"]"))</f>
        <v/>
      </c>
      <c r="D182" s="46" t="str">
        <f t="array" ref="D182">IF('.'!D182="","",'.'!D182&amp;IF(VLOOKUP('.'!D182,Recipes!$A:$D,4,FALSE)="",""," ["&amp;VLOOKUP('.'!D182,Recipes!$A:$D,4,FALSE)&amp;"]"))</f>
        <v/>
      </c>
      <c r="E182" s="46" t="str">
        <f t="array" ref="E182">IF('.'!E182="","",'.'!E182&amp;IF(VLOOKUP('.'!E182,Recipes!$A:$D,4,FALSE)="",""," ["&amp;VLOOKUP('.'!E182,Recipes!$A:$D,4,FALSE)&amp;"]"))</f>
        <v/>
      </c>
      <c r="F182" s="46" t="str">
        <f t="array" ref="F182">IF('.'!F182="","",'.'!F182&amp;IF(VLOOKUP('.'!F182,Recipes!$A:$D,4,FALSE)="",""," ["&amp;VLOOKUP('.'!F182,Recipes!$A:$D,4,FALSE)&amp;"]"))</f>
        <v/>
      </c>
      <c r="G182" s="46" t="str">
        <f t="array" ref="G182">IF('.'!G182="","",'.'!G182&amp;IF(VLOOKUP('.'!G182,Recipes!$A:$D,4,FALSE)="",""," ["&amp;VLOOKUP('.'!G182,Recipes!$A:$D,4,FALSE)&amp;"]"))</f>
        <v/>
      </c>
      <c r="H182" s="46" t="str">
        <f t="array" ref="H182">IF('.'!H182="","",'.'!H182&amp;IF(VLOOKUP('.'!H182,Recipes!$A:$D,4,FALSE)="",""," ["&amp;VLOOKUP('.'!H182,Recipes!$A:$D,4,FALSE)&amp;"]"))</f>
        <v/>
      </c>
      <c r="I182" s="46" t="str">
        <f t="array" ref="I182">IF('.'!I182="","",'.'!I182&amp;IF(VLOOKUP('.'!I182,Recipes!$A:$D,4,FALSE)="",""," ["&amp;VLOOKUP('.'!I182,Recipes!$A:$D,4,FALSE)&amp;"]"))</f>
        <v/>
      </c>
      <c r="J182" s="46" t="str">
        <f t="array" ref="J182">IF('.'!J182="","",'.'!J182&amp;IF(VLOOKUP('.'!J182,Recipes!$A:$D,4,FALSE)="",""," ["&amp;VLOOKUP('.'!J182,Recipes!$A:$D,4,FALSE)&amp;"]"))</f>
        <v/>
      </c>
      <c r="K182" s="46" t="str">
        <f t="array" ref="K182">IF('.'!K182="","",'.'!K182&amp;IF(VLOOKUP('.'!K182,Recipes!$A:$D,4,FALSE)="",""," ["&amp;VLOOKUP('.'!K182,Recipes!$A:$D,4,FALSE)&amp;"]"))</f>
        <v/>
      </c>
      <c r="L182" s="46" t="str">
        <f t="array" ref="L182">IF('.'!L182="","",'.'!L182&amp;IF(VLOOKUP('.'!L182,Recipes!$A:$D,4,FALSE)="",""," ["&amp;VLOOKUP('.'!L182,Recipes!$A:$D,4,FALSE)&amp;"]"))</f>
        <v/>
      </c>
      <c r="M182" s="46" t="str">
        <f t="array" ref="M182">IF('.'!M182="","",'.'!M182&amp;IF(VLOOKUP('.'!M182,Recipes!$A:$D,4,FALSE)="",""," ["&amp;VLOOKUP('.'!M182,Recipes!$A:$D,4,FALSE)&amp;"]"))</f>
        <v/>
      </c>
      <c r="N182" s="46" t="str">
        <f t="array" ref="N182">IF('.'!N182="","",'.'!N182&amp;IF(VLOOKUP('.'!N182,Recipes!$A:$D,4,FALSE)="",""," ["&amp;VLOOKUP('.'!N182,Recipes!$A:$D,4,FALSE)&amp;"]"))</f>
        <v/>
      </c>
      <c r="O182" s="46" t="str">
        <f t="array" ref="O182">IF('.'!O182="","",'.'!O182&amp;IF(VLOOKUP('.'!O182,Recipes!$A:$D,4,FALSE)="",""," ["&amp;VLOOKUP('.'!O182,Recipes!$A:$D,4,FALSE)&amp;"]"))</f>
        <v/>
      </c>
      <c r="P182" s="46" t="str">
        <f t="array" ref="P182">IF('.'!P182="","",'.'!P182&amp;IF(VLOOKUP('.'!P182,Recipes!$A:$D,4,FALSE)="",""," ["&amp;VLOOKUP('.'!P182,Recipes!$A:$D,4,FALSE)&amp;"]"))</f>
        <v/>
      </c>
      <c r="Q182" s="46" t="str">
        <f t="array" ref="Q182">IF('.'!Q182="","",'.'!Q182&amp;IF(VLOOKUP('.'!Q182,Recipes!$A:$D,4,FALSE)="",""," ["&amp;VLOOKUP('.'!Q182,Recipes!$A:$D,4,FALSE)&amp;"]"))</f>
        <v/>
      </c>
      <c r="R182" s="46" t="str">
        <f t="array" ref="R182">IF('.'!R182="","",'.'!R182&amp;IF(VLOOKUP('.'!R182,Recipes!$A:$D,4,FALSE)="",""," ["&amp;VLOOKUP('.'!R182,Recipes!$A:$D,4,FALSE)&amp;"]"))</f>
        <v/>
      </c>
      <c r="S182" s="46" t="str">
        <f t="array" ref="S182">IF('.'!S182="","",'.'!S182&amp;IF(VLOOKUP('.'!S182,Recipes!$A:$D,4,FALSE)="",""," ["&amp;VLOOKUP('.'!S182,Recipes!$A:$D,4,FALSE)&amp;"]"))</f>
        <v/>
      </c>
      <c r="T182" s="46" t="str">
        <f t="array" ref="T182">IF('.'!T182="","",'.'!T182&amp;IF(VLOOKUP('.'!T182,Recipes!$A:$D,4,FALSE)="",""," ["&amp;VLOOKUP('.'!T182,Recipes!$A:$D,4,FALSE)&amp;"]"))</f>
        <v/>
      </c>
      <c r="U182" s="46" t="str">
        <f t="array" ref="U182">IF('.'!U182="","",'.'!U182&amp;IF(VLOOKUP('.'!U182,Recipes!$A:$D,4,FALSE)="",""," ["&amp;VLOOKUP('.'!U182,Recipes!$A:$D,4,FALSE)&amp;"]"))</f>
        <v/>
      </c>
      <c r="V182" s="46" t="str">
        <f t="array" ref="V182">IF('.'!V182="","",'.'!V182&amp;IF(VLOOKUP('.'!V182,Recipes!$A:$D,4,FALSE)="",""," ["&amp;VLOOKUP('.'!V182,Recipes!$A:$D,4,FALSE)&amp;"]"))</f>
        <v/>
      </c>
      <c r="W182" s="46" t="str">
        <f t="array" ref="W182">IF('.'!W182="","",'.'!W182&amp;IF(VLOOKUP('.'!W182,Recipes!$A:$D,4,FALSE)="",""," ["&amp;VLOOKUP('.'!W182,Recipes!$A:$D,4,FALSE)&amp;"]"))</f>
        <v/>
      </c>
      <c r="X182" s="46" t="str">
        <f t="array" ref="X182">IF('.'!X182="","",'.'!X182&amp;IF(VLOOKUP('.'!X182,Recipes!$A:$D,4,FALSE)="",""," ["&amp;VLOOKUP('.'!X182,Recipes!$A:$D,4,FALSE)&amp;"]"))</f>
        <v/>
      </c>
      <c r="Y182" s="46" t="str">
        <f t="array" ref="Y182">IF('.'!Y182="","",'.'!Y182&amp;IF(VLOOKUP('.'!Y182,Recipes!$A:$D,4,FALSE)="",""," ["&amp;VLOOKUP('.'!Y182,Recipes!$A:$D,4,FALSE)&amp;"]"))</f>
        <v/>
      </c>
      <c r="Z182" s="46" t="str">
        <f t="array" ref="Z182">IF('.'!Z182="","",'.'!Z182&amp;IF(VLOOKUP('.'!Z182,Recipes!$A:$D,4,FALSE)="",""," ["&amp;VLOOKUP('.'!Z182,Recipes!$A:$D,4,FALSE)&amp;"]"))</f>
        <v/>
      </c>
      <c r="AA182" s="46" t="str">
        <f t="array" ref="AA182">IF('.'!AA182="","",'.'!AA182&amp;IF(VLOOKUP('.'!AA182,Recipes!$A:$D,4,FALSE)="",""," ["&amp;VLOOKUP('.'!AA182,Recipes!$A:$D,4,FALSE)&amp;"]"))</f>
        <v/>
      </c>
      <c r="AB182" s="46" t="str">
        <f t="array" ref="AB182">IF('.'!AB182="","",'.'!AB182&amp;IF(VLOOKUP('.'!AB182,Recipes!$A:$D,4,FALSE)="",""," ["&amp;VLOOKUP('.'!AB182,Recipes!$A:$D,4,FALSE)&amp;"]"))</f>
        <v/>
      </c>
      <c r="AC182" s="46" t="str">
        <f t="array" ref="AC182">IF('.'!AC182="","",'.'!AC182&amp;IF(VLOOKUP('.'!AC182,Recipes!$A:$D,4,FALSE)="",""," ["&amp;VLOOKUP('.'!AC182,Recipes!$A:$D,4,FALSE)&amp;"]"))</f>
        <v/>
      </c>
      <c r="AD182" s="46" t="str">
        <f t="array" ref="AD182">IF('.'!AD182="","",'.'!AD182&amp;IF(VLOOKUP('.'!AD182,Recipes!$A:$D,4,FALSE)="",""," ["&amp;VLOOKUP('.'!AD182,Recipes!$A:$D,4,FALSE)&amp;"]"))</f>
        <v/>
      </c>
      <c r="AE182" s="47"/>
      <c r="AF182" s="47"/>
      <c r="AG182" s="47"/>
      <c r="AH182" s="47"/>
      <c r="AI182" s="47"/>
      <c r="AJ182" s="47"/>
      <c r="AK182" s="47"/>
      <c r="AL182" s="47"/>
      <c r="AM182" s="47"/>
      <c r="AN182" s="47"/>
      <c r="AO182" s="47"/>
      <c r="AP182" s="47"/>
      <c r="AQ182" s="47"/>
      <c r="AR182" s="47"/>
      <c r="AS182" s="47"/>
      <c r="AT182" s="47"/>
      <c r="AU182" s="47"/>
      <c r="AV182" s="47"/>
      <c r="AW182" s="47"/>
      <c r="AX182" s="47"/>
      <c r="AY182" s="47"/>
      <c r="AZ182" s="47"/>
      <c r="BA182" s="47"/>
      <c r="BB182" s="47"/>
      <c r="BC182" s="47"/>
      <c r="BD182" s="47"/>
      <c r="BE182" s="47"/>
      <c r="BF182" s="47"/>
      <c r="BG182" s="47"/>
      <c r="BH182" s="47"/>
      <c r="BI182" s="47"/>
      <c r="BJ182" s="47"/>
      <c r="BK182" s="47"/>
      <c r="BL182" s="47"/>
      <c r="BM182" s="47"/>
      <c r="BN182" s="47"/>
      <c r="BO182" s="47"/>
      <c r="BP182" s="47"/>
      <c r="BQ182" s="47"/>
      <c r="BR182" s="47"/>
      <c r="BS182" s="47"/>
      <c r="BT182" s="47"/>
      <c r="BU182" s="47"/>
      <c r="BV182" s="47"/>
      <c r="BW182" s="47"/>
      <c r="BX182" s="47"/>
      <c r="BY182" s="47"/>
      <c r="BZ182" s="47"/>
    </row>
    <row r="183" spans="1:78" ht="13">
      <c r="A183" s="48" t="str">
        <f ca="1">'.'!A183</f>
        <v>Firestorm Grenade</v>
      </c>
      <c r="B183" s="46" t="str">
        <f t="array" aca="1" ref="B183" ca="1">IF('.'!B183="","",'.'!B183&amp;IF(VLOOKUP('.'!B183,Recipes!$A:$D,4,FALSE)="",""," ["&amp;VLOOKUP('.'!B183,Recipes!$A:$D,4,FALSE)&amp;"]"))</f>
        <v>Cursed Firestorm Grenade [-540]</v>
      </c>
      <c r="C183" s="46" t="str">
        <f t="array" ref="C183">IF('.'!C183="","",'.'!C183&amp;IF(VLOOKUP('.'!C183,Recipes!$A:$D,4,FALSE)="",""," ["&amp;VLOOKUP('.'!C183,Recipes!$A:$D,4,FALSE)&amp;"]"))</f>
        <v/>
      </c>
      <c r="D183" s="46" t="str">
        <f t="array" ref="D183">IF('.'!D183="","",'.'!D183&amp;IF(VLOOKUP('.'!D183,Recipes!$A:$D,4,FALSE)="",""," ["&amp;VLOOKUP('.'!D183,Recipes!$A:$D,4,FALSE)&amp;"]"))</f>
        <v/>
      </c>
      <c r="E183" s="46" t="str">
        <f t="array" ref="E183">IF('.'!E183="","",'.'!E183&amp;IF(VLOOKUP('.'!E183,Recipes!$A:$D,4,FALSE)="",""," ["&amp;VLOOKUP('.'!E183,Recipes!$A:$D,4,FALSE)&amp;"]"))</f>
        <v/>
      </c>
      <c r="F183" s="46" t="str">
        <f t="array" ref="F183">IF('.'!F183="","",'.'!F183&amp;IF(VLOOKUP('.'!F183,Recipes!$A:$D,4,FALSE)="",""," ["&amp;VLOOKUP('.'!F183,Recipes!$A:$D,4,FALSE)&amp;"]"))</f>
        <v/>
      </c>
      <c r="G183" s="46" t="str">
        <f t="array" ref="G183">IF('.'!G183="","",'.'!G183&amp;IF(VLOOKUP('.'!G183,Recipes!$A:$D,4,FALSE)="",""," ["&amp;VLOOKUP('.'!G183,Recipes!$A:$D,4,FALSE)&amp;"]"))</f>
        <v/>
      </c>
      <c r="H183" s="46" t="str">
        <f t="array" ref="H183">IF('.'!H183="","",'.'!H183&amp;IF(VLOOKUP('.'!H183,Recipes!$A:$D,4,FALSE)="",""," ["&amp;VLOOKUP('.'!H183,Recipes!$A:$D,4,FALSE)&amp;"]"))</f>
        <v/>
      </c>
      <c r="I183" s="46" t="str">
        <f t="array" ref="I183">IF('.'!I183="","",'.'!I183&amp;IF(VLOOKUP('.'!I183,Recipes!$A:$D,4,FALSE)="",""," ["&amp;VLOOKUP('.'!I183,Recipes!$A:$D,4,FALSE)&amp;"]"))</f>
        <v/>
      </c>
      <c r="J183" s="46" t="str">
        <f t="array" ref="J183">IF('.'!J183="","",'.'!J183&amp;IF(VLOOKUP('.'!J183,Recipes!$A:$D,4,FALSE)="",""," ["&amp;VLOOKUP('.'!J183,Recipes!$A:$D,4,FALSE)&amp;"]"))</f>
        <v/>
      </c>
      <c r="K183" s="46" t="str">
        <f t="array" ref="K183">IF('.'!K183="","",'.'!K183&amp;IF(VLOOKUP('.'!K183,Recipes!$A:$D,4,FALSE)="",""," ["&amp;VLOOKUP('.'!K183,Recipes!$A:$D,4,FALSE)&amp;"]"))</f>
        <v/>
      </c>
      <c r="L183" s="46" t="str">
        <f t="array" ref="L183">IF('.'!L183="","",'.'!L183&amp;IF(VLOOKUP('.'!L183,Recipes!$A:$D,4,FALSE)="",""," ["&amp;VLOOKUP('.'!L183,Recipes!$A:$D,4,FALSE)&amp;"]"))</f>
        <v/>
      </c>
      <c r="M183" s="46" t="str">
        <f t="array" ref="M183">IF('.'!M183="","",'.'!M183&amp;IF(VLOOKUP('.'!M183,Recipes!$A:$D,4,FALSE)="",""," ["&amp;VLOOKUP('.'!M183,Recipes!$A:$D,4,FALSE)&amp;"]"))</f>
        <v/>
      </c>
      <c r="N183" s="46" t="str">
        <f t="array" ref="N183">IF('.'!N183="","",'.'!N183&amp;IF(VLOOKUP('.'!N183,Recipes!$A:$D,4,FALSE)="",""," ["&amp;VLOOKUP('.'!N183,Recipes!$A:$D,4,FALSE)&amp;"]"))</f>
        <v/>
      </c>
      <c r="O183" s="46" t="str">
        <f t="array" ref="O183">IF('.'!O183="","",'.'!O183&amp;IF(VLOOKUP('.'!O183,Recipes!$A:$D,4,FALSE)="",""," ["&amp;VLOOKUP('.'!O183,Recipes!$A:$D,4,FALSE)&amp;"]"))</f>
        <v/>
      </c>
      <c r="P183" s="46" t="str">
        <f t="array" ref="P183">IF('.'!P183="","",'.'!P183&amp;IF(VLOOKUP('.'!P183,Recipes!$A:$D,4,FALSE)="",""," ["&amp;VLOOKUP('.'!P183,Recipes!$A:$D,4,FALSE)&amp;"]"))</f>
        <v/>
      </c>
      <c r="Q183" s="46" t="str">
        <f t="array" ref="Q183">IF('.'!Q183="","",'.'!Q183&amp;IF(VLOOKUP('.'!Q183,Recipes!$A:$D,4,FALSE)="",""," ["&amp;VLOOKUP('.'!Q183,Recipes!$A:$D,4,FALSE)&amp;"]"))</f>
        <v/>
      </c>
      <c r="R183" s="46" t="str">
        <f t="array" ref="R183">IF('.'!R183="","",'.'!R183&amp;IF(VLOOKUP('.'!R183,Recipes!$A:$D,4,FALSE)="",""," ["&amp;VLOOKUP('.'!R183,Recipes!$A:$D,4,FALSE)&amp;"]"))</f>
        <v/>
      </c>
      <c r="S183" s="46" t="str">
        <f t="array" ref="S183">IF('.'!S183="","",'.'!S183&amp;IF(VLOOKUP('.'!S183,Recipes!$A:$D,4,FALSE)="",""," ["&amp;VLOOKUP('.'!S183,Recipes!$A:$D,4,FALSE)&amp;"]"))</f>
        <v/>
      </c>
      <c r="T183" s="46" t="str">
        <f t="array" ref="T183">IF('.'!T183="","",'.'!T183&amp;IF(VLOOKUP('.'!T183,Recipes!$A:$D,4,FALSE)="",""," ["&amp;VLOOKUP('.'!T183,Recipes!$A:$D,4,FALSE)&amp;"]"))</f>
        <v/>
      </c>
      <c r="U183" s="46" t="str">
        <f t="array" ref="U183">IF('.'!U183="","",'.'!U183&amp;IF(VLOOKUP('.'!U183,Recipes!$A:$D,4,FALSE)="",""," ["&amp;VLOOKUP('.'!U183,Recipes!$A:$D,4,FALSE)&amp;"]"))</f>
        <v/>
      </c>
      <c r="V183" s="46" t="str">
        <f t="array" ref="V183">IF('.'!V183="","",'.'!V183&amp;IF(VLOOKUP('.'!V183,Recipes!$A:$D,4,FALSE)="",""," ["&amp;VLOOKUP('.'!V183,Recipes!$A:$D,4,FALSE)&amp;"]"))</f>
        <v/>
      </c>
      <c r="W183" s="46" t="str">
        <f t="array" ref="W183">IF('.'!W183="","",'.'!W183&amp;IF(VLOOKUP('.'!W183,Recipes!$A:$D,4,FALSE)="",""," ["&amp;VLOOKUP('.'!W183,Recipes!$A:$D,4,FALSE)&amp;"]"))</f>
        <v/>
      </c>
      <c r="X183" s="46" t="str">
        <f t="array" ref="X183">IF('.'!X183="","",'.'!X183&amp;IF(VLOOKUP('.'!X183,Recipes!$A:$D,4,FALSE)="",""," ["&amp;VLOOKUP('.'!X183,Recipes!$A:$D,4,FALSE)&amp;"]"))</f>
        <v/>
      </c>
      <c r="Y183" s="46" t="str">
        <f t="array" ref="Y183">IF('.'!Y183="","",'.'!Y183&amp;IF(VLOOKUP('.'!Y183,Recipes!$A:$D,4,FALSE)="",""," ["&amp;VLOOKUP('.'!Y183,Recipes!$A:$D,4,FALSE)&amp;"]"))</f>
        <v/>
      </c>
      <c r="Z183" s="46" t="str">
        <f t="array" ref="Z183">IF('.'!Z183="","",'.'!Z183&amp;IF(VLOOKUP('.'!Z183,Recipes!$A:$D,4,FALSE)="",""," ["&amp;VLOOKUP('.'!Z183,Recipes!$A:$D,4,FALSE)&amp;"]"))</f>
        <v/>
      </c>
      <c r="AA183" s="46" t="str">
        <f t="array" ref="AA183">IF('.'!AA183="","",'.'!AA183&amp;IF(VLOOKUP('.'!AA183,Recipes!$A:$D,4,FALSE)="",""," ["&amp;VLOOKUP('.'!AA183,Recipes!$A:$D,4,FALSE)&amp;"]"))</f>
        <v/>
      </c>
      <c r="AB183" s="46" t="str">
        <f t="array" ref="AB183">IF('.'!AB183="","",'.'!AB183&amp;IF(VLOOKUP('.'!AB183,Recipes!$A:$D,4,FALSE)="",""," ["&amp;VLOOKUP('.'!AB183,Recipes!$A:$D,4,FALSE)&amp;"]"))</f>
        <v/>
      </c>
      <c r="AC183" s="46" t="str">
        <f t="array" ref="AC183">IF('.'!AC183="","",'.'!AC183&amp;IF(VLOOKUP('.'!AC183,Recipes!$A:$D,4,FALSE)="",""," ["&amp;VLOOKUP('.'!AC183,Recipes!$A:$D,4,FALSE)&amp;"]"))</f>
        <v/>
      </c>
      <c r="AD183" s="46" t="str">
        <f t="array" ref="AD183">IF('.'!AD183="","",'.'!AD183&amp;IF(VLOOKUP('.'!AD183,Recipes!$A:$D,4,FALSE)="",""," ["&amp;VLOOKUP('.'!AD183,Recipes!$A:$D,4,FALSE)&amp;"]"))</f>
        <v/>
      </c>
      <c r="AE183" s="47"/>
      <c r="AF183" s="47"/>
      <c r="AG183" s="47"/>
      <c r="AH183" s="47"/>
      <c r="AI183" s="47"/>
      <c r="AJ183" s="47"/>
      <c r="AK183" s="47"/>
      <c r="AL183" s="47"/>
      <c r="AM183" s="47"/>
      <c r="AN183" s="47"/>
      <c r="AO183" s="47"/>
      <c r="AP183" s="47"/>
      <c r="AQ183" s="47"/>
      <c r="AR183" s="47"/>
      <c r="AS183" s="47"/>
      <c r="AT183" s="47"/>
      <c r="AU183" s="47"/>
      <c r="AV183" s="47"/>
      <c r="AW183" s="47"/>
      <c r="AX183" s="47"/>
      <c r="AY183" s="47"/>
      <c r="AZ183" s="47"/>
      <c r="BA183" s="47"/>
      <c r="BB183" s="47"/>
      <c r="BC183" s="47"/>
      <c r="BD183" s="47"/>
      <c r="BE183" s="47"/>
      <c r="BF183" s="47"/>
      <c r="BG183" s="47"/>
      <c r="BH183" s="47"/>
      <c r="BI183" s="47"/>
      <c r="BJ183" s="47"/>
      <c r="BK183" s="47"/>
      <c r="BL183" s="47"/>
      <c r="BM183" s="47"/>
      <c r="BN183" s="47"/>
      <c r="BO183" s="47"/>
      <c r="BP183" s="47"/>
      <c r="BQ183" s="47"/>
      <c r="BR183" s="47"/>
      <c r="BS183" s="47"/>
      <c r="BT183" s="47"/>
      <c r="BU183" s="47"/>
      <c r="BV183" s="47"/>
      <c r="BW183" s="47"/>
      <c r="BX183" s="47"/>
      <c r="BY183" s="47"/>
      <c r="BZ183" s="47"/>
    </row>
    <row r="184" spans="1:78" ht="13">
      <c r="A184" s="48" t="str">
        <f ca="1">'.'!A184</f>
        <v>Fish</v>
      </c>
      <c r="B184" s="46" t="e">
        <f t="array" aca="1" ref="B184" ca="1">IF('.'!B184="","",'.'!B184&amp;IF(VLOOKUP('.'!B184,Recipes!$A:$D,4,FALSE)="",""," ["&amp;VLOOKUP('.'!B184,Recipes!$A:$D,4,FALSE)&amp;"]"))</f>
        <v>#VALUE!</v>
      </c>
      <c r="C184" s="46" t="str">
        <f t="array" aca="1" ref="C184" ca="1">IF('.'!C184="","",'.'!C184&amp;IF(VLOOKUP('.'!C184,Recipes!$A:$D,4,FALSE)="",""," ["&amp;VLOOKUP('.'!C184,Recipes!$A:$D,4,FALSE)&amp;"]"))</f>
        <v>Fish Pie Dough [1]</v>
      </c>
      <c r="D184" s="46" t="str">
        <f t="array" ref="D184">IF('.'!D184="","",'.'!D184&amp;IF(VLOOKUP('.'!D184,Recipes!$A:$D,4,FALSE)="",""," ["&amp;VLOOKUP('.'!D184,Recipes!$A:$D,4,FALSE)&amp;"]"))</f>
        <v/>
      </c>
      <c r="E184" s="46" t="str">
        <f t="array" ref="E184">IF('.'!E184="","",'.'!E184&amp;IF(VLOOKUP('.'!E184,Recipes!$A:$D,4,FALSE)="",""," ["&amp;VLOOKUP('.'!E184,Recipes!$A:$D,4,FALSE)&amp;"]"))</f>
        <v/>
      </c>
      <c r="F184" s="46" t="str">
        <f t="array" ref="F184">IF('.'!F184="","",'.'!F184&amp;IF(VLOOKUP('.'!F184,Recipes!$A:$D,4,FALSE)="",""," ["&amp;VLOOKUP('.'!F184,Recipes!$A:$D,4,FALSE)&amp;"]"))</f>
        <v/>
      </c>
      <c r="G184" s="46" t="str">
        <f t="array" ref="G184">IF('.'!G184="","",'.'!G184&amp;IF(VLOOKUP('.'!G184,Recipes!$A:$D,4,FALSE)="",""," ["&amp;VLOOKUP('.'!G184,Recipes!$A:$D,4,FALSE)&amp;"]"))</f>
        <v/>
      </c>
      <c r="H184" s="46" t="str">
        <f t="array" ref="H184">IF('.'!H184="","",'.'!H184&amp;IF(VLOOKUP('.'!H184,Recipes!$A:$D,4,FALSE)="",""," ["&amp;VLOOKUP('.'!H184,Recipes!$A:$D,4,FALSE)&amp;"]"))</f>
        <v/>
      </c>
      <c r="I184" s="46" t="str">
        <f t="array" ref="I184">IF('.'!I184="","",'.'!I184&amp;IF(VLOOKUP('.'!I184,Recipes!$A:$D,4,FALSE)="",""," ["&amp;VLOOKUP('.'!I184,Recipes!$A:$D,4,FALSE)&amp;"]"))</f>
        <v/>
      </c>
      <c r="J184" s="46" t="str">
        <f t="array" ref="J184">IF('.'!J184="","",'.'!J184&amp;IF(VLOOKUP('.'!J184,Recipes!$A:$D,4,FALSE)="",""," ["&amp;VLOOKUP('.'!J184,Recipes!$A:$D,4,FALSE)&amp;"]"))</f>
        <v/>
      </c>
      <c r="K184" s="46" t="str">
        <f t="array" ref="K184">IF('.'!K184="","",'.'!K184&amp;IF(VLOOKUP('.'!K184,Recipes!$A:$D,4,FALSE)="",""," ["&amp;VLOOKUP('.'!K184,Recipes!$A:$D,4,FALSE)&amp;"]"))</f>
        <v/>
      </c>
      <c r="L184" s="46" t="str">
        <f t="array" ref="L184">IF('.'!L184="","",'.'!L184&amp;IF(VLOOKUP('.'!L184,Recipes!$A:$D,4,FALSE)="",""," ["&amp;VLOOKUP('.'!L184,Recipes!$A:$D,4,FALSE)&amp;"]"))</f>
        <v/>
      </c>
      <c r="M184" s="46" t="str">
        <f t="array" ref="M184">IF('.'!M184="","",'.'!M184&amp;IF(VLOOKUP('.'!M184,Recipes!$A:$D,4,FALSE)="",""," ["&amp;VLOOKUP('.'!M184,Recipes!$A:$D,4,FALSE)&amp;"]"))</f>
        <v/>
      </c>
      <c r="N184" s="46" t="str">
        <f t="array" ref="N184">IF('.'!N184="","",'.'!N184&amp;IF(VLOOKUP('.'!N184,Recipes!$A:$D,4,FALSE)="",""," ["&amp;VLOOKUP('.'!N184,Recipes!$A:$D,4,FALSE)&amp;"]"))</f>
        <v/>
      </c>
      <c r="O184" s="46" t="str">
        <f t="array" ref="O184">IF('.'!O184="","",'.'!O184&amp;IF(VLOOKUP('.'!O184,Recipes!$A:$D,4,FALSE)="",""," ["&amp;VLOOKUP('.'!O184,Recipes!$A:$D,4,FALSE)&amp;"]"))</f>
        <v/>
      </c>
      <c r="P184" s="46" t="str">
        <f t="array" ref="P184">IF('.'!P184="","",'.'!P184&amp;IF(VLOOKUP('.'!P184,Recipes!$A:$D,4,FALSE)="",""," ["&amp;VLOOKUP('.'!P184,Recipes!$A:$D,4,FALSE)&amp;"]"))</f>
        <v/>
      </c>
      <c r="Q184" s="46" t="str">
        <f t="array" ref="Q184">IF('.'!Q184="","",'.'!Q184&amp;IF(VLOOKUP('.'!Q184,Recipes!$A:$D,4,FALSE)="",""," ["&amp;VLOOKUP('.'!Q184,Recipes!$A:$D,4,FALSE)&amp;"]"))</f>
        <v/>
      </c>
      <c r="R184" s="46" t="str">
        <f t="array" ref="R184">IF('.'!R184="","",'.'!R184&amp;IF(VLOOKUP('.'!R184,Recipes!$A:$D,4,FALSE)="",""," ["&amp;VLOOKUP('.'!R184,Recipes!$A:$D,4,FALSE)&amp;"]"))</f>
        <v/>
      </c>
      <c r="S184" s="46" t="str">
        <f t="array" ref="S184">IF('.'!S184="","",'.'!S184&amp;IF(VLOOKUP('.'!S184,Recipes!$A:$D,4,FALSE)="",""," ["&amp;VLOOKUP('.'!S184,Recipes!$A:$D,4,FALSE)&amp;"]"))</f>
        <v/>
      </c>
      <c r="T184" s="46" t="str">
        <f t="array" ref="T184">IF('.'!T184="","",'.'!T184&amp;IF(VLOOKUP('.'!T184,Recipes!$A:$D,4,FALSE)="",""," ["&amp;VLOOKUP('.'!T184,Recipes!$A:$D,4,FALSE)&amp;"]"))</f>
        <v/>
      </c>
      <c r="U184" s="46" t="str">
        <f t="array" ref="U184">IF('.'!U184="","",'.'!U184&amp;IF(VLOOKUP('.'!U184,Recipes!$A:$D,4,FALSE)="",""," ["&amp;VLOOKUP('.'!U184,Recipes!$A:$D,4,FALSE)&amp;"]"))</f>
        <v/>
      </c>
      <c r="V184" s="46" t="str">
        <f t="array" ref="V184">IF('.'!V184="","",'.'!V184&amp;IF(VLOOKUP('.'!V184,Recipes!$A:$D,4,FALSE)="",""," ["&amp;VLOOKUP('.'!V184,Recipes!$A:$D,4,FALSE)&amp;"]"))</f>
        <v/>
      </c>
      <c r="W184" s="46" t="str">
        <f t="array" ref="W184">IF('.'!W184="","",'.'!W184&amp;IF(VLOOKUP('.'!W184,Recipes!$A:$D,4,FALSE)="",""," ["&amp;VLOOKUP('.'!W184,Recipes!$A:$D,4,FALSE)&amp;"]"))</f>
        <v/>
      </c>
      <c r="X184" s="46" t="str">
        <f t="array" ref="X184">IF('.'!X184="","",'.'!X184&amp;IF(VLOOKUP('.'!X184,Recipes!$A:$D,4,FALSE)="",""," ["&amp;VLOOKUP('.'!X184,Recipes!$A:$D,4,FALSE)&amp;"]"))</f>
        <v/>
      </c>
      <c r="Y184" s="46" t="str">
        <f t="array" ref="Y184">IF('.'!Y184="","",'.'!Y184&amp;IF(VLOOKUP('.'!Y184,Recipes!$A:$D,4,FALSE)="",""," ["&amp;VLOOKUP('.'!Y184,Recipes!$A:$D,4,FALSE)&amp;"]"))</f>
        <v/>
      </c>
      <c r="Z184" s="46" t="str">
        <f t="array" ref="Z184">IF('.'!Z184="","",'.'!Z184&amp;IF(VLOOKUP('.'!Z184,Recipes!$A:$D,4,FALSE)="",""," ["&amp;VLOOKUP('.'!Z184,Recipes!$A:$D,4,FALSE)&amp;"]"))</f>
        <v/>
      </c>
      <c r="AA184" s="46" t="str">
        <f t="array" ref="AA184">IF('.'!AA184="","",'.'!AA184&amp;IF(VLOOKUP('.'!AA184,Recipes!$A:$D,4,FALSE)="",""," ["&amp;VLOOKUP('.'!AA184,Recipes!$A:$D,4,FALSE)&amp;"]"))</f>
        <v/>
      </c>
      <c r="AB184" s="46" t="str">
        <f t="array" ref="AB184">IF('.'!AB184="","",'.'!AB184&amp;IF(VLOOKUP('.'!AB184,Recipes!$A:$D,4,FALSE)="",""," ["&amp;VLOOKUP('.'!AB184,Recipes!$A:$D,4,FALSE)&amp;"]"))</f>
        <v/>
      </c>
      <c r="AC184" s="46" t="str">
        <f t="array" ref="AC184">IF('.'!AC184="","",'.'!AC184&amp;IF(VLOOKUP('.'!AC184,Recipes!$A:$D,4,FALSE)="",""," ["&amp;VLOOKUP('.'!AC184,Recipes!$A:$D,4,FALSE)&amp;"]"))</f>
        <v/>
      </c>
      <c r="AD184" s="46" t="str">
        <f t="array" ref="AD184">IF('.'!AD184="","",'.'!AD184&amp;IF(VLOOKUP('.'!AD184,Recipes!$A:$D,4,FALSE)="",""," ["&amp;VLOOKUP('.'!AD184,Recipes!$A:$D,4,FALSE)&amp;"]"))</f>
        <v/>
      </c>
      <c r="AE184" s="47"/>
      <c r="AF184" s="47"/>
      <c r="AG184" s="47"/>
      <c r="AH184" s="47"/>
      <c r="AI184" s="47"/>
      <c r="AJ184" s="47"/>
      <c r="AK184" s="47"/>
      <c r="AL184" s="47"/>
      <c r="AM184" s="47"/>
      <c r="AN184" s="47"/>
      <c r="AO184" s="47"/>
      <c r="AP184" s="47"/>
      <c r="AQ184" s="47"/>
      <c r="AR184" s="47"/>
      <c r="AS184" s="47"/>
      <c r="AT184" s="47"/>
      <c r="AU184" s="47"/>
      <c r="AV184" s="47"/>
      <c r="AW184" s="47"/>
      <c r="AX184" s="47"/>
      <c r="AY184" s="47"/>
      <c r="AZ184" s="47"/>
      <c r="BA184" s="47"/>
      <c r="BB184" s="47"/>
      <c r="BC184" s="47"/>
      <c r="BD184" s="47"/>
      <c r="BE184" s="47"/>
      <c r="BF184" s="47"/>
      <c r="BG184" s="47"/>
      <c r="BH184" s="47"/>
      <c r="BI184" s="47"/>
      <c r="BJ184" s="47"/>
      <c r="BK184" s="47"/>
      <c r="BL184" s="47"/>
      <c r="BM184" s="47"/>
      <c r="BN184" s="47"/>
      <c r="BO184" s="47"/>
      <c r="BP184" s="47"/>
      <c r="BQ184" s="47"/>
      <c r="BR184" s="47"/>
      <c r="BS184" s="47"/>
      <c r="BT184" s="47"/>
      <c r="BU184" s="47"/>
      <c r="BV184" s="47"/>
      <c r="BW184" s="47"/>
      <c r="BX184" s="47"/>
      <c r="BY184" s="47"/>
      <c r="BZ184" s="47"/>
    </row>
    <row r="185" spans="1:78" ht="13">
      <c r="A185" s="48" t="str">
        <f ca="1">'.'!A185</f>
        <v>Fish Bone</v>
      </c>
      <c r="B185" s="46" t="str">
        <f t="array" aca="1" ref="B185" ca="1">IF('.'!B185="","",'.'!B185&amp;IF(VLOOKUP('.'!B185,Recipes!$A:$D,4,FALSE)="",""," ["&amp;VLOOKUP('.'!B185,Recipes!$A:$D,4,FALSE)&amp;"]"))</f>
        <v>Bone Cage Scroll [139]</v>
      </c>
      <c r="C185" s="46" t="str">
        <f t="array" ref="C185">IF('.'!C185="","",'.'!C185&amp;IF(VLOOKUP('.'!C185,Recipes!$A:$D,4,FALSE)="",""," ["&amp;VLOOKUP('.'!C185,Recipes!$A:$D,4,FALSE)&amp;"]"))</f>
        <v/>
      </c>
      <c r="D185" s="46" t="str">
        <f t="array" ref="D185">IF('.'!D185="","",'.'!D185&amp;IF(VLOOKUP('.'!D185,Recipes!$A:$D,4,FALSE)="",""," ["&amp;VLOOKUP('.'!D185,Recipes!$A:$D,4,FALSE)&amp;"]"))</f>
        <v/>
      </c>
      <c r="E185" s="46" t="str">
        <f t="array" ref="E185">IF('.'!E185="","",'.'!E185&amp;IF(VLOOKUP('.'!E185,Recipes!$A:$D,4,FALSE)="",""," ["&amp;VLOOKUP('.'!E185,Recipes!$A:$D,4,FALSE)&amp;"]"))</f>
        <v/>
      </c>
      <c r="F185" s="46" t="str">
        <f t="array" ref="F185">IF('.'!F185="","",'.'!F185&amp;IF(VLOOKUP('.'!F185,Recipes!$A:$D,4,FALSE)="",""," ["&amp;VLOOKUP('.'!F185,Recipes!$A:$D,4,FALSE)&amp;"]"))</f>
        <v/>
      </c>
      <c r="G185" s="46" t="str">
        <f t="array" ref="G185">IF('.'!G185="","",'.'!G185&amp;IF(VLOOKUP('.'!G185,Recipes!$A:$D,4,FALSE)="",""," ["&amp;VLOOKUP('.'!G185,Recipes!$A:$D,4,FALSE)&amp;"]"))</f>
        <v/>
      </c>
      <c r="H185" s="46" t="str">
        <f t="array" ref="H185">IF('.'!H185="","",'.'!H185&amp;IF(VLOOKUP('.'!H185,Recipes!$A:$D,4,FALSE)="",""," ["&amp;VLOOKUP('.'!H185,Recipes!$A:$D,4,FALSE)&amp;"]"))</f>
        <v/>
      </c>
      <c r="I185" s="46" t="str">
        <f t="array" ref="I185">IF('.'!I185="","",'.'!I185&amp;IF(VLOOKUP('.'!I185,Recipes!$A:$D,4,FALSE)="",""," ["&amp;VLOOKUP('.'!I185,Recipes!$A:$D,4,FALSE)&amp;"]"))</f>
        <v/>
      </c>
      <c r="J185" s="46" t="str">
        <f t="array" ref="J185">IF('.'!J185="","",'.'!J185&amp;IF(VLOOKUP('.'!J185,Recipes!$A:$D,4,FALSE)="",""," ["&amp;VLOOKUP('.'!J185,Recipes!$A:$D,4,FALSE)&amp;"]"))</f>
        <v/>
      </c>
      <c r="K185" s="46" t="str">
        <f t="array" ref="K185">IF('.'!K185="","",'.'!K185&amp;IF(VLOOKUP('.'!K185,Recipes!$A:$D,4,FALSE)="",""," ["&amp;VLOOKUP('.'!K185,Recipes!$A:$D,4,FALSE)&amp;"]"))</f>
        <v/>
      </c>
      <c r="L185" s="46" t="str">
        <f t="array" ref="L185">IF('.'!L185="","",'.'!L185&amp;IF(VLOOKUP('.'!L185,Recipes!$A:$D,4,FALSE)="",""," ["&amp;VLOOKUP('.'!L185,Recipes!$A:$D,4,FALSE)&amp;"]"))</f>
        <v/>
      </c>
      <c r="M185" s="46" t="str">
        <f t="array" ref="M185">IF('.'!M185="","",'.'!M185&amp;IF(VLOOKUP('.'!M185,Recipes!$A:$D,4,FALSE)="",""," ["&amp;VLOOKUP('.'!M185,Recipes!$A:$D,4,FALSE)&amp;"]"))</f>
        <v/>
      </c>
      <c r="N185" s="46" t="str">
        <f t="array" ref="N185">IF('.'!N185="","",'.'!N185&amp;IF(VLOOKUP('.'!N185,Recipes!$A:$D,4,FALSE)="",""," ["&amp;VLOOKUP('.'!N185,Recipes!$A:$D,4,FALSE)&amp;"]"))</f>
        <v/>
      </c>
      <c r="O185" s="46" t="str">
        <f t="array" ref="O185">IF('.'!O185="","",'.'!O185&amp;IF(VLOOKUP('.'!O185,Recipes!$A:$D,4,FALSE)="",""," ["&amp;VLOOKUP('.'!O185,Recipes!$A:$D,4,FALSE)&amp;"]"))</f>
        <v/>
      </c>
      <c r="P185" s="46" t="str">
        <f t="array" ref="P185">IF('.'!P185="","",'.'!P185&amp;IF(VLOOKUP('.'!P185,Recipes!$A:$D,4,FALSE)="",""," ["&amp;VLOOKUP('.'!P185,Recipes!$A:$D,4,FALSE)&amp;"]"))</f>
        <v/>
      </c>
      <c r="Q185" s="46" t="str">
        <f t="array" ref="Q185">IF('.'!Q185="","",'.'!Q185&amp;IF(VLOOKUP('.'!Q185,Recipes!$A:$D,4,FALSE)="",""," ["&amp;VLOOKUP('.'!Q185,Recipes!$A:$D,4,FALSE)&amp;"]"))</f>
        <v/>
      </c>
      <c r="R185" s="46" t="str">
        <f t="array" ref="R185">IF('.'!R185="","",'.'!R185&amp;IF(VLOOKUP('.'!R185,Recipes!$A:$D,4,FALSE)="",""," ["&amp;VLOOKUP('.'!R185,Recipes!$A:$D,4,FALSE)&amp;"]"))</f>
        <v/>
      </c>
      <c r="S185" s="46" t="str">
        <f t="array" ref="S185">IF('.'!S185="","",'.'!S185&amp;IF(VLOOKUP('.'!S185,Recipes!$A:$D,4,FALSE)="",""," ["&amp;VLOOKUP('.'!S185,Recipes!$A:$D,4,FALSE)&amp;"]"))</f>
        <v/>
      </c>
      <c r="T185" s="46" t="str">
        <f t="array" ref="T185">IF('.'!T185="","",'.'!T185&amp;IF(VLOOKUP('.'!T185,Recipes!$A:$D,4,FALSE)="",""," ["&amp;VLOOKUP('.'!T185,Recipes!$A:$D,4,FALSE)&amp;"]"))</f>
        <v/>
      </c>
      <c r="U185" s="46" t="str">
        <f t="array" ref="U185">IF('.'!U185="","",'.'!U185&amp;IF(VLOOKUP('.'!U185,Recipes!$A:$D,4,FALSE)="",""," ["&amp;VLOOKUP('.'!U185,Recipes!$A:$D,4,FALSE)&amp;"]"))</f>
        <v/>
      </c>
      <c r="V185" s="46" t="str">
        <f t="array" ref="V185">IF('.'!V185="","",'.'!V185&amp;IF(VLOOKUP('.'!V185,Recipes!$A:$D,4,FALSE)="",""," ["&amp;VLOOKUP('.'!V185,Recipes!$A:$D,4,FALSE)&amp;"]"))</f>
        <v/>
      </c>
      <c r="W185" s="46" t="str">
        <f t="array" ref="W185">IF('.'!W185="","",'.'!W185&amp;IF(VLOOKUP('.'!W185,Recipes!$A:$D,4,FALSE)="",""," ["&amp;VLOOKUP('.'!W185,Recipes!$A:$D,4,FALSE)&amp;"]"))</f>
        <v/>
      </c>
      <c r="X185" s="46" t="str">
        <f t="array" ref="X185">IF('.'!X185="","",'.'!X185&amp;IF(VLOOKUP('.'!X185,Recipes!$A:$D,4,FALSE)="",""," ["&amp;VLOOKUP('.'!X185,Recipes!$A:$D,4,FALSE)&amp;"]"))</f>
        <v/>
      </c>
      <c r="Y185" s="46" t="str">
        <f t="array" ref="Y185">IF('.'!Y185="","",'.'!Y185&amp;IF(VLOOKUP('.'!Y185,Recipes!$A:$D,4,FALSE)="",""," ["&amp;VLOOKUP('.'!Y185,Recipes!$A:$D,4,FALSE)&amp;"]"))</f>
        <v/>
      </c>
      <c r="Z185" s="46" t="str">
        <f t="array" ref="Z185">IF('.'!Z185="","",'.'!Z185&amp;IF(VLOOKUP('.'!Z185,Recipes!$A:$D,4,FALSE)="",""," ["&amp;VLOOKUP('.'!Z185,Recipes!$A:$D,4,FALSE)&amp;"]"))</f>
        <v/>
      </c>
      <c r="AA185" s="46" t="str">
        <f t="array" ref="AA185">IF('.'!AA185="","",'.'!AA185&amp;IF(VLOOKUP('.'!AA185,Recipes!$A:$D,4,FALSE)="",""," ["&amp;VLOOKUP('.'!AA185,Recipes!$A:$D,4,FALSE)&amp;"]"))</f>
        <v/>
      </c>
      <c r="AB185" s="46" t="str">
        <f t="array" ref="AB185">IF('.'!AB185="","",'.'!AB185&amp;IF(VLOOKUP('.'!AB185,Recipes!$A:$D,4,FALSE)="",""," ["&amp;VLOOKUP('.'!AB185,Recipes!$A:$D,4,FALSE)&amp;"]"))</f>
        <v/>
      </c>
      <c r="AC185" s="46" t="str">
        <f t="array" ref="AC185">IF('.'!AC185="","",'.'!AC185&amp;IF(VLOOKUP('.'!AC185,Recipes!$A:$D,4,FALSE)="",""," ["&amp;VLOOKUP('.'!AC185,Recipes!$A:$D,4,FALSE)&amp;"]"))</f>
        <v/>
      </c>
      <c r="AD185" s="46" t="str">
        <f t="array" ref="AD185">IF('.'!AD185="","",'.'!AD185&amp;IF(VLOOKUP('.'!AD185,Recipes!$A:$D,4,FALSE)="",""," ["&amp;VLOOKUP('.'!AD185,Recipes!$A:$D,4,FALSE)&amp;"]"))</f>
        <v/>
      </c>
      <c r="AE185" s="47"/>
      <c r="AF185" s="47"/>
      <c r="AG185" s="47"/>
      <c r="AH185" s="47"/>
      <c r="AI185" s="47"/>
      <c r="AJ185" s="47"/>
      <c r="AK185" s="47"/>
      <c r="AL185" s="47"/>
      <c r="AM185" s="47"/>
      <c r="AN185" s="47"/>
      <c r="AO185" s="47"/>
      <c r="AP185" s="47"/>
      <c r="AQ185" s="47"/>
      <c r="AR185" s="47"/>
      <c r="AS185" s="47"/>
      <c r="AT185" s="47"/>
      <c r="AU185" s="47"/>
      <c r="AV185" s="47"/>
      <c r="AW185" s="47"/>
      <c r="AX185" s="47"/>
      <c r="AY185" s="47"/>
      <c r="AZ185" s="47"/>
      <c r="BA185" s="47"/>
      <c r="BB185" s="47"/>
      <c r="BC185" s="47"/>
      <c r="BD185" s="47"/>
      <c r="BE185" s="47"/>
      <c r="BF185" s="47"/>
      <c r="BG185" s="47"/>
      <c r="BH185" s="47"/>
      <c r="BI185" s="47"/>
      <c r="BJ185" s="47"/>
      <c r="BK185" s="47"/>
      <c r="BL185" s="47"/>
      <c r="BM185" s="47"/>
      <c r="BN185" s="47"/>
      <c r="BO185" s="47"/>
      <c r="BP185" s="47"/>
      <c r="BQ185" s="47"/>
      <c r="BR185" s="47"/>
      <c r="BS185" s="47"/>
      <c r="BT185" s="47"/>
      <c r="BU185" s="47"/>
      <c r="BV185" s="47"/>
      <c r="BW185" s="47"/>
      <c r="BX185" s="47"/>
      <c r="BY185" s="47"/>
      <c r="BZ185" s="47"/>
    </row>
    <row r="186" spans="1:78" ht="13">
      <c r="A186" s="48" t="str">
        <f ca="1">'.'!A186</f>
        <v>Fish Pie Dough</v>
      </c>
      <c r="B186" s="46" t="str">
        <f t="array" aca="1" ref="B186" ca="1">IF('.'!B186="","",'.'!B186&amp;IF(VLOOKUP('.'!B186,Recipes!$A:$D,4,FALSE)="",""," ["&amp;VLOOKUP('.'!B186,Recipes!$A:$D,4,FALSE)&amp;"]"))</f>
        <v>Fish Pie [4]</v>
      </c>
      <c r="C186" s="46" t="str">
        <f t="array" ref="C186">IF('.'!C186="","",'.'!C186&amp;IF(VLOOKUP('.'!C186,Recipes!$A:$D,4,FALSE)="",""," ["&amp;VLOOKUP('.'!C186,Recipes!$A:$D,4,FALSE)&amp;"]"))</f>
        <v/>
      </c>
      <c r="D186" s="46" t="str">
        <f t="array" ref="D186">IF('.'!D186="","",'.'!D186&amp;IF(VLOOKUP('.'!D186,Recipes!$A:$D,4,FALSE)="",""," ["&amp;VLOOKUP('.'!D186,Recipes!$A:$D,4,FALSE)&amp;"]"))</f>
        <v/>
      </c>
      <c r="E186" s="46" t="str">
        <f t="array" ref="E186">IF('.'!E186="","",'.'!E186&amp;IF(VLOOKUP('.'!E186,Recipes!$A:$D,4,FALSE)="",""," ["&amp;VLOOKUP('.'!E186,Recipes!$A:$D,4,FALSE)&amp;"]"))</f>
        <v/>
      </c>
      <c r="F186" s="46" t="str">
        <f t="array" ref="F186">IF('.'!F186="","",'.'!F186&amp;IF(VLOOKUP('.'!F186,Recipes!$A:$D,4,FALSE)="",""," ["&amp;VLOOKUP('.'!F186,Recipes!$A:$D,4,FALSE)&amp;"]"))</f>
        <v/>
      </c>
      <c r="G186" s="46" t="str">
        <f t="array" ref="G186">IF('.'!G186="","",'.'!G186&amp;IF(VLOOKUP('.'!G186,Recipes!$A:$D,4,FALSE)="",""," ["&amp;VLOOKUP('.'!G186,Recipes!$A:$D,4,FALSE)&amp;"]"))</f>
        <v/>
      </c>
      <c r="H186" s="46" t="str">
        <f t="array" ref="H186">IF('.'!H186="","",'.'!H186&amp;IF(VLOOKUP('.'!H186,Recipes!$A:$D,4,FALSE)="",""," ["&amp;VLOOKUP('.'!H186,Recipes!$A:$D,4,FALSE)&amp;"]"))</f>
        <v/>
      </c>
      <c r="I186" s="46" t="str">
        <f t="array" ref="I186">IF('.'!I186="","",'.'!I186&amp;IF(VLOOKUP('.'!I186,Recipes!$A:$D,4,FALSE)="",""," ["&amp;VLOOKUP('.'!I186,Recipes!$A:$D,4,FALSE)&amp;"]"))</f>
        <v/>
      </c>
      <c r="J186" s="46" t="str">
        <f t="array" ref="J186">IF('.'!J186="","",'.'!J186&amp;IF(VLOOKUP('.'!J186,Recipes!$A:$D,4,FALSE)="",""," ["&amp;VLOOKUP('.'!J186,Recipes!$A:$D,4,FALSE)&amp;"]"))</f>
        <v/>
      </c>
      <c r="K186" s="46" t="str">
        <f t="array" ref="K186">IF('.'!K186="","",'.'!K186&amp;IF(VLOOKUP('.'!K186,Recipes!$A:$D,4,FALSE)="",""," ["&amp;VLOOKUP('.'!K186,Recipes!$A:$D,4,FALSE)&amp;"]"))</f>
        <v/>
      </c>
      <c r="L186" s="46" t="str">
        <f t="array" ref="L186">IF('.'!L186="","",'.'!L186&amp;IF(VLOOKUP('.'!L186,Recipes!$A:$D,4,FALSE)="",""," ["&amp;VLOOKUP('.'!L186,Recipes!$A:$D,4,FALSE)&amp;"]"))</f>
        <v/>
      </c>
      <c r="M186" s="46" t="str">
        <f t="array" ref="M186">IF('.'!M186="","",'.'!M186&amp;IF(VLOOKUP('.'!M186,Recipes!$A:$D,4,FALSE)="",""," ["&amp;VLOOKUP('.'!M186,Recipes!$A:$D,4,FALSE)&amp;"]"))</f>
        <v/>
      </c>
      <c r="N186" s="46" t="str">
        <f t="array" ref="N186">IF('.'!N186="","",'.'!N186&amp;IF(VLOOKUP('.'!N186,Recipes!$A:$D,4,FALSE)="",""," ["&amp;VLOOKUP('.'!N186,Recipes!$A:$D,4,FALSE)&amp;"]"))</f>
        <v/>
      </c>
      <c r="O186" s="46" t="str">
        <f t="array" ref="O186">IF('.'!O186="","",'.'!O186&amp;IF(VLOOKUP('.'!O186,Recipes!$A:$D,4,FALSE)="",""," ["&amp;VLOOKUP('.'!O186,Recipes!$A:$D,4,FALSE)&amp;"]"))</f>
        <v/>
      </c>
      <c r="P186" s="46" t="str">
        <f t="array" ref="P186">IF('.'!P186="","",'.'!P186&amp;IF(VLOOKUP('.'!P186,Recipes!$A:$D,4,FALSE)="",""," ["&amp;VLOOKUP('.'!P186,Recipes!$A:$D,4,FALSE)&amp;"]"))</f>
        <v/>
      </c>
      <c r="Q186" s="46" t="str">
        <f t="array" ref="Q186">IF('.'!Q186="","",'.'!Q186&amp;IF(VLOOKUP('.'!Q186,Recipes!$A:$D,4,FALSE)="",""," ["&amp;VLOOKUP('.'!Q186,Recipes!$A:$D,4,FALSE)&amp;"]"))</f>
        <v/>
      </c>
      <c r="R186" s="46" t="str">
        <f t="array" ref="R186">IF('.'!R186="","",'.'!R186&amp;IF(VLOOKUP('.'!R186,Recipes!$A:$D,4,FALSE)="",""," ["&amp;VLOOKUP('.'!R186,Recipes!$A:$D,4,FALSE)&amp;"]"))</f>
        <v/>
      </c>
      <c r="S186" s="46" t="str">
        <f t="array" ref="S186">IF('.'!S186="","",'.'!S186&amp;IF(VLOOKUP('.'!S186,Recipes!$A:$D,4,FALSE)="",""," ["&amp;VLOOKUP('.'!S186,Recipes!$A:$D,4,FALSE)&amp;"]"))</f>
        <v/>
      </c>
      <c r="T186" s="46" t="str">
        <f t="array" ref="T186">IF('.'!T186="","",'.'!T186&amp;IF(VLOOKUP('.'!T186,Recipes!$A:$D,4,FALSE)="",""," ["&amp;VLOOKUP('.'!T186,Recipes!$A:$D,4,FALSE)&amp;"]"))</f>
        <v/>
      </c>
      <c r="U186" s="46" t="str">
        <f t="array" ref="U186">IF('.'!U186="","",'.'!U186&amp;IF(VLOOKUP('.'!U186,Recipes!$A:$D,4,FALSE)="",""," ["&amp;VLOOKUP('.'!U186,Recipes!$A:$D,4,FALSE)&amp;"]"))</f>
        <v/>
      </c>
      <c r="V186" s="46" t="str">
        <f t="array" ref="V186">IF('.'!V186="","",'.'!V186&amp;IF(VLOOKUP('.'!V186,Recipes!$A:$D,4,FALSE)="",""," ["&amp;VLOOKUP('.'!V186,Recipes!$A:$D,4,FALSE)&amp;"]"))</f>
        <v/>
      </c>
      <c r="W186" s="46" t="str">
        <f t="array" ref="W186">IF('.'!W186="","",'.'!W186&amp;IF(VLOOKUP('.'!W186,Recipes!$A:$D,4,FALSE)="",""," ["&amp;VLOOKUP('.'!W186,Recipes!$A:$D,4,FALSE)&amp;"]"))</f>
        <v/>
      </c>
      <c r="X186" s="46" t="str">
        <f t="array" ref="X186">IF('.'!X186="","",'.'!X186&amp;IF(VLOOKUP('.'!X186,Recipes!$A:$D,4,FALSE)="",""," ["&amp;VLOOKUP('.'!X186,Recipes!$A:$D,4,FALSE)&amp;"]"))</f>
        <v/>
      </c>
      <c r="Y186" s="46" t="str">
        <f t="array" ref="Y186">IF('.'!Y186="","",'.'!Y186&amp;IF(VLOOKUP('.'!Y186,Recipes!$A:$D,4,FALSE)="",""," ["&amp;VLOOKUP('.'!Y186,Recipes!$A:$D,4,FALSE)&amp;"]"))</f>
        <v/>
      </c>
      <c r="Z186" s="46" t="str">
        <f t="array" ref="Z186">IF('.'!Z186="","",'.'!Z186&amp;IF(VLOOKUP('.'!Z186,Recipes!$A:$D,4,FALSE)="",""," ["&amp;VLOOKUP('.'!Z186,Recipes!$A:$D,4,FALSE)&amp;"]"))</f>
        <v/>
      </c>
      <c r="AA186" s="46" t="str">
        <f t="array" ref="AA186">IF('.'!AA186="","",'.'!AA186&amp;IF(VLOOKUP('.'!AA186,Recipes!$A:$D,4,FALSE)="",""," ["&amp;VLOOKUP('.'!AA186,Recipes!$A:$D,4,FALSE)&amp;"]"))</f>
        <v/>
      </c>
      <c r="AB186" s="46" t="str">
        <f t="array" ref="AB186">IF('.'!AB186="","",'.'!AB186&amp;IF(VLOOKUP('.'!AB186,Recipes!$A:$D,4,FALSE)="",""," ["&amp;VLOOKUP('.'!AB186,Recipes!$A:$D,4,FALSE)&amp;"]"))</f>
        <v/>
      </c>
      <c r="AC186" s="46" t="str">
        <f t="array" ref="AC186">IF('.'!AC186="","",'.'!AC186&amp;IF(VLOOKUP('.'!AC186,Recipes!$A:$D,4,FALSE)="",""," ["&amp;VLOOKUP('.'!AC186,Recipes!$A:$D,4,FALSE)&amp;"]"))</f>
        <v/>
      </c>
      <c r="AD186" s="46" t="str">
        <f t="array" ref="AD186">IF('.'!AD186="","",'.'!AD186&amp;IF(VLOOKUP('.'!AD186,Recipes!$A:$D,4,FALSE)="",""," ["&amp;VLOOKUP('.'!AD186,Recipes!$A:$D,4,FALSE)&amp;"]"))</f>
        <v/>
      </c>
      <c r="AE186" s="47"/>
      <c r="AF186" s="47"/>
      <c r="AG186" s="47"/>
      <c r="AH186" s="47"/>
      <c r="AI186" s="47"/>
      <c r="AJ186" s="47"/>
      <c r="AK186" s="47"/>
      <c r="AL186" s="47"/>
      <c r="AM186" s="47"/>
      <c r="AN186" s="47"/>
      <c r="AO186" s="47"/>
      <c r="AP186" s="47"/>
      <c r="AQ186" s="47"/>
      <c r="AR186" s="47"/>
      <c r="AS186" s="47"/>
      <c r="AT186" s="47"/>
      <c r="AU186" s="47"/>
      <c r="AV186" s="47"/>
      <c r="AW186" s="47"/>
      <c r="AX186" s="47"/>
      <c r="AY186" s="47"/>
      <c r="AZ186" s="47"/>
      <c r="BA186" s="47"/>
      <c r="BB186" s="47"/>
      <c r="BC186" s="47"/>
      <c r="BD186" s="47"/>
      <c r="BE186" s="47"/>
      <c r="BF186" s="47"/>
      <c r="BG186" s="47"/>
      <c r="BH186" s="47"/>
      <c r="BI186" s="47"/>
      <c r="BJ186" s="47"/>
      <c r="BK186" s="47"/>
      <c r="BL186" s="47"/>
      <c r="BM186" s="47"/>
      <c r="BN186" s="47"/>
      <c r="BO186" s="47"/>
      <c r="BP186" s="47"/>
      <c r="BQ186" s="47"/>
      <c r="BR186" s="47"/>
      <c r="BS186" s="47"/>
      <c r="BT186" s="47"/>
      <c r="BU186" s="47"/>
      <c r="BV186" s="47"/>
      <c r="BW186" s="47"/>
      <c r="BX186" s="47"/>
      <c r="BY186" s="47"/>
      <c r="BZ186" s="47"/>
    </row>
    <row r="187" spans="1:78" ht="13">
      <c r="A187" s="48" t="str">
        <f ca="1">'.'!A187</f>
        <v>Flaming Crescendo Scroll</v>
      </c>
      <c r="B187" s="46" t="str">
        <f t="array" aca="1" ref="B187" ca="1">IF('.'!B187="","",'.'!B187&amp;IF(VLOOKUP('.'!B187,Recipes!$A:$D,4,FALSE)="",""," ["&amp;VLOOKUP('.'!B187,Recipes!$A:$D,4,FALSE)&amp;"]"))</f>
        <v>Flaming Crescendo Skillbook [650]</v>
      </c>
      <c r="C187" s="46" t="str">
        <f t="array" ref="C187">IF('.'!C187="","",'.'!C187&amp;IF(VLOOKUP('.'!C187,Recipes!$A:$D,4,FALSE)="",""," ["&amp;VLOOKUP('.'!C187,Recipes!$A:$D,4,FALSE)&amp;"]"))</f>
        <v/>
      </c>
      <c r="D187" s="46" t="str">
        <f t="array" ref="D187">IF('.'!D187="","",'.'!D187&amp;IF(VLOOKUP('.'!D187,Recipes!$A:$D,4,FALSE)="",""," ["&amp;VLOOKUP('.'!D187,Recipes!$A:$D,4,FALSE)&amp;"]"))</f>
        <v/>
      </c>
      <c r="E187" s="46" t="str">
        <f t="array" ref="E187">IF('.'!E187="","",'.'!E187&amp;IF(VLOOKUP('.'!E187,Recipes!$A:$D,4,FALSE)="",""," ["&amp;VLOOKUP('.'!E187,Recipes!$A:$D,4,FALSE)&amp;"]"))</f>
        <v/>
      </c>
      <c r="F187" s="46" t="str">
        <f t="array" ref="F187">IF('.'!F187="","",'.'!F187&amp;IF(VLOOKUP('.'!F187,Recipes!$A:$D,4,FALSE)="",""," ["&amp;VLOOKUP('.'!F187,Recipes!$A:$D,4,FALSE)&amp;"]"))</f>
        <v/>
      </c>
      <c r="G187" s="46" t="str">
        <f t="array" ref="G187">IF('.'!G187="","",'.'!G187&amp;IF(VLOOKUP('.'!G187,Recipes!$A:$D,4,FALSE)="",""," ["&amp;VLOOKUP('.'!G187,Recipes!$A:$D,4,FALSE)&amp;"]"))</f>
        <v/>
      </c>
      <c r="H187" s="46" t="str">
        <f t="array" ref="H187">IF('.'!H187="","",'.'!H187&amp;IF(VLOOKUP('.'!H187,Recipes!$A:$D,4,FALSE)="",""," ["&amp;VLOOKUP('.'!H187,Recipes!$A:$D,4,FALSE)&amp;"]"))</f>
        <v/>
      </c>
      <c r="I187" s="46" t="str">
        <f t="array" ref="I187">IF('.'!I187="","",'.'!I187&amp;IF(VLOOKUP('.'!I187,Recipes!$A:$D,4,FALSE)="",""," ["&amp;VLOOKUP('.'!I187,Recipes!$A:$D,4,FALSE)&amp;"]"))</f>
        <v/>
      </c>
      <c r="J187" s="46" t="str">
        <f t="array" ref="J187">IF('.'!J187="","",'.'!J187&amp;IF(VLOOKUP('.'!J187,Recipes!$A:$D,4,FALSE)="",""," ["&amp;VLOOKUP('.'!J187,Recipes!$A:$D,4,FALSE)&amp;"]"))</f>
        <v/>
      </c>
      <c r="K187" s="46" t="str">
        <f t="array" ref="K187">IF('.'!K187="","",'.'!K187&amp;IF(VLOOKUP('.'!K187,Recipes!$A:$D,4,FALSE)="",""," ["&amp;VLOOKUP('.'!K187,Recipes!$A:$D,4,FALSE)&amp;"]"))</f>
        <v/>
      </c>
      <c r="L187" s="46" t="str">
        <f t="array" ref="L187">IF('.'!L187="","",'.'!L187&amp;IF(VLOOKUP('.'!L187,Recipes!$A:$D,4,FALSE)="",""," ["&amp;VLOOKUP('.'!L187,Recipes!$A:$D,4,FALSE)&amp;"]"))</f>
        <v/>
      </c>
      <c r="M187" s="46" t="str">
        <f t="array" ref="M187">IF('.'!M187="","",'.'!M187&amp;IF(VLOOKUP('.'!M187,Recipes!$A:$D,4,FALSE)="",""," ["&amp;VLOOKUP('.'!M187,Recipes!$A:$D,4,FALSE)&amp;"]"))</f>
        <v/>
      </c>
      <c r="N187" s="46" t="str">
        <f t="array" ref="N187">IF('.'!N187="","",'.'!N187&amp;IF(VLOOKUP('.'!N187,Recipes!$A:$D,4,FALSE)="",""," ["&amp;VLOOKUP('.'!N187,Recipes!$A:$D,4,FALSE)&amp;"]"))</f>
        <v/>
      </c>
      <c r="O187" s="46" t="str">
        <f t="array" ref="O187">IF('.'!O187="","",'.'!O187&amp;IF(VLOOKUP('.'!O187,Recipes!$A:$D,4,FALSE)="",""," ["&amp;VLOOKUP('.'!O187,Recipes!$A:$D,4,FALSE)&amp;"]"))</f>
        <v/>
      </c>
      <c r="P187" s="46" t="str">
        <f t="array" ref="P187">IF('.'!P187="","",'.'!P187&amp;IF(VLOOKUP('.'!P187,Recipes!$A:$D,4,FALSE)="",""," ["&amp;VLOOKUP('.'!P187,Recipes!$A:$D,4,FALSE)&amp;"]"))</f>
        <v/>
      </c>
      <c r="Q187" s="46" t="str">
        <f t="array" ref="Q187">IF('.'!Q187="","",'.'!Q187&amp;IF(VLOOKUP('.'!Q187,Recipes!$A:$D,4,FALSE)="",""," ["&amp;VLOOKUP('.'!Q187,Recipes!$A:$D,4,FALSE)&amp;"]"))</f>
        <v/>
      </c>
      <c r="R187" s="46" t="str">
        <f t="array" ref="R187">IF('.'!R187="","",'.'!R187&amp;IF(VLOOKUP('.'!R187,Recipes!$A:$D,4,FALSE)="",""," ["&amp;VLOOKUP('.'!R187,Recipes!$A:$D,4,FALSE)&amp;"]"))</f>
        <v/>
      </c>
      <c r="S187" s="46" t="str">
        <f t="array" ref="S187">IF('.'!S187="","",'.'!S187&amp;IF(VLOOKUP('.'!S187,Recipes!$A:$D,4,FALSE)="",""," ["&amp;VLOOKUP('.'!S187,Recipes!$A:$D,4,FALSE)&amp;"]"))</f>
        <v/>
      </c>
      <c r="T187" s="46" t="str">
        <f t="array" ref="T187">IF('.'!T187="","",'.'!T187&amp;IF(VLOOKUP('.'!T187,Recipes!$A:$D,4,FALSE)="",""," ["&amp;VLOOKUP('.'!T187,Recipes!$A:$D,4,FALSE)&amp;"]"))</f>
        <v/>
      </c>
      <c r="U187" s="46" t="str">
        <f t="array" ref="U187">IF('.'!U187="","",'.'!U187&amp;IF(VLOOKUP('.'!U187,Recipes!$A:$D,4,FALSE)="",""," ["&amp;VLOOKUP('.'!U187,Recipes!$A:$D,4,FALSE)&amp;"]"))</f>
        <v/>
      </c>
      <c r="V187" s="46" t="str">
        <f t="array" ref="V187">IF('.'!V187="","",'.'!V187&amp;IF(VLOOKUP('.'!V187,Recipes!$A:$D,4,FALSE)="",""," ["&amp;VLOOKUP('.'!V187,Recipes!$A:$D,4,FALSE)&amp;"]"))</f>
        <v/>
      </c>
      <c r="W187" s="46" t="str">
        <f t="array" ref="W187">IF('.'!W187="","",'.'!W187&amp;IF(VLOOKUP('.'!W187,Recipes!$A:$D,4,FALSE)="",""," ["&amp;VLOOKUP('.'!W187,Recipes!$A:$D,4,FALSE)&amp;"]"))</f>
        <v/>
      </c>
      <c r="X187" s="46" t="str">
        <f t="array" ref="X187">IF('.'!X187="","",'.'!X187&amp;IF(VLOOKUP('.'!X187,Recipes!$A:$D,4,FALSE)="",""," ["&amp;VLOOKUP('.'!X187,Recipes!$A:$D,4,FALSE)&amp;"]"))</f>
        <v/>
      </c>
      <c r="Y187" s="46" t="str">
        <f t="array" ref="Y187">IF('.'!Y187="","",'.'!Y187&amp;IF(VLOOKUP('.'!Y187,Recipes!$A:$D,4,FALSE)="",""," ["&amp;VLOOKUP('.'!Y187,Recipes!$A:$D,4,FALSE)&amp;"]"))</f>
        <v/>
      </c>
      <c r="Z187" s="46" t="str">
        <f t="array" ref="Z187">IF('.'!Z187="","",'.'!Z187&amp;IF(VLOOKUP('.'!Z187,Recipes!$A:$D,4,FALSE)="",""," ["&amp;VLOOKUP('.'!Z187,Recipes!$A:$D,4,FALSE)&amp;"]"))</f>
        <v/>
      </c>
      <c r="AA187" s="46" t="str">
        <f t="array" ref="AA187">IF('.'!AA187="","",'.'!AA187&amp;IF(VLOOKUP('.'!AA187,Recipes!$A:$D,4,FALSE)="",""," ["&amp;VLOOKUP('.'!AA187,Recipes!$A:$D,4,FALSE)&amp;"]"))</f>
        <v/>
      </c>
      <c r="AB187" s="46" t="str">
        <f t="array" ref="AB187">IF('.'!AB187="","",'.'!AB187&amp;IF(VLOOKUP('.'!AB187,Recipes!$A:$D,4,FALSE)="",""," ["&amp;VLOOKUP('.'!AB187,Recipes!$A:$D,4,FALSE)&amp;"]"))</f>
        <v/>
      </c>
      <c r="AC187" s="46" t="str">
        <f t="array" ref="AC187">IF('.'!AC187="","",'.'!AC187&amp;IF(VLOOKUP('.'!AC187,Recipes!$A:$D,4,FALSE)="",""," ["&amp;VLOOKUP('.'!AC187,Recipes!$A:$D,4,FALSE)&amp;"]"))</f>
        <v/>
      </c>
      <c r="AD187" s="46" t="str">
        <f t="array" ref="AD187">IF('.'!AD187="","",'.'!AD187&amp;IF(VLOOKUP('.'!AD187,Recipes!$A:$D,4,FALSE)="",""," ["&amp;VLOOKUP('.'!AD187,Recipes!$A:$D,4,FALSE)&amp;"]"))</f>
        <v/>
      </c>
      <c r="AE187" s="47"/>
      <c r="AF187" s="47"/>
      <c r="AG187" s="47"/>
      <c r="AH187" s="47"/>
      <c r="AI187" s="47"/>
      <c r="AJ187" s="47"/>
      <c r="AK187" s="47"/>
      <c r="AL187" s="47"/>
      <c r="AM187" s="47"/>
      <c r="AN187" s="47"/>
      <c r="AO187" s="47"/>
      <c r="AP187" s="47"/>
      <c r="AQ187" s="47"/>
      <c r="AR187" s="47"/>
      <c r="AS187" s="47"/>
      <c r="AT187" s="47"/>
      <c r="AU187" s="47"/>
      <c r="AV187" s="47"/>
      <c r="AW187" s="47"/>
      <c r="AX187" s="47"/>
      <c r="AY187" s="47"/>
      <c r="AZ187" s="47"/>
      <c r="BA187" s="47"/>
      <c r="BB187" s="47"/>
      <c r="BC187" s="47"/>
      <c r="BD187" s="47"/>
      <c r="BE187" s="47"/>
      <c r="BF187" s="47"/>
      <c r="BG187" s="47"/>
      <c r="BH187" s="47"/>
      <c r="BI187" s="47"/>
      <c r="BJ187" s="47"/>
      <c r="BK187" s="47"/>
      <c r="BL187" s="47"/>
      <c r="BM187" s="47"/>
      <c r="BN187" s="47"/>
      <c r="BO187" s="47"/>
      <c r="BP187" s="47"/>
      <c r="BQ187" s="47"/>
      <c r="BR187" s="47"/>
      <c r="BS187" s="47"/>
      <c r="BT187" s="47"/>
      <c r="BU187" s="47"/>
      <c r="BV187" s="47"/>
      <c r="BW187" s="47"/>
      <c r="BX187" s="47"/>
      <c r="BY187" s="47"/>
      <c r="BZ187" s="47"/>
    </row>
    <row r="188" spans="1:78" ht="13">
      <c r="A188" s="48" t="str">
        <f ca="1">'.'!A188</f>
        <v>Flaming Tongues Scroll</v>
      </c>
      <c r="B188" s="46" t="str">
        <f t="array" aca="1" ref="B188" ca="1">IF('.'!B188="","",'.'!B188&amp;IF(VLOOKUP('.'!B188,Recipes!$A:$D,4,FALSE)="",""," ["&amp;VLOOKUP('.'!B188,Recipes!$A:$D,4,FALSE)&amp;"]"))</f>
        <v>Flaming Tongues Skillbook [-10]</v>
      </c>
      <c r="C188" s="46" t="str">
        <f t="array" ref="C188">IF('.'!C188="","",'.'!C188&amp;IF(VLOOKUP('.'!C188,Recipes!$A:$D,4,FALSE)="",""," ["&amp;VLOOKUP('.'!C188,Recipes!$A:$D,4,FALSE)&amp;"]"))</f>
        <v/>
      </c>
      <c r="D188" s="46" t="str">
        <f t="array" ref="D188">IF('.'!D188="","",'.'!D188&amp;IF(VLOOKUP('.'!D188,Recipes!$A:$D,4,FALSE)="",""," ["&amp;VLOOKUP('.'!D188,Recipes!$A:$D,4,FALSE)&amp;"]"))</f>
        <v/>
      </c>
      <c r="E188" s="46" t="str">
        <f t="array" ref="E188">IF('.'!E188="","",'.'!E188&amp;IF(VLOOKUP('.'!E188,Recipes!$A:$D,4,FALSE)="",""," ["&amp;VLOOKUP('.'!E188,Recipes!$A:$D,4,FALSE)&amp;"]"))</f>
        <v/>
      </c>
      <c r="F188" s="46" t="str">
        <f t="array" ref="F188">IF('.'!F188="","",'.'!F188&amp;IF(VLOOKUP('.'!F188,Recipes!$A:$D,4,FALSE)="",""," ["&amp;VLOOKUP('.'!F188,Recipes!$A:$D,4,FALSE)&amp;"]"))</f>
        <v/>
      </c>
      <c r="G188" s="46" t="str">
        <f t="array" ref="G188">IF('.'!G188="","",'.'!G188&amp;IF(VLOOKUP('.'!G188,Recipes!$A:$D,4,FALSE)="",""," ["&amp;VLOOKUP('.'!G188,Recipes!$A:$D,4,FALSE)&amp;"]"))</f>
        <v/>
      </c>
      <c r="H188" s="46" t="str">
        <f t="array" ref="H188">IF('.'!H188="","",'.'!H188&amp;IF(VLOOKUP('.'!H188,Recipes!$A:$D,4,FALSE)="",""," ["&amp;VLOOKUP('.'!H188,Recipes!$A:$D,4,FALSE)&amp;"]"))</f>
        <v/>
      </c>
      <c r="I188" s="46" t="str">
        <f t="array" ref="I188">IF('.'!I188="","",'.'!I188&amp;IF(VLOOKUP('.'!I188,Recipes!$A:$D,4,FALSE)="",""," ["&amp;VLOOKUP('.'!I188,Recipes!$A:$D,4,FALSE)&amp;"]"))</f>
        <v/>
      </c>
      <c r="J188" s="46" t="str">
        <f t="array" ref="J188">IF('.'!J188="","",'.'!J188&amp;IF(VLOOKUP('.'!J188,Recipes!$A:$D,4,FALSE)="",""," ["&amp;VLOOKUP('.'!J188,Recipes!$A:$D,4,FALSE)&amp;"]"))</f>
        <v/>
      </c>
      <c r="K188" s="46" t="str">
        <f t="array" ref="K188">IF('.'!K188="","",'.'!K188&amp;IF(VLOOKUP('.'!K188,Recipes!$A:$D,4,FALSE)="",""," ["&amp;VLOOKUP('.'!K188,Recipes!$A:$D,4,FALSE)&amp;"]"))</f>
        <v/>
      </c>
      <c r="L188" s="46" t="str">
        <f t="array" ref="L188">IF('.'!L188="","",'.'!L188&amp;IF(VLOOKUP('.'!L188,Recipes!$A:$D,4,FALSE)="",""," ["&amp;VLOOKUP('.'!L188,Recipes!$A:$D,4,FALSE)&amp;"]"))</f>
        <v/>
      </c>
      <c r="M188" s="46" t="str">
        <f t="array" ref="M188">IF('.'!M188="","",'.'!M188&amp;IF(VLOOKUP('.'!M188,Recipes!$A:$D,4,FALSE)="",""," ["&amp;VLOOKUP('.'!M188,Recipes!$A:$D,4,FALSE)&amp;"]"))</f>
        <v/>
      </c>
      <c r="N188" s="46" t="str">
        <f t="array" ref="N188">IF('.'!N188="","",'.'!N188&amp;IF(VLOOKUP('.'!N188,Recipes!$A:$D,4,FALSE)="",""," ["&amp;VLOOKUP('.'!N188,Recipes!$A:$D,4,FALSE)&amp;"]"))</f>
        <v/>
      </c>
      <c r="O188" s="46" t="str">
        <f t="array" ref="O188">IF('.'!O188="","",'.'!O188&amp;IF(VLOOKUP('.'!O188,Recipes!$A:$D,4,FALSE)="",""," ["&amp;VLOOKUP('.'!O188,Recipes!$A:$D,4,FALSE)&amp;"]"))</f>
        <v/>
      </c>
      <c r="P188" s="46" t="str">
        <f t="array" ref="P188">IF('.'!P188="","",'.'!P188&amp;IF(VLOOKUP('.'!P188,Recipes!$A:$D,4,FALSE)="",""," ["&amp;VLOOKUP('.'!P188,Recipes!$A:$D,4,FALSE)&amp;"]"))</f>
        <v/>
      </c>
      <c r="Q188" s="46" t="str">
        <f t="array" ref="Q188">IF('.'!Q188="","",'.'!Q188&amp;IF(VLOOKUP('.'!Q188,Recipes!$A:$D,4,FALSE)="",""," ["&amp;VLOOKUP('.'!Q188,Recipes!$A:$D,4,FALSE)&amp;"]"))</f>
        <v/>
      </c>
      <c r="R188" s="46" t="str">
        <f t="array" ref="R188">IF('.'!R188="","",'.'!R188&amp;IF(VLOOKUP('.'!R188,Recipes!$A:$D,4,FALSE)="",""," ["&amp;VLOOKUP('.'!R188,Recipes!$A:$D,4,FALSE)&amp;"]"))</f>
        <v/>
      </c>
      <c r="S188" s="46" t="str">
        <f t="array" ref="S188">IF('.'!S188="","",'.'!S188&amp;IF(VLOOKUP('.'!S188,Recipes!$A:$D,4,FALSE)="",""," ["&amp;VLOOKUP('.'!S188,Recipes!$A:$D,4,FALSE)&amp;"]"))</f>
        <v/>
      </c>
      <c r="T188" s="46" t="str">
        <f t="array" ref="T188">IF('.'!T188="","",'.'!T188&amp;IF(VLOOKUP('.'!T188,Recipes!$A:$D,4,FALSE)="",""," ["&amp;VLOOKUP('.'!T188,Recipes!$A:$D,4,FALSE)&amp;"]"))</f>
        <v/>
      </c>
      <c r="U188" s="46" t="str">
        <f t="array" ref="U188">IF('.'!U188="","",'.'!U188&amp;IF(VLOOKUP('.'!U188,Recipes!$A:$D,4,FALSE)="",""," ["&amp;VLOOKUP('.'!U188,Recipes!$A:$D,4,FALSE)&amp;"]"))</f>
        <v/>
      </c>
      <c r="V188" s="46" t="str">
        <f t="array" ref="V188">IF('.'!V188="","",'.'!V188&amp;IF(VLOOKUP('.'!V188,Recipes!$A:$D,4,FALSE)="",""," ["&amp;VLOOKUP('.'!V188,Recipes!$A:$D,4,FALSE)&amp;"]"))</f>
        <v/>
      </c>
      <c r="W188" s="46" t="str">
        <f t="array" ref="W188">IF('.'!W188="","",'.'!W188&amp;IF(VLOOKUP('.'!W188,Recipes!$A:$D,4,FALSE)="",""," ["&amp;VLOOKUP('.'!W188,Recipes!$A:$D,4,FALSE)&amp;"]"))</f>
        <v/>
      </c>
      <c r="X188" s="46" t="str">
        <f t="array" ref="X188">IF('.'!X188="","",'.'!X188&amp;IF(VLOOKUP('.'!X188,Recipes!$A:$D,4,FALSE)="",""," ["&amp;VLOOKUP('.'!X188,Recipes!$A:$D,4,FALSE)&amp;"]"))</f>
        <v/>
      </c>
      <c r="Y188" s="46" t="str">
        <f t="array" ref="Y188">IF('.'!Y188="","",'.'!Y188&amp;IF(VLOOKUP('.'!Y188,Recipes!$A:$D,4,FALSE)="",""," ["&amp;VLOOKUP('.'!Y188,Recipes!$A:$D,4,FALSE)&amp;"]"))</f>
        <v/>
      </c>
      <c r="Z188" s="46" t="str">
        <f t="array" ref="Z188">IF('.'!Z188="","",'.'!Z188&amp;IF(VLOOKUP('.'!Z188,Recipes!$A:$D,4,FALSE)="",""," ["&amp;VLOOKUP('.'!Z188,Recipes!$A:$D,4,FALSE)&amp;"]"))</f>
        <v/>
      </c>
      <c r="AA188" s="46" t="str">
        <f t="array" ref="AA188">IF('.'!AA188="","",'.'!AA188&amp;IF(VLOOKUP('.'!AA188,Recipes!$A:$D,4,FALSE)="",""," ["&amp;VLOOKUP('.'!AA188,Recipes!$A:$D,4,FALSE)&amp;"]"))</f>
        <v/>
      </c>
      <c r="AB188" s="46" t="str">
        <f t="array" ref="AB188">IF('.'!AB188="","",'.'!AB188&amp;IF(VLOOKUP('.'!AB188,Recipes!$A:$D,4,FALSE)="",""," ["&amp;VLOOKUP('.'!AB188,Recipes!$A:$D,4,FALSE)&amp;"]"))</f>
        <v/>
      </c>
      <c r="AC188" s="46" t="str">
        <f t="array" ref="AC188">IF('.'!AC188="","",'.'!AC188&amp;IF(VLOOKUP('.'!AC188,Recipes!$A:$D,4,FALSE)="",""," ["&amp;VLOOKUP('.'!AC188,Recipes!$A:$D,4,FALSE)&amp;"]"))</f>
        <v/>
      </c>
      <c r="AD188" s="46" t="str">
        <f t="array" ref="AD188">IF('.'!AD188="","",'.'!AD188&amp;IF(VLOOKUP('.'!AD188,Recipes!$A:$D,4,FALSE)="",""," ["&amp;VLOOKUP('.'!AD188,Recipes!$A:$D,4,FALSE)&amp;"]"))</f>
        <v/>
      </c>
      <c r="AE188" s="47"/>
      <c r="AF188" s="47"/>
      <c r="AG188" s="47"/>
      <c r="AH188" s="47"/>
      <c r="AI188" s="47"/>
      <c r="AJ188" s="47"/>
      <c r="AK188" s="47"/>
      <c r="AL188" s="47"/>
      <c r="AM188" s="47"/>
      <c r="AN188" s="47"/>
      <c r="AO188" s="47"/>
      <c r="AP188" s="47"/>
      <c r="AQ188" s="47"/>
      <c r="AR188" s="47"/>
      <c r="AS188" s="47"/>
      <c r="AT188" s="47"/>
      <c r="AU188" s="47"/>
      <c r="AV188" s="47"/>
      <c r="AW188" s="47"/>
      <c r="AX188" s="47"/>
      <c r="AY188" s="47"/>
      <c r="AZ188" s="47"/>
      <c r="BA188" s="47"/>
      <c r="BB188" s="47"/>
      <c r="BC188" s="47"/>
      <c r="BD188" s="47"/>
      <c r="BE188" s="47"/>
      <c r="BF188" s="47"/>
      <c r="BG188" s="47"/>
      <c r="BH188" s="47"/>
      <c r="BI188" s="47"/>
      <c r="BJ188" s="47"/>
      <c r="BK188" s="47"/>
      <c r="BL188" s="47"/>
      <c r="BM188" s="47"/>
      <c r="BN188" s="47"/>
      <c r="BO188" s="47"/>
      <c r="BP188" s="47"/>
      <c r="BQ188" s="47"/>
      <c r="BR188" s="47"/>
      <c r="BS188" s="47"/>
      <c r="BT188" s="47"/>
      <c r="BU188" s="47"/>
      <c r="BV188" s="47"/>
      <c r="BW188" s="47"/>
      <c r="BX188" s="47"/>
      <c r="BY188" s="47"/>
      <c r="BZ188" s="47"/>
    </row>
    <row r="189" spans="1:78" ht="13">
      <c r="A189" s="48" t="str">
        <f ca="1">'.'!A189</f>
        <v>Flay Skin Scroll</v>
      </c>
      <c r="B189" s="46" t="str">
        <f t="array" aca="1" ref="B189" ca="1">IF('.'!B189="","",'.'!B189&amp;IF(VLOOKUP('.'!B189,Recipes!$A:$D,4,FALSE)="",""," ["&amp;VLOOKUP('.'!B189,Recipes!$A:$D,4,FALSE)&amp;"]"))</f>
        <v>Flay Skin Skillbook [650]</v>
      </c>
      <c r="C189" s="46" t="str">
        <f t="array" ref="C189">IF('.'!C189="","",'.'!C189&amp;IF(VLOOKUP('.'!C189,Recipes!$A:$D,4,FALSE)="",""," ["&amp;VLOOKUP('.'!C189,Recipes!$A:$D,4,FALSE)&amp;"]"))</f>
        <v/>
      </c>
      <c r="D189" s="46" t="str">
        <f t="array" ref="D189">IF('.'!D189="","",'.'!D189&amp;IF(VLOOKUP('.'!D189,Recipes!$A:$D,4,FALSE)="",""," ["&amp;VLOOKUP('.'!D189,Recipes!$A:$D,4,FALSE)&amp;"]"))</f>
        <v/>
      </c>
      <c r="E189" s="46" t="str">
        <f t="array" ref="E189">IF('.'!E189="","",'.'!E189&amp;IF(VLOOKUP('.'!E189,Recipes!$A:$D,4,FALSE)="",""," ["&amp;VLOOKUP('.'!E189,Recipes!$A:$D,4,FALSE)&amp;"]"))</f>
        <v/>
      </c>
      <c r="F189" s="46" t="str">
        <f t="array" ref="F189">IF('.'!F189="","",'.'!F189&amp;IF(VLOOKUP('.'!F189,Recipes!$A:$D,4,FALSE)="",""," ["&amp;VLOOKUP('.'!F189,Recipes!$A:$D,4,FALSE)&amp;"]"))</f>
        <v/>
      </c>
      <c r="G189" s="46" t="str">
        <f t="array" ref="G189">IF('.'!G189="","",'.'!G189&amp;IF(VLOOKUP('.'!G189,Recipes!$A:$D,4,FALSE)="",""," ["&amp;VLOOKUP('.'!G189,Recipes!$A:$D,4,FALSE)&amp;"]"))</f>
        <v/>
      </c>
      <c r="H189" s="46" t="str">
        <f t="array" ref="H189">IF('.'!H189="","",'.'!H189&amp;IF(VLOOKUP('.'!H189,Recipes!$A:$D,4,FALSE)="",""," ["&amp;VLOOKUP('.'!H189,Recipes!$A:$D,4,FALSE)&amp;"]"))</f>
        <v/>
      </c>
      <c r="I189" s="46" t="str">
        <f t="array" ref="I189">IF('.'!I189="","",'.'!I189&amp;IF(VLOOKUP('.'!I189,Recipes!$A:$D,4,FALSE)="",""," ["&amp;VLOOKUP('.'!I189,Recipes!$A:$D,4,FALSE)&amp;"]"))</f>
        <v/>
      </c>
      <c r="J189" s="46" t="str">
        <f t="array" ref="J189">IF('.'!J189="","",'.'!J189&amp;IF(VLOOKUP('.'!J189,Recipes!$A:$D,4,FALSE)="",""," ["&amp;VLOOKUP('.'!J189,Recipes!$A:$D,4,FALSE)&amp;"]"))</f>
        <v/>
      </c>
      <c r="K189" s="46" t="str">
        <f t="array" ref="K189">IF('.'!K189="","",'.'!K189&amp;IF(VLOOKUP('.'!K189,Recipes!$A:$D,4,FALSE)="",""," ["&amp;VLOOKUP('.'!K189,Recipes!$A:$D,4,FALSE)&amp;"]"))</f>
        <v/>
      </c>
      <c r="L189" s="46" t="str">
        <f t="array" ref="L189">IF('.'!L189="","",'.'!L189&amp;IF(VLOOKUP('.'!L189,Recipes!$A:$D,4,FALSE)="",""," ["&amp;VLOOKUP('.'!L189,Recipes!$A:$D,4,FALSE)&amp;"]"))</f>
        <v/>
      </c>
      <c r="M189" s="46" t="str">
        <f t="array" ref="M189">IF('.'!M189="","",'.'!M189&amp;IF(VLOOKUP('.'!M189,Recipes!$A:$D,4,FALSE)="",""," ["&amp;VLOOKUP('.'!M189,Recipes!$A:$D,4,FALSE)&amp;"]"))</f>
        <v/>
      </c>
      <c r="N189" s="46" t="str">
        <f t="array" ref="N189">IF('.'!N189="","",'.'!N189&amp;IF(VLOOKUP('.'!N189,Recipes!$A:$D,4,FALSE)="",""," ["&amp;VLOOKUP('.'!N189,Recipes!$A:$D,4,FALSE)&amp;"]"))</f>
        <v/>
      </c>
      <c r="O189" s="46" t="str">
        <f t="array" ref="O189">IF('.'!O189="","",'.'!O189&amp;IF(VLOOKUP('.'!O189,Recipes!$A:$D,4,FALSE)="",""," ["&amp;VLOOKUP('.'!O189,Recipes!$A:$D,4,FALSE)&amp;"]"))</f>
        <v/>
      </c>
      <c r="P189" s="46" t="str">
        <f t="array" ref="P189">IF('.'!P189="","",'.'!P189&amp;IF(VLOOKUP('.'!P189,Recipes!$A:$D,4,FALSE)="",""," ["&amp;VLOOKUP('.'!P189,Recipes!$A:$D,4,FALSE)&amp;"]"))</f>
        <v/>
      </c>
      <c r="Q189" s="46" t="str">
        <f t="array" ref="Q189">IF('.'!Q189="","",'.'!Q189&amp;IF(VLOOKUP('.'!Q189,Recipes!$A:$D,4,FALSE)="",""," ["&amp;VLOOKUP('.'!Q189,Recipes!$A:$D,4,FALSE)&amp;"]"))</f>
        <v/>
      </c>
      <c r="R189" s="46" t="str">
        <f t="array" ref="R189">IF('.'!R189="","",'.'!R189&amp;IF(VLOOKUP('.'!R189,Recipes!$A:$D,4,FALSE)="",""," ["&amp;VLOOKUP('.'!R189,Recipes!$A:$D,4,FALSE)&amp;"]"))</f>
        <v/>
      </c>
      <c r="S189" s="46" t="str">
        <f t="array" ref="S189">IF('.'!S189="","",'.'!S189&amp;IF(VLOOKUP('.'!S189,Recipes!$A:$D,4,FALSE)="",""," ["&amp;VLOOKUP('.'!S189,Recipes!$A:$D,4,FALSE)&amp;"]"))</f>
        <v/>
      </c>
      <c r="T189" s="46" t="str">
        <f t="array" ref="T189">IF('.'!T189="","",'.'!T189&amp;IF(VLOOKUP('.'!T189,Recipes!$A:$D,4,FALSE)="",""," ["&amp;VLOOKUP('.'!T189,Recipes!$A:$D,4,FALSE)&amp;"]"))</f>
        <v/>
      </c>
      <c r="U189" s="46" t="str">
        <f t="array" ref="U189">IF('.'!U189="","",'.'!U189&amp;IF(VLOOKUP('.'!U189,Recipes!$A:$D,4,FALSE)="",""," ["&amp;VLOOKUP('.'!U189,Recipes!$A:$D,4,FALSE)&amp;"]"))</f>
        <v/>
      </c>
      <c r="V189" s="46" t="str">
        <f t="array" ref="V189">IF('.'!V189="","",'.'!V189&amp;IF(VLOOKUP('.'!V189,Recipes!$A:$D,4,FALSE)="",""," ["&amp;VLOOKUP('.'!V189,Recipes!$A:$D,4,FALSE)&amp;"]"))</f>
        <v/>
      </c>
      <c r="W189" s="46" t="str">
        <f t="array" ref="W189">IF('.'!W189="","",'.'!W189&amp;IF(VLOOKUP('.'!W189,Recipes!$A:$D,4,FALSE)="",""," ["&amp;VLOOKUP('.'!W189,Recipes!$A:$D,4,FALSE)&amp;"]"))</f>
        <v/>
      </c>
      <c r="X189" s="46" t="str">
        <f t="array" ref="X189">IF('.'!X189="","",'.'!X189&amp;IF(VLOOKUP('.'!X189,Recipes!$A:$D,4,FALSE)="",""," ["&amp;VLOOKUP('.'!X189,Recipes!$A:$D,4,FALSE)&amp;"]"))</f>
        <v/>
      </c>
      <c r="Y189" s="46" t="str">
        <f t="array" ref="Y189">IF('.'!Y189="","",'.'!Y189&amp;IF(VLOOKUP('.'!Y189,Recipes!$A:$D,4,FALSE)="",""," ["&amp;VLOOKUP('.'!Y189,Recipes!$A:$D,4,FALSE)&amp;"]"))</f>
        <v/>
      </c>
      <c r="Z189" s="46" t="str">
        <f t="array" ref="Z189">IF('.'!Z189="","",'.'!Z189&amp;IF(VLOOKUP('.'!Z189,Recipes!$A:$D,4,FALSE)="",""," ["&amp;VLOOKUP('.'!Z189,Recipes!$A:$D,4,FALSE)&amp;"]"))</f>
        <v/>
      </c>
      <c r="AA189" s="46" t="str">
        <f t="array" ref="AA189">IF('.'!AA189="","",'.'!AA189&amp;IF(VLOOKUP('.'!AA189,Recipes!$A:$D,4,FALSE)="",""," ["&amp;VLOOKUP('.'!AA189,Recipes!$A:$D,4,FALSE)&amp;"]"))</f>
        <v/>
      </c>
      <c r="AB189" s="46" t="str">
        <f t="array" ref="AB189">IF('.'!AB189="","",'.'!AB189&amp;IF(VLOOKUP('.'!AB189,Recipes!$A:$D,4,FALSE)="",""," ["&amp;VLOOKUP('.'!AB189,Recipes!$A:$D,4,FALSE)&amp;"]"))</f>
        <v/>
      </c>
      <c r="AC189" s="46" t="str">
        <f t="array" ref="AC189">IF('.'!AC189="","",'.'!AC189&amp;IF(VLOOKUP('.'!AC189,Recipes!$A:$D,4,FALSE)="",""," ["&amp;VLOOKUP('.'!AC189,Recipes!$A:$D,4,FALSE)&amp;"]"))</f>
        <v/>
      </c>
      <c r="AD189" s="46" t="str">
        <f t="array" ref="AD189">IF('.'!AD189="","",'.'!AD189&amp;IF(VLOOKUP('.'!AD189,Recipes!$A:$D,4,FALSE)="",""," ["&amp;VLOOKUP('.'!AD189,Recipes!$A:$D,4,FALSE)&amp;"]"))</f>
        <v/>
      </c>
      <c r="AE189" s="47"/>
      <c r="AF189" s="47"/>
      <c r="AG189" s="47"/>
      <c r="AH189" s="47"/>
      <c r="AI189" s="47"/>
      <c r="AJ189" s="47"/>
      <c r="AK189" s="47"/>
      <c r="AL189" s="47"/>
      <c r="AM189" s="47"/>
      <c r="AN189" s="47"/>
      <c r="AO189" s="47"/>
      <c r="AP189" s="47"/>
      <c r="AQ189" s="47"/>
      <c r="AR189" s="47"/>
      <c r="AS189" s="47"/>
      <c r="AT189" s="47"/>
      <c r="AU189" s="47"/>
      <c r="AV189" s="47"/>
      <c r="AW189" s="47"/>
      <c r="AX189" s="47"/>
      <c r="AY189" s="47"/>
      <c r="AZ189" s="47"/>
      <c r="BA189" s="47"/>
      <c r="BB189" s="47"/>
      <c r="BC189" s="47"/>
      <c r="BD189" s="47"/>
      <c r="BE189" s="47"/>
      <c r="BF189" s="47"/>
      <c r="BG189" s="47"/>
      <c r="BH189" s="47"/>
      <c r="BI189" s="47"/>
      <c r="BJ189" s="47"/>
      <c r="BK189" s="47"/>
      <c r="BL189" s="47"/>
      <c r="BM189" s="47"/>
      <c r="BN189" s="47"/>
      <c r="BO189" s="47"/>
      <c r="BP189" s="47"/>
      <c r="BQ189" s="47"/>
      <c r="BR189" s="47"/>
      <c r="BS189" s="47"/>
      <c r="BT189" s="47"/>
      <c r="BU189" s="47"/>
      <c r="BV189" s="47"/>
      <c r="BW189" s="47"/>
      <c r="BX189" s="47"/>
      <c r="BY189" s="47"/>
      <c r="BZ189" s="47"/>
    </row>
    <row r="190" spans="1:78" ht="13">
      <c r="A190" s="48" t="str">
        <f ca="1">'.'!A190</f>
        <v>Flour</v>
      </c>
      <c r="B190" s="46" t="e">
        <f t="array" aca="1" ref="B190" ca="1">IF('.'!B190="","",'.'!B190&amp;IF(VLOOKUP('.'!B190,Recipes!$A:$D,4,FALSE)="",""," ["&amp;VLOOKUP('.'!B190,Recipes!$A:$D,4,FALSE)&amp;"]"))</f>
        <v>#VALUE!</v>
      </c>
      <c r="C190" s="46" t="str">
        <f t="array" aca="1" ref="C190" ca="1">IF('.'!C190="","",'.'!C190&amp;IF(VLOOKUP('.'!C190,Recipes!$A:$D,4,FALSE)="",""," ["&amp;VLOOKUP('.'!C190,Recipes!$A:$D,4,FALSE)&amp;"]"))</f>
        <v>Shocking Touch Scroll [14]</v>
      </c>
      <c r="D190" s="46" t="str">
        <f t="array" ref="D190">IF('.'!D190="","",'.'!D190&amp;IF(VLOOKUP('.'!D190,Recipes!$A:$D,4,FALSE)="",""," ["&amp;VLOOKUP('.'!D190,Recipes!$A:$D,4,FALSE)&amp;"]"))</f>
        <v/>
      </c>
      <c r="E190" s="46" t="str">
        <f t="array" ref="E190">IF('.'!E190="","",'.'!E190&amp;IF(VLOOKUP('.'!E190,Recipes!$A:$D,4,FALSE)="",""," ["&amp;VLOOKUP('.'!E190,Recipes!$A:$D,4,FALSE)&amp;"]"))</f>
        <v/>
      </c>
      <c r="F190" s="46" t="str">
        <f t="array" ref="F190">IF('.'!F190="","",'.'!F190&amp;IF(VLOOKUP('.'!F190,Recipes!$A:$D,4,FALSE)="",""," ["&amp;VLOOKUP('.'!F190,Recipes!$A:$D,4,FALSE)&amp;"]"))</f>
        <v/>
      </c>
      <c r="G190" s="46" t="str">
        <f t="array" ref="G190">IF('.'!G190="","",'.'!G190&amp;IF(VLOOKUP('.'!G190,Recipes!$A:$D,4,FALSE)="",""," ["&amp;VLOOKUP('.'!G190,Recipes!$A:$D,4,FALSE)&amp;"]"))</f>
        <v/>
      </c>
      <c r="H190" s="46" t="str">
        <f t="array" ref="H190">IF('.'!H190="","",'.'!H190&amp;IF(VLOOKUP('.'!H190,Recipes!$A:$D,4,FALSE)="",""," ["&amp;VLOOKUP('.'!H190,Recipes!$A:$D,4,FALSE)&amp;"]"))</f>
        <v/>
      </c>
      <c r="I190" s="46" t="str">
        <f t="array" ref="I190">IF('.'!I190="","",'.'!I190&amp;IF(VLOOKUP('.'!I190,Recipes!$A:$D,4,FALSE)="",""," ["&amp;VLOOKUP('.'!I190,Recipes!$A:$D,4,FALSE)&amp;"]"))</f>
        <v/>
      </c>
      <c r="J190" s="46" t="str">
        <f t="array" ref="J190">IF('.'!J190="","",'.'!J190&amp;IF(VLOOKUP('.'!J190,Recipes!$A:$D,4,FALSE)="",""," ["&amp;VLOOKUP('.'!J190,Recipes!$A:$D,4,FALSE)&amp;"]"))</f>
        <v/>
      </c>
      <c r="K190" s="46" t="str">
        <f t="array" ref="K190">IF('.'!K190="","",'.'!K190&amp;IF(VLOOKUP('.'!K190,Recipes!$A:$D,4,FALSE)="",""," ["&amp;VLOOKUP('.'!K190,Recipes!$A:$D,4,FALSE)&amp;"]"))</f>
        <v/>
      </c>
      <c r="L190" s="46" t="str">
        <f t="array" ref="L190">IF('.'!L190="","",'.'!L190&amp;IF(VLOOKUP('.'!L190,Recipes!$A:$D,4,FALSE)="",""," ["&amp;VLOOKUP('.'!L190,Recipes!$A:$D,4,FALSE)&amp;"]"))</f>
        <v/>
      </c>
      <c r="M190" s="46" t="str">
        <f t="array" ref="M190">IF('.'!M190="","",'.'!M190&amp;IF(VLOOKUP('.'!M190,Recipes!$A:$D,4,FALSE)="",""," ["&amp;VLOOKUP('.'!M190,Recipes!$A:$D,4,FALSE)&amp;"]"))</f>
        <v/>
      </c>
      <c r="N190" s="46" t="str">
        <f t="array" ref="N190">IF('.'!N190="","",'.'!N190&amp;IF(VLOOKUP('.'!N190,Recipes!$A:$D,4,FALSE)="",""," ["&amp;VLOOKUP('.'!N190,Recipes!$A:$D,4,FALSE)&amp;"]"))</f>
        <v/>
      </c>
      <c r="O190" s="46" t="str">
        <f t="array" ref="O190">IF('.'!O190="","",'.'!O190&amp;IF(VLOOKUP('.'!O190,Recipes!$A:$D,4,FALSE)="",""," ["&amp;VLOOKUP('.'!O190,Recipes!$A:$D,4,FALSE)&amp;"]"))</f>
        <v/>
      </c>
      <c r="P190" s="46" t="str">
        <f t="array" ref="P190">IF('.'!P190="","",'.'!P190&amp;IF(VLOOKUP('.'!P190,Recipes!$A:$D,4,FALSE)="",""," ["&amp;VLOOKUP('.'!P190,Recipes!$A:$D,4,FALSE)&amp;"]"))</f>
        <v/>
      </c>
      <c r="Q190" s="46" t="str">
        <f t="array" ref="Q190">IF('.'!Q190="","",'.'!Q190&amp;IF(VLOOKUP('.'!Q190,Recipes!$A:$D,4,FALSE)="",""," ["&amp;VLOOKUP('.'!Q190,Recipes!$A:$D,4,FALSE)&amp;"]"))</f>
        <v/>
      </c>
      <c r="R190" s="46" t="str">
        <f t="array" ref="R190">IF('.'!R190="","",'.'!R190&amp;IF(VLOOKUP('.'!R190,Recipes!$A:$D,4,FALSE)="",""," ["&amp;VLOOKUP('.'!R190,Recipes!$A:$D,4,FALSE)&amp;"]"))</f>
        <v/>
      </c>
      <c r="S190" s="46" t="str">
        <f t="array" ref="S190">IF('.'!S190="","",'.'!S190&amp;IF(VLOOKUP('.'!S190,Recipes!$A:$D,4,FALSE)="",""," ["&amp;VLOOKUP('.'!S190,Recipes!$A:$D,4,FALSE)&amp;"]"))</f>
        <v/>
      </c>
      <c r="T190" s="46" t="str">
        <f t="array" ref="T190">IF('.'!T190="","",'.'!T190&amp;IF(VLOOKUP('.'!T190,Recipes!$A:$D,4,FALSE)="",""," ["&amp;VLOOKUP('.'!T190,Recipes!$A:$D,4,FALSE)&amp;"]"))</f>
        <v/>
      </c>
      <c r="U190" s="46" t="str">
        <f t="array" ref="U190">IF('.'!U190="","",'.'!U190&amp;IF(VLOOKUP('.'!U190,Recipes!$A:$D,4,FALSE)="",""," ["&amp;VLOOKUP('.'!U190,Recipes!$A:$D,4,FALSE)&amp;"]"))</f>
        <v/>
      </c>
      <c r="V190" s="46" t="str">
        <f t="array" ref="V190">IF('.'!V190="","",'.'!V190&amp;IF(VLOOKUP('.'!V190,Recipes!$A:$D,4,FALSE)="",""," ["&amp;VLOOKUP('.'!V190,Recipes!$A:$D,4,FALSE)&amp;"]"))</f>
        <v/>
      </c>
      <c r="W190" s="46" t="str">
        <f t="array" ref="W190">IF('.'!W190="","",'.'!W190&amp;IF(VLOOKUP('.'!W190,Recipes!$A:$D,4,FALSE)="",""," ["&amp;VLOOKUP('.'!W190,Recipes!$A:$D,4,FALSE)&amp;"]"))</f>
        <v/>
      </c>
      <c r="X190" s="46" t="str">
        <f t="array" ref="X190">IF('.'!X190="","",'.'!X190&amp;IF(VLOOKUP('.'!X190,Recipes!$A:$D,4,FALSE)="",""," ["&amp;VLOOKUP('.'!X190,Recipes!$A:$D,4,FALSE)&amp;"]"))</f>
        <v/>
      </c>
      <c r="Y190" s="46" t="str">
        <f t="array" ref="Y190">IF('.'!Y190="","",'.'!Y190&amp;IF(VLOOKUP('.'!Y190,Recipes!$A:$D,4,FALSE)="",""," ["&amp;VLOOKUP('.'!Y190,Recipes!$A:$D,4,FALSE)&amp;"]"))</f>
        <v/>
      </c>
      <c r="Z190" s="46" t="str">
        <f t="array" ref="Z190">IF('.'!Z190="","",'.'!Z190&amp;IF(VLOOKUP('.'!Z190,Recipes!$A:$D,4,FALSE)="",""," ["&amp;VLOOKUP('.'!Z190,Recipes!$A:$D,4,FALSE)&amp;"]"))</f>
        <v/>
      </c>
      <c r="AA190" s="46" t="str">
        <f t="array" ref="AA190">IF('.'!AA190="","",'.'!AA190&amp;IF(VLOOKUP('.'!AA190,Recipes!$A:$D,4,FALSE)="",""," ["&amp;VLOOKUP('.'!AA190,Recipes!$A:$D,4,FALSE)&amp;"]"))</f>
        <v/>
      </c>
      <c r="AB190" s="46" t="str">
        <f t="array" ref="AB190">IF('.'!AB190="","",'.'!AB190&amp;IF(VLOOKUP('.'!AB190,Recipes!$A:$D,4,FALSE)="",""," ["&amp;VLOOKUP('.'!AB190,Recipes!$A:$D,4,FALSE)&amp;"]"))</f>
        <v/>
      </c>
      <c r="AC190" s="46" t="str">
        <f t="array" ref="AC190">IF('.'!AC190="","",'.'!AC190&amp;IF(VLOOKUP('.'!AC190,Recipes!$A:$D,4,FALSE)="",""," ["&amp;VLOOKUP('.'!AC190,Recipes!$A:$D,4,FALSE)&amp;"]"))</f>
        <v/>
      </c>
      <c r="AD190" s="46" t="str">
        <f t="array" ref="AD190">IF('.'!AD190="","",'.'!AD190&amp;IF(VLOOKUP('.'!AD190,Recipes!$A:$D,4,FALSE)="",""," ["&amp;VLOOKUP('.'!AD190,Recipes!$A:$D,4,FALSE)&amp;"]"))</f>
        <v/>
      </c>
      <c r="AE190" s="47"/>
      <c r="AF190" s="47"/>
      <c r="AG190" s="47"/>
      <c r="AH190" s="47"/>
      <c r="AI190" s="47"/>
      <c r="AJ190" s="47"/>
      <c r="AK190" s="47"/>
      <c r="AL190" s="47"/>
      <c r="AM190" s="47"/>
      <c r="AN190" s="47"/>
      <c r="AO190" s="47"/>
      <c r="AP190" s="47"/>
      <c r="AQ190" s="47"/>
      <c r="AR190" s="47"/>
      <c r="AS190" s="47"/>
      <c r="AT190" s="47"/>
      <c r="AU190" s="47"/>
      <c r="AV190" s="47"/>
      <c r="AW190" s="47"/>
      <c r="AX190" s="47"/>
      <c r="AY190" s="47"/>
      <c r="AZ190" s="47"/>
      <c r="BA190" s="47"/>
      <c r="BB190" s="47"/>
      <c r="BC190" s="47"/>
      <c r="BD190" s="47"/>
      <c r="BE190" s="47"/>
      <c r="BF190" s="47"/>
      <c r="BG190" s="47"/>
      <c r="BH190" s="47"/>
      <c r="BI190" s="47"/>
      <c r="BJ190" s="47"/>
      <c r="BK190" s="47"/>
      <c r="BL190" s="47"/>
      <c r="BM190" s="47"/>
      <c r="BN190" s="47"/>
      <c r="BO190" s="47"/>
      <c r="BP190" s="47"/>
      <c r="BQ190" s="47"/>
      <c r="BR190" s="47"/>
      <c r="BS190" s="47"/>
      <c r="BT190" s="47"/>
      <c r="BU190" s="47"/>
      <c r="BV190" s="47"/>
      <c r="BW190" s="47"/>
      <c r="BX190" s="47"/>
      <c r="BY190" s="47"/>
      <c r="BZ190" s="47"/>
    </row>
    <row r="191" spans="1:78" ht="13">
      <c r="A191" s="48" t="str">
        <f ca="1">'.'!A191</f>
        <v>Fly Agaric Mushroom</v>
      </c>
      <c r="B191" s="46" t="str">
        <f t="array" aca="1" ref="B191" ca="1">IF('.'!B191="","",'.'!B191&amp;IF(VLOOKUP('.'!B191,Recipes!$A:$D,4,FALSE)="",""," ["&amp;VLOOKUP('.'!B191,Recipes!$A:$D,4,FALSE)&amp;"]"))</f>
        <v>Poison Dart Scroll [5]</v>
      </c>
      <c r="C191" s="46" t="str">
        <f t="array" aca="1" ref="C191" ca="1">IF('.'!C191="","",'.'!C191&amp;IF(VLOOKUP('.'!C191,Recipes!$A:$D,4,FALSE)="",""," ["&amp;VLOOKUP('.'!C191,Recipes!$A:$D,4,FALSE)&amp;"]"))</f>
        <v>Small Poison Bottle [-10]</v>
      </c>
      <c r="D191" s="46" t="str">
        <f t="array" ref="D191">IF('.'!D191="","",'.'!D191&amp;IF(VLOOKUP('.'!D191,Recipes!$A:$D,4,FALSE)="",""," ["&amp;VLOOKUP('.'!D191,Recipes!$A:$D,4,FALSE)&amp;"]"))</f>
        <v/>
      </c>
      <c r="E191" s="46" t="str">
        <f t="array" ref="E191">IF('.'!E191="","",'.'!E191&amp;IF(VLOOKUP('.'!E191,Recipes!$A:$D,4,FALSE)="",""," ["&amp;VLOOKUP('.'!E191,Recipes!$A:$D,4,FALSE)&amp;"]"))</f>
        <v/>
      </c>
      <c r="F191" s="46" t="str">
        <f t="array" ref="F191">IF('.'!F191="","",'.'!F191&amp;IF(VLOOKUP('.'!F191,Recipes!$A:$D,4,FALSE)="",""," ["&amp;VLOOKUP('.'!F191,Recipes!$A:$D,4,FALSE)&amp;"]"))</f>
        <v/>
      </c>
      <c r="G191" s="46" t="str">
        <f t="array" ref="G191">IF('.'!G191="","",'.'!G191&amp;IF(VLOOKUP('.'!G191,Recipes!$A:$D,4,FALSE)="",""," ["&amp;VLOOKUP('.'!G191,Recipes!$A:$D,4,FALSE)&amp;"]"))</f>
        <v/>
      </c>
      <c r="H191" s="46" t="str">
        <f t="array" ref="H191">IF('.'!H191="","",'.'!H191&amp;IF(VLOOKUP('.'!H191,Recipes!$A:$D,4,FALSE)="",""," ["&amp;VLOOKUP('.'!H191,Recipes!$A:$D,4,FALSE)&amp;"]"))</f>
        <v/>
      </c>
      <c r="I191" s="46" t="str">
        <f t="array" ref="I191">IF('.'!I191="","",'.'!I191&amp;IF(VLOOKUP('.'!I191,Recipes!$A:$D,4,FALSE)="",""," ["&amp;VLOOKUP('.'!I191,Recipes!$A:$D,4,FALSE)&amp;"]"))</f>
        <v/>
      </c>
      <c r="J191" s="46" t="str">
        <f t="array" ref="J191">IF('.'!J191="","",'.'!J191&amp;IF(VLOOKUP('.'!J191,Recipes!$A:$D,4,FALSE)="",""," ["&amp;VLOOKUP('.'!J191,Recipes!$A:$D,4,FALSE)&amp;"]"))</f>
        <v/>
      </c>
      <c r="K191" s="46" t="str">
        <f t="array" ref="K191">IF('.'!K191="","",'.'!K191&amp;IF(VLOOKUP('.'!K191,Recipes!$A:$D,4,FALSE)="",""," ["&amp;VLOOKUP('.'!K191,Recipes!$A:$D,4,FALSE)&amp;"]"))</f>
        <v/>
      </c>
      <c r="L191" s="46" t="str">
        <f t="array" ref="L191">IF('.'!L191="","",'.'!L191&amp;IF(VLOOKUP('.'!L191,Recipes!$A:$D,4,FALSE)="",""," ["&amp;VLOOKUP('.'!L191,Recipes!$A:$D,4,FALSE)&amp;"]"))</f>
        <v/>
      </c>
      <c r="M191" s="46" t="str">
        <f t="array" ref="M191">IF('.'!M191="","",'.'!M191&amp;IF(VLOOKUP('.'!M191,Recipes!$A:$D,4,FALSE)="",""," ["&amp;VLOOKUP('.'!M191,Recipes!$A:$D,4,FALSE)&amp;"]"))</f>
        <v/>
      </c>
      <c r="N191" s="46" t="str">
        <f t="array" ref="N191">IF('.'!N191="","",'.'!N191&amp;IF(VLOOKUP('.'!N191,Recipes!$A:$D,4,FALSE)="",""," ["&amp;VLOOKUP('.'!N191,Recipes!$A:$D,4,FALSE)&amp;"]"))</f>
        <v/>
      </c>
      <c r="O191" s="46" t="str">
        <f t="array" ref="O191">IF('.'!O191="","",'.'!O191&amp;IF(VLOOKUP('.'!O191,Recipes!$A:$D,4,FALSE)="",""," ["&amp;VLOOKUP('.'!O191,Recipes!$A:$D,4,FALSE)&amp;"]"))</f>
        <v/>
      </c>
      <c r="P191" s="46" t="str">
        <f t="array" ref="P191">IF('.'!P191="","",'.'!P191&amp;IF(VLOOKUP('.'!P191,Recipes!$A:$D,4,FALSE)="",""," ["&amp;VLOOKUP('.'!P191,Recipes!$A:$D,4,FALSE)&amp;"]"))</f>
        <v/>
      </c>
      <c r="Q191" s="46" t="str">
        <f t="array" ref="Q191">IF('.'!Q191="","",'.'!Q191&amp;IF(VLOOKUP('.'!Q191,Recipes!$A:$D,4,FALSE)="",""," ["&amp;VLOOKUP('.'!Q191,Recipes!$A:$D,4,FALSE)&amp;"]"))</f>
        <v/>
      </c>
      <c r="R191" s="46" t="str">
        <f t="array" ref="R191">IF('.'!R191="","",'.'!R191&amp;IF(VLOOKUP('.'!R191,Recipes!$A:$D,4,FALSE)="",""," ["&amp;VLOOKUP('.'!R191,Recipes!$A:$D,4,FALSE)&amp;"]"))</f>
        <v/>
      </c>
      <c r="S191" s="46" t="str">
        <f t="array" ref="S191">IF('.'!S191="","",'.'!S191&amp;IF(VLOOKUP('.'!S191,Recipes!$A:$D,4,FALSE)="",""," ["&amp;VLOOKUP('.'!S191,Recipes!$A:$D,4,FALSE)&amp;"]"))</f>
        <v/>
      </c>
      <c r="T191" s="46" t="str">
        <f t="array" ref="T191">IF('.'!T191="","",'.'!T191&amp;IF(VLOOKUP('.'!T191,Recipes!$A:$D,4,FALSE)="",""," ["&amp;VLOOKUP('.'!T191,Recipes!$A:$D,4,FALSE)&amp;"]"))</f>
        <v/>
      </c>
      <c r="U191" s="46" t="str">
        <f t="array" ref="U191">IF('.'!U191="","",'.'!U191&amp;IF(VLOOKUP('.'!U191,Recipes!$A:$D,4,FALSE)="",""," ["&amp;VLOOKUP('.'!U191,Recipes!$A:$D,4,FALSE)&amp;"]"))</f>
        <v/>
      </c>
      <c r="V191" s="46" t="str">
        <f t="array" ref="V191">IF('.'!V191="","",'.'!V191&amp;IF(VLOOKUP('.'!V191,Recipes!$A:$D,4,FALSE)="",""," ["&amp;VLOOKUP('.'!V191,Recipes!$A:$D,4,FALSE)&amp;"]"))</f>
        <v/>
      </c>
      <c r="W191" s="46" t="str">
        <f t="array" ref="W191">IF('.'!W191="","",'.'!W191&amp;IF(VLOOKUP('.'!W191,Recipes!$A:$D,4,FALSE)="",""," ["&amp;VLOOKUP('.'!W191,Recipes!$A:$D,4,FALSE)&amp;"]"))</f>
        <v/>
      </c>
      <c r="X191" s="46" t="str">
        <f t="array" ref="X191">IF('.'!X191="","",'.'!X191&amp;IF(VLOOKUP('.'!X191,Recipes!$A:$D,4,FALSE)="",""," ["&amp;VLOOKUP('.'!X191,Recipes!$A:$D,4,FALSE)&amp;"]"))</f>
        <v/>
      </c>
      <c r="Y191" s="46" t="str">
        <f t="array" ref="Y191">IF('.'!Y191="","",'.'!Y191&amp;IF(VLOOKUP('.'!Y191,Recipes!$A:$D,4,FALSE)="",""," ["&amp;VLOOKUP('.'!Y191,Recipes!$A:$D,4,FALSE)&amp;"]"))</f>
        <v/>
      </c>
      <c r="Z191" s="46" t="str">
        <f t="array" ref="Z191">IF('.'!Z191="","",'.'!Z191&amp;IF(VLOOKUP('.'!Z191,Recipes!$A:$D,4,FALSE)="",""," ["&amp;VLOOKUP('.'!Z191,Recipes!$A:$D,4,FALSE)&amp;"]"))</f>
        <v/>
      </c>
      <c r="AA191" s="46" t="str">
        <f t="array" ref="AA191">IF('.'!AA191="","",'.'!AA191&amp;IF(VLOOKUP('.'!AA191,Recipes!$A:$D,4,FALSE)="",""," ["&amp;VLOOKUP('.'!AA191,Recipes!$A:$D,4,FALSE)&amp;"]"))</f>
        <v/>
      </c>
      <c r="AB191" s="46" t="str">
        <f t="array" ref="AB191">IF('.'!AB191="","",'.'!AB191&amp;IF(VLOOKUP('.'!AB191,Recipes!$A:$D,4,FALSE)="",""," ["&amp;VLOOKUP('.'!AB191,Recipes!$A:$D,4,FALSE)&amp;"]"))</f>
        <v/>
      </c>
      <c r="AC191" s="46" t="str">
        <f t="array" ref="AC191">IF('.'!AC191="","",'.'!AC191&amp;IF(VLOOKUP('.'!AC191,Recipes!$A:$D,4,FALSE)="",""," ["&amp;VLOOKUP('.'!AC191,Recipes!$A:$D,4,FALSE)&amp;"]"))</f>
        <v/>
      </c>
      <c r="AD191" s="46" t="str">
        <f t="array" ref="AD191">IF('.'!AD191="","",'.'!AD191&amp;IF(VLOOKUP('.'!AD191,Recipes!$A:$D,4,FALSE)="",""," ["&amp;VLOOKUP('.'!AD191,Recipes!$A:$D,4,FALSE)&amp;"]"))</f>
        <v/>
      </c>
      <c r="AE191" s="47"/>
      <c r="AF191" s="47"/>
      <c r="AG191" s="47"/>
      <c r="AH191" s="47"/>
      <c r="AI191" s="47"/>
      <c r="AJ191" s="47"/>
      <c r="AK191" s="47"/>
      <c r="AL191" s="47"/>
      <c r="AM191" s="47"/>
      <c r="AN191" s="47"/>
      <c r="AO191" s="47"/>
      <c r="AP191" s="47"/>
      <c r="AQ191" s="47"/>
      <c r="AR191" s="47"/>
      <c r="AS191" s="47"/>
      <c r="AT191" s="47"/>
      <c r="AU191" s="47"/>
      <c r="AV191" s="47"/>
      <c r="AW191" s="47"/>
      <c r="AX191" s="47"/>
      <c r="AY191" s="47"/>
      <c r="AZ191" s="47"/>
      <c r="BA191" s="47"/>
      <c r="BB191" s="47"/>
      <c r="BC191" s="47"/>
      <c r="BD191" s="47"/>
      <c r="BE191" s="47"/>
      <c r="BF191" s="47"/>
      <c r="BG191" s="47"/>
      <c r="BH191" s="47"/>
      <c r="BI191" s="47"/>
      <c r="BJ191" s="47"/>
      <c r="BK191" s="47"/>
      <c r="BL191" s="47"/>
      <c r="BM191" s="47"/>
      <c r="BN191" s="47"/>
      <c r="BO191" s="47"/>
      <c r="BP191" s="47"/>
      <c r="BQ191" s="47"/>
      <c r="BR191" s="47"/>
      <c r="BS191" s="47"/>
      <c r="BT191" s="47"/>
      <c r="BU191" s="47"/>
      <c r="BV191" s="47"/>
      <c r="BW191" s="47"/>
      <c r="BX191" s="47"/>
      <c r="BY191" s="47"/>
      <c r="BZ191" s="47"/>
    </row>
    <row r="192" spans="1:78" ht="13">
      <c r="A192" s="48" t="str">
        <f ca="1">'.'!A192</f>
        <v>Food</v>
      </c>
      <c r="B192" s="46" t="e">
        <f t="array" aca="1" ref="B192" ca="1">IF('.'!B192="","",'.'!B192&amp;IF(VLOOKUP('.'!B192,Recipes!$A:$D,4,FALSE)="",""," ["&amp;VLOOKUP('.'!B192,Recipes!$A:$D,4,FALSE)&amp;"]"))</f>
        <v>#VALUE!</v>
      </c>
      <c r="C192" s="46" t="str">
        <f t="array" ref="C192">IF('.'!C192="","",'.'!C192&amp;IF(VLOOKUP('.'!C192,Recipes!$A:$D,4,FALSE)="",""," ["&amp;VLOOKUP('.'!C192,Recipes!$A:$D,4,FALSE)&amp;"]"))</f>
        <v/>
      </c>
      <c r="D192" s="46" t="str">
        <f t="array" ref="D192">IF('.'!D192="","",'.'!D192&amp;IF(VLOOKUP('.'!D192,Recipes!$A:$D,4,FALSE)="",""," ["&amp;VLOOKUP('.'!D192,Recipes!$A:$D,4,FALSE)&amp;"]"))</f>
        <v/>
      </c>
      <c r="E192" s="46" t="str">
        <f t="array" ref="E192">IF('.'!E192="","",'.'!E192&amp;IF(VLOOKUP('.'!E192,Recipes!$A:$D,4,FALSE)="",""," ["&amp;VLOOKUP('.'!E192,Recipes!$A:$D,4,FALSE)&amp;"]"))</f>
        <v/>
      </c>
      <c r="F192" s="46" t="str">
        <f t="array" ref="F192">IF('.'!F192="","",'.'!F192&amp;IF(VLOOKUP('.'!F192,Recipes!$A:$D,4,FALSE)="",""," ["&amp;VLOOKUP('.'!F192,Recipes!$A:$D,4,FALSE)&amp;"]"))</f>
        <v/>
      </c>
      <c r="G192" s="46" t="str">
        <f t="array" ref="G192">IF('.'!G192="","",'.'!G192&amp;IF(VLOOKUP('.'!G192,Recipes!$A:$D,4,FALSE)="",""," ["&amp;VLOOKUP('.'!G192,Recipes!$A:$D,4,FALSE)&amp;"]"))</f>
        <v/>
      </c>
      <c r="H192" s="46" t="str">
        <f t="array" ref="H192">IF('.'!H192="","",'.'!H192&amp;IF(VLOOKUP('.'!H192,Recipes!$A:$D,4,FALSE)="",""," ["&amp;VLOOKUP('.'!H192,Recipes!$A:$D,4,FALSE)&amp;"]"))</f>
        <v/>
      </c>
      <c r="I192" s="46" t="str">
        <f t="array" ref="I192">IF('.'!I192="","",'.'!I192&amp;IF(VLOOKUP('.'!I192,Recipes!$A:$D,4,FALSE)="",""," ["&amp;VLOOKUP('.'!I192,Recipes!$A:$D,4,FALSE)&amp;"]"))</f>
        <v/>
      </c>
      <c r="J192" s="46" t="str">
        <f t="array" ref="J192">IF('.'!J192="","",'.'!J192&amp;IF(VLOOKUP('.'!J192,Recipes!$A:$D,4,FALSE)="",""," ["&amp;VLOOKUP('.'!J192,Recipes!$A:$D,4,FALSE)&amp;"]"))</f>
        <v/>
      </c>
      <c r="K192" s="46" t="str">
        <f t="array" ref="K192">IF('.'!K192="","",'.'!K192&amp;IF(VLOOKUP('.'!K192,Recipes!$A:$D,4,FALSE)="",""," ["&amp;VLOOKUP('.'!K192,Recipes!$A:$D,4,FALSE)&amp;"]"))</f>
        <v/>
      </c>
      <c r="L192" s="46" t="str">
        <f t="array" ref="L192">IF('.'!L192="","",'.'!L192&amp;IF(VLOOKUP('.'!L192,Recipes!$A:$D,4,FALSE)="",""," ["&amp;VLOOKUP('.'!L192,Recipes!$A:$D,4,FALSE)&amp;"]"))</f>
        <v/>
      </c>
      <c r="M192" s="46" t="str">
        <f t="array" ref="M192">IF('.'!M192="","",'.'!M192&amp;IF(VLOOKUP('.'!M192,Recipes!$A:$D,4,FALSE)="",""," ["&amp;VLOOKUP('.'!M192,Recipes!$A:$D,4,FALSE)&amp;"]"))</f>
        <v/>
      </c>
      <c r="N192" s="46" t="str">
        <f t="array" ref="N192">IF('.'!N192="","",'.'!N192&amp;IF(VLOOKUP('.'!N192,Recipes!$A:$D,4,FALSE)="",""," ["&amp;VLOOKUP('.'!N192,Recipes!$A:$D,4,FALSE)&amp;"]"))</f>
        <v/>
      </c>
      <c r="O192" s="46" t="str">
        <f t="array" ref="O192">IF('.'!O192="","",'.'!O192&amp;IF(VLOOKUP('.'!O192,Recipes!$A:$D,4,FALSE)="",""," ["&amp;VLOOKUP('.'!O192,Recipes!$A:$D,4,FALSE)&amp;"]"))</f>
        <v/>
      </c>
      <c r="P192" s="46" t="str">
        <f t="array" ref="P192">IF('.'!P192="","",'.'!P192&amp;IF(VLOOKUP('.'!P192,Recipes!$A:$D,4,FALSE)="",""," ["&amp;VLOOKUP('.'!P192,Recipes!$A:$D,4,FALSE)&amp;"]"))</f>
        <v/>
      </c>
      <c r="Q192" s="46" t="str">
        <f t="array" ref="Q192">IF('.'!Q192="","",'.'!Q192&amp;IF(VLOOKUP('.'!Q192,Recipes!$A:$D,4,FALSE)="",""," ["&amp;VLOOKUP('.'!Q192,Recipes!$A:$D,4,FALSE)&amp;"]"))</f>
        <v/>
      </c>
      <c r="R192" s="46" t="str">
        <f t="array" ref="R192">IF('.'!R192="","",'.'!R192&amp;IF(VLOOKUP('.'!R192,Recipes!$A:$D,4,FALSE)="",""," ["&amp;VLOOKUP('.'!R192,Recipes!$A:$D,4,FALSE)&amp;"]"))</f>
        <v/>
      </c>
      <c r="S192" s="46" t="str">
        <f t="array" ref="S192">IF('.'!S192="","",'.'!S192&amp;IF(VLOOKUP('.'!S192,Recipes!$A:$D,4,FALSE)="",""," ["&amp;VLOOKUP('.'!S192,Recipes!$A:$D,4,FALSE)&amp;"]"))</f>
        <v/>
      </c>
      <c r="T192" s="46" t="str">
        <f t="array" ref="T192">IF('.'!T192="","",'.'!T192&amp;IF(VLOOKUP('.'!T192,Recipes!$A:$D,4,FALSE)="",""," ["&amp;VLOOKUP('.'!T192,Recipes!$A:$D,4,FALSE)&amp;"]"))</f>
        <v/>
      </c>
      <c r="U192" s="46" t="str">
        <f t="array" ref="U192">IF('.'!U192="","",'.'!U192&amp;IF(VLOOKUP('.'!U192,Recipes!$A:$D,4,FALSE)="",""," ["&amp;VLOOKUP('.'!U192,Recipes!$A:$D,4,FALSE)&amp;"]"))</f>
        <v/>
      </c>
      <c r="V192" s="46" t="str">
        <f t="array" ref="V192">IF('.'!V192="","",'.'!V192&amp;IF(VLOOKUP('.'!V192,Recipes!$A:$D,4,FALSE)="",""," ["&amp;VLOOKUP('.'!V192,Recipes!$A:$D,4,FALSE)&amp;"]"))</f>
        <v/>
      </c>
      <c r="W192" s="46" t="str">
        <f t="array" ref="W192">IF('.'!W192="","",'.'!W192&amp;IF(VLOOKUP('.'!W192,Recipes!$A:$D,4,FALSE)="",""," ["&amp;VLOOKUP('.'!W192,Recipes!$A:$D,4,FALSE)&amp;"]"))</f>
        <v/>
      </c>
      <c r="X192" s="46" t="str">
        <f t="array" ref="X192">IF('.'!X192="","",'.'!X192&amp;IF(VLOOKUP('.'!X192,Recipes!$A:$D,4,FALSE)="",""," ["&amp;VLOOKUP('.'!X192,Recipes!$A:$D,4,FALSE)&amp;"]"))</f>
        <v/>
      </c>
      <c r="Y192" s="46" t="str">
        <f t="array" ref="Y192">IF('.'!Y192="","",'.'!Y192&amp;IF(VLOOKUP('.'!Y192,Recipes!$A:$D,4,FALSE)="",""," ["&amp;VLOOKUP('.'!Y192,Recipes!$A:$D,4,FALSE)&amp;"]"))</f>
        <v/>
      </c>
      <c r="Z192" s="46" t="str">
        <f t="array" ref="Z192">IF('.'!Z192="","",'.'!Z192&amp;IF(VLOOKUP('.'!Z192,Recipes!$A:$D,4,FALSE)="",""," ["&amp;VLOOKUP('.'!Z192,Recipes!$A:$D,4,FALSE)&amp;"]"))</f>
        <v/>
      </c>
      <c r="AA192" s="46" t="str">
        <f t="array" ref="AA192">IF('.'!AA192="","",'.'!AA192&amp;IF(VLOOKUP('.'!AA192,Recipes!$A:$D,4,FALSE)="",""," ["&amp;VLOOKUP('.'!AA192,Recipes!$A:$D,4,FALSE)&amp;"]"))</f>
        <v/>
      </c>
      <c r="AB192" s="46" t="str">
        <f t="array" ref="AB192">IF('.'!AB192="","",'.'!AB192&amp;IF(VLOOKUP('.'!AB192,Recipes!$A:$D,4,FALSE)="",""," ["&amp;VLOOKUP('.'!AB192,Recipes!$A:$D,4,FALSE)&amp;"]"))</f>
        <v/>
      </c>
      <c r="AC192" s="46" t="str">
        <f t="array" ref="AC192">IF('.'!AC192="","",'.'!AC192&amp;IF(VLOOKUP('.'!AC192,Recipes!$A:$D,4,FALSE)="",""," ["&amp;VLOOKUP('.'!AC192,Recipes!$A:$D,4,FALSE)&amp;"]"))</f>
        <v/>
      </c>
      <c r="AD192" s="46" t="str">
        <f t="array" ref="AD192">IF('.'!AD192="","",'.'!AD192&amp;IF(VLOOKUP('.'!AD192,Recipes!$A:$D,4,FALSE)="",""," ["&amp;VLOOKUP('.'!AD192,Recipes!$A:$D,4,FALSE)&amp;"]"))</f>
        <v/>
      </c>
      <c r="AE192" s="47"/>
      <c r="AF192" s="47"/>
      <c r="AG192" s="47"/>
      <c r="AH192" s="47"/>
      <c r="AI192" s="47"/>
      <c r="AJ192" s="47"/>
      <c r="AK192" s="47"/>
      <c r="AL192" s="47"/>
      <c r="AM192" s="47"/>
      <c r="AN192" s="47"/>
      <c r="AO192" s="47"/>
      <c r="AP192" s="47"/>
      <c r="AQ192" s="47"/>
      <c r="AR192" s="47"/>
      <c r="AS192" s="47"/>
      <c r="AT192" s="47"/>
      <c r="AU192" s="47"/>
      <c r="AV192" s="47"/>
      <c r="AW192" s="47"/>
      <c r="AX192" s="47"/>
      <c r="AY192" s="47"/>
      <c r="AZ192" s="47"/>
      <c r="BA192" s="47"/>
      <c r="BB192" s="47"/>
      <c r="BC192" s="47"/>
      <c r="BD192" s="47"/>
      <c r="BE192" s="47"/>
      <c r="BF192" s="47"/>
      <c r="BG192" s="47"/>
      <c r="BH192" s="47"/>
      <c r="BI192" s="47"/>
      <c r="BJ192" s="47"/>
      <c r="BK192" s="47"/>
      <c r="BL192" s="47"/>
      <c r="BM192" s="47"/>
      <c r="BN192" s="47"/>
      <c r="BO192" s="47"/>
      <c r="BP192" s="47"/>
      <c r="BQ192" s="47"/>
      <c r="BR192" s="47"/>
      <c r="BS192" s="47"/>
      <c r="BT192" s="47"/>
      <c r="BU192" s="47"/>
      <c r="BV192" s="47"/>
      <c r="BW192" s="47"/>
      <c r="BX192" s="47"/>
      <c r="BY192" s="47"/>
      <c r="BZ192" s="47"/>
    </row>
    <row r="193" spans="1:78" ht="13">
      <c r="A193" s="48" t="str">
        <f ca="1">'.'!A193</f>
        <v>Forced Exchange Scroll</v>
      </c>
      <c r="B193" s="46" t="str">
        <f t="array" aca="1" ref="B193" ca="1">IF('.'!B193="","",'.'!B193&amp;IF(VLOOKUP('.'!B193,Recipes!$A:$D,4,FALSE)="",""," ["&amp;VLOOKUP('.'!B193,Recipes!$A:$D,4,FALSE)&amp;"]"))</f>
        <v>Forced Exchange Skillbook [350]</v>
      </c>
      <c r="C193" s="46" t="str">
        <f t="array" ref="C193">IF('.'!C193="","",'.'!C193&amp;IF(VLOOKUP('.'!C193,Recipes!$A:$D,4,FALSE)="",""," ["&amp;VLOOKUP('.'!C193,Recipes!$A:$D,4,FALSE)&amp;"]"))</f>
        <v/>
      </c>
      <c r="D193" s="46" t="str">
        <f t="array" ref="D193">IF('.'!D193="","",'.'!D193&amp;IF(VLOOKUP('.'!D193,Recipes!$A:$D,4,FALSE)="",""," ["&amp;VLOOKUP('.'!D193,Recipes!$A:$D,4,FALSE)&amp;"]"))</f>
        <v/>
      </c>
      <c r="E193" s="46" t="str">
        <f t="array" ref="E193">IF('.'!E193="","",'.'!E193&amp;IF(VLOOKUP('.'!E193,Recipes!$A:$D,4,FALSE)="",""," ["&amp;VLOOKUP('.'!E193,Recipes!$A:$D,4,FALSE)&amp;"]"))</f>
        <v/>
      </c>
      <c r="F193" s="46" t="str">
        <f t="array" ref="F193">IF('.'!F193="","",'.'!F193&amp;IF(VLOOKUP('.'!F193,Recipes!$A:$D,4,FALSE)="",""," ["&amp;VLOOKUP('.'!F193,Recipes!$A:$D,4,FALSE)&amp;"]"))</f>
        <v/>
      </c>
      <c r="G193" s="46" t="str">
        <f t="array" ref="G193">IF('.'!G193="","",'.'!G193&amp;IF(VLOOKUP('.'!G193,Recipes!$A:$D,4,FALSE)="",""," ["&amp;VLOOKUP('.'!G193,Recipes!$A:$D,4,FALSE)&amp;"]"))</f>
        <v/>
      </c>
      <c r="H193" s="46" t="str">
        <f t="array" ref="H193">IF('.'!H193="","",'.'!H193&amp;IF(VLOOKUP('.'!H193,Recipes!$A:$D,4,FALSE)="",""," ["&amp;VLOOKUP('.'!H193,Recipes!$A:$D,4,FALSE)&amp;"]"))</f>
        <v/>
      </c>
      <c r="I193" s="46" t="str">
        <f t="array" ref="I193">IF('.'!I193="","",'.'!I193&amp;IF(VLOOKUP('.'!I193,Recipes!$A:$D,4,FALSE)="",""," ["&amp;VLOOKUP('.'!I193,Recipes!$A:$D,4,FALSE)&amp;"]"))</f>
        <v/>
      </c>
      <c r="J193" s="46" t="str">
        <f t="array" ref="J193">IF('.'!J193="","",'.'!J193&amp;IF(VLOOKUP('.'!J193,Recipes!$A:$D,4,FALSE)="",""," ["&amp;VLOOKUP('.'!J193,Recipes!$A:$D,4,FALSE)&amp;"]"))</f>
        <v/>
      </c>
      <c r="K193" s="46" t="str">
        <f t="array" ref="K193">IF('.'!K193="","",'.'!K193&amp;IF(VLOOKUP('.'!K193,Recipes!$A:$D,4,FALSE)="",""," ["&amp;VLOOKUP('.'!K193,Recipes!$A:$D,4,FALSE)&amp;"]"))</f>
        <v/>
      </c>
      <c r="L193" s="46" t="str">
        <f t="array" ref="L193">IF('.'!L193="","",'.'!L193&amp;IF(VLOOKUP('.'!L193,Recipes!$A:$D,4,FALSE)="",""," ["&amp;VLOOKUP('.'!L193,Recipes!$A:$D,4,FALSE)&amp;"]"))</f>
        <v/>
      </c>
      <c r="M193" s="46" t="str">
        <f t="array" ref="M193">IF('.'!M193="","",'.'!M193&amp;IF(VLOOKUP('.'!M193,Recipes!$A:$D,4,FALSE)="",""," ["&amp;VLOOKUP('.'!M193,Recipes!$A:$D,4,FALSE)&amp;"]"))</f>
        <v/>
      </c>
      <c r="N193" s="46" t="str">
        <f t="array" ref="N193">IF('.'!N193="","",'.'!N193&amp;IF(VLOOKUP('.'!N193,Recipes!$A:$D,4,FALSE)="",""," ["&amp;VLOOKUP('.'!N193,Recipes!$A:$D,4,FALSE)&amp;"]"))</f>
        <v/>
      </c>
      <c r="O193" s="46" t="str">
        <f t="array" ref="O193">IF('.'!O193="","",'.'!O193&amp;IF(VLOOKUP('.'!O193,Recipes!$A:$D,4,FALSE)="",""," ["&amp;VLOOKUP('.'!O193,Recipes!$A:$D,4,FALSE)&amp;"]"))</f>
        <v/>
      </c>
      <c r="P193" s="46" t="str">
        <f t="array" ref="P193">IF('.'!P193="","",'.'!P193&amp;IF(VLOOKUP('.'!P193,Recipes!$A:$D,4,FALSE)="",""," ["&amp;VLOOKUP('.'!P193,Recipes!$A:$D,4,FALSE)&amp;"]"))</f>
        <v/>
      </c>
      <c r="Q193" s="46" t="str">
        <f t="array" ref="Q193">IF('.'!Q193="","",'.'!Q193&amp;IF(VLOOKUP('.'!Q193,Recipes!$A:$D,4,FALSE)="",""," ["&amp;VLOOKUP('.'!Q193,Recipes!$A:$D,4,FALSE)&amp;"]"))</f>
        <v/>
      </c>
      <c r="R193" s="46" t="str">
        <f t="array" ref="R193">IF('.'!R193="","",'.'!R193&amp;IF(VLOOKUP('.'!R193,Recipes!$A:$D,4,FALSE)="",""," ["&amp;VLOOKUP('.'!R193,Recipes!$A:$D,4,FALSE)&amp;"]"))</f>
        <v/>
      </c>
      <c r="S193" s="46" t="str">
        <f t="array" ref="S193">IF('.'!S193="","",'.'!S193&amp;IF(VLOOKUP('.'!S193,Recipes!$A:$D,4,FALSE)="",""," ["&amp;VLOOKUP('.'!S193,Recipes!$A:$D,4,FALSE)&amp;"]"))</f>
        <v/>
      </c>
      <c r="T193" s="46" t="str">
        <f t="array" ref="T193">IF('.'!T193="","",'.'!T193&amp;IF(VLOOKUP('.'!T193,Recipes!$A:$D,4,FALSE)="",""," ["&amp;VLOOKUP('.'!T193,Recipes!$A:$D,4,FALSE)&amp;"]"))</f>
        <v/>
      </c>
      <c r="U193" s="46" t="str">
        <f t="array" ref="U193">IF('.'!U193="","",'.'!U193&amp;IF(VLOOKUP('.'!U193,Recipes!$A:$D,4,FALSE)="",""," ["&amp;VLOOKUP('.'!U193,Recipes!$A:$D,4,FALSE)&amp;"]"))</f>
        <v/>
      </c>
      <c r="V193" s="46" t="str">
        <f t="array" ref="V193">IF('.'!V193="","",'.'!V193&amp;IF(VLOOKUP('.'!V193,Recipes!$A:$D,4,FALSE)="",""," ["&amp;VLOOKUP('.'!V193,Recipes!$A:$D,4,FALSE)&amp;"]"))</f>
        <v/>
      </c>
      <c r="W193" s="46" t="str">
        <f t="array" ref="W193">IF('.'!W193="","",'.'!W193&amp;IF(VLOOKUP('.'!W193,Recipes!$A:$D,4,FALSE)="",""," ["&amp;VLOOKUP('.'!W193,Recipes!$A:$D,4,FALSE)&amp;"]"))</f>
        <v/>
      </c>
      <c r="X193" s="46" t="str">
        <f t="array" ref="X193">IF('.'!X193="","",'.'!X193&amp;IF(VLOOKUP('.'!X193,Recipes!$A:$D,4,FALSE)="",""," ["&amp;VLOOKUP('.'!X193,Recipes!$A:$D,4,FALSE)&amp;"]"))</f>
        <v/>
      </c>
      <c r="Y193" s="46" t="str">
        <f t="array" ref="Y193">IF('.'!Y193="","",'.'!Y193&amp;IF(VLOOKUP('.'!Y193,Recipes!$A:$D,4,FALSE)="",""," ["&amp;VLOOKUP('.'!Y193,Recipes!$A:$D,4,FALSE)&amp;"]"))</f>
        <v/>
      </c>
      <c r="Z193" s="46" t="str">
        <f t="array" ref="Z193">IF('.'!Z193="","",'.'!Z193&amp;IF(VLOOKUP('.'!Z193,Recipes!$A:$D,4,FALSE)="",""," ["&amp;VLOOKUP('.'!Z193,Recipes!$A:$D,4,FALSE)&amp;"]"))</f>
        <v/>
      </c>
      <c r="AA193" s="46" t="str">
        <f t="array" ref="AA193">IF('.'!AA193="","",'.'!AA193&amp;IF(VLOOKUP('.'!AA193,Recipes!$A:$D,4,FALSE)="",""," ["&amp;VLOOKUP('.'!AA193,Recipes!$A:$D,4,FALSE)&amp;"]"))</f>
        <v/>
      </c>
      <c r="AB193" s="46" t="str">
        <f t="array" ref="AB193">IF('.'!AB193="","",'.'!AB193&amp;IF(VLOOKUP('.'!AB193,Recipes!$A:$D,4,FALSE)="",""," ["&amp;VLOOKUP('.'!AB193,Recipes!$A:$D,4,FALSE)&amp;"]"))</f>
        <v/>
      </c>
      <c r="AC193" s="46" t="str">
        <f t="array" ref="AC193">IF('.'!AC193="","",'.'!AC193&amp;IF(VLOOKUP('.'!AC193,Recipes!$A:$D,4,FALSE)="",""," ["&amp;VLOOKUP('.'!AC193,Recipes!$A:$D,4,FALSE)&amp;"]"))</f>
        <v/>
      </c>
      <c r="AD193" s="46" t="str">
        <f t="array" ref="AD193">IF('.'!AD193="","",'.'!AD193&amp;IF(VLOOKUP('.'!AD193,Recipes!$A:$D,4,FALSE)="",""," ["&amp;VLOOKUP('.'!AD193,Recipes!$A:$D,4,FALSE)&amp;"]"))</f>
        <v/>
      </c>
      <c r="AE193" s="47"/>
      <c r="AF193" s="47"/>
      <c r="AG193" s="47"/>
      <c r="AH193" s="47"/>
      <c r="AI193" s="47"/>
      <c r="AJ193" s="47"/>
      <c r="AK193" s="47"/>
      <c r="AL193" s="47"/>
      <c r="AM193" s="47"/>
      <c r="AN193" s="47"/>
      <c r="AO193" s="47"/>
      <c r="AP193" s="47"/>
      <c r="AQ193" s="47"/>
      <c r="AR193" s="47"/>
      <c r="AS193" s="47"/>
      <c r="AT193" s="47"/>
      <c r="AU193" s="47"/>
      <c r="AV193" s="47"/>
      <c r="AW193" s="47"/>
      <c r="AX193" s="47"/>
      <c r="AY193" s="47"/>
      <c r="AZ193" s="47"/>
      <c r="BA193" s="47"/>
      <c r="BB193" s="47"/>
      <c r="BC193" s="47"/>
      <c r="BD193" s="47"/>
      <c r="BE193" s="47"/>
      <c r="BF193" s="47"/>
      <c r="BG193" s="47"/>
      <c r="BH193" s="47"/>
      <c r="BI193" s="47"/>
      <c r="BJ193" s="47"/>
      <c r="BK193" s="47"/>
      <c r="BL193" s="47"/>
      <c r="BM193" s="47"/>
      <c r="BN193" s="47"/>
      <c r="BO193" s="47"/>
      <c r="BP193" s="47"/>
      <c r="BQ193" s="47"/>
      <c r="BR193" s="47"/>
      <c r="BS193" s="47"/>
      <c r="BT193" s="47"/>
      <c r="BU193" s="47"/>
      <c r="BV193" s="47"/>
      <c r="BW193" s="47"/>
      <c r="BX193" s="47"/>
      <c r="BY193" s="47"/>
      <c r="BZ193" s="47"/>
    </row>
    <row r="194" spans="1:78" ht="13">
      <c r="A194" s="48" t="str">
        <f ca="1">'.'!A194</f>
        <v>Fortify Scroll</v>
      </c>
      <c r="B194" s="46" t="str">
        <f t="array" aca="1" ref="B194" ca="1">IF('.'!B194="","",'.'!B194&amp;IF(VLOOKUP('.'!B194,Recipes!$A:$D,4,FALSE)="",""," ["&amp;VLOOKUP('.'!B194,Recipes!$A:$D,4,FALSE)&amp;"]"))</f>
        <v>Fortify Skillbook [-180]</v>
      </c>
      <c r="C194" s="46" t="str">
        <f t="array" ref="C194">IF('.'!C194="","",'.'!C194&amp;IF(VLOOKUP('.'!C194,Recipes!$A:$D,4,FALSE)="",""," ["&amp;VLOOKUP('.'!C194,Recipes!$A:$D,4,FALSE)&amp;"]"))</f>
        <v/>
      </c>
      <c r="D194" s="46" t="str">
        <f t="array" ref="D194">IF('.'!D194="","",'.'!D194&amp;IF(VLOOKUP('.'!D194,Recipes!$A:$D,4,FALSE)="",""," ["&amp;VLOOKUP('.'!D194,Recipes!$A:$D,4,FALSE)&amp;"]"))</f>
        <v/>
      </c>
      <c r="E194" s="46" t="str">
        <f t="array" ref="E194">IF('.'!E194="","",'.'!E194&amp;IF(VLOOKUP('.'!E194,Recipes!$A:$D,4,FALSE)="",""," ["&amp;VLOOKUP('.'!E194,Recipes!$A:$D,4,FALSE)&amp;"]"))</f>
        <v/>
      </c>
      <c r="F194" s="46" t="str">
        <f t="array" ref="F194">IF('.'!F194="","",'.'!F194&amp;IF(VLOOKUP('.'!F194,Recipes!$A:$D,4,FALSE)="",""," ["&amp;VLOOKUP('.'!F194,Recipes!$A:$D,4,FALSE)&amp;"]"))</f>
        <v/>
      </c>
      <c r="G194" s="46" t="str">
        <f t="array" ref="G194">IF('.'!G194="","",'.'!G194&amp;IF(VLOOKUP('.'!G194,Recipes!$A:$D,4,FALSE)="",""," ["&amp;VLOOKUP('.'!G194,Recipes!$A:$D,4,FALSE)&amp;"]"))</f>
        <v/>
      </c>
      <c r="H194" s="46" t="str">
        <f t="array" ref="H194">IF('.'!H194="","",'.'!H194&amp;IF(VLOOKUP('.'!H194,Recipes!$A:$D,4,FALSE)="",""," ["&amp;VLOOKUP('.'!H194,Recipes!$A:$D,4,FALSE)&amp;"]"))</f>
        <v/>
      </c>
      <c r="I194" s="46" t="str">
        <f t="array" ref="I194">IF('.'!I194="","",'.'!I194&amp;IF(VLOOKUP('.'!I194,Recipes!$A:$D,4,FALSE)="",""," ["&amp;VLOOKUP('.'!I194,Recipes!$A:$D,4,FALSE)&amp;"]"))</f>
        <v/>
      </c>
      <c r="J194" s="46" t="str">
        <f t="array" ref="J194">IF('.'!J194="","",'.'!J194&amp;IF(VLOOKUP('.'!J194,Recipes!$A:$D,4,FALSE)="",""," ["&amp;VLOOKUP('.'!J194,Recipes!$A:$D,4,FALSE)&amp;"]"))</f>
        <v/>
      </c>
      <c r="K194" s="46" t="str">
        <f t="array" ref="K194">IF('.'!K194="","",'.'!K194&amp;IF(VLOOKUP('.'!K194,Recipes!$A:$D,4,FALSE)="",""," ["&amp;VLOOKUP('.'!K194,Recipes!$A:$D,4,FALSE)&amp;"]"))</f>
        <v/>
      </c>
      <c r="L194" s="46" t="str">
        <f t="array" ref="L194">IF('.'!L194="","",'.'!L194&amp;IF(VLOOKUP('.'!L194,Recipes!$A:$D,4,FALSE)="",""," ["&amp;VLOOKUP('.'!L194,Recipes!$A:$D,4,FALSE)&amp;"]"))</f>
        <v/>
      </c>
      <c r="M194" s="46" t="str">
        <f t="array" ref="M194">IF('.'!M194="","",'.'!M194&amp;IF(VLOOKUP('.'!M194,Recipes!$A:$D,4,FALSE)="",""," ["&amp;VLOOKUP('.'!M194,Recipes!$A:$D,4,FALSE)&amp;"]"))</f>
        <v/>
      </c>
      <c r="N194" s="46" t="str">
        <f t="array" ref="N194">IF('.'!N194="","",'.'!N194&amp;IF(VLOOKUP('.'!N194,Recipes!$A:$D,4,FALSE)="",""," ["&amp;VLOOKUP('.'!N194,Recipes!$A:$D,4,FALSE)&amp;"]"))</f>
        <v/>
      </c>
      <c r="O194" s="46" t="str">
        <f t="array" ref="O194">IF('.'!O194="","",'.'!O194&amp;IF(VLOOKUP('.'!O194,Recipes!$A:$D,4,FALSE)="",""," ["&amp;VLOOKUP('.'!O194,Recipes!$A:$D,4,FALSE)&amp;"]"))</f>
        <v/>
      </c>
      <c r="P194" s="46" t="str">
        <f t="array" ref="P194">IF('.'!P194="","",'.'!P194&amp;IF(VLOOKUP('.'!P194,Recipes!$A:$D,4,FALSE)="",""," ["&amp;VLOOKUP('.'!P194,Recipes!$A:$D,4,FALSE)&amp;"]"))</f>
        <v/>
      </c>
      <c r="Q194" s="46" t="str">
        <f t="array" ref="Q194">IF('.'!Q194="","",'.'!Q194&amp;IF(VLOOKUP('.'!Q194,Recipes!$A:$D,4,FALSE)="",""," ["&amp;VLOOKUP('.'!Q194,Recipes!$A:$D,4,FALSE)&amp;"]"))</f>
        <v/>
      </c>
      <c r="R194" s="46" t="str">
        <f t="array" ref="R194">IF('.'!R194="","",'.'!R194&amp;IF(VLOOKUP('.'!R194,Recipes!$A:$D,4,FALSE)="",""," ["&amp;VLOOKUP('.'!R194,Recipes!$A:$D,4,FALSE)&amp;"]"))</f>
        <v/>
      </c>
      <c r="S194" s="46" t="str">
        <f t="array" ref="S194">IF('.'!S194="","",'.'!S194&amp;IF(VLOOKUP('.'!S194,Recipes!$A:$D,4,FALSE)="",""," ["&amp;VLOOKUP('.'!S194,Recipes!$A:$D,4,FALSE)&amp;"]"))</f>
        <v/>
      </c>
      <c r="T194" s="46" t="str">
        <f t="array" ref="T194">IF('.'!T194="","",'.'!T194&amp;IF(VLOOKUP('.'!T194,Recipes!$A:$D,4,FALSE)="",""," ["&amp;VLOOKUP('.'!T194,Recipes!$A:$D,4,FALSE)&amp;"]"))</f>
        <v/>
      </c>
      <c r="U194" s="46" t="str">
        <f t="array" ref="U194">IF('.'!U194="","",'.'!U194&amp;IF(VLOOKUP('.'!U194,Recipes!$A:$D,4,FALSE)="",""," ["&amp;VLOOKUP('.'!U194,Recipes!$A:$D,4,FALSE)&amp;"]"))</f>
        <v/>
      </c>
      <c r="V194" s="46" t="str">
        <f t="array" ref="V194">IF('.'!V194="","",'.'!V194&amp;IF(VLOOKUP('.'!V194,Recipes!$A:$D,4,FALSE)="",""," ["&amp;VLOOKUP('.'!V194,Recipes!$A:$D,4,FALSE)&amp;"]"))</f>
        <v/>
      </c>
      <c r="W194" s="46" t="str">
        <f t="array" ref="W194">IF('.'!W194="","",'.'!W194&amp;IF(VLOOKUP('.'!W194,Recipes!$A:$D,4,FALSE)="",""," ["&amp;VLOOKUP('.'!W194,Recipes!$A:$D,4,FALSE)&amp;"]"))</f>
        <v/>
      </c>
      <c r="X194" s="46" t="str">
        <f t="array" ref="X194">IF('.'!X194="","",'.'!X194&amp;IF(VLOOKUP('.'!X194,Recipes!$A:$D,4,FALSE)="",""," ["&amp;VLOOKUP('.'!X194,Recipes!$A:$D,4,FALSE)&amp;"]"))</f>
        <v/>
      </c>
      <c r="Y194" s="46" t="str">
        <f t="array" ref="Y194">IF('.'!Y194="","",'.'!Y194&amp;IF(VLOOKUP('.'!Y194,Recipes!$A:$D,4,FALSE)="",""," ["&amp;VLOOKUP('.'!Y194,Recipes!$A:$D,4,FALSE)&amp;"]"))</f>
        <v/>
      </c>
      <c r="Z194" s="46" t="str">
        <f t="array" ref="Z194">IF('.'!Z194="","",'.'!Z194&amp;IF(VLOOKUP('.'!Z194,Recipes!$A:$D,4,FALSE)="",""," ["&amp;VLOOKUP('.'!Z194,Recipes!$A:$D,4,FALSE)&amp;"]"))</f>
        <v/>
      </c>
      <c r="AA194" s="46" t="str">
        <f t="array" ref="AA194">IF('.'!AA194="","",'.'!AA194&amp;IF(VLOOKUP('.'!AA194,Recipes!$A:$D,4,FALSE)="",""," ["&amp;VLOOKUP('.'!AA194,Recipes!$A:$D,4,FALSE)&amp;"]"))</f>
        <v/>
      </c>
      <c r="AB194" s="46" t="str">
        <f t="array" ref="AB194">IF('.'!AB194="","",'.'!AB194&amp;IF(VLOOKUP('.'!AB194,Recipes!$A:$D,4,FALSE)="",""," ["&amp;VLOOKUP('.'!AB194,Recipes!$A:$D,4,FALSE)&amp;"]"))</f>
        <v/>
      </c>
      <c r="AC194" s="46" t="str">
        <f t="array" ref="AC194">IF('.'!AC194="","",'.'!AC194&amp;IF(VLOOKUP('.'!AC194,Recipes!$A:$D,4,FALSE)="",""," ["&amp;VLOOKUP('.'!AC194,Recipes!$A:$D,4,FALSE)&amp;"]"))</f>
        <v/>
      </c>
      <c r="AD194" s="46" t="str">
        <f t="array" ref="AD194">IF('.'!AD194="","",'.'!AD194&amp;IF(VLOOKUP('.'!AD194,Recipes!$A:$D,4,FALSE)="",""," ["&amp;VLOOKUP('.'!AD194,Recipes!$A:$D,4,FALSE)&amp;"]"))</f>
        <v/>
      </c>
      <c r="AE194" s="47"/>
      <c r="AF194" s="47"/>
      <c r="AG194" s="47"/>
      <c r="AH194" s="47"/>
      <c r="AI194" s="47"/>
      <c r="AJ194" s="47"/>
      <c r="AK194" s="47"/>
      <c r="AL194" s="47"/>
      <c r="AM194" s="47"/>
      <c r="AN194" s="47"/>
      <c r="AO194" s="47"/>
      <c r="AP194" s="47"/>
      <c r="AQ194" s="47"/>
      <c r="AR194" s="47"/>
      <c r="AS194" s="47"/>
      <c r="AT194" s="47"/>
      <c r="AU194" s="47"/>
      <c r="AV194" s="47"/>
      <c r="AW194" s="47"/>
      <c r="AX194" s="47"/>
      <c r="AY194" s="47"/>
      <c r="AZ194" s="47"/>
      <c r="BA194" s="47"/>
      <c r="BB194" s="47"/>
      <c r="BC194" s="47"/>
      <c r="BD194" s="47"/>
      <c r="BE194" s="47"/>
      <c r="BF194" s="47"/>
      <c r="BG194" s="47"/>
      <c r="BH194" s="47"/>
      <c r="BI194" s="47"/>
      <c r="BJ194" s="47"/>
      <c r="BK194" s="47"/>
      <c r="BL194" s="47"/>
      <c r="BM194" s="47"/>
      <c r="BN194" s="47"/>
      <c r="BO194" s="47"/>
      <c r="BP194" s="47"/>
      <c r="BQ194" s="47"/>
      <c r="BR194" s="47"/>
      <c r="BS194" s="47"/>
      <c r="BT194" s="47"/>
      <c r="BU194" s="47"/>
      <c r="BV194" s="47"/>
      <c r="BW194" s="47"/>
      <c r="BX194" s="47"/>
      <c r="BY194" s="47"/>
      <c r="BZ194" s="47"/>
    </row>
    <row r="195" spans="1:78" ht="13">
      <c r="A195" s="48" t="str">
        <f ca="1">'.'!A195</f>
        <v>Fossil Strike Scroll</v>
      </c>
      <c r="B195" s="46" t="str">
        <f t="array" aca="1" ref="B195" ca="1">IF('.'!B195="","",'.'!B195&amp;IF(VLOOKUP('.'!B195,Recipes!$A:$D,4,FALSE)="",""," ["&amp;VLOOKUP('.'!B195,Recipes!$A:$D,4,FALSE)&amp;"]"))</f>
        <v>Fossil Strike Skillbook [-200]</v>
      </c>
      <c r="C195" s="46" t="str">
        <f t="array" ref="C195">IF('.'!C195="","",'.'!C195&amp;IF(VLOOKUP('.'!C195,Recipes!$A:$D,4,FALSE)="",""," ["&amp;VLOOKUP('.'!C195,Recipes!$A:$D,4,FALSE)&amp;"]"))</f>
        <v/>
      </c>
      <c r="D195" s="46" t="str">
        <f t="array" ref="D195">IF('.'!D195="","",'.'!D195&amp;IF(VLOOKUP('.'!D195,Recipes!$A:$D,4,FALSE)="",""," ["&amp;VLOOKUP('.'!D195,Recipes!$A:$D,4,FALSE)&amp;"]"))</f>
        <v/>
      </c>
      <c r="E195" s="46" t="str">
        <f t="array" ref="E195">IF('.'!E195="","",'.'!E195&amp;IF(VLOOKUP('.'!E195,Recipes!$A:$D,4,FALSE)="",""," ["&amp;VLOOKUP('.'!E195,Recipes!$A:$D,4,FALSE)&amp;"]"))</f>
        <v/>
      </c>
      <c r="F195" s="46" t="str">
        <f t="array" ref="F195">IF('.'!F195="","",'.'!F195&amp;IF(VLOOKUP('.'!F195,Recipes!$A:$D,4,FALSE)="",""," ["&amp;VLOOKUP('.'!F195,Recipes!$A:$D,4,FALSE)&amp;"]"))</f>
        <v/>
      </c>
      <c r="G195" s="46" t="str">
        <f t="array" ref="G195">IF('.'!G195="","",'.'!G195&amp;IF(VLOOKUP('.'!G195,Recipes!$A:$D,4,FALSE)="",""," ["&amp;VLOOKUP('.'!G195,Recipes!$A:$D,4,FALSE)&amp;"]"))</f>
        <v/>
      </c>
      <c r="H195" s="46" t="str">
        <f t="array" ref="H195">IF('.'!H195="","",'.'!H195&amp;IF(VLOOKUP('.'!H195,Recipes!$A:$D,4,FALSE)="",""," ["&amp;VLOOKUP('.'!H195,Recipes!$A:$D,4,FALSE)&amp;"]"))</f>
        <v/>
      </c>
      <c r="I195" s="46" t="str">
        <f t="array" ref="I195">IF('.'!I195="","",'.'!I195&amp;IF(VLOOKUP('.'!I195,Recipes!$A:$D,4,FALSE)="",""," ["&amp;VLOOKUP('.'!I195,Recipes!$A:$D,4,FALSE)&amp;"]"))</f>
        <v/>
      </c>
      <c r="J195" s="46" t="str">
        <f t="array" ref="J195">IF('.'!J195="","",'.'!J195&amp;IF(VLOOKUP('.'!J195,Recipes!$A:$D,4,FALSE)="",""," ["&amp;VLOOKUP('.'!J195,Recipes!$A:$D,4,FALSE)&amp;"]"))</f>
        <v/>
      </c>
      <c r="K195" s="46" t="str">
        <f t="array" ref="K195">IF('.'!K195="","",'.'!K195&amp;IF(VLOOKUP('.'!K195,Recipes!$A:$D,4,FALSE)="",""," ["&amp;VLOOKUP('.'!K195,Recipes!$A:$D,4,FALSE)&amp;"]"))</f>
        <v/>
      </c>
      <c r="L195" s="46" t="str">
        <f t="array" ref="L195">IF('.'!L195="","",'.'!L195&amp;IF(VLOOKUP('.'!L195,Recipes!$A:$D,4,FALSE)="",""," ["&amp;VLOOKUP('.'!L195,Recipes!$A:$D,4,FALSE)&amp;"]"))</f>
        <v/>
      </c>
      <c r="M195" s="46" t="str">
        <f t="array" ref="M195">IF('.'!M195="","",'.'!M195&amp;IF(VLOOKUP('.'!M195,Recipes!$A:$D,4,FALSE)="",""," ["&amp;VLOOKUP('.'!M195,Recipes!$A:$D,4,FALSE)&amp;"]"))</f>
        <v/>
      </c>
      <c r="N195" s="46" t="str">
        <f t="array" ref="N195">IF('.'!N195="","",'.'!N195&amp;IF(VLOOKUP('.'!N195,Recipes!$A:$D,4,FALSE)="",""," ["&amp;VLOOKUP('.'!N195,Recipes!$A:$D,4,FALSE)&amp;"]"))</f>
        <v/>
      </c>
      <c r="O195" s="46" t="str">
        <f t="array" ref="O195">IF('.'!O195="","",'.'!O195&amp;IF(VLOOKUP('.'!O195,Recipes!$A:$D,4,FALSE)="",""," ["&amp;VLOOKUP('.'!O195,Recipes!$A:$D,4,FALSE)&amp;"]"))</f>
        <v/>
      </c>
      <c r="P195" s="46" t="str">
        <f t="array" ref="P195">IF('.'!P195="","",'.'!P195&amp;IF(VLOOKUP('.'!P195,Recipes!$A:$D,4,FALSE)="",""," ["&amp;VLOOKUP('.'!P195,Recipes!$A:$D,4,FALSE)&amp;"]"))</f>
        <v/>
      </c>
      <c r="Q195" s="46" t="str">
        <f t="array" ref="Q195">IF('.'!Q195="","",'.'!Q195&amp;IF(VLOOKUP('.'!Q195,Recipes!$A:$D,4,FALSE)="",""," ["&amp;VLOOKUP('.'!Q195,Recipes!$A:$D,4,FALSE)&amp;"]"))</f>
        <v/>
      </c>
      <c r="R195" s="46" t="str">
        <f t="array" ref="R195">IF('.'!R195="","",'.'!R195&amp;IF(VLOOKUP('.'!R195,Recipes!$A:$D,4,FALSE)="",""," ["&amp;VLOOKUP('.'!R195,Recipes!$A:$D,4,FALSE)&amp;"]"))</f>
        <v/>
      </c>
      <c r="S195" s="46" t="str">
        <f t="array" ref="S195">IF('.'!S195="","",'.'!S195&amp;IF(VLOOKUP('.'!S195,Recipes!$A:$D,4,FALSE)="",""," ["&amp;VLOOKUP('.'!S195,Recipes!$A:$D,4,FALSE)&amp;"]"))</f>
        <v/>
      </c>
      <c r="T195" s="46" t="str">
        <f t="array" ref="T195">IF('.'!T195="","",'.'!T195&amp;IF(VLOOKUP('.'!T195,Recipes!$A:$D,4,FALSE)="",""," ["&amp;VLOOKUP('.'!T195,Recipes!$A:$D,4,FALSE)&amp;"]"))</f>
        <v/>
      </c>
      <c r="U195" s="46" t="str">
        <f t="array" ref="U195">IF('.'!U195="","",'.'!U195&amp;IF(VLOOKUP('.'!U195,Recipes!$A:$D,4,FALSE)="",""," ["&amp;VLOOKUP('.'!U195,Recipes!$A:$D,4,FALSE)&amp;"]"))</f>
        <v/>
      </c>
      <c r="V195" s="46" t="str">
        <f t="array" ref="V195">IF('.'!V195="","",'.'!V195&amp;IF(VLOOKUP('.'!V195,Recipes!$A:$D,4,FALSE)="",""," ["&amp;VLOOKUP('.'!V195,Recipes!$A:$D,4,FALSE)&amp;"]"))</f>
        <v/>
      </c>
      <c r="W195" s="46" t="str">
        <f t="array" ref="W195">IF('.'!W195="","",'.'!W195&amp;IF(VLOOKUP('.'!W195,Recipes!$A:$D,4,FALSE)="",""," ["&amp;VLOOKUP('.'!W195,Recipes!$A:$D,4,FALSE)&amp;"]"))</f>
        <v/>
      </c>
      <c r="X195" s="46" t="str">
        <f t="array" ref="X195">IF('.'!X195="","",'.'!X195&amp;IF(VLOOKUP('.'!X195,Recipes!$A:$D,4,FALSE)="",""," ["&amp;VLOOKUP('.'!X195,Recipes!$A:$D,4,FALSE)&amp;"]"))</f>
        <v/>
      </c>
      <c r="Y195" s="46" t="str">
        <f t="array" ref="Y195">IF('.'!Y195="","",'.'!Y195&amp;IF(VLOOKUP('.'!Y195,Recipes!$A:$D,4,FALSE)="",""," ["&amp;VLOOKUP('.'!Y195,Recipes!$A:$D,4,FALSE)&amp;"]"))</f>
        <v/>
      </c>
      <c r="Z195" s="46" t="str">
        <f t="array" ref="Z195">IF('.'!Z195="","",'.'!Z195&amp;IF(VLOOKUP('.'!Z195,Recipes!$A:$D,4,FALSE)="",""," ["&amp;VLOOKUP('.'!Z195,Recipes!$A:$D,4,FALSE)&amp;"]"))</f>
        <v/>
      </c>
      <c r="AA195" s="46" t="str">
        <f t="array" ref="AA195">IF('.'!AA195="","",'.'!AA195&amp;IF(VLOOKUP('.'!AA195,Recipes!$A:$D,4,FALSE)="",""," ["&amp;VLOOKUP('.'!AA195,Recipes!$A:$D,4,FALSE)&amp;"]"))</f>
        <v/>
      </c>
      <c r="AB195" s="46" t="str">
        <f t="array" ref="AB195">IF('.'!AB195="","",'.'!AB195&amp;IF(VLOOKUP('.'!AB195,Recipes!$A:$D,4,FALSE)="",""," ["&amp;VLOOKUP('.'!AB195,Recipes!$A:$D,4,FALSE)&amp;"]"))</f>
        <v/>
      </c>
      <c r="AC195" s="46" t="str">
        <f t="array" ref="AC195">IF('.'!AC195="","",'.'!AC195&amp;IF(VLOOKUP('.'!AC195,Recipes!$A:$D,4,FALSE)="",""," ["&amp;VLOOKUP('.'!AC195,Recipes!$A:$D,4,FALSE)&amp;"]"))</f>
        <v/>
      </c>
      <c r="AD195" s="46" t="str">
        <f t="array" ref="AD195">IF('.'!AD195="","",'.'!AD195&amp;IF(VLOOKUP('.'!AD195,Recipes!$A:$D,4,FALSE)="",""," ["&amp;VLOOKUP('.'!AD195,Recipes!$A:$D,4,FALSE)&amp;"]"))</f>
        <v/>
      </c>
      <c r="AE195" s="47"/>
      <c r="AF195" s="47"/>
      <c r="AG195" s="47"/>
      <c r="AH195" s="47"/>
      <c r="AI195" s="47"/>
      <c r="AJ195" s="47"/>
      <c r="AK195" s="47"/>
      <c r="AL195" s="47"/>
      <c r="AM195" s="47"/>
      <c r="AN195" s="47"/>
      <c r="AO195" s="47"/>
      <c r="AP195" s="47"/>
      <c r="AQ195" s="47"/>
      <c r="AR195" s="47"/>
      <c r="AS195" s="47"/>
      <c r="AT195" s="47"/>
      <c r="AU195" s="47"/>
      <c r="AV195" s="47"/>
      <c r="AW195" s="47"/>
      <c r="AX195" s="47"/>
      <c r="AY195" s="47"/>
      <c r="AZ195" s="47"/>
      <c r="BA195" s="47"/>
      <c r="BB195" s="47"/>
      <c r="BC195" s="47"/>
      <c r="BD195" s="47"/>
      <c r="BE195" s="47"/>
      <c r="BF195" s="47"/>
      <c r="BG195" s="47"/>
      <c r="BH195" s="47"/>
      <c r="BI195" s="47"/>
      <c r="BJ195" s="47"/>
      <c r="BK195" s="47"/>
      <c r="BL195" s="47"/>
      <c r="BM195" s="47"/>
      <c r="BN195" s="47"/>
      <c r="BO195" s="47"/>
      <c r="BP195" s="47"/>
      <c r="BQ195" s="47"/>
      <c r="BR195" s="47"/>
      <c r="BS195" s="47"/>
      <c r="BT195" s="47"/>
      <c r="BU195" s="47"/>
      <c r="BV195" s="47"/>
      <c r="BW195" s="47"/>
      <c r="BX195" s="47"/>
      <c r="BY195" s="47"/>
      <c r="BZ195" s="47"/>
    </row>
    <row r="196" spans="1:78" ht="13">
      <c r="A196" s="48" t="str">
        <f ca="1">'.'!A196</f>
        <v>Freezing Arrowhead</v>
      </c>
      <c r="B196" s="46" t="str">
        <f t="array" aca="1" ref="B196" ca="1">IF('.'!B196="","",'.'!B196&amp;IF(VLOOKUP('.'!B196,Recipes!$A:$D,4,FALSE)="",""," ["&amp;VLOOKUP('.'!B196,Recipes!$A:$D,4,FALSE)&amp;"]"))</f>
        <v>Freezing Arrow [19]</v>
      </c>
      <c r="C196" s="46" t="str">
        <f t="array" ref="C196">IF('.'!C196="","",'.'!C196&amp;IF(VLOOKUP('.'!C196,Recipes!$A:$D,4,FALSE)="",""," ["&amp;VLOOKUP('.'!C196,Recipes!$A:$D,4,FALSE)&amp;"]"))</f>
        <v/>
      </c>
      <c r="D196" s="46" t="str">
        <f t="array" ref="D196">IF('.'!D196="","",'.'!D196&amp;IF(VLOOKUP('.'!D196,Recipes!$A:$D,4,FALSE)="",""," ["&amp;VLOOKUP('.'!D196,Recipes!$A:$D,4,FALSE)&amp;"]"))</f>
        <v/>
      </c>
      <c r="E196" s="46" t="str">
        <f t="array" ref="E196">IF('.'!E196="","",'.'!E196&amp;IF(VLOOKUP('.'!E196,Recipes!$A:$D,4,FALSE)="",""," ["&amp;VLOOKUP('.'!E196,Recipes!$A:$D,4,FALSE)&amp;"]"))</f>
        <v/>
      </c>
      <c r="F196" s="46" t="str">
        <f t="array" ref="F196">IF('.'!F196="","",'.'!F196&amp;IF(VLOOKUP('.'!F196,Recipes!$A:$D,4,FALSE)="",""," ["&amp;VLOOKUP('.'!F196,Recipes!$A:$D,4,FALSE)&amp;"]"))</f>
        <v/>
      </c>
      <c r="G196" s="46" t="str">
        <f t="array" ref="G196">IF('.'!G196="","",'.'!G196&amp;IF(VLOOKUP('.'!G196,Recipes!$A:$D,4,FALSE)="",""," ["&amp;VLOOKUP('.'!G196,Recipes!$A:$D,4,FALSE)&amp;"]"))</f>
        <v/>
      </c>
      <c r="H196" s="46" t="str">
        <f t="array" ref="H196">IF('.'!H196="","",'.'!H196&amp;IF(VLOOKUP('.'!H196,Recipes!$A:$D,4,FALSE)="",""," ["&amp;VLOOKUP('.'!H196,Recipes!$A:$D,4,FALSE)&amp;"]"))</f>
        <v/>
      </c>
      <c r="I196" s="46" t="str">
        <f t="array" ref="I196">IF('.'!I196="","",'.'!I196&amp;IF(VLOOKUP('.'!I196,Recipes!$A:$D,4,FALSE)="",""," ["&amp;VLOOKUP('.'!I196,Recipes!$A:$D,4,FALSE)&amp;"]"))</f>
        <v/>
      </c>
      <c r="J196" s="46" t="str">
        <f t="array" ref="J196">IF('.'!J196="","",'.'!J196&amp;IF(VLOOKUP('.'!J196,Recipes!$A:$D,4,FALSE)="",""," ["&amp;VLOOKUP('.'!J196,Recipes!$A:$D,4,FALSE)&amp;"]"))</f>
        <v/>
      </c>
      <c r="K196" s="46" t="str">
        <f t="array" ref="K196">IF('.'!K196="","",'.'!K196&amp;IF(VLOOKUP('.'!K196,Recipes!$A:$D,4,FALSE)="",""," ["&amp;VLOOKUP('.'!K196,Recipes!$A:$D,4,FALSE)&amp;"]"))</f>
        <v/>
      </c>
      <c r="L196" s="46" t="str">
        <f t="array" ref="L196">IF('.'!L196="","",'.'!L196&amp;IF(VLOOKUP('.'!L196,Recipes!$A:$D,4,FALSE)="",""," ["&amp;VLOOKUP('.'!L196,Recipes!$A:$D,4,FALSE)&amp;"]"))</f>
        <v/>
      </c>
      <c r="M196" s="46" t="str">
        <f t="array" ref="M196">IF('.'!M196="","",'.'!M196&amp;IF(VLOOKUP('.'!M196,Recipes!$A:$D,4,FALSE)="",""," ["&amp;VLOOKUP('.'!M196,Recipes!$A:$D,4,FALSE)&amp;"]"))</f>
        <v/>
      </c>
      <c r="N196" s="46" t="str">
        <f t="array" ref="N196">IF('.'!N196="","",'.'!N196&amp;IF(VLOOKUP('.'!N196,Recipes!$A:$D,4,FALSE)="",""," ["&amp;VLOOKUP('.'!N196,Recipes!$A:$D,4,FALSE)&amp;"]"))</f>
        <v/>
      </c>
      <c r="O196" s="46" t="str">
        <f t="array" ref="O196">IF('.'!O196="","",'.'!O196&amp;IF(VLOOKUP('.'!O196,Recipes!$A:$D,4,FALSE)="",""," ["&amp;VLOOKUP('.'!O196,Recipes!$A:$D,4,FALSE)&amp;"]"))</f>
        <v/>
      </c>
      <c r="P196" s="46" t="str">
        <f t="array" ref="P196">IF('.'!P196="","",'.'!P196&amp;IF(VLOOKUP('.'!P196,Recipes!$A:$D,4,FALSE)="",""," ["&amp;VLOOKUP('.'!P196,Recipes!$A:$D,4,FALSE)&amp;"]"))</f>
        <v/>
      </c>
      <c r="Q196" s="46" t="str">
        <f t="array" ref="Q196">IF('.'!Q196="","",'.'!Q196&amp;IF(VLOOKUP('.'!Q196,Recipes!$A:$D,4,FALSE)="",""," ["&amp;VLOOKUP('.'!Q196,Recipes!$A:$D,4,FALSE)&amp;"]"))</f>
        <v/>
      </c>
      <c r="R196" s="46" t="str">
        <f t="array" ref="R196">IF('.'!R196="","",'.'!R196&amp;IF(VLOOKUP('.'!R196,Recipes!$A:$D,4,FALSE)="",""," ["&amp;VLOOKUP('.'!R196,Recipes!$A:$D,4,FALSE)&amp;"]"))</f>
        <v/>
      </c>
      <c r="S196" s="46" t="str">
        <f t="array" ref="S196">IF('.'!S196="","",'.'!S196&amp;IF(VLOOKUP('.'!S196,Recipes!$A:$D,4,FALSE)="",""," ["&amp;VLOOKUP('.'!S196,Recipes!$A:$D,4,FALSE)&amp;"]"))</f>
        <v/>
      </c>
      <c r="T196" s="46" t="str">
        <f t="array" ref="T196">IF('.'!T196="","",'.'!T196&amp;IF(VLOOKUP('.'!T196,Recipes!$A:$D,4,FALSE)="",""," ["&amp;VLOOKUP('.'!T196,Recipes!$A:$D,4,FALSE)&amp;"]"))</f>
        <v/>
      </c>
      <c r="U196" s="46" t="str">
        <f t="array" ref="U196">IF('.'!U196="","",'.'!U196&amp;IF(VLOOKUP('.'!U196,Recipes!$A:$D,4,FALSE)="",""," ["&amp;VLOOKUP('.'!U196,Recipes!$A:$D,4,FALSE)&amp;"]"))</f>
        <v/>
      </c>
      <c r="V196" s="46" t="str">
        <f t="array" ref="V196">IF('.'!V196="","",'.'!V196&amp;IF(VLOOKUP('.'!V196,Recipes!$A:$D,4,FALSE)="",""," ["&amp;VLOOKUP('.'!V196,Recipes!$A:$D,4,FALSE)&amp;"]"))</f>
        <v/>
      </c>
      <c r="W196" s="46" t="str">
        <f t="array" ref="W196">IF('.'!W196="","",'.'!W196&amp;IF(VLOOKUP('.'!W196,Recipes!$A:$D,4,FALSE)="",""," ["&amp;VLOOKUP('.'!W196,Recipes!$A:$D,4,FALSE)&amp;"]"))</f>
        <v/>
      </c>
      <c r="X196" s="46" t="str">
        <f t="array" ref="X196">IF('.'!X196="","",'.'!X196&amp;IF(VLOOKUP('.'!X196,Recipes!$A:$D,4,FALSE)="",""," ["&amp;VLOOKUP('.'!X196,Recipes!$A:$D,4,FALSE)&amp;"]"))</f>
        <v/>
      </c>
      <c r="Y196" s="46" t="str">
        <f t="array" ref="Y196">IF('.'!Y196="","",'.'!Y196&amp;IF(VLOOKUP('.'!Y196,Recipes!$A:$D,4,FALSE)="",""," ["&amp;VLOOKUP('.'!Y196,Recipes!$A:$D,4,FALSE)&amp;"]"))</f>
        <v/>
      </c>
      <c r="Z196" s="46" t="str">
        <f t="array" ref="Z196">IF('.'!Z196="","",'.'!Z196&amp;IF(VLOOKUP('.'!Z196,Recipes!$A:$D,4,FALSE)="",""," ["&amp;VLOOKUP('.'!Z196,Recipes!$A:$D,4,FALSE)&amp;"]"))</f>
        <v/>
      </c>
      <c r="AA196" s="46" t="str">
        <f t="array" ref="AA196">IF('.'!AA196="","",'.'!AA196&amp;IF(VLOOKUP('.'!AA196,Recipes!$A:$D,4,FALSE)="",""," ["&amp;VLOOKUP('.'!AA196,Recipes!$A:$D,4,FALSE)&amp;"]"))</f>
        <v/>
      </c>
      <c r="AB196" s="46" t="str">
        <f t="array" ref="AB196">IF('.'!AB196="","",'.'!AB196&amp;IF(VLOOKUP('.'!AB196,Recipes!$A:$D,4,FALSE)="",""," ["&amp;VLOOKUP('.'!AB196,Recipes!$A:$D,4,FALSE)&amp;"]"))</f>
        <v/>
      </c>
      <c r="AC196" s="46" t="str">
        <f t="array" ref="AC196">IF('.'!AC196="","",'.'!AC196&amp;IF(VLOOKUP('.'!AC196,Recipes!$A:$D,4,FALSE)="",""," ["&amp;VLOOKUP('.'!AC196,Recipes!$A:$D,4,FALSE)&amp;"]"))</f>
        <v/>
      </c>
      <c r="AD196" s="46" t="str">
        <f t="array" ref="AD196">IF('.'!AD196="","",'.'!AD196&amp;IF(VLOOKUP('.'!AD196,Recipes!$A:$D,4,FALSE)="",""," ["&amp;VLOOKUP('.'!AD196,Recipes!$A:$D,4,FALSE)&amp;"]"))</f>
        <v/>
      </c>
      <c r="AE196" s="47"/>
      <c r="AF196" s="47"/>
      <c r="AG196" s="47"/>
      <c r="AH196" s="47"/>
      <c r="AI196" s="47"/>
      <c r="AJ196" s="47"/>
      <c r="AK196" s="47"/>
      <c r="AL196" s="47"/>
      <c r="AM196" s="47"/>
      <c r="AN196" s="47"/>
      <c r="AO196" s="47"/>
      <c r="AP196" s="47"/>
      <c r="AQ196" s="47"/>
      <c r="AR196" s="47"/>
      <c r="AS196" s="47"/>
      <c r="AT196" s="47"/>
      <c r="AU196" s="47"/>
      <c r="AV196" s="47"/>
      <c r="AW196" s="47"/>
      <c r="AX196" s="47"/>
      <c r="AY196" s="47"/>
      <c r="AZ196" s="47"/>
      <c r="BA196" s="47"/>
      <c r="BB196" s="47"/>
      <c r="BC196" s="47"/>
      <c r="BD196" s="47"/>
      <c r="BE196" s="47"/>
      <c r="BF196" s="47"/>
      <c r="BG196" s="47"/>
      <c r="BH196" s="47"/>
      <c r="BI196" s="47"/>
      <c r="BJ196" s="47"/>
      <c r="BK196" s="47"/>
      <c r="BL196" s="47"/>
      <c r="BM196" s="47"/>
      <c r="BN196" s="47"/>
      <c r="BO196" s="47"/>
      <c r="BP196" s="47"/>
      <c r="BQ196" s="47"/>
      <c r="BR196" s="47"/>
      <c r="BS196" s="47"/>
      <c r="BT196" s="47"/>
      <c r="BU196" s="47"/>
      <c r="BV196" s="47"/>
      <c r="BW196" s="47"/>
      <c r="BX196" s="47"/>
      <c r="BY196" s="47"/>
      <c r="BZ196" s="47"/>
    </row>
    <row r="197" spans="1:78" ht="13">
      <c r="A197" s="48" t="str">
        <f ca="1">'.'!A197</f>
        <v>Frost Grenade</v>
      </c>
      <c r="B197" s="46" t="str">
        <f t="array" aca="1" ref="B197" ca="1">IF('.'!B197="","",'.'!B197&amp;IF(VLOOKUP('.'!B197,Recipes!$A:$D,4,FALSE)="",""," ["&amp;VLOOKUP('.'!B197,Recipes!$A:$D,4,FALSE)&amp;"]"))</f>
        <v>Blessed Ice Grenade [-800]</v>
      </c>
      <c r="C197" s="46" t="str">
        <f t="array" ref="C197">IF('.'!C197="","",'.'!C197&amp;IF(VLOOKUP('.'!C197,Recipes!$A:$D,4,FALSE)="",""," ["&amp;VLOOKUP('.'!C197,Recipes!$A:$D,4,FALSE)&amp;"]"))</f>
        <v/>
      </c>
      <c r="D197" s="46" t="str">
        <f t="array" ref="D197">IF('.'!D197="","",'.'!D197&amp;IF(VLOOKUP('.'!D197,Recipes!$A:$D,4,FALSE)="",""," ["&amp;VLOOKUP('.'!D197,Recipes!$A:$D,4,FALSE)&amp;"]"))</f>
        <v/>
      </c>
      <c r="E197" s="46" t="str">
        <f t="array" ref="E197">IF('.'!E197="","",'.'!E197&amp;IF(VLOOKUP('.'!E197,Recipes!$A:$D,4,FALSE)="",""," ["&amp;VLOOKUP('.'!E197,Recipes!$A:$D,4,FALSE)&amp;"]"))</f>
        <v/>
      </c>
      <c r="F197" s="46" t="str">
        <f t="array" ref="F197">IF('.'!F197="","",'.'!F197&amp;IF(VLOOKUP('.'!F197,Recipes!$A:$D,4,FALSE)="",""," ["&amp;VLOOKUP('.'!F197,Recipes!$A:$D,4,FALSE)&amp;"]"))</f>
        <v/>
      </c>
      <c r="G197" s="46" t="str">
        <f t="array" ref="G197">IF('.'!G197="","",'.'!G197&amp;IF(VLOOKUP('.'!G197,Recipes!$A:$D,4,FALSE)="",""," ["&amp;VLOOKUP('.'!G197,Recipes!$A:$D,4,FALSE)&amp;"]"))</f>
        <v/>
      </c>
      <c r="H197" s="46" t="str">
        <f t="array" ref="H197">IF('.'!H197="","",'.'!H197&amp;IF(VLOOKUP('.'!H197,Recipes!$A:$D,4,FALSE)="",""," ["&amp;VLOOKUP('.'!H197,Recipes!$A:$D,4,FALSE)&amp;"]"))</f>
        <v/>
      </c>
      <c r="I197" s="46" t="str">
        <f t="array" ref="I197">IF('.'!I197="","",'.'!I197&amp;IF(VLOOKUP('.'!I197,Recipes!$A:$D,4,FALSE)="",""," ["&amp;VLOOKUP('.'!I197,Recipes!$A:$D,4,FALSE)&amp;"]"))</f>
        <v/>
      </c>
      <c r="J197" s="46" t="str">
        <f t="array" ref="J197">IF('.'!J197="","",'.'!J197&amp;IF(VLOOKUP('.'!J197,Recipes!$A:$D,4,FALSE)="",""," ["&amp;VLOOKUP('.'!J197,Recipes!$A:$D,4,FALSE)&amp;"]"))</f>
        <v/>
      </c>
      <c r="K197" s="46" t="str">
        <f t="array" ref="K197">IF('.'!K197="","",'.'!K197&amp;IF(VLOOKUP('.'!K197,Recipes!$A:$D,4,FALSE)="",""," ["&amp;VLOOKUP('.'!K197,Recipes!$A:$D,4,FALSE)&amp;"]"))</f>
        <v/>
      </c>
      <c r="L197" s="46" t="str">
        <f t="array" ref="L197">IF('.'!L197="","",'.'!L197&amp;IF(VLOOKUP('.'!L197,Recipes!$A:$D,4,FALSE)="",""," ["&amp;VLOOKUP('.'!L197,Recipes!$A:$D,4,FALSE)&amp;"]"))</f>
        <v/>
      </c>
      <c r="M197" s="46" t="str">
        <f t="array" ref="M197">IF('.'!M197="","",'.'!M197&amp;IF(VLOOKUP('.'!M197,Recipes!$A:$D,4,FALSE)="",""," ["&amp;VLOOKUP('.'!M197,Recipes!$A:$D,4,FALSE)&amp;"]"))</f>
        <v/>
      </c>
      <c r="N197" s="46" t="str">
        <f t="array" ref="N197">IF('.'!N197="","",'.'!N197&amp;IF(VLOOKUP('.'!N197,Recipes!$A:$D,4,FALSE)="",""," ["&amp;VLOOKUP('.'!N197,Recipes!$A:$D,4,FALSE)&amp;"]"))</f>
        <v/>
      </c>
      <c r="O197" s="46" t="str">
        <f t="array" ref="O197">IF('.'!O197="","",'.'!O197&amp;IF(VLOOKUP('.'!O197,Recipes!$A:$D,4,FALSE)="",""," ["&amp;VLOOKUP('.'!O197,Recipes!$A:$D,4,FALSE)&amp;"]"))</f>
        <v/>
      </c>
      <c r="P197" s="46" t="str">
        <f t="array" ref="P197">IF('.'!P197="","",'.'!P197&amp;IF(VLOOKUP('.'!P197,Recipes!$A:$D,4,FALSE)="",""," ["&amp;VLOOKUP('.'!P197,Recipes!$A:$D,4,FALSE)&amp;"]"))</f>
        <v/>
      </c>
      <c r="Q197" s="46" t="str">
        <f t="array" ref="Q197">IF('.'!Q197="","",'.'!Q197&amp;IF(VLOOKUP('.'!Q197,Recipes!$A:$D,4,FALSE)="",""," ["&amp;VLOOKUP('.'!Q197,Recipes!$A:$D,4,FALSE)&amp;"]"))</f>
        <v/>
      </c>
      <c r="R197" s="46" t="str">
        <f t="array" ref="R197">IF('.'!R197="","",'.'!R197&amp;IF(VLOOKUP('.'!R197,Recipes!$A:$D,4,FALSE)="",""," ["&amp;VLOOKUP('.'!R197,Recipes!$A:$D,4,FALSE)&amp;"]"))</f>
        <v/>
      </c>
      <c r="S197" s="46" t="str">
        <f t="array" ref="S197">IF('.'!S197="","",'.'!S197&amp;IF(VLOOKUP('.'!S197,Recipes!$A:$D,4,FALSE)="",""," ["&amp;VLOOKUP('.'!S197,Recipes!$A:$D,4,FALSE)&amp;"]"))</f>
        <v/>
      </c>
      <c r="T197" s="46" t="str">
        <f t="array" ref="T197">IF('.'!T197="","",'.'!T197&amp;IF(VLOOKUP('.'!T197,Recipes!$A:$D,4,FALSE)="",""," ["&amp;VLOOKUP('.'!T197,Recipes!$A:$D,4,FALSE)&amp;"]"))</f>
        <v/>
      </c>
      <c r="U197" s="46" t="str">
        <f t="array" ref="U197">IF('.'!U197="","",'.'!U197&amp;IF(VLOOKUP('.'!U197,Recipes!$A:$D,4,FALSE)="",""," ["&amp;VLOOKUP('.'!U197,Recipes!$A:$D,4,FALSE)&amp;"]"))</f>
        <v/>
      </c>
      <c r="V197" s="46" t="str">
        <f t="array" ref="V197">IF('.'!V197="","",'.'!V197&amp;IF(VLOOKUP('.'!V197,Recipes!$A:$D,4,FALSE)="",""," ["&amp;VLOOKUP('.'!V197,Recipes!$A:$D,4,FALSE)&amp;"]"))</f>
        <v/>
      </c>
      <c r="W197" s="46" t="str">
        <f t="array" ref="W197">IF('.'!W197="","",'.'!W197&amp;IF(VLOOKUP('.'!W197,Recipes!$A:$D,4,FALSE)="",""," ["&amp;VLOOKUP('.'!W197,Recipes!$A:$D,4,FALSE)&amp;"]"))</f>
        <v/>
      </c>
      <c r="X197" s="46" t="str">
        <f t="array" ref="X197">IF('.'!X197="","",'.'!X197&amp;IF(VLOOKUP('.'!X197,Recipes!$A:$D,4,FALSE)="",""," ["&amp;VLOOKUP('.'!X197,Recipes!$A:$D,4,FALSE)&amp;"]"))</f>
        <v/>
      </c>
      <c r="Y197" s="46" t="str">
        <f t="array" ref="Y197">IF('.'!Y197="","",'.'!Y197&amp;IF(VLOOKUP('.'!Y197,Recipes!$A:$D,4,FALSE)="",""," ["&amp;VLOOKUP('.'!Y197,Recipes!$A:$D,4,FALSE)&amp;"]"))</f>
        <v/>
      </c>
      <c r="Z197" s="46" t="str">
        <f t="array" ref="Z197">IF('.'!Z197="","",'.'!Z197&amp;IF(VLOOKUP('.'!Z197,Recipes!$A:$D,4,FALSE)="",""," ["&amp;VLOOKUP('.'!Z197,Recipes!$A:$D,4,FALSE)&amp;"]"))</f>
        <v/>
      </c>
      <c r="AA197" s="46" t="str">
        <f t="array" ref="AA197">IF('.'!AA197="","",'.'!AA197&amp;IF(VLOOKUP('.'!AA197,Recipes!$A:$D,4,FALSE)="",""," ["&amp;VLOOKUP('.'!AA197,Recipes!$A:$D,4,FALSE)&amp;"]"))</f>
        <v/>
      </c>
      <c r="AB197" s="46" t="str">
        <f t="array" ref="AB197">IF('.'!AB197="","",'.'!AB197&amp;IF(VLOOKUP('.'!AB197,Recipes!$A:$D,4,FALSE)="",""," ["&amp;VLOOKUP('.'!AB197,Recipes!$A:$D,4,FALSE)&amp;"]"))</f>
        <v/>
      </c>
      <c r="AC197" s="46" t="str">
        <f t="array" ref="AC197">IF('.'!AC197="","",'.'!AC197&amp;IF(VLOOKUP('.'!AC197,Recipes!$A:$D,4,FALSE)="",""," ["&amp;VLOOKUP('.'!AC197,Recipes!$A:$D,4,FALSE)&amp;"]"))</f>
        <v/>
      </c>
      <c r="AD197" s="46" t="str">
        <f t="array" ref="AD197">IF('.'!AD197="","",'.'!AD197&amp;IF(VLOOKUP('.'!AD197,Recipes!$A:$D,4,FALSE)="",""," ["&amp;VLOOKUP('.'!AD197,Recipes!$A:$D,4,FALSE)&amp;"]"))</f>
        <v/>
      </c>
      <c r="AE197" s="47"/>
      <c r="AF197" s="47"/>
      <c r="AG197" s="47"/>
      <c r="AH197" s="47"/>
      <c r="AI197" s="47"/>
      <c r="AJ197" s="47"/>
      <c r="AK197" s="47"/>
      <c r="AL197" s="47"/>
      <c r="AM197" s="47"/>
      <c r="AN197" s="47"/>
      <c r="AO197" s="47"/>
      <c r="AP197" s="47"/>
      <c r="AQ197" s="47"/>
      <c r="AR197" s="47"/>
      <c r="AS197" s="47"/>
      <c r="AT197" s="47"/>
      <c r="AU197" s="47"/>
      <c r="AV197" s="47"/>
      <c r="AW197" s="47"/>
      <c r="AX197" s="47"/>
      <c r="AY197" s="47"/>
      <c r="AZ197" s="47"/>
      <c r="BA197" s="47"/>
      <c r="BB197" s="47"/>
      <c r="BC197" s="47"/>
      <c r="BD197" s="47"/>
      <c r="BE197" s="47"/>
      <c r="BF197" s="47"/>
      <c r="BG197" s="47"/>
      <c r="BH197" s="47"/>
      <c r="BI197" s="47"/>
      <c r="BJ197" s="47"/>
      <c r="BK197" s="47"/>
      <c r="BL197" s="47"/>
      <c r="BM197" s="47"/>
      <c r="BN197" s="47"/>
      <c r="BO197" s="47"/>
      <c r="BP197" s="47"/>
      <c r="BQ197" s="47"/>
      <c r="BR197" s="47"/>
      <c r="BS197" s="47"/>
      <c r="BT197" s="47"/>
      <c r="BU197" s="47"/>
      <c r="BV197" s="47"/>
      <c r="BW197" s="47"/>
      <c r="BX197" s="47"/>
      <c r="BY197" s="47"/>
      <c r="BZ197" s="47"/>
    </row>
    <row r="198" spans="1:78" ht="13">
      <c r="A198" s="48" t="str">
        <f ca="1">'.'!A198</f>
        <v>Fuse</v>
      </c>
      <c r="B198" s="46" t="str">
        <f t="array" aca="1" ref="B198" ca="1">IF('.'!B198="","",'.'!B198&amp;IF(VLOOKUP('.'!B198,Recipes!$A:$D,4,FALSE)="",""," ["&amp;VLOOKUP('.'!B198,Recipes!$A:$D,4,FALSE)&amp;"]"))</f>
        <v>Firestorm Grenade [34]</v>
      </c>
      <c r="C198" s="46" t="str">
        <f t="array" ref="C198">IF('.'!C198="","",'.'!C198&amp;IF(VLOOKUP('.'!C198,Recipes!$A:$D,4,FALSE)="",""," ["&amp;VLOOKUP('.'!C198,Recipes!$A:$D,4,FALSE)&amp;"]"))</f>
        <v/>
      </c>
      <c r="D198" s="46" t="str">
        <f t="array" ref="D198">IF('.'!D198="","",'.'!D198&amp;IF(VLOOKUP('.'!D198,Recipes!$A:$D,4,FALSE)="",""," ["&amp;VLOOKUP('.'!D198,Recipes!$A:$D,4,FALSE)&amp;"]"))</f>
        <v/>
      </c>
      <c r="E198" s="46" t="str">
        <f t="array" ref="E198">IF('.'!E198="","",'.'!E198&amp;IF(VLOOKUP('.'!E198,Recipes!$A:$D,4,FALSE)="",""," ["&amp;VLOOKUP('.'!E198,Recipes!$A:$D,4,FALSE)&amp;"]"))</f>
        <v/>
      </c>
      <c r="F198" s="46" t="str">
        <f t="array" ref="F198">IF('.'!F198="","",'.'!F198&amp;IF(VLOOKUP('.'!F198,Recipes!$A:$D,4,FALSE)="",""," ["&amp;VLOOKUP('.'!F198,Recipes!$A:$D,4,FALSE)&amp;"]"))</f>
        <v/>
      </c>
      <c r="G198" s="46" t="str">
        <f t="array" ref="G198">IF('.'!G198="","",'.'!G198&amp;IF(VLOOKUP('.'!G198,Recipes!$A:$D,4,FALSE)="",""," ["&amp;VLOOKUP('.'!G198,Recipes!$A:$D,4,FALSE)&amp;"]"))</f>
        <v/>
      </c>
      <c r="H198" s="46" t="str">
        <f t="array" ref="H198">IF('.'!H198="","",'.'!H198&amp;IF(VLOOKUP('.'!H198,Recipes!$A:$D,4,FALSE)="",""," ["&amp;VLOOKUP('.'!H198,Recipes!$A:$D,4,FALSE)&amp;"]"))</f>
        <v/>
      </c>
      <c r="I198" s="46" t="str">
        <f t="array" ref="I198">IF('.'!I198="","",'.'!I198&amp;IF(VLOOKUP('.'!I198,Recipes!$A:$D,4,FALSE)="",""," ["&amp;VLOOKUP('.'!I198,Recipes!$A:$D,4,FALSE)&amp;"]"))</f>
        <v/>
      </c>
      <c r="J198" s="46" t="str">
        <f t="array" ref="J198">IF('.'!J198="","",'.'!J198&amp;IF(VLOOKUP('.'!J198,Recipes!$A:$D,4,FALSE)="",""," ["&amp;VLOOKUP('.'!J198,Recipes!$A:$D,4,FALSE)&amp;"]"))</f>
        <v/>
      </c>
      <c r="K198" s="46" t="str">
        <f t="array" ref="K198">IF('.'!K198="","",'.'!K198&amp;IF(VLOOKUP('.'!K198,Recipes!$A:$D,4,FALSE)="",""," ["&amp;VLOOKUP('.'!K198,Recipes!$A:$D,4,FALSE)&amp;"]"))</f>
        <v/>
      </c>
      <c r="L198" s="46" t="str">
        <f t="array" ref="L198">IF('.'!L198="","",'.'!L198&amp;IF(VLOOKUP('.'!L198,Recipes!$A:$D,4,FALSE)="",""," ["&amp;VLOOKUP('.'!L198,Recipes!$A:$D,4,FALSE)&amp;"]"))</f>
        <v/>
      </c>
      <c r="M198" s="46" t="str">
        <f t="array" ref="M198">IF('.'!M198="","",'.'!M198&amp;IF(VLOOKUP('.'!M198,Recipes!$A:$D,4,FALSE)="",""," ["&amp;VLOOKUP('.'!M198,Recipes!$A:$D,4,FALSE)&amp;"]"))</f>
        <v/>
      </c>
      <c r="N198" s="46" t="str">
        <f t="array" ref="N198">IF('.'!N198="","",'.'!N198&amp;IF(VLOOKUP('.'!N198,Recipes!$A:$D,4,FALSE)="",""," ["&amp;VLOOKUP('.'!N198,Recipes!$A:$D,4,FALSE)&amp;"]"))</f>
        <v/>
      </c>
      <c r="O198" s="46" t="str">
        <f t="array" ref="O198">IF('.'!O198="","",'.'!O198&amp;IF(VLOOKUP('.'!O198,Recipes!$A:$D,4,FALSE)="",""," ["&amp;VLOOKUP('.'!O198,Recipes!$A:$D,4,FALSE)&amp;"]"))</f>
        <v/>
      </c>
      <c r="P198" s="46" t="str">
        <f t="array" ref="P198">IF('.'!P198="","",'.'!P198&amp;IF(VLOOKUP('.'!P198,Recipes!$A:$D,4,FALSE)="",""," ["&amp;VLOOKUP('.'!P198,Recipes!$A:$D,4,FALSE)&amp;"]"))</f>
        <v/>
      </c>
      <c r="Q198" s="46" t="str">
        <f t="array" ref="Q198">IF('.'!Q198="","",'.'!Q198&amp;IF(VLOOKUP('.'!Q198,Recipes!$A:$D,4,FALSE)="",""," ["&amp;VLOOKUP('.'!Q198,Recipes!$A:$D,4,FALSE)&amp;"]"))</f>
        <v/>
      </c>
      <c r="R198" s="46" t="str">
        <f t="array" ref="R198">IF('.'!R198="","",'.'!R198&amp;IF(VLOOKUP('.'!R198,Recipes!$A:$D,4,FALSE)="",""," ["&amp;VLOOKUP('.'!R198,Recipes!$A:$D,4,FALSE)&amp;"]"))</f>
        <v/>
      </c>
      <c r="S198" s="46" t="str">
        <f t="array" ref="S198">IF('.'!S198="","",'.'!S198&amp;IF(VLOOKUP('.'!S198,Recipes!$A:$D,4,FALSE)="",""," ["&amp;VLOOKUP('.'!S198,Recipes!$A:$D,4,FALSE)&amp;"]"))</f>
        <v/>
      </c>
      <c r="T198" s="46" t="str">
        <f t="array" ref="T198">IF('.'!T198="","",'.'!T198&amp;IF(VLOOKUP('.'!T198,Recipes!$A:$D,4,FALSE)="",""," ["&amp;VLOOKUP('.'!T198,Recipes!$A:$D,4,FALSE)&amp;"]"))</f>
        <v/>
      </c>
      <c r="U198" s="46" t="str">
        <f t="array" ref="U198">IF('.'!U198="","",'.'!U198&amp;IF(VLOOKUP('.'!U198,Recipes!$A:$D,4,FALSE)="",""," ["&amp;VLOOKUP('.'!U198,Recipes!$A:$D,4,FALSE)&amp;"]"))</f>
        <v/>
      </c>
      <c r="V198" s="46" t="str">
        <f t="array" ref="V198">IF('.'!V198="","",'.'!V198&amp;IF(VLOOKUP('.'!V198,Recipes!$A:$D,4,FALSE)="",""," ["&amp;VLOOKUP('.'!V198,Recipes!$A:$D,4,FALSE)&amp;"]"))</f>
        <v/>
      </c>
      <c r="W198" s="46" t="str">
        <f t="array" ref="W198">IF('.'!W198="","",'.'!W198&amp;IF(VLOOKUP('.'!W198,Recipes!$A:$D,4,FALSE)="",""," ["&amp;VLOOKUP('.'!W198,Recipes!$A:$D,4,FALSE)&amp;"]"))</f>
        <v/>
      </c>
      <c r="X198" s="46" t="str">
        <f t="array" ref="X198">IF('.'!X198="","",'.'!X198&amp;IF(VLOOKUP('.'!X198,Recipes!$A:$D,4,FALSE)="",""," ["&amp;VLOOKUP('.'!X198,Recipes!$A:$D,4,FALSE)&amp;"]"))</f>
        <v/>
      </c>
      <c r="Y198" s="46" t="str">
        <f t="array" ref="Y198">IF('.'!Y198="","",'.'!Y198&amp;IF(VLOOKUP('.'!Y198,Recipes!$A:$D,4,FALSE)="",""," ["&amp;VLOOKUP('.'!Y198,Recipes!$A:$D,4,FALSE)&amp;"]"))</f>
        <v/>
      </c>
      <c r="Z198" s="46" t="str">
        <f t="array" ref="Z198">IF('.'!Z198="","",'.'!Z198&amp;IF(VLOOKUP('.'!Z198,Recipes!$A:$D,4,FALSE)="",""," ["&amp;VLOOKUP('.'!Z198,Recipes!$A:$D,4,FALSE)&amp;"]"))</f>
        <v/>
      </c>
      <c r="AA198" s="46" t="str">
        <f t="array" ref="AA198">IF('.'!AA198="","",'.'!AA198&amp;IF(VLOOKUP('.'!AA198,Recipes!$A:$D,4,FALSE)="",""," ["&amp;VLOOKUP('.'!AA198,Recipes!$A:$D,4,FALSE)&amp;"]"))</f>
        <v/>
      </c>
      <c r="AB198" s="46" t="str">
        <f t="array" ref="AB198">IF('.'!AB198="","",'.'!AB198&amp;IF(VLOOKUP('.'!AB198,Recipes!$A:$D,4,FALSE)="",""," ["&amp;VLOOKUP('.'!AB198,Recipes!$A:$D,4,FALSE)&amp;"]"))</f>
        <v/>
      </c>
      <c r="AC198" s="46" t="str">
        <f t="array" ref="AC198">IF('.'!AC198="","",'.'!AC198&amp;IF(VLOOKUP('.'!AC198,Recipes!$A:$D,4,FALSE)="",""," ["&amp;VLOOKUP('.'!AC198,Recipes!$A:$D,4,FALSE)&amp;"]"))</f>
        <v/>
      </c>
      <c r="AD198" s="46" t="str">
        <f t="array" ref="AD198">IF('.'!AD198="","",'.'!AD198&amp;IF(VLOOKUP('.'!AD198,Recipes!$A:$D,4,FALSE)="",""," ["&amp;VLOOKUP('.'!AD198,Recipes!$A:$D,4,FALSE)&amp;"]"))</f>
        <v/>
      </c>
      <c r="AE198" s="47"/>
      <c r="AF198" s="47"/>
      <c r="AG198" s="47"/>
      <c r="AH198" s="47"/>
      <c r="AI198" s="47"/>
      <c r="AJ198" s="47"/>
      <c r="AK198" s="47"/>
      <c r="AL198" s="47"/>
      <c r="AM198" s="47"/>
      <c r="AN198" s="47"/>
      <c r="AO198" s="47"/>
      <c r="AP198" s="47"/>
      <c r="AQ198" s="47"/>
      <c r="AR198" s="47"/>
      <c r="AS198" s="47"/>
      <c r="AT198" s="47"/>
      <c r="AU198" s="47"/>
      <c r="AV198" s="47"/>
      <c r="AW198" s="47"/>
      <c r="AX198" s="47"/>
      <c r="AY198" s="47"/>
      <c r="AZ198" s="47"/>
      <c r="BA198" s="47"/>
      <c r="BB198" s="47"/>
      <c r="BC198" s="47"/>
      <c r="BD198" s="47"/>
      <c r="BE198" s="47"/>
      <c r="BF198" s="47"/>
      <c r="BG198" s="47"/>
      <c r="BH198" s="47"/>
      <c r="BI198" s="47"/>
      <c r="BJ198" s="47"/>
      <c r="BK198" s="47"/>
      <c r="BL198" s="47"/>
      <c r="BM198" s="47"/>
      <c r="BN198" s="47"/>
      <c r="BO198" s="47"/>
      <c r="BP198" s="47"/>
      <c r="BQ198" s="47"/>
      <c r="BR198" s="47"/>
      <c r="BS198" s="47"/>
      <c r="BT198" s="47"/>
      <c r="BU198" s="47"/>
      <c r="BV198" s="47"/>
      <c r="BW198" s="47"/>
      <c r="BX198" s="47"/>
      <c r="BY198" s="47"/>
      <c r="BZ198" s="47"/>
    </row>
    <row r="199" spans="1:78" ht="13">
      <c r="A199" s="48" t="str">
        <f ca="1">'.'!A199</f>
        <v>Garlic</v>
      </c>
      <c r="B199" s="46" t="str">
        <f t="array" aca="1" ref="B199" ca="1">IF('.'!B199="","",'.'!B199&amp;IF(VLOOKUP('.'!B199,Recipes!$A:$D,4,FALSE)="",""," ["&amp;VLOOKUP('.'!B199,Recipes!$A:$D,4,FALSE)&amp;"]"))</f>
        <v>Rallying Cry Scroll [51]</v>
      </c>
      <c r="C199" s="46" t="str">
        <f t="array" ref="C199">IF('.'!C199="","",'.'!C199&amp;IF(VLOOKUP('.'!C199,Recipes!$A:$D,4,FALSE)="",""," ["&amp;VLOOKUP('.'!C199,Recipes!$A:$D,4,FALSE)&amp;"]"))</f>
        <v/>
      </c>
      <c r="D199" s="46" t="str">
        <f t="array" ref="D199">IF('.'!D199="","",'.'!D199&amp;IF(VLOOKUP('.'!D199,Recipes!$A:$D,4,FALSE)="",""," ["&amp;VLOOKUP('.'!D199,Recipes!$A:$D,4,FALSE)&amp;"]"))</f>
        <v/>
      </c>
      <c r="E199" s="46" t="str">
        <f t="array" ref="E199">IF('.'!E199="","",'.'!E199&amp;IF(VLOOKUP('.'!E199,Recipes!$A:$D,4,FALSE)="",""," ["&amp;VLOOKUP('.'!E199,Recipes!$A:$D,4,FALSE)&amp;"]"))</f>
        <v/>
      </c>
      <c r="F199" s="46" t="str">
        <f t="array" ref="F199">IF('.'!F199="","",'.'!F199&amp;IF(VLOOKUP('.'!F199,Recipes!$A:$D,4,FALSE)="",""," ["&amp;VLOOKUP('.'!F199,Recipes!$A:$D,4,FALSE)&amp;"]"))</f>
        <v/>
      </c>
      <c r="G199" s="46" t="str">
        <f t="array" ref="G199">IF('.'!G199="","",'.'!G199&amp;IF(VLOOKUP('.'!G199,Recipes!$A:$D,4,FALSE)="",""," ["&amp;VLOOKUP('.'!G199,Recipes!$A:$D,4,FALSE)&amp;"]"))</f>
        <v/>
      </c>
      <c r="H199" s="46" t="str">
        <f t="array" ref="H199">IF('.'!H199="","",'.'!H199&amp;IF(VLOOKUP('.'!H199,Recipes!$A:$D,4,FALSE)="",""," ["&amp;VLOOKUP('.'!H199,Recipes!$A:$D,4,FALSE)&amp;"]"))</f>
        <v/>
      </c>
      <c r="I199" s="46" t="str">
        <f t="array" ref="I199">IF('.'!I199="","",'.'!I199&amp;IF(VLOOKUP('.'!I199,Recipes!$A:$D,4,FALSE)="",""," ["&amp;VLOOKUP('.'!I199,Recipes!$A:$D,4,FALSE)&amp;"]"))</f>
        <v/>
      </c>
      <c r="J199" s="46" t="str">
        <f t="array" ref="J199">IF('.'!J199="","",'.'!J199&amp;IF(VLOOKUP('.'!J199,Recipes!$A:$D,4,FALSE)="",""," ["&amp;VLOOKUP('.'!J199,Recipes!$A:$D,4,FALSE)&amp;"]"))</f>
        <v/>
      </c>
      <c r="K199" s="46" t="str">
        <f t="array" ref="K199">IF('.'!K199="","",'.'!K199&amp;IF(VLOOKUP('.'!K199,Recipes!$A:$D,4,FALSE)="",""," ["&amp;VLOOKUP('.'!K199,Recipes!$A:$D,4,FALSE)&amp;"]"))</f>
        <v/>
      </c>
      <c r="L199" s="46" t="str">
        <f t="array" ref="L199">IF('.'!L199="","",'.'!L199&amp;IF(VLOOKUP('.'!L199,Recipes!$A:$D,4,FALSE)="",""," ["&amp;VLOOKUP('.'!L199,Recipes!$A:$D,4,FALSE)&amp;"]"))</f>
        <v/>
      </c>
      <c r="M199" s="46" t="str">
        <f t="array" ref="M199">IF('.'!M199="","",'.'!M199&amp;IF(VLOOKUP('.'!M199,Recipes!$A:$D,4,FALSE)="",""," ["&amp;VLOOKUP('.'!M199,Recipes!$A:$D,4,FALSE)&amp;"]"))</f>
        <v/>
      </c>
      <c r="N199" s="46" t="str">
        <f t="array" ref="N199">IF('.'!N199="","",'.'!N199&amp;IF(VLOOKUP('.'!N199,Recipes!$A:$D,4,FALSE)="",""," ["&amp;VLOOKUP('.'!N199,Recipes!$A:$D,4,FALSE)&amp;"]"))</f>
        <v/>
      </c>
      <c r="O199" s="46" t="str">
        <f t="array" ref="O199">IF('.'!O199="","",'.'!O199&amp;IF(VLOOKUP('.'!O199,Recipes!$A:$D,4,FALSE)="",""," ["&amp;VLOOKUP('.'!O199,Recipes!$A:$D,4,FALSE)&amp;"]"))</f>
        <v/>
      </c>
      <c r="P199" s="46" t="str">
        <f t="array" ref="P199">IF('.'!P199="","",'.'!P199&amp;IF(VLOOKUP('.'!P199,Recipes!$A:$D,4,FALSE)="",""," ["&amp;VLOOKUP('.'!P199,Recipes!$A:$D,4,FALSE)&amp;"]"))</f>
        <v/>
      </c>
      <c r="Q199" s="46" t="str">
        <f t="array" ref="Q199">IF('.'!Q199="","",'.'!Q199&amp;IF(VLOOKUP('.'!Q199,Recipes!$A:$D,4,FALSE)="",""," ["&amp;VLOOKUP('.'!Q199,Recipes!$A:$D,4,FALSE)&amp;"]"))</f>
        <v/>
      </c>
      <c r="R199" s="46" t="str">
        <f t="array" ref="R199">IF('.'!R199="","",'.'!R199&amp;IF(VLOOKUP('.'!R199,Recipes!$A:$D,4,FALSE)="",""," ["&amp;VLOOKUP('.'!R199,Recipes!$A:$D,4,FALSE)&amp;"]"))</f>
        <v/>
      </c>
      <c r="S199" s="46" t="str">
        <f t="array" ref="S199">IF('.'!S199="","",'.'!S199&amp;IF(VLOOKUP('.'!S199,Recipes!$A:$D,4,FALSE)="",""," ["&amp;VLOOKUP('.'!S199,Recipes!$A:$D,4,FALSE)&amp;"]"))</f>
        <v/>
      </c>
      <c r="T199" s="46" t="str">
        <f t="array" ref="T199">IF('.'!T199="","",'.'!T199&amp;IF(VLOOKUP('.'!T199,Recipes!$A:$D,4,FALSE)="",""," ["&amp;VLOOKUP('.'!T199,Recipes!$A:$D,4,FALSE)&amp;"]"))</f>
        <v/>
      </c>
      <c r="U199" s="46" t="str">
        <f t="array" ref="U199">IF('.'!U199="","",'.'!U199&amp;IF(VLOOKUP('.'!U199,Recipes!$A:$D,4,FALSE)="",""," ["&amp;VLOOKUP('.'!U199,Recipes!$A:$D,4,FALSE)&amp;"]"))</f>
        <v/>
      </c>
      <c r="V199" s="46" t="str">
        <f t="array" ref="V199">IF('.'!V199="","",'.'!V199&amp;IF(VLOOKUP('.'!V199,Recipes!$A:$D,4,FALSE)="",""," ["&amp;VLOOKUP('.'!V199,Recipes!$A:$D,4,FALSE)&amp;"]"))</f>
        <v/>
      </c>
      <c r="W199" s="46" t="str">
        <f t="array" ref="W199">IF('.'!W199="","",'.'!W199&amp;IF(VLOOKUP('.'!W199,Recipes!$A:$D,4,FALSE)="",""," ["&amp;VLOOKUP('.'!W199,Recipes!$A:$D,4,FALSE)&amp;"]"))</f>
        <v/>
      </c>
      <c r="X199" s="46" t="str">
        <f t="array" ref="X199">IF('.'!X199="","",'.'!X199&amp;IF(VLOOKUP('.'!X199,Recipes!$A:$D,4,FALSE)="",""," ["&amp;VLOOKUP('.'!X199,Recipes!$A:$D,4,FALSE)&amp;"]"))</f>
        <v/>
      </c>
      <c r="Y199" s="46" t="str">
        <f t="array" ref="Y199">IF('.'!Y199="","",'.'!Y199&amp;IF(VLOOKUP('.'!Y199,Recipes!$A:$D,4,FALSE)="",""," ["&amp;VLOOKUP('.'!Y199,Recipes!$A:$D,4,FALSE)&amp;"]"))</f>
        <v/>
      </c>
      <c r="Z199" s="46" t="str">
        <f t="array" ref="Z199">IF('.'!Z199="","",'.'!Z199&amp;IF(VLOOKUP('.'!Z199,Recipes!$A:$D,4,FALSE)="",""," ["&amp;VLOOKUP('.'!Z199,Recipes!$A:$D,4,FALSE)&amp;"]"))</f>
        <v/>
      </c>
      <c r="AA199" s="46" t="str">
        <f t="array" ref="AA199">IF('.'!AA199="","",'.'!AA199&amp;IF(VLOOKUP('.'!AA199,Recipes!$A:$D,4,FALSE)="",""," ["&amp;VLOOKUP('.'!AA199,Recipes!$A:$D,4,FALSE)&amp;"]"))</f>
        <v/>
      </c>
      <c r="AB199" s="46" t="str">
        <f t="array" ref="AB199">IF('.'!AB199="","",'.'!AB199&amp;IF(VLOOKUP('.'!AB199,Recipes!$A:$D,4,FALSE)="",""," ["&amp;VLOOKUP('.'!AB199,Recipes!$A:$D,4,FALSE)&amp;"]"))</f>
        <v/>
      </c>
      <c r="AC199" s="46" t="str">
        <f t="array" ref="AC199">IF('.'!AC199="","",'.'!AC199&amp;IF(VLOOKUP('.'!AC199,Recipes!$A:$D,4,FALSE)="",""," ["&amp;VLOOKUP('.'!AC199,Recipes!$A:$D,4,FALSE)&amp;"]"))</f>
        <v/>
      </c>
      <c r="AD199" s="46" t="str">
        <f t="array" ref="AD199">IF('.'!AD199="","",'.'!AD199&amp;IF(VLOOKUP('.'!AD199,Recipes!$A:$D,4,FALSE)="",""," ["&amp;VLOOKUP('.'!AD199,Recipes!$A:$D,4,FALSE)&amp;"]"))</f>
        <v/>
      </c>
      <c r="AE199" s="47"/>
      <c r="AF199" s="47"/>
      <c r="AG199" s="47"/>
      <c r="AH199" s="47"/>
      <c r="AI199" s="47"/>
      <c r="AJ199" s="47"/>
      <c r="AK199" s="47"/>
      <c r="AL199" s="47"/>
      <c r="AM199" s="47"/>
      <c r="AN199" s="47"/>
      <c r="AO199" s="47"/>
      <c r="AP199" s="47"/>
      <c r="AQ199" s="47"/>
      <c r="AR199" s="47"/>
      <c r="AS199" s="47"/>
      <c r="AT199" s="47"/>
      <c r="AU199" s="47"/>
      <c r="AV199" s="47"/>
      <c r="AW199" s="47"/>
      <c r="AX199" s="47"/>
      <c r="AY199" s="47"/>
      <c r="AZ199" s="47"/>
      <c r="BA199" s="47"/>
      <c r="BB199" s="47"/>
      <c r="BC199" s="47"/>
      <c r="BD199" s="47"/>
      <c r="BE199" s="47"/>
      <c r="BF199" s="47"/>
      <c r="BG199" s="47"/>
      <c r="BH199" s="47"/>
      <c r="BI199" s="47"/>
      <c r="BJ199" s="47"/>
      <c r="BK199" s="47"/>
      <c r="BL199" s="47"/>
      <c r="BM199" s="47"/>
      <c r="BN199" s="47"/>
      <c r="BO199" s="47"/>
      <c r="BP199" s="47"/>
      <c r="BQ199" s="47"/>
      <c r="BR199" s="47"/>
      <c r="BS199" s="47"/>
      <c r="BT199" s="47"/>
      <c r="BU199" s="47"/>
      <c r="BV199" s="47"/>
      <c r="BW199" s="47"/>
      <c r="BX199" s="47"/>
      <c r="BY199" s="47"/>
      <c r="BZ199" s="47"/>
    </row>
    <row r="200" spans="1:78" ht="13">
      <c r="A200" s="48" t="str">
        <f ca="1">'.'!A200</f>
        <v>Giant Flame Rune</v>
      </c>
      <c r="B200" s="46" t="str">
        <f t="array" aca="1" ref="B200" ca="1">IF('.'!B200="","",'.'!B200&amp;IF(VLOOKUP('.'!B200,Recipes!$A:$D,4,FALSE)="",""," ["&amp;VLOOKUP('.'!B200,Recipes!$A:$D,4,FALSE)&amp;"]"))</f>
        <v>Giant Flame Rune of Power [0]</v>
      </c>
      <c r="C200" s="46" t="str">
        <f t="array" aca="1" ref="C200" ca="1">IF('.'!C200="","",'.'!C200&amp;IF(VLOOKUP('.'!C200,Recipes!$A:$D,4,FALSE)="",""," ["&amp;VLOOKUP('.'!C200,Recipes!$A:$D,4,FALSE)&amp;"]"))</f>
        <v>Mystical Giant Flame Rune [0]</v>
      </c>
      <c r="D200" s="46" t="str">
        <f t="array" ref="D200">IF('.'!D200="","",'.'!D200&amp;IF(VLOOKUP('.'!D200,Recipes!$A:$D,4,FALSE)="",""," ["&amp;VLOOKUP('.'!D200,Recipes!$A:$D,4,FALSE)&amp;"]"))</f>
        <v/>
      </c>
      <c r="E200" s="46" t="str">
        <f t="array" ref="E200">IF('.'!E200="","",'.'!E200&amp;IF(VLOOKUP('.'!E200,Recipes!$A:$D,4,FALSE)="",""," ["&amp;VLOOKUP('.'!E200,Recipes!$A:$D,4,FALSE)&amp;"]"))</f>
        <v/>
      </c>
      <c r="F200" s="46" t="str">
        <f t="array" ref="F200">IF('.'!F200="","",'.'!F200&amp;IF(VLOOKUP('.'!F200,Recipes!$A:$D,4,FALSE)="",""," ["&amp;VLOOKUP('.'!F200,Recipes!$A:$D,4,FALSE)&amp;"]"))</f>
        <v/>
      </c>
      <c r="G200" s="46" t="str">
        <f t="array" ref="G200">IF('.'!G200="","",'.'!G200&amp;IF(VLOOKUP('.'!G200,Recipes!$A:$D,4,FALSE)="",""," ["&amp;VLOOKUP('.'!G200,Recipes!$A:$D,4,FALSE)&amp;"]"))</f>
        <v/>
      </c>
      <c r="H200" s="46" t="str">
        <f t="array" ref="H200">IF('.'!H200="","",'.'!H200&amp;IF(VLOOKUP('.'!H200,Recipes!$A:$D,4,FALSE)="",""," ["&amp;VLOOKUP('.'!H200,Recipes!$A:$D,4,FALSE)&amp;"]"))</f>
        <v/>
      </c>
      <c r="I200" s="46" t="str">
        <f t="array" ref="I200">IF('.'!I200="","",'.'!I200&amp;IF(VLOOKUP('.'!I200,Recipes!$A:$D,4,FALSE)="",""," ["&amp;VLOOKUP('.'!I200,Recipes!$A:$D,4,FALSE)&amp;"]"))</f>
        <v/>
      </c>
      <c r="J200" s="46" t="str">
        <f t="array" ref="J200">IF('.'!J200="","",'.'!J200&amp;IF(VLOOKUP('.'!J200,Recipes!$A:$D,4,FALSE)="",""," ["&amp;VLOOKUP('.'!J200,Recipes!$A:$D,4,FALSE)&amp;"]"))</f>
        <v/>
      </c>
      <c r="K200" s="46" t="str">
        <f t="array" ref="K200">IF('.'!K200="","",'.'!K200&amp;IF(VLOOKUP('.'!K200,Recipes!$A:$D,4,FALSE)="",""," ["&amp;VLOOKUP('.'!K200,Recipes!$A:$D,4,FALSE)&amp;"]"))</f>
        <v/>
      </c>
      <c r="L200" s="46" t="str">
        <f t="array" ref="L200">IF('.'!L200="","",'.'!L200&amp;IF(VLOOKUP('.'!L200,Recipes!$A:$D,4,FALSE)="",""," ["&amp;VLOOKUP('.'!L200,Recipes!$A:$D,4,FALSE)&amp;"]"))</f>
        <v/>
      </c>
      <c r="M200" s="46" t="str">
        <f t="array" ref="M200">IF('.'!M200="","",'.'!M200&amp;IF(VLOOKUP('.'!M200,Recipes!$A:$D,4,FALSE)="",""," ["&amp;VLOOKUP('.'!M200,Recipes!$A:$D,4,FALSE)&amp;"]"))</f>
        <v/>
      </c>
      <c r="N200" s="46" t="str">
        <f t="array" ref="N200">IF('.'!N200="","",'.'!N200&amp;IF(VLOOKUP('.'!N200,Recipes!$A:$D,4,FALSE)="",""," ["&amp;VLOOKUP('.'!N200,Recipes!$A:$D,4,FALSE)&amp;"]"))</f>
        <v/>
      </c>
      <c r="O200" s="46" t="str">
        <f t="array" ref="O200">IF('.'!O200="","",'.'!O200&amp;IF(VLOOKUP('.'!O200,Recipes!$A:$D,4,FALSE)="",""," ["&amp;VLOOKUP('.'!O200,Recipes!$A:$D,4,FALSE)&amp;"]"))</f>
        <v/>
      </c>
      <c r="P200" s="46" t="str">
        <f t="array" ref="P200">IF('.'!P200="","",'.'!P200&amp;IF(VLOOKUP('.'!P200,Recipes!$A:$D,4,FALSE)="",""," ["&amp;VLOOKUP('.'!P200,Recipes!$A:$D,4,FALSE)&amp;"]"))</f>
        <v/>
      </c>
      <c r="Q200" s="46" t="str">
        <f t="array" ref="Q200">IF('.'!Q200="","",'.'!Q200&amp;IF(VLOOKUP('.'!Q200,Recipes!$A:$D,4,FALSE)="",""," ["&amp;VLOOKUP('.'!Q200,Recipes!$A:$D,4,FALSE)&amp;"]"))</f>
        <v/>
      </c>
      <c r="R200" s="46" t="str">
        <f t="array" ref="R200">IF('.'!R200="","",'.'!R200&amp;IF(VLOOKUP('.'!R200,Recipes!$A:$D,4,FALSE)="",""," ["&amp;VLOOKUP('.'!R200,Recipes!$A:$D,4,FALSE)&amp;"]"))</f>
        <v/>
      </c>
      <c r="S200" s="46" t="str">
        <f t="array" ref="S200">IF('.'!S200="","",'.'!S200&amp;IF(VLOOKUP('.'!S200,Recipes!$A:$D,4,FALSE)="",""," ["&amp;VLOOKUP('.'!S200,Recipes!$A:$D,4,FALSE)&amp;"]"))</f>
        <v/>
      </c>
      <c r="T200" s="46" t="str">
        <f t="array" ref="T200">IF('.'!T200="","",'.'!T200&amp;IF(VLOOKUP('.'!T200,Recipes!$A:$D,4,FALSE)="",""," ["&amp;VLOOKUP('.'!T200,Recipes!$A:$D,4,FALSE)&amp;"]"))</f>
        <v/>
      </c>
      <c r="U200" s="46" t="str">
        <f t="array" ref="U200">IF('.'!U200="","",'.'!U200&amp;IF(VLOOKUP('.'!U200,Recipes!$A:$D,4,FALSE)="",""," ["&amp;VLOOKUP('.'!U200,Recipes!$A:$D,4,FALSE)&amp;"]"))</f>
        <v/>
      </c>
      <c r="V200" s="46" t="str">
        <f t="array" ref="V200">IF('.'!V200="","",'.'!V200&amp;IF(VLOOKUP('.'!V200,Recipes!$A:$D,4,FALSE)="",""," ["&amp;VLOOKUP('.'!V200,Recipes!$A:$D,4,FALSE)&amp;"]"))</f>
        <v/>
      </c>
      <c r="W200" s="46" t="str">
        <f t="array" ref="W200">IF('.'!W200="","",'.'!W200&amp;IF(VLOOKUP('.'!W200,Recipes!$A:$D,4,FALSE)="",""," ["&amp;VLOOKUP('.'!W200,Recipes!$A:$D,4,FALSE)&amp;"]"))</f>
        <v/>
      </c>
      <c r="X200" s="46" t="str">
        <f t="array" ref="X200">IF('.'!X200="","",'.'!X200&amp;IF(VLOOKUP('.'!X200,Recipes!$A:$D,4,FALSE)="",""," ["&amp;VLOOKUP('.'!X200,Recipes!$A:$D,4,FALSE)&amp;"]"))</f>
        <v/>
      </c>
      <c r="Y200" s="46" t="str">
        <f t="array" ref="Y200">IF('.'!Y200="","",'.'!Y200&amp;IF(VLOOKUP('.'!Y200,Recipes!$A:$D,4,FALSE)="",""," ["&amp;VLOOKUP('.'!Y200,Recipes!$A:$D,4,FALSE)&amp;"]"))</f>
        <v/>
      </c>
      <c r="Z200" s="46" t="str">
        <f t="array" ref="Z200">IF('.'!Z200="","",'.'!Z200&amp;IF(VLOOKUP('.'!Z200,Recipes!$A:$D,4,FALSE)="",""," ["&amp;VLOOKUP('.'!Z200,Recipes!$A:$D,4,FALSE)&amp;"]"))</f>
        <v/>
      </c>
      <c r="AA200" s="46" t="str">
        <f t="array" ref="AA200">IF('.'!AA200="","",'.'!AA200&amp;IF(VLOOKUP('.'!AA200,Recipes!$A:$D,4,FALSE)="",""," ["&amp;VLOOKUP('.'!AA200,Recipes!$A:$D,4,FALSE)&amp;"]"))</f>
        <v/>
      </c>
      <c r="AB200" s="46" t="str">
        <f t="array" ref="AB200">IF('.'!AB200="","",'.'!AB200&amp;IF(VLOOKUP('.'!AB200,Recipes!$A:$D,4,FALSE)="",""," ["&amp;VLOOKUP('.'!AB200,Recipes!$A:$D,4,FALSE)&amp;"]"))</f>
        <v/>
      </c>
      <c r="AC200" s="46" t="str">
        <f t="array" ref="AC200">IF('.'!AC200="","",'.'!AC200&amp;IF(VLOOKUP('.'!AC200,Recipes!$A:$D,4,FALSE)="",""," ["&amp;VLOOKUP('.'!AC200,Recipes!$A:$D,4,FALSE)&amp;"]"))</f>
        <v/>
      </c>
      <c r="AD200" s="46" t="str">
        <f t="array" ref="AD200">IF('.'!AD200="","",'.'!AD200&amp;IF(VLOOKUP('.'!AD200,Recipes!$A:$D,4,FALSE)="",""," ["&amp;VLOOKUP('.'!AD200,Recipes!$A:$D,4,FALSE)&amp;"]"))</f>
        <v/>
      </c>
      <c r="AE200" s="47"/>
      <c r="AF200" s="47"/>
      <c r="AG200" s="47"/>
      <c r="AH200" s="47"/>
      <c r="AI200" s="47"/>
      <c r="AJ200" s="47"/>
      <c r="AK200" s="47"/>
      <c r="AL200" s="47"/>
      <c r="AM200" s="47"/>
      <c r="AN200" s="47"/>
      <c r="AO200" s="47"/>
      <c r="AP200" s="47"/>
      <c r="AQ200" s="47"/>
      <c r="AR200" s="47"/>
      <c r="AS200" s="47"/>
      <c r="AT200" s="47"/>
      <c r="AU200" s="47"/>
      <c r="AV200" s="47"/>
      <c r="AW200" s="47"/>
      <c r="AX200" s="47"/>
      <c r="AY200" s="47"/>
      <c r="AZ200" s="47"/>
      <c r="BA200" s="47"/>
      <c r="BB200" s="47"/>
      <c r="BC200" s="47"/>
      <c r="BD200" s="47"/>
      <c r="BE200" s="47"/>
      <c r="BF200" s="47"/>
      <c r="BG200" s="47"/>
      <c r="BH200" s="47"/>
      <c r="BI200" s="47"/>
      <c r="BJ200" s="47"/>
      <c r="BK200" s="47"/>
      <c r="BL200" s="47"/>
      <c r="BM200" s="47"/>
      <c r="BN200" s="47"/>
      <c r="BO200" s="47"/>
      <c r="BP200" s="47"/>
      <c r="BQ200" s="47"/>
      <c r="BR200" s="47"/>
      <c r="BS200" s="47"/>
      <c r="BT200" s="47"/>
      <c r="BU200" s="47"/>
      <c r="BV200" s="47"/>
      <c r="BW200" s="47"/>
      <c r="BX200" s="47"/>
      <c r="BY200" s="47"/>
      <c r="BZ200" s="47"/>
    </row>
    <row r="201" spans="1:78" ht="13">
      <c r="A201" s="48" t="str">
        <f ca="1">'.'!A201</f>
        <v>Giant Frost Rune</v>
      </c>
      <c r="B201" s="46" t="str">
        <f t="array" aca="1" ref="B201" ca="1">IF('.'!B201="","",'.'!B201&amp;IF(VLOOKUP('.'!B201,Recipes!$A:$D,4,FALSE)="",""," ["&amp;VLOOKUP('.'!B201,Recipes!$A:$D,4,FALSE)&amp;"]"))</f>
        <v>Giant Frost Rune of Power [0]</v>
      </c>
      <c r="C201" s="46" t="str">
        <f t="array" aca="1" ref="C201" ca="1">IF('.'!C201="","",'.'!C201&amp;IF(VLOOKUP('.'!C201,Recipes!$A:$D,4,FALSE)="",""," ["&amp;VLOOKUP('.'!C201,Recipes!$A:$D,4,FALSE)&amp;"]"))</f>
        <v>Mystical Giant Frost Rune [0]</v>
      </c>
      <c r="D201" s="46" t="str">
        <f t="array" ref="D201">IF('.'!D201="","",'.'!D201&amp;IF(VLOOKUP('.'!D201,Recipes!$A:$D,4,FALSE)="",""," ["&amp;VLOOKUP('.'!D201,Recipes!$A:$D,4,FALSE)&amp;"]"))</f>
        <v/>
      </c>
      <c r="E201" s="46" t="str">
        <f t="array" ref="E201">IF('.'!E201="","",'.'!E201&amp;IF(VLOOKUP('.'!E201,Recipes!$A:$D,4,FALSE)="",""," ["&amp;VLOOKUP('.'!E201,Recipes!$A:$D,4,FALSE)&amp;"]"))</f>
        <v/>
      </c>
      <c r="F201" s="46" t="str">
        <f t="array" ref="F201">IF('.'!F201="","",'.'!F201&amp;IF(VLOOKUP('.'!F201,Recipes!$A:$D,4,FALSE)="",""," ["&amp;VLOOKUP('.'!F201,Recipes!$A:$D,4,FALSE)&amp;"]"))</f>
        <v/>
      </c>
      <c r="G201" s="46" t="str">
        <f t="array" ref="G201">IF('.'!G201="","",'.'!G201&amp;IF(VLOOKUP('.'!G201,Recipes!$A:$D,4,FALSE)="",""," ["&amp;VLOOKUP('.'!G201,Recipes!$A:$D,4,FALSE)&amp;"]"))</f>
        <v/>
      </c>
      <c r="H201" s="46" t="str">
        <f t="array" ref="H201">IF('.'!H201="","",'.'!H201&amp;IF(VLOOKUP('.'!H201,Recipes!$A:$D,4,FALSE)="",""," ["&amp;VLOOKUP('.'!H201,Recipes!$A:$D,4,FALSE)&amp;"]"))</f>
        <v/>
      </c>
      <c r="I201" s="46" t="str">
        <f t="array" ref="I201">IF('.'!I201="","",'.'!I201&amp;IF(VLOOKUP('.'!I201,Recipes!$A:$D,4,FALSE)="",""," ["&amp;VLOOKUP('.'!I201,Recipes!$A:$D,4,FALSE)&amp;"]"))</f>
        <v/>
      </c>
      <c r="J201" s="46" t="str">
        <f t="array" ref="J201">IF('.'!J201="","",'.'!J201&amp;IF(VLOOKUP('.'!J201,Recipes!$A:$D,4,FALSE)="",""," ["&amp;VLOOKUP('.'!J201,Recipes!$A:$D,4,FALSE)&amp;"]"))</f>
        <v/>
      </c>
      <c r="K201" s="46" t="str">
        <f t="array" ref="K201">IF('.'!K201="","",'.'!K201&amp;IF(VLOOKUP('.'!K201,Recipes!$A:$D,4,FALSE)="",""," ["&amp;VLOOKUP('.'!K201,Recipes!$A:$D,4,FALSE)&amp;"]"))</f>
        <v/>
      </c>
      <c r="L201" s="46" t="str">
        <f t="array" ref="L201">IF('.'!L201="","",'.'!L201&amp;IF(VLOOKUP('.'!L201,Recipes!$A:$D,4,FALSE)="",""," ["&amp;VLOOKUP('.'!L201,Recipes!$A:$D,4,FALSE)&amp;"]"))</f>
        <v/>
      </c>
      <c r="M201" s="46" t="str">
        <f t="array" ref="M201">IF('.'!M201="","",'.'!M201&amp;IF(VLOOKUP('.'!M201,Recipes!$A:$D,4,FALSE)="",""," ["&amp;VLOOKUP('.'!M201,Recipes!$A:$D,4,FALSE)&amp;"]"))</f>
        <v/>
      </c>
      <c r="N201" s="46" t="str">
        <f t="array" ref="N201">IF('.'!N201="","",'.'!N201&amp;IF(VLOOKUP('.'!N201,Recipes!$A:$D,4,FALSE)="",""," ["&amp;VLOOKUP('.'!N201,Recipes!$A:$D,4,FALSE)&amp;"]"))</f>
        <v/>
      </c>
      <c r="O201" s="46" t="str">
        <f t="array" ref="O201">IF('.'!O201="","",'.'!O201&amp;IF(VLOOKUP('.'!O201,Recipes!$A:$D,4,FALSE)="",""," ["&amp;VLOOKUP('.'!O201,Recipes!$A:$D,4,FALSE)&amp;"]"))</f>
        <v/>
      </c>
      <c r="P201" s="46" t="str">
        <f t="array" ref="P201">IF('.'!P201="","",'.'!P201&amp;IF(VLOOKUP('.'!P201,Recipes!$A:$D,4,FALSE)="",""," ["&amp;VLOOKUP('.'!P201,Recipes!$A:$D,4,FALSE)&amp;"]"))</f>
        <v/>
      </c>
      <c r="Q201" s="46" t="str">
        <f t="array" ref="Q201">IF('.'!Q201="","",'.'!Q201&amp;IF(VLOOKUP('.'!Q201,Recipes!$A:$D,4,FALSE)="",""," ["&amp;VLOOKUP('.'!Q201,Recipes!$A:$D,4,FALSE)&amp;"]"))</f>
        <v/>
      </c>
      <c r="R201" s="46" t="str">
        <f t="array" ref="R201">IF('.'!R201="","",'.'!R201&amp;IF(VLOOKUP('.'!R201,Recipes!$A:$D,4,FALSE)="",""," ["&amp;VLOOKUP('.'!R201,Recipes!$A:$D,4,FALSE)&amp;"]"))</f>
        <v/>
      </c>
      <c r="S201" s="46" t="str">
        <f t="array" ref="S201">IF('.'!S201="","",'.'!S201&amp;IF(VLOOKUP('.'!S201,Recipes!$A:$D,4,FALSE)="",""," ["&amp;VLOOKUP('.'!S201,Recipes!$A:$D,4,FALSE)&amp;"]"))</f>
        <v/>
      </c>
      <c r="T201" s="46" t="str">
        <f t="array" ref="T201">IF('.'!T201="","",'.'!T201&amp;IF(VLOOKUP('.'!T201,Recipes!$A:$D,4,FALSE)="",""," ["&amp;VLOOKUP('.'!T201,Recipes!$A:$D,4,FALSE)&amp;"]"))</f>
        <v/>
      </c>
      <c r="U201" s="46" t="str">
        <f t="array" ref="U201">IF('.'!U201="","",'.'!U201&amp;IF(VLOOKUP('.'!U201,Recipes!$A:$D,4,FALSE)="",""," ["&amp;VLOOKUP('.'!U201,Recipes!$A:$D,4,FALSE)&amp;"]"))</f>
        <v/>
      </c>
      <c r="V201" s="46" t="str">
        <f t="array" ref="V201">IF('.'!V201="","",'.'!V201&amp;IF(VLOOKUP('.'!V201,Recipes!$A:$D,4,FALSE)="",""," ["&amp;VLOOKUP('.'!V201,Recipes!$A:$D,4,FALSE)&amp;"]"))</f>
        <v/>
      </c>
      <c r="W201" s="46" t="str">
        <f t="array" ref="W201">IF('.'!W201="","",'.'!W201&amp;IF(VLOOKUP('.'!W201,Recipes!$A:$D,4,FALSE)="",""," ["&amp;VLOOKUP('.'!W201,Recipes!$A:$D,4,FALSE)&amp;"]"))</f>
        <v/>
      </c>
      <c r="X201" s="46" t="str">
        <f t="array" ref="X201">IF('.'!X201="","",'.'!X201&amp;IF(VLOOKUP('.'!X201,Recipes!$A:$D,4,FALSE)="",""," ["&amp;VLOOKUP('.'!X201,Recipes!$A:$D,4,FALSE)&amp;"]"))</f>
        <v/>
      </c>
      <c r="Y201" s="46" t="str">
        <f t="array" ref="Y201">IF('.'!Y201="","",'.'!Y201&amp;IF(VLOOKUP('.'!Y201,Recipes!$A:$D,4,FALSE)="",""," ["&amp;VLOOKUP('.'!Y201,Recipes!$A:$D,4,FALSE)&amp;"]"))</f>
        <v/>
      </c>
      <c r="Z201" s="46" t="str">
        <f t="array" ref="Z201">IF('.'!Z201="","",'.'!Z201&amp;IF(VLOOKUP('.'!Z201,Recipes!$A:$D,4,FALSE)="",""," ["&amp;VLOOKUP('.'!Z201,Recipes!$A:$D,4,FALSE)&amp;"]"))</f>
        <v/>
      </c>
      <c r="AA201" s="46" t="str">
        <f t="array" ref="AA201">IF('.'!AA201="","",'.'!AA201&amp;IF(VLOOKUP('.'!AA201,Recipes!$A:$D,4,FALSE)="",""," ["&amp;VLOOKUP('.'!AA201,Recipes!$A:$D,4,FALSE)&amp;"]"))</f>
        <v/>
      </c>
      <c r="AB201" s="46" t="str">
        <f t="array" ref="AB201">IF('.'!AB201="","",'.'!AB201&amp;IF(VLOOKUP('.'!AB201,Recipes!$A:$D,4,FALSE)="",""," ["&amp;VLOOKUP('.'!AB201,Recipes!$A:$D,4,FALSE)&amp;"]"))</f>
        <v/>
      </c>
      <c r="AC201" s="46" t="str">
        <f t="array" ref="AC201">IF('.'!AC201="","",'.'!AC201&amp;IF(VLOOKUP('.'!AC201,Recipes!$A:$D,4,FALSE)="",""," ["&amp;VLOOKUP('.'!AC201,Recipes!$A:$D,4,FALSE)&amp;"]"))</f>
        <v/>
      </c>
      <c r="AD201" s="46" t="str">
        <f t="array" ref="AD201">IF('.'!AD201="","",'.'!AD201&amp;IF(VLOOKUP('.'!AD201,Recipes!$A:$D,4,FALSE)="",""," ["&amp;VLOOKUP('.'!AD201,Recipes!$A:$D,4,FALSE)&amp;"]"))</f>
        <v/>
      </c>
      <c r="AE201" s="47"/>
      <c r="AF201" s="47"/>
      <c r="AG201" s="47"/>
      <c r="AH201" s="47"/>
      <c r="AI201" s="47"/>
      <c r="AJ201" s="47"/>
      <c r="AK201" s="47"/>
      <c r="AL201" s="47"/>
      <c r="AM201" s="47"/>
      <c r="AN201" s="47"/>
      <c r="AO201" s="47"/>
      <c r="AP201" s="47"/>
      <c r="AQ201" s="47"/>
      <c r="AR201" s="47"/>
      <c r="AS201" s="47"/>
      <c r="AT201" s="47"/>
      <c r="AU201" s="47"/>
      <c r="AV201" s="47"/>
      <c r="AW201" s="47"/>
      <c r="AX201" s="47"/>
      <c r="AY201" s="47"/>
      <c r="AZ201" s="47"/>
      <c r="BA201" s="47"/>
      <c r="BB201" s="47"/>
      <c r="BC201" s="47"/>
      <c r="BD201" s="47"/>
      <c r="BE201" s="47"/>
      <c r="BF201" s="47"/>
      <c r="BG201" s="47"/>
      <c r="BH201" s="47"/>
      <c r="BI201" s="47"/>
      <c r="BJ201" s="47"/>
      <c r="BK201" s="47"/>
      <c r="BL201" s="47"/>
      <c r="BM201" s="47"/>
      <c r="BN201" s="47"/>
      <c r="BO201" s="47"/>
      <c r="BP201" s="47"/>
      <c r="BQ201" s="47"/>
      <c r="BR201" s="47"/>
      <c r="BS201" s="47"/>
      <c r="BT201" s="47"/>
      <c r="BU201" s="47"/>
      <c r="BV201" s="47"/>
      <c r="BW201" s="47"/>
      <c r="BX201" s="47"/>
      <c r="BY201" s="47"/>
      <c r="BZ201" s="47"/>
    </row>
    <row r="202" spans="1:78" ht="13">
      <c r="A202" s="48" t="str">
        <f ca="1">'.'!A202</f>
        <v>Giant Healing Potion</v>
      </c>
      <c r="B202" s="46" t="str">
        <f t="array" aca="1" ref="B202" ca="1">IF('.'!B202="","",'.'!B202&amp;IF(VLOOKUP('.'!B202,Recipes!$A:$D,4,FALSE)="",""," ["&amp;VLOOKUP('.'!B202,Recipes!$A:$D,4,FALSE)&amp;"]"))</f>
        <v>Giant Poison Bottle [-20]</v>
      </c>
      <c r="C202" s="46" t="str">
        <f t="array" ref="C202">IF('.'!C202="","",'.'!C202&amp;IF(VLOOKUP('.'!C202,Recipes!$A:$D,4,FALSE)="",""," ["&amp;VLOOKUP('.'!C202,Recipes!$A:$D,4,FALSE)&amp;"]"))</f>
        <v/>
      </c>
      <c r="D202" s="46" t="str">
        <f t="array" ref="D202">IF('.'!D202="","",'.'!D202&amp;IF(VLOOKUP('.'!D202,Recipes!$A:$D,4,FALSE)="",""," ["&amp;VLOOKUP('.'!D202,Recipes!$A:$D,4,FALSE)&amp;"]"))</f>
        <v/>
      </c>
      <c r="E202" s="46" t="str">
        <f t="array" ref="E202">IF('.'!E202="","",'.'!E202&amp;IF(VLOOKUP('.'!E202,Recipes!$A:$D,4,FALSE)="",""," ["&amp;VLOOKUP('.'!E202,Recipes!$A:$D,4,FALSE)&amp;"]"))</f>
        <v/>
      </c>
      <c r="F202" s="46" t="str">
        <f t="array" ref="F202">IF('.'!F202="","",'.'!F202&amp;IF(VLOOKUP('.'!F202,Recipes!$A:$D,4,FALSE)="",""," ["&amp;VLOOKUP('.'!F202,Recipes!$A:$D,4,FALSE)&amp;"]"))</f>
        <v/>
      </c>
      <c r="G202" s="46" t="str">
        <f t="array" ref="G202">IF('.'!G202="","",'.'!G202&amp;IF(VLOOKUP('.'!G202,Recipes!$A:$D,4,FALSE)="",""," ["&amp;VLOOKUP('.'!G202,Recipes!$A:$D,4,FALSE)&amp;"]"))</f>
        <v/>
      </c>
      <c r="H202" s="46" t="str">
        <f t="array" ref="H202">IF('.'!H202="","",'.'!H202&amp;IF(VLOOKUP('.'!H202,Recipes!$A:$D,4,FALSE)="",""," ["&amp;VLOOKUP('.'!H202,Recipes!$A:$D,4,FALSE)&amp;"]"))</f>
        <v/>
      </c>
      <c r="I202" s="46" t="str">
        <f t="array" ref="I202">IF('.'!I202="","",'.'!I202&amp;IF(VLOOKUP('.'!I202,Recipes!$A:$D,4,FALSE)="",""," ["&amp;VLOOKUP('.'!I202,Recipes!$A:$D,4,FALSE)&amp;"]"))</f>
        <v/>
      </c>
      <c r="J202" s="46" t="str">
        <f t="array" ref="J202">IF('.'!J202="","",'.'!J202&amp;IF(VLOOKUP('.'!J202,Recipes!$A:$D,4,FALSE)="",""," ["&amp;VLOOKUP('.'!J202,Recipes!$A:$D,4,FALSE)&amp;"]"))</f>
        <v/>
      </c>
      <c r="K202" s="46" t="str">
        <f t="array" ref="K202">IF('.'!K202="","",'.'!K202&amp;IF(VLOOKUP('.'!K202,Recipes!$A:$D,4,FALSE)="",""," ["&amp;VLOOKUP('.'!K202,Recipes!$A:$D,4,FALSE)&amp;"]"))</f>
        <v/>
      </c>
      <c r="L202" s="46" t="str">
        <f t="array" ref="L202">IF('.'!L202="","",'.'!L202&amp;IF(VLOOKUP('.'!L202,Recipes!$A:$D,4,FALSE)="",""," ["&amp;VLOOKUP('.'!L202,Recipes!$A:$D,4,FALSE)&amp;"]"))</f>
        <v/>
      </c>
      <c r="M202" s="46" t="str">
        <f t="array" ref="M202">IF('.'!M202="","",'.'!M202&amp;IF(VLOOKUP('.'!M202,Recipes!$A:$D,4,FALSE)="",""," ["&amp;VLOOKUP('.'!M202,Recipes!$A:$D,4,FALSE)&amp;"]"))</f>
        <v/>
      </c>
      <c r="N202" s="46" t="str">
        <f t="array" ref="N202">IF('.'!N202="","",'.'!N202&amp;IF(VLOOKUP('.'!N202,Recipes!$A:$D,4,FALSE)="",""," ["&amp;VLOOKUP('.'!N202,Recipes!$A:$D,4,FALSE)&amp;"]"))</f>
        <v/>
      </c>
      <c r="O202" s="46" t="str">
        <f t="array" ref="O202">IF('.'!O202="","",'.'!O202&amp;IF(VLOOKUP('.'!O202,Recipes!$A:$D,4,FALSE)="",""," ["&amp;VLOOKUP('.'!O202,Recipes!$A:$D,4,FALSE)&amp;"]"))</f>
        <v/>
      </c>
      <c r="P202" s="46" t="str">
        <f t="array" ref="P202">IF('.'!P202="","",'.'!P202&amp;IF(VLOOKUP('.'!P202,Recipes!$A:$D,4,FALSE)="",""," ["&amp;VLOOKUP('.'!P202,Recipes!$A:$D,4,FALSE)&amp;"]"))</f>
        <v/>
      </c>
      <c r="Q202" s="46" t="str">
        <f t="array" ref="Q202">IF('.'!Q202="","",'.'!Q202&amp;IF(VLOOKUP('.'!Q202,Recipes!$A:$D,4,FALSE)="",""," ["&amp;VLOOKUP('.'!Q202,Recipes!$A:$D,4,FALSE)&amp;"]"))</f>
        <v/>
      </c>
      <c r="R202" s="46" t="str">
        <f t="array" ref="R202">IF('.'!R202="","",'.'!R202&amp;IF(VLOOKUP('.'!R202,Recipes!$A:$D,4,FALSE)="",""," ["&amp;VLOOKUP('.'!R202,Recipes!$A:$D,4,FALSE)&amp;"]"))</f>
        <v/>
      </c>
      <c r="S202" s="46" t="str">
        <f t="array" ref="S202">IF('.'!S202="","",'.'!S202&amp;IF(VLOOKUP('.'!S202,Recipes!$A:$D,4,FALSE)="",""," ["&amp;VLOOKUP('.'!S202,Recipes!$A:$D,4,FALSE)&amp;"]"))</f>
        <v/>
      </c>
      <c r="T202" s="46" t="str">
        <f t="array" ref="T202">IF('.'!T202="","",'.'!T202&amp;IF(VLOOKUP('.'!T202,Recipes!$A:$D,4,FALSE)="",""," ["&amp;VLOOKUP('.'!T202,Recipes!$A:$D,4,FALSE)&amp;"]"))</f>
        <v/>
      </c>
      <c r="U202" s="46" t="str">
        <f t="array" ref="U202">IF('.'!U202="","",'.'!U202&amp;IF(VLOOKUP('.'!U202,Recipes!$A:$D,4,FALSE)="",""," ["&amp;VLOOKUP('.'!U202,Recipes!$A:$D,4,FALSE)&amp;"]"))</f>
        <v/>
      </c>
      <c r="V202" s="46" t="str">
        <f t="array" ref="V202">IF('.'!V202="","",'.'!V202&amp;IF(VLOOKUP('.'!V202,Recipes!$A:$D,4,FALSE)="",""," ["&amp;VLOOKUP('.'!V202,Recipes!$A:$D,4,FALSE)&amp;"]"))</f>
        <v/>
      </c>
      <c r="W202" s="46" t="str">
        <f t="array" ref="W202">IF('.'!W202="","",'.'!W202&amp;IF(VLOOKUP('.'!W202,Recipes!$A:$D,4,FALSE)="",""," ["&amp;VLOOKUP('.'!W202,Recipes!$A:$D,4,FALSE)&amp;"]"))</f>
        <v/>
      </c>
      <c r="X202" s="46" t="str">
        <f t="array" ref="X202">IF('.'!X202="","",'.'!X202&amp;IF(VLOOKUP('.'!X202,Recipes!$A:$D,4,FALSE)="",""," ["&amp;VLOOKUP('.'!X202,Recipes!$A:$D,4,FALSE)&amp;"]"))</f>
        <v/>
      </c>
      <c r="Y202" s="46" t="str">
        <f t="array" ref="Y202">IF('.'!Y202="","",'.'!Y202&amp;IF(VLOOKUP('.'!Y202,Recipes!$A:$D,4,FALSE)="",""," ["&amp;VLOOKUP('.'!Y202,Recipes!$A:$D,4,FALSE)&amp;"]"))</f>
        <v/>
      </c>
      <c r="Z202" s="46" t="str">
        <f t="array" ref="Z202">IF('.'!Z202="","",'.'!Z202&amp;IF(VLOOKUP('.'!Z202,Recipes!$A:$D,4,FALSE)="",""," ["&amp;VLOOKUP('.'!Z202,Recipes!$A:$D,4,FALSE)&amp;"]"))</f>
        <v/>
      </c>
      <c r="AA202" s="46" t="str">
        <f t="array" ref="AA202">IF('.'!AA202="","",'.'!AA202&amp;IF(VLOOKUP('.'!AA202,Recipes!$A:$D,4,FALSE)="",""," ["&amp;VLOOKUP('.'!AA202,Recipes!$A:$D,4,FALSE)&amp;"]"))</f>
        <v/>
      </c>
      <c r="AB202" s="46" t="str">
        <f t="array" ref="AB202">IF('.'!AB202="","",'.'!AB202&amp;IF(VLOOKUP('.'!AB202,Recipes!$A:$D,4,FALSE)="",""," ["&amp;VLOOKUP('.'!AB202,Recipes!$A:$D,4,FALSE)&amp;"]"))</f>
        <v/>
      </c>
      <c r="AC202" s="46" t="str">
        <f t="array" ref="AC202">IF('.'!AC202="","",'.'!AC202&amp;IF(VLOOKUP('.'!AC202,Recipes!$A:$D,4,FALSE)="",""," ["&amp;VLOOKUP('.'!AC202,Recipes!$A:$D,4,FALSE)&amp;"]"))</f>
        <v/>
      </c>
      <c r="AD202" s="46" t="str">
        <f t="array" ref="AD202">IF('.'!AD202="","",'.'!AD202&amp;IF(VLOOKUP('.'!AD202,Recipes!$A:$D,4,FALSE)="",""," ["&amp;VLOOKUP('.'!AD202,Recipes!$A:$D,4,FALSE)&amp;"]"))</f>
        <v/>
      </c>
      <c r="AE202" s="47"/>
      <c r="AF202" s="47"/>
      <c r="AG202" s="47"/>
      <c r="AH202" s="47"/>
      <c r="AI202" s="47"/>
      <c r="AJ202" s="47"/>
      <c r="AK202" s="47"/>
      <c r="AL202" s="47"/>
      <c r="AM202" s="47"/>
      <c r="AN202" s="47"/>
      <c r="AO202" s="47"/>
      <c r="AP202" s="47"/>
      <c r="AQ202" s="47"/>
      <c r="AR202" s="47"/>
      <c r="AS202" s="47"/>
      <c r="AT202" s="47"/>
      <c r="AU202" s="47"/>
      <c r="AV202" s="47"/>
      <c r="AW202" s="47"/>
      <c r="AX202" s="47"/>
      <c r="AY202" s="47"/>
      <c r="AZ202" s="47"/>
      <c r="BA202" s="47"/>
      <c r="BB202" s="47"/>
      <c r="BC202" s="47"/>
      <c r="BD202" s="47"/>
      <c r="BE202" s="47"/>
      <c r="BF202" s="47"/>
      <c r="BG202" s="47"/>
      <c r="BH202" s="47"/>
      <c r="BI202" s="47"/>
      <c r="BJ202" s="47"/>
      <c r="BK202" s="47"/>
      <c r="BL202" s="47"/>
      <c r="BM202" s="47"/>
      <c r="BN202" s="47"/>
      <c r="BO202" s="47"/>
      <c r="BP202" s="47"/>
      <c r="BQ202" s="47"/>
      <c r="BR202" s="47"/>
      <c r="BS202" s="47"/>
      <c r="BT202" s="47"/>
      <c r="BU202" s="47"/>
      <c r="BV202" s="47"/>
      <c r="BW202" s="47"/>
      <c r="BX202" s="47"/>
      <c r="BY202" s="47"/>
      <c r="BZ202" s="47"/>
    </row>
    <row r="203" spans="1:78" ht="13">
      <c r="A203" s="48" t="str">
        <f ca="1">'.'!A203</f>
        <v>Giant Masterwork Rune</v>
      </c>
      <c r="B203" s="46" t="str">
        <f t="array" aca="1" ref="B203" ca="1">IF('.'!B203="","",'.'!B203&amp;IF(VLOOKUP('.'!B203,Recipes!$A:$D,4,FALSE)="",""," ["&amp;VLOOKUP('.'!B203,Recipes!$A:$D,4,FALSE)&amp;"]"))</f>
        <v>Giant Masterwork Rune of Power [0]</v>
      </c>
      <c r="C203" s="46" t="str">
        <f t="array" aca="1" ref="C203" ca="1">IF('.'!C203="","",'.'!C203&amp;IF(VLOOKUP('.'!C203,Recipes!$A:$D,4,FALSE)="",""," ["&amp;VLOOKUP('.'!C203,Recipes!$A:$D,4,FALSE)&amp;"]"))</f>
        <v>Mystical Giant Masterwork Rune [0]</v>
      </c>
      <c r="D203" s="46" t="str">
        <f t="array" ref="D203">IF('.'!D203="","",'.'!D203&amp;IF(VLOOKUP('.'!D203,Recipes!$A:$D,4,FALSE)="",""," ["&amp;VLOOKUP('.'!D203,Recipes!$A:$D,4,FALSE)&amp;"]"))</f>
        <v/>
      </c>
      <c r="E203" s="46" t="str">
        <f t="array" ref="E203">IF('.'!E203="","",'.'!E203&amp;IF(VLOOKUP('.'!E203,Recipes!$A:$D,4,FALSE)="",""," ["&amp;VLOOKUP('.'!E203,Recipes!$A:$D,4,FALSE)&amp;"]"))</f>
        <v/>
      </c>
      <c r="F203" s="46" t="str">
        <f t="array" ref="F203">IF('.'!F203="","",'.'!F203&amp;IF(VLOOKUP('.'!F203,Recipes!$A:$D,4,FALSE)="",""," ["&amp;VLOOKUP('.'!F203,Recipes!$A:$D,4,FALSE)&amp;"]"))</f>
        <v/>
      </c>
      <c r="G203" s="46" t="str">
        <f t="array" ref="G203">IF('.'!G203="","",'.'!G203&amp;IF(VLOOKUP('.'!G203,Recipes!$A:$D,4,FALSE)="",""," ["&amp;VLOOKUP('.'!G203,Recipes!$A:$D,4,FALSE)&amp;"]"))</f>
        <v/>
      </c>
      <c r="H203" s="46" t="str">
        <f t="array" ref="H203">IF('.'!H203="","",'.'!H203&amp;IF(VLOOKUP('.'!H203,Recipes!$A:$D,4,FALSE)="",""," ["&amp;VLOOKUP('.'!H203,Recipes!$A:$D,4,FALSE)&amp;"]"))</f>
        <v/>
      </c>
      <c r="I203" s="46" t="str">
        <f t="array" ref="I203">IF('.'!I203="","",'.'!I203&amp;IF(VLOOKUP('.'!I203,Recipes!$A:$D,4,FALSE)="",""," ["&amp;VLOOKUP('.'!I203,Recipes!$A:$D,4,FALSE)&amp;"]"))</f>
        <v/>
      </c>
      <c r="J203" s="46" t="str">
        <f t="array" ref="J203">IF('.'!J203="","",'.'!J203&amp;IF(VLOOKUP('.'!J203,Recipes!$A:$D,4,FALSE)="",""," ["&amp;VLOOKUP('.'!J203,Recipes!$A:$D,4,FALSE)&amp;"]"))</f>
        <v/>
      </c>
      <c r="K203" s="46" t="str">
        <f t="array" ref="K203">IF('.'!K203="","",'.'!K203&amp;IF(VLOOKUP('.'!K203,Recipes!$A:$D,4,FALSE)="",""," ["&amp;VLOOKUP('.'!K203,Recipes!$A:$D,4,FALSE)&amp;"]"))</f>
        <v/>
      </c>
      <c r="L203" s="46" t="str">
        <f t="array" ref="L203">IF('.'!L203="","",'.'!L203&amp;IF(VLOOKUP('.'!L203,Recipes!$A:$D,4,FALSE)="",""," ["&amp;VLOOKUP('.'!L203,Recipes!$A:$D,4,FALSE)&amp;"]"))</f>
        <v/>
      </c>
      <c r="M203" s="46" t="str">
        <f t="array" ref="M203">IF('.'!M203="","",'.'!M203&amp;IF(VLOOKUP('.'!M203,Recipes!$A:$D,4,FALSE)="",""," ["&amp;VLOOKUP('.'!M203,Recipes!$A:$D,4,FALSE)&amp;"]"))</f>
        <v/>
      </c>
      <c r="N203" s="46" t="str">
        <f t="array" ref="N203">IF('.'!N203="","",'.'!N203&amp;IF(VLOOKUP('.'!N203,Recipes!$A:$D,4,FALSE)="",""," ["&amp;VLOOKUP('.'!N203,Recipes!$A:$D,4,FALSE)&amp;"]"))</f>
        <v/>
      </c>
      <c r="O203" s="46" t="str">
        <f t="array" ref="O203">IF('.'!O203="","",'.'!O203&amp;IF(VLOOKUP('.'!O203,Recipes!$A:$D,4,FALSE)="",""," ["&amp;VLOOKUP('.'!O203,Recipes!$A:$D,4,FALSE)&amp;"]"))</f>
        <v/>
      </c>
      <c r="P203" s="46" t="str">
        <f t="array" ref="P203">IF('.'!P203="","",'.'!P203&amp;IF(VLOOKUP('.'!P203,Recipes!$A:$D,4,FALSE)="",""," ["&amp;VLOOKUP('.'!P203,Recipes!$A:$D,4,FALSE)&amp;"]"))</f>
        <v/>
      </c>
      <c r="Q203" s="46" t="str">
        <f t="array" ref="Q203">IF('.'!Q203="","",'.'!Q203&amp;IF(VLOOKUP('.'!Q203,Recipes!$A:$D,4,FALSE)="",""," ["&amp;VLOOKUP('.'!Q203,Recipes!$A:$D,4,FALSE)&amp;"]"))</f>
        <v/>
      </c>
      <c r="R203" s="46" t="str">
        <f t="array" ref="R203">IF('.'!R203="","",'.'!R203&amp;IF(VLOOKUP('.'!R203,Recipes!$A:$D,4,FALSE)="",""," ["&amp;VLOOKUP('.'!R203,Recipes!$A:$D,4,FALSE)&amp;"]"))</f>
        <v/>
      </c>
      <c r="S203" s="46" t="str">
        <f t="array" ref="S203">IF('.'!S203="","",'.'!S203&amp;IF(VLOOKUP('.'!S203,Recipes!$A:$D,4,FALSE)="",""," ["&amp;VLOOKUP('.'!S203,Recipes!$A:$D,4,FALSE)&amp;"]"))</f>
        <v/>
      </c>
      <c r="T203" s="46" t="str">
        <f t="array" ref="T203">IF('.'!T203="","",'.'!T203&amp;IF(VLOOKUP('.'!T203,Recipes!$A:$D,4,FALSE)="",""," ["&amp;VLOOKUP('.'!T203,Recipes!$A:$D,4,FALSE)&amp;"]"))</f>
        <v/>
      </c>
      <c r="U203" s="46" t="str">
        <f t="array" ref="U203">IF('.'!U203="","",'.'!U203&amp;IF(VLOOKUP('.'!U203,Recipes!$A:$D,4,FALSE)="",""," ["&amp;VLOOKUP('.'!U203,Recipes!$A:$D,4,FALSE)&amp;"]"))</f>
        <v/>
      </c>
      <c r="V203" s="46" t="str">
        <f t="array" ref="V203">IF('.'!V203="","",'.'!V203&amp;IF(VLOOKUP('.'!V203,Recipes!$A:$D,4,FALSE)="",""," ["&amp;VLOOKUP('.'!V203,Recipes!$A:$D,4,FALSE)&amp;"]"))</f>
        <v/>
      </c>
      <c r="W203" s="46" t="str">
        <f t="array" ref="W203">IF('.'!W203="","",'.'!W203&amp;IF(VLOOKUP('.'!W203,Recipes!$A:$D,4,FALSE)="",""," ["&amp;VLOOKUP('.'!W203,Recipes!$A:$D,4,FALSE)&amp;"]"))</f>
        <v/>
      </c>
      <c r="X203" s="46" t="str">
        <f t="array" ref="X203">IF('.'!X203="","",'.'!X203&amp;IF(VLOOKUP('.'!X203,Recipes!$A:$D,4,FALSE)="",""," ["&amp;VLOOKUP('.'!X203,Recipes!$A:$D,4,FALSE)&amp;"]"))</f>
        <v/>
      </c>
      <c r="Y203" s="46" t="str">
        <f t="array" ref="Y203">IF('.'!Y203="","",'.'!Y203&amp;IF(VLOOKUP('.'!Y203,Recipes!$A:$D,4,FALSE)="",""," ["&amp;VLOOKUP('.'!Y203,Recipes!$A:$D,4,FALSE)&amp;"]"))</f>
        <v/>
      </c>
      <c r="Z203" s="46" t="str">
        <f t="array" ref="Z203">IF('.'!Z203="","",'.'!Z203&amp;IF(VLOOKUP('.'!Z203,Recipes!$A:$D,4,FALSE)="",""," ["&amp;VLOOKUP('.'!Z203,Recipes!$A:$D,4,FALSE)&amp;"]"))</f>
        <v/>
      </c>
      <c r="AA203" s="46" t="str">
        <f t="array" ref="AA203">IF('.'!AA203="","",'.'!AA203&amp;IF(VLOOKUP('.'!AA203,Recipes!$A:$D,4,FALSE)="",""," ["&amp;VLOOKUP('.'!AA203,Recipes!$A:$D,4,FALSE)&amp;"]"))</f>
        <v/>
      </c>
      <c r="AB203" s="46" t="str">
        <f t="array" ref="AB203">IF('.'!AB203="","",'.'!AB203&amp;IF(VLOOKUP('.'!AB203,Recipes!$A:$D,4,FALSE)="",""," ["&amp;VLOOKUP('.'!AB203,Recipes!$A:$D,4,FALSE)&amp;"]"))</f>
        <v/>
      </c>
      <c r="AC203" s="46" t="str">
        <f t="array" ref="AC203">IF('.'!AC203="","",'.'!AC203&amp;IF(VLOOKUP('.'!AC203,Recipes!$A:$D,4,FALSE)="",""," ["&amp;VLOOKUP('.'!AC203,Recipes!$A:$D,4,FALSE)&amp;"]"))</f>
        <v/>
      </c>
      <c r="AD203" s="46" t="str">
        <f t="array" ref="AD203">IF('.'!AD203="","",'.'!AD203&amp;IF(VLOOKUP('.'!AD203,Recipes!$A:$D,4,FALSE)="",""," ["&amp;VLOOKUP('.'!AD203,Recipes!$A:$D,4,FALSE)&amp;"]"))</f>
        <v/>
      </c>
      <c r="AE203" s="47"/>
      <c r="AF203" s="47"/>
      <c r="AG203" s="47"/>
      <c r="AH203" s="47"/>
      <c r="AI203" s="47"/>
      <c r="AJ203" s="47"/>
      <c r="AK203" s="47"/>
      <c r="AL203" s="47"/>
      <c r="AM203" s="47"/>
      <c r="AN203" s="47"/>
      <c r="AO203" s="47"/>
      <c r="AP203" s="47"/>
      <c r="AQ203" s="47"/>
      <c r="AR203" s="47"/>
      <c r="AS203" s="47"/>
      <c r="AT203" s="47"/>
      <c r="AU203" s="47"/>
      <c r="AV203" s="47"/>
      <c r="AW203" s="47"/>
      <c r="AX203" s="47"/>
      <c r="AY203" s="47"/>
      <c r="AZ203" s="47"/>
      <c r="BA203" s="47"/>
      <c r="BB203" s="47"/>
      <c r="BC203" s="47"/>
      <c r="BD203" s="47"/>
      <c r="BE203" s="47"/>
      <c r="BF203" s="47"/>
      <c r="BG203" s="47"/>
      <c r="BH203" s="47"/>
      <c r="BI203" s="47"/>
      <c r="BJ203" s="47"/>
      <c r="BK203" s="47"/>
      <c r="BL203" s="47"/>
      <c r="BM203" s="47"/>
      <c r="BN203" s="47"/>
      <c r="BO203" s="47"/>
      <c r="BP203" s="47"/>
      <c r="BQ203" s="47"/>
      <c r="BR203" s="47"/>
      <c r="BS203" s="47"/>
      <c r="BT203" s="47"/>
      <c r="BU203" s="47"/>
      <c r="BV203" s="47"/>
      <c r="BW203" s="47"/>
      <c r="BX203" s="47"/>
      <c r="BY203" s="47"/>
      <c r="BZ203" s="47"/>
    </row>
    <row r="204" spans="1:78" ht="13">
      <c r="A204" s="48" t="str">
        <f ca="1">'.'!A204</f>
        <v>Giant Rock Rune</v>
      </c>
      <c r="B204" s="46" t="str">
        <f t="array" aca="1" ref="B204" ca="1">IF('.'!B204="","",'.'!B204&amp;IF(VLOOKUP('.'!B204,Recipes!$A:$D,4,FALSE)="",""," ["&amp;VLOOKUP('.'!B204,Recipes!$A:$D,4,FALSE)&amp;"]"))</f>
        <v>Giant Rock Rune of Power [0]</v>
      </c>
      <c r="C204" s="46" t="str">
        <f t="array" aca="1" ref="C204" ca="1">IF('.'!C204="","",'.'!C204&amp;IF(VLOOKUP('.'!C204,Recipes!$A:$D,4,FALSE)="",""," ["&amp;VLOOKUP('.'!C204,Recipes!$A:$D,4,FALSE)&amp;"]"))</f>
        <v>Mystical Giant Rock Rune [0]</v>
      </c>
      <c r="D204" s="46" t="str">
        <f t="array" ref="D204">IF('.'!D204="","",'.'!D204&amp;IF(VLOOKUP('.'!D204,Recipes!$A:$D,4,FALSE)="",""," ["&amp;VLOOKUP('.'!D204,Recipes!$A:$D,4,FALSE)&amp;"]"))</f>
        <v/>
      </c>
      <c r="E204" s="46" t="str">
        <f t="array" ref="E204">IF('.'!E204="","",'.'!E204&amp;IF(VLOOKUP('.'!E204,Recipes!$A:$D,4,FALSE)="",""," ["&amp;VLOOKUP('.'!E204,Recipes!$A:$D,4,FALSE)&amp;"]"))</f>
        <v/>
      </c>
      <c r="F204" s="46" t="str">
        <f t="array" ref="F204">IF('.'!F204="","",'.'!F204&amp;IF(VLOOKUP('.'!F204,Recipes!$A:$D,4,FALSE)="",""," ["&amp;VLOOKUP('.'!F204,Recipes!$A:$D,4,FALSE)&amp;"]"))</f>
        <v/>
      </c>
      <c r="G204" s="46" t="str">
        <f t="array" ref="G204">IF('.'!G204="","",'.'!G204&amp;IF(VLOOKUP('.'!G204,Recipes!$A:$D,4,FALSE)="",""," ["&amp;VLOOKUP('.'!G204,Recipes!$A:$D,4,FALSE)&amp;"]"))</f>
        <v/>
      </c>
      <c r="H204" s="46" t="str">
        <f t="array" ref="H204">IF('.'!H204="","",'.'!H204&amp;IF(VLOOKUP('.'!H204,Recipes!$A:$D,4,FALSE)="",""," ["&amp;VLOOKUP('.'!H204,Recipes!$A:$D,4,FALSE)&amp;"]"))</f>
        <v/>
      </c>
      <c r="I204" s="46" t="str">
        <f t="array" ref="I204">IF('.'!I204="","",'.'!I204&amp;IF(VLOOKUP('.'!I204,Recipes!$A:$D,4,FALSE)="",""," ["&amp;VLOOKUP('.'!I204,Recipes!$A:$D,4,FALSE)&amp;"]"))</f>
        <v/>
      </c>
      <c r="J204" s="46" t="str">
        <f t="array" ref="J204">IF('.'!J204="","",'.'!J204&amp;IF(VLOOKUP('.'!J204,Recipes!$A:$D,4,FALSE)="",""," ["&amp;VLOOKUP('.'!J204,Recipes!$A:$D,4,FALSE)&amp;"]"))</f>
        <v/>
      </c>
      <c r="K204" s="46" t="str">
        <f t="array" ref="K204">IF('.'!K204="","",'.'!K204&amp;IF(VLOOKUP('.'!K204,Recipes!$A:$D,4,FALSE)="",""," ["&amp;VLOOKUP('.'!K204,Recipes!$A:$D,4,FALSE)&amp;"]"))</f>
        <v/>
      </c>
      <c r="L204" s="46" t="str">
        <f t="array" ref="L204">IF('.'!L204="","",'.'!L204&amp;IF(VLOOKUP('.'!L204,Recipes!$A:$D,4,FALSE)="",""," ["&amp;VLOOKUP('.'!L204,Recipes!$A:$D,4,FALSE)&amp;"]"))</f>
        <v/>
      </c>
      <c r="M204" s="46" t="str">
        <f t="array" ref="M204">IF('.'!M204="","",'.'!M204&amp;IF(VLOOKUP('.'!M204,Recipes!$A:$D,4,FALSE)="",""," ["&amp;VLOOKUP('.'!M204,Recipes!$A:$D,4,FALSE)&amp;"]"))</f>
        <v/>
      </c>
      <c r="N204" s="46" t="str">
        <f t="array" ref="N204">IF('.'!N204="","",'.'!N204&amp;IF(VLOOKUP('.'!N204,Recipes!$A:$D,4,FALSE)="",""," ["&amp;VLOOKUP('.'!N204,Recipes!$A:$D,4,FALSE)&amp;"]"))</f>
        <v/>
      </c>
      <c r="O204" s="46" t="str">
        <f t="array" ref="O204">IF('.'!O204="","",'.'!O204&amp;IF(VLOOKUP('.'!O204,Recipes!$A:$D,4,FALSE)="",""," ["&amp;VLOOKUP('.'!O204,Recipes!$A:$D,4,FALSE)&amp;"]"))</f>
        <v/>
      </c>
      <c r="P204" s="46" t="str">
        <f t="array" ref="P204">IF('.'!P204="","",'.'!P204&amp;IF(VLOOKUP('.'!P204,Recipes!$A:$D,4,FALSE)="",""," ["&amp;VLOOKUP('.'!P204,Recipes!$A:$D,4,FALSE)&amp;"]"))</f>
        <v/>
      </c>
      <c r="Q204" s="46" t="str">
        <f t="array" ref="Q204">IF('.'!Q204="","",'.'!Q204&amp;IF(VLOOKUP('.'!Q204,Recipes!$A:$D,4,FALSE)="",""," ["&amp;VLOOKUP('.'!Q204,Recipes!$A:$D,4,FALSE)&amp;"]"))</f>
        <v/>
      </c>
      <c r="R204" s="46" t="str">
        <f t="array" ref="R204">IF('.'!R204="","",'.'!R204&amp;IF(VLOOKUP('.'!R204,Recipes!$A:$D,4,FALSE)="",""," ["&amp;VLOOKUP('.'!R204,Recipes!$A:$D,4,FALSE)&amp;"]"))</f>
        <v/>
      </c>
      <c r="S204" s="46" t="str">
        <f t="array" ref="S204">IF('.'!S204="","",'.'!S204&amp;IF(VLOOKUP('.'!S204,Recipes!$A:$D,4,FALSE)="",""," ["&amp;VLOOKUP('.'!S204,Recipes!$A:$D,4,FALSE)&amp;"]"))</f>
        <v/>
      </c>
      <c r="T204" s="46" t="str">
        <f t="array" ref="T204">IF('.'!T204="","",'.'!T204&amp;IF(VLOOKUP('.'!T204,Recipes!$A:$D,4,FALSE)="",""," ["&amp;VLOOKUP('.'!T204,Recipes!$A:$D,4,FALSE)&amp;"]"))</f>
        <v/>
      </c>
      <c r="U204" s="46" t="str">
        <f t="array" ref="U204">IF('.'!U204="","",'.'!U204&amp;IF(VLOOKUP('.'!U204,Recipes!$A:$D,4,FALSE)="",""," ["&amp;VLOOKUP('.'!U204,Recipes!$A:$D,4,FALSE)&amp;"]"))</f>
        <v/>
      </c>
      <c r="V204" s="46" t="str">
        <f t="array" ref="V204">IF('.'!V204="","",'.'!V204&amp;IF(VLOOKUP('.'!V204,Recipes!$A:$D,4,FALSE)="",""," ["&amp;VLOOKUP('.'!V204,Recipes!$A:$D,4,FALSE)&amp;"]"))</f>
        <v/>
      </c>
      <c r="W204" s="46" t="str">
        <f t="array" ref="W204">IF('.'!W204="","",'.'!W204&amp;IF(VLOOKUP('.'!W204,Recipes!$A:$D,4,FALSE)="",""," ["&amp;VLOOKUP('.'!W204,Recipes!$A:$D,4,FALSE)&amp;"]"))</f>
        <v/>
      </c>
      <c r="X204" s="46" t="str">
        <f t="array" ref="X204">IF('.'!X204="","",'.'!X204&amp;IF(VLOOKUP('.'!X204,Recipes!$A:$D,4,FALSE)="",""," ["&amp;VLOOKUP('.'!X204,Recipes!$A:$D,4,FALSE)&amp;"]"))</f>
        <v/>
      </c>
      <c r="Y204" s="46" t="str">
        <f t="array" ref="Y204">IF('.'!Y204="","",'.'!Y204&amp;IF(VLOOKUP('.'!Y204,Recipes!$A:$D,4,FALSE)="",""," ["&amp;VLOOKUP('.'!Y204,Recipes!$A:$D,4,FALSE)&amp;"]"))</f>
        <v/>
      </c>
      <c r="Z204" s="46" t="str">
        <f t="array" ref="Z204">IF('.'!Z204="","",'.'!Z204&amp;IF(VLOOKUP('.'!Z204,Recipes!$A:$D,4,FALSE)="",""," ["&amp;VLOOKUP('.'!Z204,Recipes!$A:$D,4,FALSE)&amp;"]"))</f>
        <v/>
      </c>
      <c r="AA204" s="46" t="str">
        <f t="array" ref="AA204">IF('.'!AA204="","",'.'!AA204&amp;IF(VLOOKUP('.'!AA204,Recipes!$A:$D,4,FALSE)="",""," ["&amp;VLOOKUP('.'!AA204,Recipes!$A:$D,4,FALSE)&amp;"]"))</f>
        <v/>
      </c>
      <c r="AB204" s="46" t="str">
        <f t="array" ref="AB204">IF('.'!AB204="","",'.'!AB204&amp;IF(VLOOKUP('.'!AB204,Recipes!$A:$D,4,FALSE)="",""," ["&amp;VLOOKUP('.'!AB204,Recipes!$A:$D,4,FALSE)&amp;"]"))</f>
        <v/>
      </c>
      <c r="AC204" s="46" t="str">
        <f t="array" ref="AC204">IF('.'!AC204="","",'.'!AC204&amp;IF(VLOOKUP('.'!AC204,Recipes!$A:$D,4,FALSE)="",""," ["&amp;VLOOKUP('.'!AC204,Recipes!$A:$D,4,FALSE)&amp;"]"))</f>
        <v/>
      </c>
      <c r="AD204" s="46" t="str">
        <f t="array" ref="AD204">IF('.'!AD204="","",'.'!AD204&amp;IF(VLOOKUP('.'!AD204,Recipes!$A:$D,4,FALSE)="",""," ["&amp;VLOOKUP('.'!AD204,Recipes!$A:$D,4,FALSE)&amp;"]"))</f>
        <v/>
      </c>
      <c r="AE204" s="47"/>
      <c r="AF204" s="47"/>
      <c r="AG204" s="47"/>
      <c r="AH204" s="47"/>
      <c r="AI204" s="47"/>
      <c r="AJ204" s="47"/>
      <c r="AK204" s="47"/>
      <c r="AL204" s="47"/>
      <c r="AM204" s="47"/>
      <c r="AN204" s="47"/>
      <c r="AO204" s="47"/>
      <c r="AP204" s="47"/>
      <c r="AQ204" s="47"/>
      <c r="AR204" s="47"/>
      <c r="AS204" s="47"/>
      <c r="AT204" s="47"/>
      <c r="AU204" s="47"/>
      <c r="AV204" s="47"/>
      <c r="AW204" s="47"/>
      <c r="AX204" s="47"/>
      <c r="AY204" s="47"/>
      <c r="AZ204" s="47"/>
      <c r="BA204" s="47"/>
      <c r="BB204" s="47"/>
      <c r="BC204" s="47"/>
      <c r="BD204" s="47"/>
      <c r="BE204" s="47"/>
      <c r="BF204" s="47"/>
      <c r="BG204" s="47"/>
      <c r="BH204" s="47"/>
      <c r="BI204" s="47"/>
      <c r="BJ204" s="47"/>
      <c r="BK204" s="47"/>
      <c r="BL204" s="47"/>
      <c r="BM204" s="47"/>
      <c r="BN204" s="47"/>
      <c r="BO204" s="47"/>
      <c r="BP204" s="47"/>
      <c r="BQ204" s="47"/>
      <c r="BR204" s="47"/>
      <c r="BS204" s="47"/>
      <c r="BT204" s="47"/>
      <c r="BU204" s="47"/>
      <c r="BV204" s="47"/>
      <c r="BW204" s="47"/>
      <c r="BX204" s="47"/>
      <c r="BY204" s="47"/>
      <c r="BZ204" s="47"/>
    </row>
    <row r="205" spans="1:78" ht="13">
      <c r="A205" s="48" t="str">
        <f ca="1">'.'!A205</f>
        <v>Giant Thunder Rune</v>
      </c>
      <c r="B205" s="46" t="str">
        <f t="array" aca="1" ref="B205" ca="1">IF('.'!B205="","",'.'!B205&amp;IF(VLOOKUP('.'!B205,Recipes!$A:$D,4,FALSE)="",""," ["&amp;VLOOKUP('.'!B205,Recipes!$A:$D,4,FALSE)&amp;"]"))</f>
        <v>Giant Thunder Rune of Power [0]</v>
      </c>
      <c r="C205" s="46" t="str">
        <f t="array" aca="1" ref="C205" ca="1">IF('.'!C205="","",'.'!C205&amp;IF(VLOOKUP('.'!C205,Recipes!$A:$D,4,FALSE)="",""," ["&amp;VLOOKUP('.'!C205,Recipes!$A:$D,4,FALSE)&amp;"]"))</f>
        <v>Mystical Giant Thunder Rune [0]</v>
      </c>
      <c r="D205" s="46" t="str">
        <f t="array" ref="D205">IF('.'!D205="","",'.'!D205&amp;IF(VLOOKUP('.'!D205,Recipes!$A:$D,4,FALSE)="",""," ["&amp;VLOOKUP('.'!D205,Recipes!$A:$D,4,FALSE)&amp;"]"))</f>
        <v/>
      </c>
      <c r="E205" s="46" t="str">
        <f t="array" ref="E205">IF('.'!E205="","",'.'!E205&amp;IF(VLOOKUP('.'!E205,Recipes!$A:$D,4,FALSE)="",""," ["&amp;VLOOKUP('.'!E205,Recipes!$A:$D,4,FALSE)&amp;"]"))</f>
        <v/>
      </c>
      <c r="F205" s="46" t="str">
        <f t="array" ref="F205">IF('.'!F205="","",'.'!F205&amp;IF(VLOOKUP('.'!F205,Recipes!$A:$D,4,FALSE)="",""," ["&amp;VLOOKUP('.'!F205,Recipes!$A:$D,4,FALSE)&amp;"]"))</f>
        <v/>
      </c>
      <c r="G205" s="46" t="str">
        <f t="array" ref="G205">IF('.'!G205="","",'.'!G205&amp;IF(VLOOKUP('.'!G205,Recipes!$A:$D,4,FALSE)="",""," ["&amp;VLOOKUP('.'!G205,Recipes!$A:$D,4,FALSE)&amp;"]"))</f>
        <v/>
      </c>
      <c r="H205" s="46" t="str">
        <f t="array" ref="H205">IF('.'!H205="","",'.'!H205&amp;IF(VLOOKUP('.'!H205,Recipes!$A:$D,4,FALSE)="",""," ["&amp;VLOOKUP('.'!H205,Recipes!$A:$D,4,FALSE)&amp;"]"))</f>
        <v/>
      </c>
      <c r="I205" s="46" t="str">
        <f t="array" ref="I205">IF('.'!I205="","",'.'!I205&amp;IF(VLOOKUP('.'!I205,Recipes!$A:$D,4,FALSE)="",""," ["&amp;VLOOKUP('.'!I205,Recipes!$A:$D,4,FALSE)&amp;"]"))</f>
        <v/>
      </c>
      <c r="J205" s="46" t="str">
        <f t="array" ref="J205">IF('.'!J205="","",'.'!J205&amp;IF(VLOOKUP('.'!J205,Recipes!$A:$D,4,FALSE)="",""," ["&amp;VLOOKUP('.'!J205,Recipes!$A:$D,4,FALSE)&amp;"]"))</f>
        <v/>
      </c>
      <c r="K205" s="46" t="str">
        <f t="array" ref="K205">IF('.'!K205="","",'.'!K205&amp;IF(VLOOKUP('.'!K205,Recipes!$A:$D,4,FALSE)="",""," ["&amp;VLOOKUP('.'!K205,Recipes!$A:$D,4,FALSE)&amp;"]"))</f>
        <v/>
      </c>
      <c r="L205" s="46" t="str">
        <f t="array" ref="L205">IF('.'!L205="","",'.'!L205&amp;IF(VLOOKUP('.'!L205,Recipes!$A:$D,4,FALSE)="",""," ["&amp;VLOOKUP('.'!L205,Recipes!$A:$D,4,FALSE)&amp;"]"))</f>
        <v/>
      </c>
      <c r="M205" s="46" t="str">
        <f t="array" ref="M205">IF('.'!M205="","",'.'!M205&amp;IF(VLOOKUP('.'!M205,Recipes!$A:$D,4,FALSE)="",""," ["&amp;VLOOKUP('.'!M205,Recipes!$A:$D,4,FALSE)&amp;"]"))</f>
        <v/>
      </c>
      <c r="N205" s="46" t="str">
        <f t="array" ref="N205">IF('.'!N205="","",'.'!N205&amp;IF(VLOOKUP('.'!N205,Recipes!$A:$D,4,FALSE)="",""," ["&amp;VLOOKUP('.'!N205,Recipes!$A:$D,4,FALSE)&amp;"]"))</f>
        <v/>
      </c>
      <c r="O205" s="46" t="str">
        <f t="array" ref="O205">IF('.'!O205="","",'.'!O205&amp;IF(VLOOKUP('.'!O205,Recipes!$A:$D,4,FALSE)="",""," ["&amp;VLOOKUP('.'!O205,Recipes!$A:$D,4,FALSE)&amp;"]"))</f>
        <v/>
      </c>
      <c r="P205" s="46" t="str">
        <f t="array" ref="P205">IF('.'!P205="","",'.'!P205&amp;IF(VLOOKUP('.'!P205,Recipes!$A:$D,4,FALSE)="",""," ["&amp;VLOOKUP('.'!P205,Recipes!$A:$D,4,FALSE)&amp;"]"))</f>
        <v/>
      </c>
      <c r="Q205" s="46" t="str">
        <f t="array" ref="Q205">IF('.'!Q205="","",'.'!Q205&amp;IF(VLOOKUP('.'!Q205,Recipes!$A:$D,4,FALSE)="",""," ["&amp;VLOOKUP('.'!Q205,Recipes!$A:$D,4,FALSE)&amp;"]"))</f>
        <v/>
      </c>
      <c r="R205" s="46" t="str">
        <f t="array" ref="R205">IF('.'!R205="","",'.'!R205&amp;IF(VLOOKUP('.'!R205,Recipes!$A:$D,4,FALSE)="",""," ["&amp;VLOOKUP('.'!R205,Recipes!$A:$D,4,FALSE)&amp;"]"))</f>
        <v/>
      </c>
      <c r="S205" s="46" t="str">
        <f t="array" ref="S205">IF('.'!S205="","",'.'!S205&amp;IF(VLOOKUP('.'!S205,Recipes!$A:$D,4,FALSE)="",""," ["&amp;VLOOKUP('.'!S205,Recipes!$A:$D,4,FALSE)&amp;"]"))</f>
        <v/>
      </c>
      <c r="T205" s="46" t="str">
        <f t="array" ref="T205">IF('.'!T205="","",'.'!T205&amp;IF(VLOOKUP('.'!T205,Recipes!$A:$D,4,FALSE)="",""," ["&amp;VLOOKUP('.'!T205,Recipes!$A:$D,4,FALSE)&amp;"]"))</f>
        <v/>
      </c>
      <c r="U205" s="46" t="str">
        <f t="array" ref="U205">IF('.'!U205="","",'.'!U205&amp;IF(VLOOKUP('.'!U205,Recipes!$A:$D,4,FALSE)="",""," ["&amp;VLOOKUP('.'!U205,Recipes!$A:$D,4,FALSE)&amp;"]"))</f>
        <v/>
      </c>
      <c r="V205" s="46" t="str">
        <f t="array" ref="V205">IF('.'!V205="","",'.'!V205&amp;IF(VLOOKUP('.'!V205,Recipes!$A:$D,4,FALSE)="",""," ["&amp;VLOOKUP('.'!V205,Recipes!$A:$D,4,FALSE)&amp;"]"))</f>
        <v/>
      </c>
      <c r="W205" s="46" t="str">
        <f t="array" ref="W205">IF('.'!W205="","",'.'!W205&amp;IF(VLOOKUP('.'!W205,Recipes!$A:$D,4,FALSE)="",""," ["&amp;VLOOKUP('.'!W205,Recipes!$A:$D,4,FALSE)&amp;"]"))</f>
        <v/>
      </c>
      <c r="X205" s="46" t="str">
        <f t="array" ref="X205">IF('.'!X205="","",'.'!X205&amp;IF(VLOOKUP('.'!X205,Recipes!$A:$D,4,FALSE)="",""," ["&amp;VLOOKUP('.'!X205,Recipes!$A:$D,4,FALSE)&amp;"]"))</f>
        <v/>
      </c>
      <c r="Y205" s="46" t="str">
        <f t="array" ref="Y205">IF('.'!Y205="","",'.'!Y205&amp;IF(VLOOKUP('.'!Y205,Recipes!$A:$D,4,FALSE)="",""," ["&amp;VLOOKUP('.'!Y205,Recipes!$A:$D,4,FALSE)&amp;"]"))</f>
        <v/>
      </c>
      <c r="Z205" s="46" t="str">
        <f t="array" ref="Z205">IF('.'!Z205="","",'.'!Z205&amp;IF(VLOOKUP('.'!Z205,Recipes!$A:$D,4,FALSE)="",""," ["&amp;VLOOKUP('.'!Z205,Recipes!$A:$D,4,FALSE)&amp;"]"))</f>
        <v/>
      </c>
      <c r="AA205" s="46" t="str">
        <f t="array" ref="AA205">IF('.'!AA205="","",'.'!AA205&amp;IF(VLOOKUP('.'!AA205,Recipes!$A:$D,4,FALSE)="",""," ["&amp;VLOOKUP('.'!AA205,Recipes!$A:$D,4,FALSE)&amp;"]"))</f>
        <v/>
      </c>
      <c r="AB205" s="46" t="str">
        <f t="array" ref="AB205">IF('.'!AB205="","",'.'!AB205&amp;IF(VLOOKUP('.'!AB205,Recipes!$A:$D,4,FALSE)="",""," ["&amp;VLOOKUP('.'!AB205,Recipes!$A:$D,4,FALSE)&amp;"]"))</f>
        <v/>
      </c>
      <c r="AC205" s="46" t="str">
        <f t="array" ref="AC205">IF('.'!AC205="","",'.'!AC205&amp;IF(VLOOKUP('.'!AC205,Recipes!$A:$D,4,FALSE)="",""," ["&amp;VLOOKUP('.'!AC205,Recipes!$A:$D,4,FALSE)&amp;"]"))</f>
        <v/>
      </c>
      <c r="AD205" s="46" t="str">
        <f t="array" ref="AD205">IF('.'!AD205="","",'.'!AD205&amp;IF(VLOOKUP('.'!AD205,Recipes!$A:$D,4,FALSE)="",""," ["&amp;VLOOKUP('.'!AD205,Recipes!$A:$D,4,FALSE)&amp;"]"))</f>
        <v/>
      </c>
      <c r="AE205" s="47"/>
      <c r="AF205" s="47"/>
      <c r="AG205" s="47"/>
      <c r="AH205" s="47"/>
      <c r="AI205" s="47"/>
      <c r="AJ205" s="47"/>
      <c r="AK205" s="47"/>
      <c r="AL205" s="47"/>
      <c r="AM205" s="47"/>
      <c r="AN205" s="47"/>
      <c r="AO205" s="47"/>
      <c r="AP205" s="47"/>
      <c r="AQ205" s="47"/>
      <c r="AR205" s="47"/>
      <c r="AS205" s="47"/>
      <c r="AT205" s="47"/>
      <c r="AU205" s="47"/>
      <c r="AV205" s="47"/>
      <c r="AW205" s="47"/>
      <c r="AX205" s="47"/>
      <c r="AY205" s="47"/>
      <c r="AZ205" s="47"/>
      <c r="BA205" s="47"/>
      <c r="BB205" s="47"/>
      <c r="BC205" s="47"/>
      <c r="BD205" s="47"/>
      <c r="BE205" s="47"/>
      <c r="BF205" s="47"/>
      <c r="BG205" s="47"/>
      <c r="BH205" s="47"/>
      <c r="BI205" s="47"/>
      <c r="BJ205" s="47"/>
      <c r="BK205" s="47"/>
      <c r="BL205" s="47"/>
      <c r="BM205" s="47"/>
      <c r="BN205" s="47"/>
      <c r="BO205" s="47"/>
      <c r="BP205" s="47"/>
      <c r="BQ205" s="47"/>
      <c r="BR205" s="47"/>
      <c r="BS205" s="47"/>
      <c r="BT205" s="47"/>
      <c r="BU205" s="47"/>
      <c r="BV205" s="47"/>
      <c r="BW205" s="47"/>
      <c r="BX205" s="47"/>
      <c r="BY205" s="47"/>
      <c r="BZ205" s="47"/>
    </row>
    <row r="206" spans="1:78" ht="13">
      <c r="A206" s="48" t="str">
        <f ca="1">'.'!A206</f>
        <v>Giant Venom Rune</v>
      </c>
      <c r="B206" s="46" t="str">
        <f t="array" aca="1" ref="B206" ca="1">IF('.'!B206="","",'.'!B206&amp;IF(VLOOKUP('.'!B206,Recipes!$A:$D,4,FALSE)="",""," ["&amp;VLOOKUP('.'!B206,Recipes!$A:$D,4,FALSE)&amp;"]"))</f>
        <v>Giant Venom Rune of Power [0]</v>
      </c>
      <c r="C206" s="46" t="str">
        <f t="array" aca="1" ref="C206" ca="1">IF('.'!C206="","",'.'!C206&amp;IF(VLOOKUP('.'!C206,Recipes!$A:$D,4,FALSE)="",""," ["&amp;VLOOKUP('.'!C206,Recipes!$A:$D,4,FALSE)&amp;"]"))</f>
        <v>Mystical Giant Venom Rune [0]</v>
      </c>
      <c r="D206" s="46" t="str">
        <f t="array" ref="D206">IF('.'!D206="","",'.'!D206&amp;IF(VLOOKUP('.'!D206,Recipes!$A:$D,4,FALSE)="",""," ["&amp;VLOOKUP('.'!D206,Recipes!$A:$D,4,FALSE)&amp;"]"))</f>
        <v/>
      </c>
      <c r="E206" s="46" t="str">
        <f t="array" ref="E206">IF('.'!E206="","",'.'!E206&amp;IF(VLOOKUP('.'!E206,Recipes!$A:$D,4,FALSE)="",""," ["&amp;VLOOKUP('.'!E206,Recipes!$A:$D,4,FALSE)&amp;"]"))</f>
        <v/>
      </c>
      <c r="F206" s="46" t="str">
        <f t="array" ref="F206">IF('.'!F206="","",'.'!F206&amp;IF(VLOOKUP('.'!F206,Recipes!$A:$D,4,FALSE)="",""," ["&amp;VLOOKUP('.'!F206,Recipes!$A:$D,4,FALSE)&amp;"]"))</f>
        <v/>
      </c>
      <c r="G206" s="46" t="str">
        <f t="array" ref="G206">IF('.'!G206="","",'.'!G206&amp;IF(VLOOKUP('.'!G206,Recipes!$A:$D,4,FALSE)="",""," ["&amp;VLOOKUP('.'!G206,Recipes!$A:$D,4,FALSE)&amp;"]"))</f>
        <v/>
      </c>
      <c r="H206" s="46" t="str">
        <f t="array" ref="H206">IF('.'!H206="","",'.'!H206&amp;IF(VLOOKUP('.'!H206,Recipes!$A:$D,4,FALSE)="",""," ["&amp;VLOOKUP('.'!H206,Recipes!$A:$D,4,FALSE)&amp;"]"))</f>
        <v/>
      </c>
      <c r="I206" s="46" t="str">
        <f t="array" ref="I206">IF('.'!I206="","",'.'!I206&amp;IF(VLOOKUP('.'!I206,Recipes!$A:$D,4,FALSE)="",""," ["&amp;VLOOKUP('.'!I206,Recipes!$A:$D,4,FALSE)&amp;"]"))</f>
        <v/>
      </c>
      <c r="J206" s="46" t="str">
        <f t="array" ref="J206">IF('.'!J206="","",'.'!J206&amp;IF(VLOOKUP('.'!J206,Recipes!$A:$D,4,FALSE)="",""," ["&amp;VLOOKUP('.'!J206,Recipes!$A:$D,4,FALSE)&amp;"]"))</f>
        <v/>
      </c>
      <c r="K206" s="46" t="str">
        <f t="array" ref="K206">IF('.'!K206="","",'.'!K206&amp;IF(VLOOKUP('.'!K206,Recipes!$A:$D,4,FALSE)="",""," ["&amp;VLOOKUP('.'!K206,Recipes!$A:$D,4,FALSE)&amp;"]"))</f>
        <v/>
      </c>
      <c r="L206" s="46" t="str">
        <f t="array" ref="L206">IF('.'!L206="","",'.'!L206&amp;IF(VLOOKUP('.'!L206,Recipes!$A:$D,4,FALSE)="",""," ["&amp;VLOOKUP('.'!L206,Recipes!$A:$D,4,FALSE)&amp;"]"))</f>
        <v/>
      </c>
      <c r="M206" s="46" t="str">
        <f t="array" ref="M206">IF('.'!M206="","",'.'!M206&amp;IF(VLOOKUP('.'!M206,Recipes!$A:$D,4,FALSE)="",""," ["&amp;VLOOKUP('.'!M206,Recipes!$A:$D,4,FALSE)&amp;"]"))</f>
        <v/>
      </c>
      <c r="N206" s="46" t="str">
        <f t="array" ref="N206">IF('.'!N206="","",'.'!N206&amp;IF(VLOOKUP('.'!N206,Recipes!$A:$D,4,FALSE)="",""," ["&amp;VLOOKUP('.'!N206,Recipes!$A:$D,4,FALSE)&amp;"]"))</f>
        <v/>
      </c>
      <c r="O206" s="46" t="str">
        <f t="array" ref="O206">IF('.'!O206="","",'.'!O206&amp;IF(VLOOKUP('.'!O206,Recipes!$A:$D,4,FALSE)="",""," ["&amp;VLOOKUP('.'!O206,Recipes!$A:$D,4,FALSE)&amp;"]"))</f>
        <v/>
      </c>
      <c r="P206" s="46" t="str">
        <f t="array" ref="P206">IF('.'!P206="","",'.'!P206&amp;IF(VLOOKUP('.'!P206,Recipes!$A:$D,4,FALSE)="",""," ["&amp;VLOOKUP('.'!P206,Recipes!$A:$D,4,FALSE)&amp;"]"))</f>
        <v/>
      </c>
      <c r="Q206" s="46" t="str">
        <f t="array" ref="Q206">IF('.'!Q206="","",'.'!Q206&amp;IF(VLOOKUP('.'!Q206,Recipes!$A:$D,4,FALSE)="",""," ["&amp;VLOOKUP('.'!Q206,Recipes!$A:$D,4,FALSE)&amp;"]"))</f>
        <v/>
      </c>
      <c r="R206" s="46" t="str">
        <f t="array" ref="R206">IF('.'!R206="","",'.'!R206&amp;IF(VLOOKUP('.'!R206,Recipes!$A:$D,4,FALSE)="",""," ["&amp;VLOOKUP('.'!R206,Recipes!$A:$D,4,FALSE)&amp;"]"))</f>
        <v/>
      </c>
      <c r="S206" s="46" t="str">
        <f t="array" ref="S206">IF('.'!S206="","",'.'!S206&amp;IF(VLOOKUP('.'!S206,Recipes!$A:$D,4,FALSE)="",""," ["&amp;VLOOKUP('.'!S206,Recipes!$A:$D,4,FALSE)&amp;"]"))</f>
        <v/>
      </c>
      <c r="T206" s="46" t="str">
        <f t="array" ref="T206">IF('.'!T206="","",'.'!T206&amp;IF(VLOOKUP('.'!T206,Recipes!$A:$D,4,FALSE)="",""," ["&amp;VLOOKUP('.'!T206,Recipes!$A:$D,4,FALSE)&amp;"]"))</f>
        <v/>
      </c>
      <c r="U206" s="46" t="str">
        <f t="array" ref="U206">IF('.'!U206="","",'.'!U206&amp;IF(VLOOKUP('.'!U206,Recipes!$A:$D,4,FALSE)="",""," ["&amp;VLOOKUP('.'!U206,Recipes!$A:$D,4,FALSE)&amp;"]"))</f>
        <v/>
      </c>
      <c r="V206" s="46" t="str">
        <f t="array" ref="V206">IF('.'!V206="","",'.'!V206&amp;IF(VLOOKUP('.'!V206,Recipes!$A:$D,4,FALSE)="",""," ["&amp;VLOOKUP('.'!V206,Recipes!$A:$D,4,FALSE)&amp;"]"))</f>
        <v/>
      </c>
      <c r="W206" s="46" t="str">
        <f t="array" ref="W206">IF('.'!W206="","",'.'!W206&amp;IF(VLOOKUP('.'!W206,Recipes!$A:$D,4,FALSE)="",""," ["&amp;VLOOKUP('.'!W206,Recipes!$A:$D,4,FALSE)&amp;"]"))</f>
        <v/>
      </c>
      <c r="X206" s="46" t="str">
        <f t="array" ref="X206">IF('.'!X206="","",'.'!X206&amp;IF(VLOOKUP('.'!X206,Recipes!$A:$D,4,FALSE)="",""," ["&amp;VLOOKUP('.'!X206,Recipes!$A:$D,4,FALSE)&amp;"]"))</f>
        <v/>
      </c>
      <c r="Y206" s="46" t="str">
        <f t="array" ref="Y206">IF('.'!Y206="","",'.'!Y206&amp;IF(VLOOKUP('.'!Y206,Recipes!$A:$D,4,FALSE)="",""," ["&amp;VLOOKUP('.'!Y206,Recipes!$A:$D,4,FALSE)&amp;"]"))</f>
        <v/>
      </c>
      <c r="Z206" s="46" t="str">
        <f t="array" ref="Z206">IF('.'!Z206="","",'.'!Z206&amp;IF(VLOOKUP('.'!Z206,Recipes!$A:$D,4,FALSE)="",""," ["&amp;VLOOKUP('.'!Z206,Recipes!$A:$D,4,FALSE)&amp;"]"))</f>
        <v/>
      </c>
      <c r="AA206" s="46" t="str">
        <f t="array" ref="AA206">IF('.'!AA206="","",'.'!AA206&amp;IF(VLOOKUP('.'!AA206,Recipes!$A:$D,4,FALSE)="",""," ["&amp;VLOOKUP('.'!AA206,Recipes!$A:$D,4,FALSE)&amp;"]"))</f>
        <v/>
      </c>
      <c r="AB206" s="46" t="str">
        <f t="array" ref="AB206">IF('.'!AB206="","",'.'!AB206&amp;IF(VLOOKUP('.'!AB206,Recipes!$A:$D,4,FALSE)="",""," ["&amp;VLOOKUP('.'!AB206,Recipes!$A:$D,4,FALSE)&amp;"]"))</f>
        <v/>
      </c>
      <c r="AC206" s="46" t="str">
        <f t="array" ref="AC206">IF('.'!AC206="","",'.'!AC206&amp;IF(VLOOKUP('.'!AC206,Recipes!$A:$D,4,FALSE)="",""," ["&amp;VLOOKUP('.'!AC206,Recipes!$A:$D,4,FALSE)&amp;"]"))</f>
        <v/>
      </c>
      <c r="AD206" s="46" t="str">
        <f t="array" ref="AD206">IF('.'!AD206="","",'.'!AD206&amp;IF(VLOOKUP('.'!AD206,Recipes!$A:$D,4,FALSE)="",""," ["&amp;VLOOKUP('.'!AD206,Recipes!$A:$D,4,FALSE)&amp;"]"))</f>
        <v/>
      </c>
      <c r="AE206" s="47"/>
      <c r="AF206" s="47"/>
      <c r="AG206" s="47"/>
      <c r="AH206" s="47"/>
      <c r="AI206" s="47"/>
      <c r="AJ206" s="47"/>
      <c r="AK206" s="47"/>
      <c r="AL206" s="47"/>
      <c r="AM206" s="47"/>
      <c r="AN206" s="47"/>
      <c r="AO206" s="47"/>
      <c r="AP206" s="47"/>
      <c r="AQ206" s="47"/>
      <c r="AR206" s="47"/>
      <c r="AS206" s="47"/>
      <c r="AT206" s="47"/>
      <c r="AU206" s="47"/>
      <c r="AV206" s="47"/>
      <c r="AW206" s="47"/>
      <c r="AX206" s="47"/>
      <c r="AY206" s="47"/>
      <c r="AZ206" s="47"/>
      <c r="BA206" s="47"/>
      <c r="BB206" s="47"/>
      <c r="BC206" s="47"/>
      <c r="BD206" s="47"/>
      <c r="BE206" s="47"/>
      <c r="BF206" s="47"/>
      <c r="BG206" s="47"/>
      <c r="BH206" s="47"/>
      <c r="BI206" s="47"/>
      <c r="BJ206" s="47"/>
      <c r="BK206" s="47"/>
      <c r="BL206" s="47"/>
      <c r="BM206" s="47"/>
      <c r="BN206" s="47"/>
      <c r="BO206" s="47"/>
      <c r="BP206" s="47"/>
      <c r="BQ206" s="47"/>
      <c r="BR206" s="47"/>
      <c r="BS206" s="47"/>
      <c r="BT206" s="47"/>
      <c r="BU206" s="47"/>
      <c r="BV206" s="47"/>
      <c r="BW206" s="47"/>
      <c r="BX206" s="47"/>
      <c r="BY206" s="47"/>
      <c r="BZ206" s="47"/>
    </row>
    <row r="207" spans="1:78" ht="13">
      <c r="A207" s="48" t="str">
        <f ca="1">'.'!A207</f>
        <v>Global Cooling Scroll</v>
      </c>
      <c r="B207" s="46" t="str">
        <f t="array" aca="1" ref="B207" ca="1">IF('.'!B207="","",'.'!B207&amp;IF(VLOOKUP('.'!B207,Recipes!$A:$D,4,FALSE)="",""," ["&amp;VLOOKUP('.'!B207,Recipes!$A:$D,4,FALSE)&amp;"]"))</f>
        <v>Global Cooling Skillbook [100]</v>
      </c>
      <c r="C207" s="46" t="str">
        <f t="array" ref="C207">IF('.'!C207="","",'.'!C207&amp;IF(VLOOKUP('.'!C207,Recipes!$A:$D,4,FALSE)="",""," ["&amp;VLOOKUP('.'!C207,Recipes!$A:$D,4,FALSE)&amp;"]"))</f>
        <v/>
      </c>
      <c r="D207" s="46" t="str">
        <f t="array" ref="D207">IF('.'!D207="","",'.'!D207&amp;IF(VLOOKUP('.'!D207,Recipes!$A:$D,4,FALSE)="",""," ["&amp;VLOOKUP('.'!D207,Recipes!$A:$D,4,FALSE)&amp;"]"))</f>
        <v/>
      </c>
      <c r="E207" s="46" t="str">
        <f t="array" ref="E207">IF('.'!E207="","",'.'!E207&amp;IF(VLOOKUP('.'!E207,Recipes!$A:$D,4,FALSE)="",""," ["&amp;VLOOKUP('.'!E207,Recipes!$A:$D,4,FALSE)&amp;"]"))</f>
        <v/>
      </c>
      <c r="F207" s="46" t="str">
        <f t="array" ref="F207">IF('.'!F207="","",'.'!F207&amp;IF(VLOOKUP('.'!F207,Recipes!$A:$D,4,FALSE)="",""," ["&amp;VLOOKUP('.'!F207,Recipes!$A:$D,4,FALSE)&amp;"]"))</f>
        <v/>
      </c>
      <c r="G207" s="46" t="str">
        <f t="array" ref="G207">IF('.'!G207="","",'.'!G207&amp;IF(VLOOKUP('.'!G207,Recipes!$A:$D,4,FALSE)="",""," ["&amp;VLOOKUP('.'!G207,Recipes!$A:$D,4,FALSE)&amp;"]"))</f>
        <v/>
      </c>
      <c r="H207" s="46" t="str">
        <f t="array" ref="H207">IF('.'!H207="","",'.'!H207&amp;IF(VLOOKUP('.'!H207,Recipes!$A:$D,4,FALSE)="",""," ["&amp;VLOOKUP('.'!H207,Recipes!$A:$D,4,FALSE)&amp;"]"))</f>
        <v/>
      </c>
      <c r="I207" s="46" t="str">
        <f t="array" ref="I207">IF('.'!I207="","",'.'!I207&amp;IF(VLOOKUP('.'!I207,Recipes!$A:$D,4,FALSE)="",""," ["&amp;VLOOKUP('.'!I207,Recipes!$A:$D,4,FALSE)&amp;"]"))</f>
        <v/>
      </c>
      <c r="J207" s="46" t="str">
        <f t="array" ref="J207">IF('.'!J207="","",'.'!J207&amp;IF(VLOOKUP('.'!J207,Recipes!$A:$D,4,FALSE)="",""," ["&amp;VLOOKUP('.'!J207,Recipes!$A:$D,4,FALSE)&amp;"]"))</f>
        <v/>
      </c>
      <c r="K207" s="46" t="str">
        <f t="array" ref="K207">IF('.'!K207="","",'.'!K207&amp;IF(VLOOKUP('.'!K207,Recipes!$A:$D,4,FALSE)="",""," ["&amp;VLOOKUP('.'!K207,Recipes!$A:$D,4,FALSE)&amp;"]"))</f>
        <v/>
      </c>
      <c r="L207" s="46" t="str">
        <f t="array" ref="L207">IF('.'!L207="","",'.'!L207&amp;IF(VLOOKUP('.'!L207,Recipes!$A:$D,4,FALSE)="",""," ["&amp;VLOOKUP('.'!L207,Recipes!$A:$D,4,FALSE)&amp;"]"))</f>
        <v/>
      </c>
      <c r="M207" s="46" t="str">
        <f t="array" ref="M207">IF('.'!M207="","",'.'!M207&amp;IF(VLOOKUP('.'!M207,Recipes!$A:$D,4,FALSE)="",""," ["&amp;VLOOKUP('.'!M207,Recipes!$A:$D,4,FALSE)&amp;"]"))</f>
        <v/>
      </c>
      <c r="N207" s="46" t="str">
        <f t="array" ref="N207">IF('.'!N207="","",'.'!N207&amp;IF(VLOOKUP('.'!N207,Recipes!$A:$D,4,FALSE)="",""," ["&amp;VLOOKUP('.'!N207,Recipes!$A:$D,4,FALSE)&amp;"]"))</f>
        <v/>
      </c>
      <c r="O207" s="46" t="str">
        <f t="array" ref="O207">IF('.'!O207="","",'.'!O207&amp;IF(VLOOKUP('.'!O207,Recipes!$A:$D,4,FALSE)="",""," ["&amp;VLOOKUP('.'!O207,Recipes!$A:$D,4,FALSE)&amp;"]"))</f>
        <v/>
      </c>
      <c r="P207" s="46" t="str">
        <f t="array" ref="P207">IF('.'!P207="","",'.'!P207&amp;IF(VLOOKUP('.'!P207,Recipes!$A:$D,4,FALSE)="",""," ["&amp;VLOOKUP('.'!P207,Recipes!$A:$D,4,FALSE)&amp;"]"))</f>
        <v/>
      </c>
      <c r="Q207" s="46" t="str">
        <f t="array" ref="Q207">IF('.'!Q207="","",'.'!Q207&amp;IF(VLOOKUP('.'!Q207,Recipes!$A:$D,4,FALSE)="",""," ["&amp;VLOOKUP('.'!Q207,Recipes!$A:$D,4,FALSE)&amp;"]"))</f>
        <v/>
      </c>
      <c r="R207" s="46" t="str">
        <f t="array" ref="R207">IF('.'!R207="","",'.'!R207&amp;IF(VLOOKUP('.'!R207,Recipes!$A:$D,4,FALSE)="",""," ["&amp;VLOOKUP('.'!R207,Recipes!$A:$D,4,FALSE)&amp;"]"))</f>
        <v/>
      </c>
      <c r="S207" s="46" t="str">
        <f t="array" ref="S207">IF('.'!S207="","",'.'!S207&amp;IF(VLOOKUP('.'!S207,Recipes!$A:$D,4,FALSE)="",""," ["&amp;VLOOKUP('.'!S207,Recipes!$A:$D,4,FALSE)&amp;"]"))</f>
        <v/>
      </c>
      <c r="T207" s="46" t="str">
        <f t="array" ref="T207">IF('.'!T207="","",'.'!T207&amp;IF(VLOOKUP('.'!T207,Recipes!$A:$D,4,FALSE)="",""," ["&amp;VLOOKUP('.'!T207,Recipes!$A:$D,4,FALSE)&amp;"]"))</f>
        <v/>
      </c>
      <c r="U207" s="46" t="str">
        <f t="array" ref="U207">IF('.'!U207="","",'.'!U207&amp;IF(VLOOKUP('.'!U207,Recipes!$A:$D,4,FALSE)="",""," ["&amp;VLOOKUP('.'!U207,Recipes!$A:$D,4,FALSE)&amp;"]"))</f>
        <v/>
      </c>
      <c r="V207" s="46" t="str">
        <f t="array" ref="V207">IF('.'!V207="","",'.'!V207&amp;IF(VLOOKUP('.'!V207,Recipes!$A:$D,4,FALSE)="",""," ["&amp;VLOOKUP('.'!V207,Recipes!$A:$D,4,FALSE)&amp;"]"))</f>
        <v/>
      </c>
      <c r="W207" s="46" t="str">
        <f t="array" ref="W207">IF('.'!W207="","",'.'!W207&amp;IF(VLOOKUP('.'!W207,Recipes!$A:$D,4,FALSE)="",""," ["&amp;VLOOKUP('.'!W207,Recipes!$A:$D,4,FALSE)&amp;"]"))</f>
        <v/>
      </c>
      <c r="X207" s="46" t="str">
        <f t="array" ref="X207">IF('.'!X207="","",'.'!X207&amp;IF(VLOOKUP('.'!X207,Recipes!$A:$D,4,FALSE)="",""," ["&amp;VLOOKUP('.'!X207,Recipes!$A:$D,4,FALSE)&amp;"]"))</f>
        <v/>
      </c>
      <c r="Y207" s="46" t="str">
        <f t="array" ref="Y207">IF('.'!Y207="","",'.'!Y207&amp;IF(VLOOKUP('.'!Y207,Recipes!$A:$D,4,FALSE)="",""," ["&amp;VLOOKUP('.'!Y207,Recipes!$A:$D,4,FALSE)&amp;"]"))</f>
        <v/>
      </c>
      <c r="Z207" s="46" t="str">
        <f t="array" ref="Z207">IF('.'!Z207="","",'.'!Z207&amp;IF(VLOOKUP('.'!Z207,Recipes!$A:$D,4,FALSE)="",""," ["&amp;VLOOKUP('.'!Z207,Recipes!$A:$D,4,FALSE)&amp;"]"))</f>
        <v/>
      </c>
      <c r="AA207" s="46" t="str">
        <f t="array" ref="AA207">IF('.'!AA207="","",'.'!AA207&amp;IF(VLOOKUP('.'!AA207,Recipes!$A:$D,4,FALSE)="",""," ["&amp;VLOOKUP('.'!AA207,Recipes!$A:$D,4,FALSE)&amp;"]"))</f>
        <v/>
      </c>
      <c r="AB207" s="46" t="str">
        <f t="array" ref="AB207">IF('.'!AB207="","",'.'!AB207&amp;IF(VLOOKUP('.'!AB207,Recipes!$A:$D,4,FALSE)="",""," ["&amp;VLOOKUP('.'!AB207,Recipes!$A:$D,4,FALSE)&amp;"]"))</f>
        <v/>
      </c>
      <c r="AC207" s="46" t="str">
        <f t="array" ref="AC207">IF('.'!AC207="","",'.'!AC207&amp;IF(VLOOKUP('.'!AC207,Recipes!$A:$D,4,FALSE)="",""," ["&amp;VLOOKUP('.'!AC207,Recipes!$A:$D,4,FALSE)&amp;"]"))</f>
        <v/>
      </c>
      <c r="AD207" s="46" t="str">
        <f t="array" ref="AD207">IF('.'!AD207="","",'.'!AD207&amp;IF(VLOOKUP('.'!AD207,Recipes!$A:$D,4,FALSE)="",""," ["&amp;VLOOKUP('.'!AD207,Recipes!$A:$D,4,FALSE)&amp;"]"))</f>
        <v/>
      </c>
      <c r="AE207" s="47"/>
      <c r="AF207" s="47"/>
      <c r="AG207" s="47"/>
      <c r="AH207" s="47"/>
      <c r="AI207" s="47"/>
      <c r="AJ207" s="47"/>
      <c r="AK207" s="47"/>
      <c r="AL207" s="47"/>
      <c r="AM207" s="47"/>
      <c r="AN207" s="47"/>
      <c r="AO207" s="47"/>
      <c r="AP207" s="47"/>
      <c r="AQ207" s="47"/>
      <c r="AR207" s="47"/>
      <c r="AS207" s="47"/>
      <c r="AT207" s="47"/>
      <c r="AU207" s="47"/>
      <c r="AV207" s="47"/>
      <c r="AW207" s="47"/>
      <c r="AX207" s="47"/>
      <c r="AY207" s="47"/>
      <c r="AZ207" s="47"/>
      <c r="BA207" s="47"/>
      <c r="BB207" s="47"/>
      <c r="BC207" s="47"/>
      <c r="BD207" s="47"/>
      <c r="BE207" s="47"/>
      <c r="BF207" s="47"/>
      <c r="BG207" s="47"/>
      <c r="BH207" s="47"/>
      <c r="BI207" s="47"/>
      <c r="BJ207" s="47"/>
      <c r="BK207" s="47"/>
      <c r="BL207" s="47"/>
      <c r="BM207" s="47"/>
      <c r="BN207" s="47"/>
      <c r="BO207" s="47"/>
      <c r="BP207" s="47"/>
      <c r="BQ207" s="47"/>
      <c r="BR207" s="47"/>
      <c r="BS207" s="47"/>
      <c r="BT207" s="47"/>
      <c r="BU207" s="47"/>
      <c r="BV207" s="47"/>
      <c r="BW207" s="47"/>
      <c r="BX207" s="47"/>
      <c r="BY207" s="47"/>
      <c r="BZ207" s="47"/>
    </row>
    <row r="208" spans="1:78" ht="13">
      <c r="A208" s="48" t="str">
        <f ca="1">'.'!A208</f>
        <v>Gloves</v>
      </c>
      <c r="B208" s="46" t="str">
        <f t="array" aca="1" ref="B208" ca="1">IF('.'!B208="","",'.'!B208&amp;IF(VLOOKUP('.'!B208,Recipes!$A:$D,4,FALSE)="",""," ["&amp;VLOOKUP('.'!B208,Recipes!$A:$D,4,FALSE)&amp;"]"))</f>
        <v>Boost Gloves [-700]</v>
      </c>
      <c r="C208" s="46" t="str">
        <f t="array" ref="C208">IF('.'!C208="","",'.'!C208&amp;IF(VLOOKUP('.'!C208,Recipes!$A:$D,4,FALSE)="",""," ["&amp;VLOOKUP('.'!C208,Recipes!$A:$D,4,FALSE)&amp;"]"))</f>
        <v/>
      </c>
      <c r="D208" s="46" t="str">
        <f t="array" ref="D208">IF('.'!D208="","",'.'!D208&amp;IF(VLOOKUP('.'!D208,Recipes!$A:$D,4,FALSE)="",""," ["&amp;VLOOKUP('.'!D208,Recipes!$A:$D,4,FALSE)&amp;"]"))</f>
        <v/>
      </c>
      <c r="E208" s="46" t="str">
        <f t="array" ref="E208">IF('.'!E208="","",'.'!E208&amp;IF(VLOOKUP('.'!E208,Recipes!$A:$D,4,FALSE)="",""," ["&amp;VLOOKUP('.'!E208,Recipes!$A:$D,4,FALSE)&amp;"]"))</f>
        <v/>
      </c>
      <c r="F208" s="46" t="str">
        <f t="array" ref="F208">IF('.'!F208="","",'.'!F208&amp;IF(VLOOKUP('.'!F208,Recipes!$A:$D,4,FALSE)="",""," ["&amp;VLOOKUP('.'!F208,Recipes!$A:$D,4,FALSE)&amp;"]"))</f>
        <v/>
      </c>
      <c r="G208" s="46" t="str">
        <f t="array" ref="G208">IF('.'!G208="","",'.'!G208&amp;IF(VLOOKUP('.'!G208,Recipes!$A:$D,4,FALSE)="",""," ["&amp;VLOOKUP('.'!G208,Recipes!$A:$D,4,FALSE)&amp;"]"))</f>
        <v/>
      </c>
      <c r="H208" s="46" t="str">
        <f t="array" ref="H208">IF('.'!H208="","",'.'!H208&amp;IF(VLOOKUP('.'!H208,Recipes!$A:$D,4,FALSE)="",""," ["&amp;VLOOKUP('.'!H208,Recipes!$A:$D,4,FALSE)&amp;"]"))</f>
        <v/>
      </c>
      <c r="I208" s="46" t="str">
        <f t="array" ref="I208">IF('.'!I208="","",'.'!I208&amp;IF(VLOOKUP('.'!I208,Recipes!$A:$D,4,FALSE)="",""," ["&amp;VLOOKUP('.'!I208,Recipes!$A:$D,4,FALSE)&amp;"]"))</f>
        <v/>
      </c>
      <c r="J208" s="46" t="str">
        <f t="array" ref="J208">IF('.'!J208="","",'.'!J208&amp;IF(VLOOKUP('.'!J208,Recipes!$A:$D,4,FALSE)="",""," ["&amp;VLOOKUP('.'!J208,Recipes!$A:$D,4,FALSE)&amp;"]"))</f>
        <v/>
      </c>
      <c r="K208" s="46" t="str">
        <f t="array" ref="K208">IF('.'!K208="","",'.'!K208&amp;IF(VLOOKUP('.'!K208,Recipes!$A:$D,4,FALSE)="",""," ["&amp;VLOOKUP('.'!K208,Recipes!$A:$D,4,FALSE)&amp;"]"))</f>
        <v/>
      </c>
      <c r="L208" s="46" t="str">
        <f t="array" ref="L208">IF('.'!L208="","",'.'!L208&amp;IF(VLOOKUP('.'!L208,Recipes!$A:$D,4,FALSE)="",""," ["&amp;VLOOKUP('.'!L208,Recipes!$A:$D,4,FALSE)&amp;"]"))</f>
        <v/>
      </c>
      <c r="M208" s="46" t="str">
        <f t="array" ref="M208">IF('.'!M208="","",'.'!M208&amp;IF(VLOOKUP('.'!M208,Recipes!$A:$D,4,FALSE)="",""," ["&amp;VLOOKUP('.'!M208,Recipes!$A:$D,4,FALSE)&amp;"]"))</f>
        <v/>
      </c>
      <c r="N208" s="46" t="str">
        <f t="array" ref="N208">IF('.'!N208="","",'.'!N208&amp;IF(VLOOKUP('.'!N208,Recipes!$A:$D,4,FALSE)="",""," ["&amp;VLOOKUP('.'!N208,Recipes!$A:$D,4,FALSE)&amp;"]"))</f>
        <v/>
      </c>
      <c r="O208" s="46" t="str">
        <f t="array" ref="O208">IF('.'!O208="","",'.'!O208&amp;IF(VLOOKUP('.'!O208,Recipes!$A:$D,4,FALSE)="",""," ["&amp;VLOOKUP('.'!O208,Recipes!$A:$D,4,FALSE)&amp;"]"))</f>
        <v/>
      </c>
      <c r="P208" s="46" t="str">
        <f t="array" ref="P208">IF('.'!P208="","",'.'!P208&amp;IF(VLOOKUP('.'!P208,Recipes!$A:$D,4,FALSE)="",""," ["&amp;VLOOKUP('.'!P208,Recipes!$A:$D,4,FALSE)&amp;"]"))</f>
        <v/>
      </c>
      <c r="Q208" s="46" t="str">
        <f t="array" ref="Q208">IF('.'!Q208="","",'.'!Q208&amp;IF(VLOOKUP('.'!Q208,Recipes!$A:$D,4,FALSE)="",""," ["&amp;VLOOKUP('.'!Q208,Recipes!$A:$D,4,FALSE)&amp;"]"))</f>
        <v/>
      </c>
      <c r="R208" s="46" t="str">
        <f t="array" ref="R208">IF('.'!R208="","",'.'!R208&amp;IF(VLOOKUP('.'!R208,Recipes!$A:$D,4,FALSE)="",""," ["&amp;VLOOKUP('.'!R208,Recipes!$A:$D,4,FALSE)&amp;"]"))</f>
        <v/>
      </c>
      <c r="S208" s="46" t="str">
        <f t="array" ref="S208">IF('.'!S208="","",'.'!S208&amp;IF(VLOOKUP('.'!S208,Recipes!$A:$D,4,FALSE)="",""," ["&amp;VLOOKUP('.'!S208,Recipes!$A:$D,4,FALSE)&amp;"]"))</f>
        <v/>
      </c>
      <c r="T208" s="46" t="str">
        <f t="array" ref="T208">IF('.'!T208="","",'.'!T208&amp;IF(VLOOKUP('.'!T208,Recipes!$A:$D,4,FALSE)="",""," ["&amp;VLOOKUP('.'!T208,Recipes!$A:$D,4,FALSE)&amp;"]"))</f>
        <v/>
      </c>
      <c r="U208" s="46" t="str">
        <f t="array" ref="U208">IF('.'!U208="","",'.'!U208&amp;IF(VLOOKUP('.'!U208,Recipes!$A:$D,4,FALSE)="",""," ["&amp;VLOOKUP('.'!U208,Recipes!$A:$D,4,FALSE)&amp;"]"))</f>
        <v/>
      </c>
      <c r="V208" s="46" t="str">
        <f t="array" ref="V208">IF('.'!V208="","",'.'!V208&amp;IF(VLOOKUP('.'!V208,Recipes!$A:$D,4,FALSE)="",""," ["&amp;VLOOKUP('.'!V208,Recipes!$A:$D,4,FALSE)&amp;"]"))</f>
        <v/>
      </c>
      <c r="W208" s="46" t="str">
        <f t="array" ref="W208">IF('.'!W208="","",'.'!W208&amp;IF(VLOOKUP('.'!W208,Recipes!$A:$D,4,FALSE)="",""," ["&amp;VLOOKUP('.'!W208,Recipes!$A:$D,4,FALSE)&amp;"]"))</f>
        <v/>
      </c>
      <c r="X208" s="46" t="str">
        <f t="array" ref="X208">IF('.'!X208="","",'.'!X208&amp;IF(VLOOKUP('.'!X208,Recipes!$A:$D,4,FALSE)="",""," ["&amp;VLOOKUP('.'!X208,Recipes!$A:$D,4,FALSE)&amp;"]"))</f>
        <v/>
      </c>
      <c r="Y208" s="46" t="str">
        <f t="array" ref="Y208">IF('.'!Y208="","",'.'!Y208&amp;IF(VLOOKUP('.'!Y208,Recipes!$A:$D,4,FALSE)="",""," ["&amp;VLOOKUP('.'!Y208,Recipes!$A:$D,4,FALSE)&amp;"]"))</f>
        <v/>
      </c>
      <c r="Z208" s="46" t="str">
        <f t="array" ref="Z208">IF('.'!Z208="","",'.'!Z208&amp;IF(VLOOKUP('.'!Z208,Recipes!$A:$D,4,FALSE)="",""," ["&amp;VLOOKUP('.'!Z208,Recipes!$A:$D,4,FALSE)&amp;"]"))</f>
        <v/>
      </c>
      <c r="AA208" s="46" t="str">
        <f t="array" ref="AA208">IF('.'!AA208="","",'.'!AA208&amp;IF(VLOOKUP('.'!AA208,Recipes!$A:$D,4,FALSE)="",""," ["&amp;VLOOKUP('.'!AA208,Recipes!$A:$D,4,FALSE)&amp;"]"))</f>
        <v/>
      </c>
      <c r="AB208" s="46" t="str">
        <f t="array" ref="AB208">IF('.'!AB208="","",'.'!AB208&amp;IF(VLOOKUP('.'!AB208,Recipes!$A:$D,4,FALSE)="",""," ["&amp;VLOOKUP('.'!AB208,Recipes!$A:$D,4,FALSE)&amp;"]"))</f>
        <v/>
      </c>
      <c r="AC208" s="46" t="str">
        <f t="array" ref="AC208">IF('.'!AC208="","",'.'!AC208&amp;IF(VLOOKUP('.'!AC208,Recipes!$A:$D,4,FALSE)="",""," ["&amp;VLOOKUP('.'!AC208,Recipes!$A:$D,4,FALSE)&amp;"]"))</f>
        <v/>
      </c>
      <c r="AD208" s="46" t="str">
        <f t="array" ref="AD208">IF('.'!AD208="","",'.'!AD208&amp;IF(VLOOKUP('.'!AD208,Recipes!$A:$D,4,FALSE)="",""," ["&amp;VLOOKUP('.'!AD208,Recipes!$A:$D,4,FALSE)&amp;"]"))</f>
        <v/>
      </c>
      <c r="AE208" s="47"/>
      <c r="AF208" s="47"/>
      <c r="AG208" s="47"/>
      <c r="AH208" s="47"/>
      <c r="AI208" s="47"/>
      <c r="AJ208" s="47"/>
      <c r="AK208" s="47"/>
      <c r="AL208" s="47"/>
      <c r="AM208" s="47"/>
      <c r="AN208" s="47"/>
      <c r="AO208" s="47"/>
      <c r="AP208" s="47"/>
      <c r="AQ208" s="47"/>
      <c r="AR208" s="47"/>
      <c r="AS208" s="47"/>
      <c r="AT208" s="47"/>
      <c r="AU208" s="47"/>
      <c r="AV208" s="47"/>
      <c r="AW208" s="47"/>
      <c r="AX208" s="47"/>
      <c r="AY208" s="47"/>
      <c r="AZ208" s="47"/>
      <c r="BA208" s="47"/>
      <c r="BB208" s="47"/>
      <c r="BC208" s="47"/>
      <c r="BD208" s="47"/>
      <c r="BE208" s="47"/>
      <c r="BF208" s="47"/>
      <c r="BG208" s="47"/>
      <c r="BH208" s="47"/>
      <c r="BI208" s="47"/>
      <c r="BJ208" s="47"/>
      <c r="BK208" s="47"/>
      <c r="BL208" s="47"/>
      <c r="BM208" s="47"/>
      <c r="BN208" s="47"/>
      <c r="BO208" s="47"/>
      <c r="BP208" s="47"/>
      <c r="BQ208" s="47"/>
      <c r="BR208" s="47"/>
      <c r="BS208" s="47"/>
      <c r="BT208" s="47"/>
      <c r="BU208" s="47"/>
      <c r="BV208" s="47"/>
      <c r="BW208" s="47"/>
      <c r="BX208" s="47"/>
      <c r="BY208" s="47"/>
      <c r="BZ208" s="47"/>
    </row>
    <row r="209" spans="1:78" ht="13">
      <c r="A209" s="48" t="str">
        <f ca="1">'.'!A209</f>
        <v>Gold object (not money)</v>
      </c>
      <c r="B209" s="46" t="e">
        <f t="array" aca="1" ref="B209" ca="1">IF('.'!B209="","",'.'!B209&amp;IF(VLOOKUP('.'!B209,Recipes!$A:$D,4,FALSE)="",""," ["&amp;VLOOKUP('.'!B209,Recipes!$A:$D,4,FALSE)&amp;"]"))</f>
        <v>#VALUE!</v>
      </c>
      <c r="C209" s="46" t="e">
        <f t="array" aca="1" ref="C209" ca="1">IF('.'!C209="","",'.'!C209&amp;IF(VLOOKUP('.'!C209,Recipes!$A:$D,4,FALSE)="",""," ["&amp;VLOOKUP('.'!C209,Recipes!$A:$D,4,FALSE)&amp;"]"))</f>
        <v>#VALUE!</v>
      </c>
      <c r="D209" s="46" t="str">
        <f t="array" ref="D209">IF('.'!D209="","",'.'!D209&amp;IF(VLOOKUP('.'!D209,Recipes!$A:$D,4,FALSE)="",""," ["&amp;VLOOKUP('.'!D209,Recipes!$A:$D,4,FALSE)&amp;"]"))</f>
        <v/>
      </c>
      <c r="E209" s="46" t="str">
        <f t="array" ref="E209">IF('.'!E209="","",'.'!E209&amp;IF(VLOOKUP('.'!E209,Recipes!$A:$D,4,FALSE)="",""," ["&amp;VLOOKUP('.'!E209,Recipes!$A:$D,4,FALSE)&amp;"]"))</f>
        <v/>
      </c>
      <c r="F209" s="46" t="str">
        <f t="array" ref="F209">IF('.'!F209="","",'.'!F209&amp;IF(VLOOKUP('.'!F209,Recipes!$A:$D,4,FALSE)="",""," ["&amp;VLOOKUP('.'!F209,Recipes!$A:$D,4,FALSE)&amp;"]"))</f>
        <v/>
      </c>
      <c r="G209" s="46" t="str">
        <f t="array" ref="G209">IF('.'!G209="","",'.'!G209&amp;IF(VLOOKUP('.'!G209,Recipes!$A:$D,4,FALSE)="",""," ["&amp;VLOOKUP('.'!G209,Recipes!$A:$D,4,FALSE)&amp;"]"))</f>
        <v/>
      </c>
      <c r="H209" s="46" t="str">
        <f t="array" ref="H209">IF('.'!H209="","",'.'!H209&amp;IF(VLOOKUP('.'!H209,Recipes!$A:$D,4,FALSE)="",""," ["&amp;VLOOKUP('.'!H209,Recipes!$A:$D,4,FALSE)&amp;"]"))</f>
        <v/>
      </c>
      <c r="I209" s="46" t="str">
        <f t="array" ref="I209">IF('.'!I209="","",'.'!I209&amp;IF(VLOOKUP('.'!I209,Recipes!$A:$D,4,FALSE)="",""," ["&amp;VLOOKUP('.'!I209,Recipes!$A:$D,4,FALSE)&amp;"]"))</f>
        <v/>
      </c>
      <c r="J209" s="46" t="str">
        <f t="array" ref="J209">IF('.'!J209="","",'.'!J209&amp;IF(VLOOKUP('.'!J209,Recipes!$A:$D,4,FALSE)="",""," ["&amp;VLOOKUP('.'!J209,Recipes!$A:$D,4,FALSE)&amp;"]"))</f>
        <v/>
      </c>
      <c r="K209" s="46" t="str">
        <f t="array" ref="K209">IF('.'!K209="","",'.'!K209&amp;IF(VLOOKUP('.'!K209,Recipes!$A:$D,4,FALSE)="",""," ["&amp;VLOOKUP('.'!K209,Recipes!$A:$D,4,FALSE)&amp;"]"))</f>
        <v/>
      </c>
      <c r="L209" s="46" t="str">
        <f t="array" ref="L209">IF('.'!L209="","",'.'!L209&amp;IF(VLOOKUP('.'!L209,Recipes!$A:$D,4,FALSE)="",""," ["&amp;VLOOKUP('.'!L209,Recipes!$A:$D,4,FALSE)&amp;"]"))</f>
        <v/>
      </c>
      <c r="M209" s="46" t="str">
        <f t="array" ref="M209">IF('.'!M209="","",'.'!M209&amp;IF(VLOOKUP('.'!M209,Recipes!$A:$D,4,FALSE)="",""," ["&amp;VLOOKUP('.'!M209,Recipes!$A:$D,4,FALSE)&amp;"]"))</f>
        <v/>
      </c>
      <c r="N209" s="46" t="str">
        <f t="array" ref="N209">IF('.'!N209="","",'.'!N209&amp;IF(VLOOKUP('.'!N209,Recipes!$A:$D,4,FALSE)="",""," ["&amp;VLOOKUP('.'!N209,Recipes!$A:$D,4,FALSE)&amp;"]"))</f>
        <v/>
      </c>
      <c r="O209" s="46" t="str">
        <f t="array" ref="O209">IF('.'!O209="","",'.'!O209&amp;IF(VLOOKUP('.'!O209,Recipes!$A:$D,4,FALSE)="",""," ["&amp;VLOOKUP('.'!O209,Recipes!$A:$D,4,FALSE)&amp;"]"))</f>
        <v/>
      </c>
      <c r="P209" s="46" t="str">
        <f t="array" ref="P209">IF('.'!P209="","",'.'!P209&amp;IF(VLOOKUP('.'!P209,Recipes!$A:$D,4,FALSE)="",""," ["&amp;VLOOKUP('.'!P209,Recipes!$A:$D,4,FALSE)&amp;"]"))</f>
        <v/>
      </c>
      <c r="Q209" s="46" t="str">
        <f t="array" ref="Q209">IF('.'!Q209="","",'.'!Q209&amp;IF(VLOOKUP('.'!Q209,Recipes!$A:$D,4,FALSE)="",""," ["&amp;VLOOKUP('.'!Q209,Recipes!$A:$D,4,FALSE)&amp;"]"))</f>
        <v/>
      </c>
      <c r="R209" s="46" t="str">
        <f t="array" ref="R209">IF('.'!R209="","",'.'!R209&amp;IF(VLOOKUP('.'!R209,Recipes!$A:$D,4,FALSE)="",""," ["&amp;VLOOKUP('.'!R209,Recipes!$A:$D,4,FALSE)&amp;"]"))</f>
        <v/>
      </c>
      <c r="S209" s="46" t="str">
        <f t="array" ref="S209">IF('.'!S209="","",'.'!S209&amp;IF(VLOOKUP('.'!S209,Recipes!$A:$D,4,FALSE)="",""," ["&amp;VLOOKUP('.'!S209,Recipes!$A:$D,4,FALSE)&amp;"]"))</f>
        <v/>
      </c>
      <c r="T209" s="46" t="str">
        <f t="array" ref="T209">IF('.'!T209="","",'.'!T209&amp;IF(VLOOKUP('.'!T209,Recipes!$A:$D,4,FALSE)="",""," ["&amp;VLOOKUP('.'!T209,Recipes!$A:$D,4,FALSE)&amp;"]"))</f>
        <v/>
      </c>
      <c r="U209" s="46" t="str">
        <f t="array" ref="U209">IF('.'!U209="","",'.'!U209&amp;IF(VLOOKUP('.'!U209,Recipes!$A:$D,4,FALSE)="",""," ["&amp;VLOOKUP('.'!U209,Recipes!$A:$D,4,FALSE)&amp;"]"))</f>
        <v/>
      </c>
      <c r="V209" s="46" t="str">
        <f t="array" ref="V209">IF('.'!V209="","",'.'!V209&amp;IF(VLOOKUP('.'!V209,Recipes!$A:$D,4,FALSE)="",""," ["&amp;VLOOKUP('.'!V209,Recipes!$A:$D,4,FALSE)&amp;"]"))</f>
        <v/>
      </c>
      <c r="W209" s="46" t="str">
        <f t="array" ref="W209">IF('.'!W209="","",'.'!W209&amp;IF(VLOOKUP('.'!W209,Recipes!$A:$D,4,FALSE)="",""," ["&amp;VLOOKUP('.'!W209,Recipes!$A:$D,4,FALSE)&amp;"]"))</f>
        <v/>
      </c>
      <c r="X209" s="46" t="str">
        <f t="array" ref="X209">IF('.'!X209="","",'.'!X209&amp;IF(VLOOKUP('.'!X209,Recipes!$A:$D,4,FALSE)="",""," ["&amp;VLOOKUP('.'!X209,Recipes!$A:$D,4,FALSE)&amp;"]"))</f>
        <v/>
      </c>
      <c r="Y209" s="46" t="str">
        <f t="array" ref="Y209">IF('.'!Y209="","",'.'!Y209&amp;IF(VLOOKUP('.'!Y209,Recipes!$A:$D,4,FALSE)="",""," ["&amp;VLOOKUP('.'!Y209,Recipes!$A:$D,4,FALSE)&amp;"]"))</f>
        <v/>
      </c>
      <c r="Z209" s="46" t="str">
        <f t="array" ref="Z209">IF('.'!Z209="","",'.'!Z209&amp;IF(VLOOKUP('.'!Z209,Recipes!$A:$D,4,FALSE)="",""," ["&amp;VLOOKUP('.'!Z209,Recipes!$A:$D,4,FALSE)&amp;"]"))</f>
        <v/>
      </c>
      <c r="AA209" s="46" t="str">
        <f t="array" ref="AA209">IF('.'!AA209="","",'.'!AA209&amp;IF(VLOOKUP('.'!AA209,Recipes!$A:$D,4,FALSE)="",""," ["&amp;VLOOKUP('.'!AA209,Recipes!$A:$D,4,FALSE)&amp;"]"))</f>
        <v/>
      </c>
      <c r="AB209" s="46" t="str">
        <f t="array" ref="AB209">IF('.'!AB209="","",'.'!AB209&amp;IF(VLOOKUP('.'!AB209,Recipes!$A:$D,4,FALSE)="",""," ["&amp;VLOOKUP('.'!AB209,Recipes!$A:$D,4,FALSE)&amp;"]"))</f>
        <v/>
      </c>
      <c r="AC209" s="46" t="str">
        <f t="array" ref="AC209">IF('.'!AC209="","",'.'!AC209&amp;IF(VLOOKUP('.'!AC209,Recipes!$A:$D,4,FALSE)="",""," ["&amp;VLOOKUP('.'!AC209,Recipes!$A:$D,4,FALSE)&amp;"]"))</f>
        <v/>
      </c>
      <c r="AD209" s="46" t="str">
        <f t="array" ref="AD209">IF('.'!AD209="","",'.'!AD209&amp;IF(VLOOKUP('.'!AD209,Recipes!$A:$D,4,FALSE)="",""," ["&amp;VLOOKUP('.'!AD209,Recipes!$A:$D,4,FALSE)&amp;"]"))</f>
        <v/>
      </c>
      <c r="AE209" s="47"/>
      <c r="AF209" s="47"/>
      <c r="AG209" s="47"/>
      <c r="AH209" s="47"/>
      <c r="AI209" s="47"/>
      <c r="AJ209" s="47"/>
      <c r="AK209" s="47"/>
      <c r="AL209" s="47"/>
      <c r="AM209" s="47"/>
      <c r="AN209" s="47"/>
      <c r="AO209" s="47"/>
      <c r="AP209" s="47"/>
      <c r="AQ209" s="47"/>
      <c r="AR209" s="47"/>
      <c r="AS209" s="47"/>
      <c r="AT209" s="47"/>
      <c r="AU209" s="47"/>
      <c r="AV209" s="47"/>
      <c r="AW209" s="47"/>
      <c r="AX209" s="47"/>
      <c r="AY209" s="47"/>
      <c r="AZ209" s="47"/>
      <c r="BA209" s="47"/>
      <c r="BB209" s="47"/>
      <c r="BC209" s="47"/>
      <c r="BD209" s="47"/>
      <c r="BE209" s="47"/>
      <c r="BF209" s="47"/>
      <c r="BG209" s="47"/>
      <c r="BH209" s="47"/>
      <c r="BI209" s="47"/>
      <c r="BJ209" s="47"/>
      <c r="BK209" s="47"/>
      <c r="BL209" s="47"/>
      <c r="BM209" s="47"/>
      <c r="BN209" s="47"/>
      <c r="BO209" s="47"/>
      <c r="BP209" s="47"/>
      <c r="BQ209" s="47"/>
      <c r="BR209" s="47"/>
      <c r="BS209" s="47"/>
      <c r="BT209" s="47"/>
      <c r="BU209" s="47"/>
      <c r="BV209" s="47"/>
      <c r="BW209" s="47"/>
      <c r="BX209" s="47"/>
      <c r="BY209" s="47"/>
      <c r="BZ209" s="47"/>
    </row>
    <row r="210" spans="1:78" ht="13">
      <c r="A210" s="48" t="str">
        <f ca="1">'.'!A210</f>
        <v>Goo</v>
      </c>
      <c r="B210" s="46" t="str">
        <f t="array" aca="1" ref="B210" ca="1">IF('.'!B210="","",'.'!B210&amp;IF(VLOOKUP('.'!B210,Recipes!$A:$D,4,FALSE)="",""," ["&amp;VLOOKUP('.'!B210,Recipes!$A:$D,4,FALSE)&amp;"]"))</f>
        <v>Silencing Stare Scroll [-75]</v>
      </c>
      <c r="C210" s="46" t="str">
        <f t="array" ref="C210">IF('.'!C210="","",'.'!C210&amp;IF(VLOOKUP('.'!C210,Recipes!$A:$D,4,FALSE)="",""," ["&amp;VLOOKUP('.'!C210,Recipes!$A:$D,4,FALSE)&amp;"]"))</f>
        <v/>
      </c>
      <c r="D210" s="46" t="str">
        <f t="array" ref="D210">IF('.'!D210="","",'.'!D210&amp;IF(VLOOKUP('.'!D210,Recipes!$A:$D,4,FALSE)="",""," ["&amp;VLOOKUP('.'!D210,Recipes!$A:$D,4,FALSE)&amp;"]"))</f>
        <v/>
      </c>
      <c r="E210" s="46" t="str">
        <f t="array" ref="E210">IF('.'!E210="","",'.'!E210&amp;IF(VLOOKUP('.'!E210,Recipes!$A:$D,4,FALSE)="",""," ["&amp;VLOOKUP('.'!E210,Recipes!$A:$D,4,FALSE)&amp;"]"))</f>
        <v/>
      </c>
      <c r="F210" s="46" t="str">
        <f t="array" ref="F210">IF('.'!F210="","",'.'!F210&amp;IF(VLOOKUP('.'!F210,Recipes!$A:$D,4,FALSE)="",""," ["&amp;VLOOKUP('.'!F210,Recipes!$A:$D,4,FALSE)&amp;"]"))</f>
        <v/>
      </c>
      <c r="G210" s="46" t="str">
        <f t="array" ref="G210">IF('.'!G210="","",'.'!G210&amp;IF(VLOOKUP('.'!G210,Recipes!$A:$D,4,FALSE)="",""," ["&amp;VLOOKUP('.'!G210,Recipes!$A:$D,4,FALSE)&amp;"]"))</f>
        <v/>
      </c>
      <c r="H210" s="46" t="str">
        <f t="array" ref="H210">IF('.'!H210="","",'.'!H210&amp;IF(VLOOKUP('.'!H210,Recipes!$A:$D,4,FALSE)="",""," ["&amp;VLOOKUP('.'!H210,Recipes!$A:$D,4,FALSE)&amp;"]"))</f>
        <v/>
      </c>
      <c r="I210" s="46" t="str">
        <f t="array" ref="I210">IF('.'!I210="","",'.'!I210&amp;IF(VLOOKUP('.'!I210,Recipes!$A:$D,4,FALSE)="",""," ["&amp;VLOOKUP('.'!I210,Recipes!$A:$D,4,FALSE)&amp;"]"))</f>
        <v/>
      </c>
      <c r="J210" s="46" t="str">
        <f t="array" ref="J210">IF('.'!J210="","",'.'!J210&amp;IF(VLOOKUP('.'!J210,Recipes!$A:$D,4,FALSE)="",""," ["&amp;VLOOKUP('.'!J210,Recipes!$A:$D,4,FALSE)&amp;"]"))</f>
        <v/>
      </c>
      <c r="K210" s="46" t="str">
        <f t="array" ref="K210">IF('.'!K210="","",'.'!K210&amp;IF(VLOOKUP('.'!K210,Recipes!$A:$D,4,FALSE)="",""," ["&amp;VLOOKUP('.'!K210,Recipes!$A:$D,4,FALSE)&amp;"]"))</f>
        <v/>
      </c>
      <c r="L210" s="46" t="str">
        <f t="array" ref="L210">IF('.'!L210="","",'.'!L210&amp;IF(VLOOKUP('.'!L210,Recipes!$A:$D,4,FALSE)="",""," ["&amp;VLOOKUP('.'!L210,Recipes!$A:$D,4,FALSE)&amp;"]"))</f>
        <v/>
      </c>
      <c r="M210" s="46" t="str">
        <f t="array" ref="M210">IF('.'!M210="","",'.'!M210&amp;IF(VLOOKUP('.'!M210,Recipes!$A:$D,4,FALSE)="",""," ["&amp;VLOOKUP('.'!M210,Recipes!$A:$D,4,FALSE)&amp;"]"))</f>
        <v/>
      </c>
      <c r="N210" s="46" t="str">
        <f t="array" ref="N210">IF('.'!N210="","",'.'!N210&amp;IF(VLOOKUP('.'!N210,Recipes!$A:$D,4,FALSE)="",""," ["&amp;VLOOKUP('.'!N210,Recipes!$A:$D,4,FALSE)&amp;"]"))</f>
        <v/>
      </c>
      <c r="O210" s="46" t="str">
        <f t="array" ref="O210">IF('.'!O210="","",'.'!O210&amp;IF(VLOOKUP('.'!O210,Recipes!$A:$D,4,FALSE)="",""," ["&amp;VLOOKUP('.'!O210,Recipes!$A:$D,4,FALSE)&amp;"]"))</f>
        <v/>
      </c>
      <c r="P210" s="46" t="str">
        <f t="array" ref="P210">IF('.'!P210="","",'.'!P210&amp;IF(VLOOKUP('.'!P210,Recipes!$A:$D,4,FALSE)="",""," ["&amp;VLOOKUP('.'!P210,Recipes!$A:$D,4,FALSE)&amp;"]"))</f>
        <v/>
      </c>
      <c r="Q210" s="46" t="str">
        <f t="array" ref="Q210">IF('.'!Q210="","",'.'!Q210&amp;IF(VLOOKUP('.'!Q210,Recipes!$A:$D,4,FALSE)="",""," ["&amp;VLOOKUP('.'!Q210,Recipes!$A:$D,4,FALSE)&amp;"]"))</f>
        <v/>
      </c>
      <c r="R210" s="46" t="str">
        <f t="array" ref="R210">IF('.'!R210="","",'.'!R210&amp;IF(VLOOKUP('.'!R210,Recipes!$A:$D,4,FALSE)="",""," ["&amp;VLOOKUP('.'!R210,Recipes!$A:$D,4,FALSE)&amp;"]"))</f>
        <v/>
      </c>
      <c r="S210" s="46" t="str">
        <f t="array" ref="S210">IF('.'!S210="","",'.'!S210&amp;IF(VLOOKUP('.'!S210,Recipes!$A:$D,4,FALSE)="",""," ["&amp;VLOOKUP('.'!S210,Recipes!$A:$D,4,FALSE)&amp;"]"))</f>
        <v/>
      </c>
      <c r="T210" s="46" t="str">
        <f t="array" ref="T210">IF('.'!T210="","",'.'!T210&amp;IF(VLOOKUP('.'!T210,Recipes!$A:$D,4,FALSE)="",""," ["&amp;VLOOKUP('.'!T210,Recipes!$A:$D,4,FALSE)&amp;"]"))</f>
        <v/>
      </c>
      <c r="U210" s="46" t="str">
        <f t="array" ref="U210">IF('.'!U210="","",'.'!U210&amp;IF(VLOOKUP('.'!U210,Recipes!$A:$D,4,FALSE)="",""," ["&amp;VLOOKUP('.'!U210,Recipes!$A:$D,4,FALSE)&amp;"]"))</f>
        <v/>
      </c>
      <c r="V210" s="46" t="str">
        <f t="array" ref="V210">IF('.'!V210="","",'.'!V210&amp;IF(VLOOKUP('.'!V210,Recipes!$A:$D,4,FALSE)="",""," ["&amp;VLOOKUP('.'!V210,Recipes!$A:$D,4,FALSE)&amp;"]"))</f>
        <v/>
      </c>
      <c r="W210" s="46" t="str">
        <f t="array" ref="W210">IF('.'!W210="","",'.'!W210&amp;IF(VLOOKUP('.'!W210,Recipes!$A:$D,4,FALSE)="",""," ["&amp;VLOOKUP('.'!W210,Recipes!$A:$D,4,FALSE)&amp;"]"))</f>
        <v/>
      </c>
      <c r="X210" s="46" t="str">
        <f t="array" ref="X210">IF('.'!X210="","",'.'!X210&amp;IF(VLOOKUP('.'!X210,Recipes!$A:$D,4,FALSE)="",""," ["&amp;VLOOKUP('.'!X210,Recipes!$A:$D,4,FALSE)&amp;"]"))</f>
        <v/>
      </c>
      <c r="Y210" s="46" t="str">
        <f t="array" ref="Y210">IF('.'!Y210="","",'.'!Y210&amp;IF(VLOOKUP('.'!Y210,Recipes!$A:$D,4,FALSE)="",""," ["&amp;VLOOKUP('.'!Y210,Recipes!$A:$D,4,FALSE)&amp;"]"))</f>
        <v/>
      </c>
      <c r="Z210" s="46" t="str">
        <f t="array" ref="Z210">IF('.'!Z210="","",'.'!Z210&amp;IF(VLOOKUP('.'!Z210,Recipes!$A:$D,4,FALSE)="",""," ["&amp;VLOOKUP('.'!Z210,Recipes!$A:$D,4,FALSE)&amp;"]"))</f>
        <v/>
      </c>
      <c r="AA210" s="46" t="str">
        <f t="array" ref="AA210">IF('.'!AA210="","",'.'!AA210&amp;IF(VLOOKUP('.'!AA210,Recipes!$A:$D,4,FALSE)="",""," ["&amp;VLOOKUP('.'!AA210,Recipes!$A:$D,4,FALSE)&amp;"]"))</f>
        <v/>
      </c>
      <c r="AB210" s="46" t="str">
        <f t="array" ref="AB210">IF('.'!AB210="","",'.'!AB210&amp;IF(VLOOKUP('.'!AB210,Recipes!$A:$D,4,FALSE)="",""," ["&amp;VLOOKUP('.'!AB210,Recipes!$A:$D,4,FALSE)&amp;"]"))</f>
        <v/>
      </c>
      <c r="AC210" s="46" t="str">
        <f t="array" ref="AC210">IF('.'!AC210="","",'.'!AC210&amp;IF(VLOOKUP('.'!AC210,Recipes!$A:$D,4,FALSE)="",""," ["&amp;VLOOKUP('.'!AC210,Recipes!$A:$D,4,FALSE)&amp;"]"))</f>
        <v/>
      </c>
      <c r="AD210" s="46" t="str">
        <f t="array" ref="AD210">IF('.'!AD210="","",'.'!AD210&amp;IF(VLOOKUP('.'!AD210,Recipes!$A:$D,4,FALSE)="",""," ["&amp;VLOOKUP('.'!AD210,Recipes!$A:$D,4,FALSE)&amp;"]"))</f>
        <v/>
      </c>
      <c r="AE210" s="47"/>
      <c r="AF210" s="47"/>
      <c r="AG210" s="47"/>
      <c r="AH210" s="47"/>
      <c r="AI210" s="47"/>
      <c r="AJ210" s="47"/>
      <c r="AK210" s="47"/>
      <c r="AL210" s="47"/>
      <c r="AM210" s="47"/>
      <c r="AN210" s="47"/>
      <c r="AO210" s="47"/>
      <c r="AP210" s="47"/>
      <c r="AQ210" s="47"/>
      <c r="AR210" s="47"/>
      <c r="AS210" s="47"/>
      <c r="AT210" s="47"/>
      <c r="AU210" s="47"/>
      <c r="AV210" s="47"/>
      <c r="AW210" s="47"/>
      <c r="AX210" s="47"/>
      <c r="AY210" s="47"/>
      <c r="AZ210" s="47"/>
      <c r="BA210" s="47"/>
      <c r="BB210" s="47"/>
      <c r="BC210" s="47"/>
      <c r="BD210" s="47"/>
      <c r="BE210" s="47"/>
      <c r="BF210" s="47"/>
      <c r="BG210" s="47"/>
      <c r="BH210" s="47"/>
      <c r="BI210" s="47"/>
      <c r="BJ210" s="47"/>
      <c r="BK210" s="47"/>
      <c r="BL210" s="47"/>
      <c r="BM210" s="47"/>
      <c r="BN210" s="47"/>
      <c r="BO210" s="47"/>
      <c r="BP210" s="47"/>
      <c r="BQ210" s="47"/>
      <c r="BR210" s="47"/>
      <c r="BS210" s="47"/>
      <c r="BT210" s="47"/>
      <c r="BU210" s="47"/>
      <c r="BV210" s="47"/>
      <c r="BW210" s="47"/>
      <c r="BX210" s="47"/>
      <c r="BY210" s="47"/>
      <c r="BZ210" s="47"/>
    </row>
    <row r="211" spans="1:78" ht="13">
      <c r="A211" s="48" t="str">
        <f ca="1">'.'!A211</f>
        <v>Grapes</v>
      </c>
      <c r="B211" s="46" t="str">
        <f t="array" aca="1" ref="B211" ca="1">IF('.'!B211="","",'.'!B211&amp;IF(VLOOKUP('.'!B211,Recipes!$A:$D,4,FALSE)="",""," ["&amp;VLOOKUP('.'!B211,Recipes!$A:$D,4,FALSE)&amp;"]"))</f>
        <v>Glass of Wine [-15]</v>
      </c>
      <c r="C211" s="46" t="str">
        <f t="array" aca="1" ref="C211" ca="1">IF('.'!C211="","",'.'!C211&amp;IF(VLOOKUP('.'!C211,Recipes!$A:$D,4,FALSE)="",""," ["&amp;VLOOKUP('.'!C211,Recipes!$A:$D,4,FALSE)&amp;"]"))</f>
        <v>Mug of Wine [-15]</v>
      </c>
      <c r="D211" s="46" t="str">
        <f t="array" aca="1" ref="D211" ca="1">IF('.'!D211="","",'.'!D211&amp;IF(VLOOKUP('.'!D211,Recipes!$A:$D,4,FALSE)="",""," ["&amp;VLOOKUP('.'!D211,Recipes!$A:$D,4,FALSE)&amp;"]"))</f>
        <v>Planar Gateway Scroll [-1173]</v>
      </c>
      <c r="E211" s="46" t="str">
        <f t="array" ref="E211">IF('.'!E211="","",'.'!E211&amp;IF(VLOOKUP('.'!E211,Recipes!$A:$D,4,FALSE)="",""," ["&amp;VLOOKUP('.'!E211,Recipes!$A:$D,4,FALSE)&amp;"]"))</f>
        <v/>
      </c>
      <c r="F211" s="46" t="str">
        <f t="array" ref="F211">IF('.'!F211="","",'.'!F211&amp;IF(VLOOKUP('.'!F211,Recipes!$A:$D,4,FALSE)="",""," ["&amp;VLOOKUP('.'!F211,Recipes!$A:$D,4,FALSE)&amp;"]"))</f>
        <v/>
      </c>
      <c r="G211" s="46" t="str">
        <f t="array" ref="G211">IF('.'!G211="","",'.'!G211&amp;IF(VLOOKUP('.'!G211,Recipes!$A:$D,4,FALSE)="",""," ["&amp;VLOOKUP('.'!G211,Recipes!$A:$D,4,FALSE)&amp;"]"))</f>
        <v/>
      </c>
      <c r="H211" s="46" t="str">
        <f t="array" ref="H211">IF('.'!H211="","",'.'!H211&amp;IF(VLOOKUP('.'!H211,Recipes!$A:$D,4,FALSE)="",""," ["&amp;VLOOKUP('.'!H211,Recipes!$A:$D,4,FALSE)&amp;"]"))</f>
        <v/>
      </c>
      <c r="I211" s="46" t="str">
        <f t="array" ref="I211">IF('.'!I211="","",'.'!I211&amp;IF(VLOOKUP('.'!I211,Recipes!$A:$D,4,FALSE)="",""," ["&amp;VLOOKUP('.'!I211,Recipes!$A:$D,4,FALSE)&amp;"]"))</f>
        <v/>
      </c>
      <c r="J211" s="46" t="str">
        <f t="array" ref="J211">IF('.'!J211="","",'.'!J211&amp;IF(VLOOKUP('.'!J211,Recipes!$A:$D,4,FALSE)="",""," ["&amp;VLOOKUP('.'!J211,Recipes!$A:$D,4,FALSE)&amp;"]"))</f>
        <v/>
      </c>
      <c r="K211" s="46" t="str">
        <f t="array" ref="K211">IF('.'!K211="","",'.'!K211&amp;IF(VLOOKUP('.'!K211,Recipes!$A:$D,4,FALSE)="",""," ["&amp;VLOOKUP('.'!K211,Recipes!$A:$D,4,FALSE)&amp;"]"))</f>
        <v/>
      </c>
      <c r="L211" s="46" t="str">
        <f t="array" ref="L211">IF('.'!L211="","",'.'!L211&amp;IF(VLOOKUP('.'!L211,Recipes!$A:$D,4,FALSE)="",""," ["&amp;VLOOKUP('.'!L211,Recipes!$A:$D,4,FALSE)&amp;"]"))</f>
        <v/>
      </c>
      <c r="M211" s="46" t="str">
        <f t="array" ref="M211">IF('.'!M211="","",'.'!M211&amp;IF(VLOOKUP('.'!M211,Recipes!$A:$D,4,FALSE)="",""," ["&amp;VLOOKUP('.'!M211,Recipes!$A:$D,4,FALSE)&amp;"]"))</f>
        <v/>
      </c>
      <c r="N211" s="46" t="str">
        <f t="array" ref="N211">IF('.'!N211="","",'.'!N211&amp;IF(VLOOKUP('.'!N211,Recipes!$A:$D,4,FALSE)="",""," ["&amp;VLOOKUP('.'!N211,Recipes!$A:$D,4,FALSE)&amp;"]"))</f>
        <v/>
      </c>
      <c r="O211" s="46" t="str">
        <f t="array" ref="O211">IF('.'!O211="","",'.'!O211&amp;IF(VLOOKUP('.'!O211,Recipes!$A:$D,4,FALSE)="",""," ["&amp;VLOOKUP('.'!O211,Recipes!$A:$D,4,FALSE)&amp;"]"))</f>
        <v/>
      </c>
      <c r="P211" s="46" t="str">
        <f t="array" ref="P211">IF('.'!P211="","",'.'!P211&amp;IF(VLOOKUP('.'!P211,Recipes!$A:$D,4,FALSE)="",""," ["&amp;VLOOKUP('.'!P211,Recipes!$A:$D,4,FALSE)&amp;"]"))</f>
        <v/>
      </c>
      <c r="Q211" s="46" t="str">
        <f t="array" ref="Q211">IF('.'!Q211="","",'.'!Q211&amp;IF(VLOOKUP('.'!Q211,Recipes!$A:$D,4,FALSE)="",""," ["&amp;VLOOKUP('.'!Q211,Recipes!$A:$D,4,FALSE)&amp;"]"))</f>
        <v/>
      </c>
      <c r="R211" s="46" t="str">
        <f t="array" ref="R211">IF('.'!R211="","",'.'!R211&amp;IF(VLOOKUP('.'!R211,Recipes!$A:$D,4,FALSE)="",""," ["&amp;VLOOKUP('.'!R211,Recipes!$A:$D,4,FALSE)&amp;"]"))</f>
        <v/>
      </c>
      <c r="S211" s="46" t="str">
        <f t="array" ref="S211">IF('.'!S211="","",'.'!S211&amp;IF(VLOOKUP('.'!S211,Recipes!$A:$D,4,FALSE)="",""," ["&amp;VLOOKUP('.'!S211,Recipes!$A:$D,4,FALSE)&amp;"]"))</f>
        <v/>
      </c>
      <c r="T211" s="46" t="str">
        <f t="array" ref="T211">IF('.'!T211="","",'.'!T211&amp;IF(VLOOKUP('.'!T211,Recipes!$A:$D,4,FALSE)="",""," ["&amp;VLOOKUP('.'!T211,Recipes!$A:$D,4,FALSE)&amp;"]"))</f>
        <v/>
      </c>
      <c r="U211" s="46" t="str">
        <f t="array" ref="U211">IF('.'!U211="","",'.'!U211&amp;IF(VLOOKUP('.'!U211,Recipes!$A:$D,4,FALSE)="",""," ["&amp;VLOOKUP('.'!U211,Recipes!$A:$D,4,FALSE)&amp;"]"))</f>
        <v/>
      </c>
      <c r="V211" s="46" t="str">
        <f t="array" ref="V211">IF('.'!V211="","",'.'!V211&amp;IF(VLOOKUP('.'!V211,Recipes!$A:$D,4,FALSE)="",""," ["&amp;VLOOKUP('.'!V211,Recipes!$A:$D,4,FALSE)&amp;"]"))</f>
        <v/>
      </c>
      <c r="W211" s="46" t="str">
        <f t="array" ref="W211">IF('.'!W211="","",'.'!W211&amp;IF(VLOOKUP('.'!W211,Recipes!$A:$D,4,FALSE)="",""," ["&amp;VLOOKUP('.'!W211,Recipes!$A:$D,4,FALSE)&amp;"]"))</f>
        <v/>
      </c>
      <c r="X211" s="46" t="str">
        <f t="array" ref="X211">IF('.'!X211="","",'.'!X211&amp;IF(VLOOKUP('.'!X211,Recipes!$A:$D,4,FALSE)="",""," ["&amp;VLOOKUP('.'!X211,Recipes!$A:$D,4,FALSE)&amp;"]"))</f>
        <v/>
      </c>
      <c r="Y211" s="46" t="str">
        <f t="array" ref="Y211">IF('.'!Y211="","",'.'!Y211&amp;IF(VLOOKUP('.'!Y211,Recipes!$A:$D,4,FALSE)="",""," ["&amp;VLOOKUP('.'!Y211,Recipes!$A:$D,4,FALSE)&amp;"]"))</f>
        <v/>
      </c>
      <c r="Z211" s="46" t="str">
        <f t="array" ref="Z211">IF('.'!Z211="","",'.'!Z211&amp;IF(VLOOKUP('.'!Z211,Recipes!$A:$D,4,FALSE)="",""," ["&amp;VLOOKUP('.'!Z211,Recipes!$A:$D,4,FALSE)&amp;"]"))</f>
        <v/>
      </c>
      <c r="AA211" s="46" t="str">
        <f t="array" ref="AA211">IF('.'!AA211="","",'.'!AA211&amp;IF(VLOOKUP('.'!AA211,Recipes!$A:$D,4,FALSE)="",""," ["&amp;VLOOKUP('.'!AA211,Recipes!$A:$D,4,FALSE)&amp;"]"))</f>
        <v/>
      </c>
      <c r="AB211" s="46" t="str">
        <f t="array" ref="AB211">IF('.'!AB211="","",'.'!AB211&amp;IF(VLOOKUP('.'!AB211,Recipes!$A:$D,4,FALSE)="",""," ["&amp;VLOOKUP('.'!AB211,Recipes!$A:$D,4,FALSE)&amp;"]"))</f>
        <v/>
      </c>
      <c r="AC211" s="46" t="str">
        <f t="array" ref="AC211">IF('.'!AC211="","",'.'!AC211&amp;IF(VLOOKUP('.'!AC211,Recipes!$A:$D,4,FALSE)="",""," ["&amp;VLOOKUP('.'!AC211,Recipes!$A:$D,4,FALSE)&amp;"]"))</f>
        <v/>
      </c>
      <c r="AD211" s="46" t="str">
        <f t="array" ref="AD211">IF('.'!AD211="","",'.'!AD211&amp;IF(VLOOKUP('.'!AD211,Recipes!$A:$D,4,FALSE)="",""," ["&amp;VLOOKUP('.'!AD211,Recipes!$A:$D,4,FALSE)&amp;"]"))</f>
        <v/>
      </c>
      <c r="AE211" s="47"/>
      <c r="AF211" s="47"/>
      <c r="AG211" s="47"/>
      <c r="AH211" s="47"/>
      <c r="AI211" s="47"/>
      <c r="AJ211" s="47"/>
      <c r="AK211" s="47"/>
      <c r="AL211" s="47"/>
      <c r="AM211" s="47"/>
      <c r="AN211" s="47"/>
      <c r="AO211" s="47"/>
      <c r="AP211" s="47"/>
      <c r="AQ211" s="47"/>
      <c r="AR211" s="47"/>
      <c r="AS211" s="47"/>
      <c r="AT211" s="47"/>
      <c r="AU211" s="47"/>
      <c r="AV211" s="47"/>
      <c r="AW211" s="47"/>
      <c r="AX211" s="47"/>
      <c r="AY211" s="47"/>
      <c r="AZ211" s="47"/>
      <c r="BA211" s="47"/>
      <c r="BB211" s="47"/>
      <c r="BC211" s="47"/>
      <c r="BD211" s="47"/>
      <c r="BE211" s="47"/>
      <c r="BF211" s="47"/>
      <c r="BG211" s="47"/>
      <c r="BH211" s="47"/>
      <c r="BI211" s="47"/>
      <c r="BJ211" s="47"/>
      <c r="BK211" s="47"/>
      <c r="BL211" s="47"/>
      <c r="BM211" s="47"/>
      <c r="BN211" s="47"/>
      <c r="BO211" s="47"/>
      <c r="BP211" s="47"/>
      <c r="BQ211" s="47"/>
      <c r="BR211" s="47"/>
      <c r="BS211" s="47"/>
      <c r="BT211" s="47"/>
      <c r="BU211" s="47"/>
      <c r="BV211" s="47"/>
      <c r="BW211" s="47"/>
      <c r="BX211" s="47"/>
      <c r="BY211" s="47"/>
      <c r="BZ211" s="47"/>
    </row>
    <row r="212" spans="1:78" ht="13">
      <c r="A212" s="48" t="str">
        <f ca="1">'.'!A212</f>
        <v>Grasp of the Starved Scroll</v>
      </c>
      <c r="B212" s="46" t="str">
        <f t="array" aca="1" ref="B212" ca="1">IF('.'!B212="","",'.'!B212&amp;IF(VLOOKUP('.'!B212,Recipes!$A:$D,4,FALSE)="",""," ["&amp;VLOOKUP('.'!B212,Recipes!$A:$D,4,FALSE)&amp;"]"))</f>
        <v>Grasp of the Starved Skillbook [90]</v>
      </c>
      <c r="C212" s="46" t="str">
        <f t="array" ref="C212">IF('.'!C212="","",'.'!C212&amp;IF(VLOOKUP('.'!C212,Recipes!$A:$D,4,FALSE)="",""," ["&amp;VLOOKUP('.'!C212,Recipes!$A:$D,4,FALSE)&amp;"]"))</f>
        <v/>
      </c>
      <c r="D212" s="46" t="str">
        <f t="array" ref="D212">IF('.'!D212="","",'.'!D212&amp;IF(VLOOKUP('.'!D212,Recipes!$A:$D,4,FALSE)="",""," ["&amp;VLOOKUP('.'!D212,Recipes!$A:$D,4,FALSE)&amp;"]"))</f>
        <v/>
      </c>
      <c r="E212" s="46" t="str">
        <f t="array" ref="E212">IF('.'!E212="","",'.'!E212&amp;IF(VLOOKUP('.'!E212,Recipes!$A:$D,4,FALSE)="",""," ["&amp;VLOOKUP('.'!E212,Recipes!$A:$D,4,FALSE)&amp;"]"))</f>
        <v/>
      </c>
      <c r="F212" s="46" t="str">
        <f t="array" ref="F212">IF('.'!F212="","",'.'!F212&amp;IF(VLOOKUP('.'!F212,Recipes!$A:$D,4,FALSE)="",""," ["&amp;VLOOKUP('.'!F212,Recipes!$A:$D,4,FALSE)&amp;"]"))</f>
        <v/>
      </c>
      <c r="G212" s="46" t="str">
        <f t="array" ref="G212">IF('.'!G212="","",'.'!G212&amp;IF(VLOOKUP('.'!G212,Recipes!$A:$D,4,FALSE)="",""," ["&amp;VLOOKUP('.'!G212,Recipes!$A:$D,4,FALSE)&amp;"]"))</f>
        <v/>
      </c>
      <c r="H212" s="46" t="str">
        <f t="array" ref="H212">IF('.'!H212="","",'.'!H212&amp;IF(VLOOKUP('.'!H212,Recipes!$A:$D,4,FALSE)="",""," ["&amp;VLOOKUP('.'!H212,Recipes!$A:$D,4,FALSE)&amp;"]"))</f>
        <v/>
      </c>
      <c r="I212" s="46" t="str">
        <f t="array" ref="I212">IF('.'!I212="","",'.'!I212&amp;IF(VLOOKUP('.'!I212,Recipes!$A:$D,4,FALSE)="",""," ["&amp;VLOOKUP('.'!I212,Recipes!$A:$D,4,FALSE)&amp;"]"))</f>
        <v/>
      </c>
      <c r="J212" s="46" t="str">
        <f t="array" ref="J212">IF('.'!J212="","",'.'!J212&amp;IF(VLOOKUP('.'!J212,Recipes!$A:$D,4,FALSE)="",""," ["&amp;VLOOKUP('.'!J212,Recipes!$A:$D,4,FALSE)&amp;"]"))</f>
        <v/>
      </c>
      <c r="K212" s="46" t="str">
        <f t="array" ref="K212">IF('.'!K212="","",'.'!K212&amp;IF(VLOOKUP('.'!K212,Recipes!$A:$D,4,FALSE)="",""," ["&amp;VLOOKUP('.'!K212,Recipes!$A:$D,4,FALSE)&amp;"]"))</f>
        <v/>
      </c>
      <c r="L212" s="46" t="str">
        <f t="array" ref="L212">IF('.'!L212="","",'.'!L212&amp;IF(VLOOKUP('.'!L212,Recipes!$A:$D,4,FALSE)="",""," ["&amp;VLOOKUP('.'!L212,Recipes!$A:$D,4,FALSE)&amp;"]"))</f>
        <v/>
      </c>
      <c r="M212" s="46" t="str">
        <f t="array" ref="M212">IF('.'!M212="","",'.'!M212&amp;IF(VLOOKUP('.'!M212,Recipes!$A:$D,4,FALSE)="",""," ["&amp;VLOOKUP('.'!M212,Recipes!$A:$D,4,FALSE)&amp;"]"))</f>
        <v/>
      </c>
      <c r="N212" s="46" t="str">
        <f t="array" ref="N212">IF('.'!N212="","",'.'!N212&amp;IF(VLOOKUP('.'!N212,Recipes!$A:$D,4,FALSE)="",""," ["&amp;VLOOKUP('.'!N212,Recipes!$A:$D,4,FALSE)&amp;"]"))</f>
        <v/>
      </c>
      <c r="O212" s="46" t="str">
        <f t="array" ref="O212">IF('.'!O212="","",'.'!O212&amp;IF(VLOOKUP('.'!O212,Recipes!$A:$D,4,FALSE)="",""," ["&amp;VLOOKUP('.'!O212,Recipes!$A:$D,4,FALSE)&amp;"]"))</f>
        <v/>
      </c>
      <c r="P212" s="46" t="str">
        <f t="array" ref="P212">IF('.'!P212="","",'.'!P212&amp;IF(VLOOKUP('.'!P212,Recipes!$A:$D,4,FALSE)="",""," ["&amp;VLOOKUP('.'!P212,Recipes!$A:$D,4,FALSE)&amp;"]"))</f>
        <v/>
      </c>
      <c r="Q212" s="46" t="str">
        <f t="array" ref="Q212">IF('.'!Q212="","",'.'!Q212&amp;IF(VLOOKUP('.'!Q212,Recipes!$A:$D,4,FALSE)="",""," ["&amp;VLOOKUP('.'!Q212,Recipes!$A:$D,4,FALSE)&amp;"]"))</f>
        <v/>
      </c>
      <c r="R212" s="46" t="str">
        <f t="array" ref="R212">IF('.'!R212="","",'.'!R212&amp;IF(VLOOKUP('.'!R212,Recipes!$A:$D,4,FALSE)="",""," ["&amp;VLOOKUP('.'!R212,Recipes!$A:$D,4,FALSE)&amp;"]"))</f>
        <v/>
      </c>
      <c r="S212" s="46" t="str">
        <f t="array" ref="S212">IF('.'!S212="","",'.'!S212&amp;IF(VLOOKUP('.'!S212,Recipes!$A:$D,4,FALSE)="",""," ["&amp;VLOOKUP('.'!S212,Recipes!$A:$D,4,FALSE)&amp;"]"))</f>
        <v/>
      </c>
      <c r="T212" s="46" t="str">
        <f t="array" ref="T212">IF('.'!T212="","",'.'!T212&amp;IF(VLOOKUP('.'!T212,Recipes!$A:$D,4,FALSE)="",""," ["&amp;VLOOKUP('.'!T212,Recipes!$A:$D,4,FALSE)&amp;"]"))</f>
        <v/>
      </c>
      <c r="U212" s="46" t="str">
        <f t="array" ref="U212">IF('.'!U212="","",'.'!U212&amp;IF(VLOOKUP('.'!U212,Recipes!$A:$D,4,FALSE)="",""," ["&amp;VLOOKUP('.'!U212,Recipes!$A:$D,4,FALSE)&amp;"]"))</f>
        <v/>
      </c>
      <c r="V212" s="46" t="str">
        <f t="array" ref="V212">IF('.'!V212="","",'.'!V212&amp;IF(VLOOKUP('.'!V212,Recipes!$A:$D,4,FALSE)="",""," ["&amp;VLOOKUP('.'!V212,Recipes!$A:$D,4,FALSE)&amp;"]"))</f>
        <v/>
      </c>
      <c r="W212" s="46" t="str">
        <f t="array" ref="W212">IF('.'!W212="","",'.'!W212&amp;IF(VLOOKUP('.'!W212,Recipes!$A:$D,4,FALSE)="",""," ["&amp;VLOOKUP('.'!W212,Recipes!$A:$D,4,FALSE)&amp;"]"))</f>
        <v/>
      </c>
      <c r="X212" s="46" t="str">
        <f t="array" ref="X212">IF('.'!X212="","",'.'!X212&amp;IF(VLOOKUP('.'!X212,Recipes!$A:$D,4,FALSE)="",""," ["&amp;VLOOKUP('.'!X212,Recipes!$A:$D,4,FALSE)&amp;"]"))</f>
        <v/>
      </c>
      <c r="Y212" s="46" t="str">
        <f t="array" ref="Y212">IF('.'!Y212="","",'.'!Y212&amp;IF(VLOOKUP('.'!Y212,Recipes!$A:$D,4,FALSE)="",""," ["&amp;VLOOKUP('.'!Y212,Recipes!$A:$D,4,FALSE)&amp;"]"))</f>
        <v/>
      </c>
      <c r="Z212" s="46" t="str">
        <f t="array" ref="Z212">IF('.'!Z212="","",'.'!Z212&amp;IF(VLOOKUP('.'!Z212,Recipes!$A:$D,4,FALSE)="",""," ["&amp;VLOOKUP('.'!Z212,Recipes!$A:$D,4,FALSE)&amp;"]"))</f>
        <v/>
      </c>
      <c r="AA212" s="46" t="str">
        <f t="array" ref="AA212">IF('.'!AA212="","",'.'!AA212&amp;IF(VLOOKUP('.'!AA212,Recipes!$A:$D,4,FALSE)="",""," ["&amp;VLOOKUP('.'!AA212,Recipes!$A:$D,4,FALSE)&amp;"]"))</f>
        <v/>
      </c>
      <c r="AB212" s="46" t="str">
        <f t="array" ref="AB212">IF('.'!AB212="","",'.'!AB212&amp;IF(VLOOKUP('.'!AB212,Recipes!$A:$D,4,FALSE)="",""," ["&amp;VLOOKUP('.'!AB212,Recipes!$A:$D,4,FALSE)&amp;"]"))</f>
        <v/>
      </c>
      <c r="AC212" s="46" t="str">
        <f t="array" ref="AC212">IF('.'!AC212="","",'.'!AC212&amp;IF(VLOOKUP('.'!AC212,Recipes!$A:$D,4,FALSE)="",""," ["&amp;VLOOKUP('.'!AC212,Recipes!$A:$D,4,FALSE)&amp;"]"))</f>
        <v/>
      </c>
      <c r="AD212" s="46" t="str">
        <f t="array" ref="AD212">IF('.'!AD212="","",'.'!AD212&amp;IF(VLOOKUP('.'!AD212,Recipes!$A:$D,4,FALSE)="",""," ["&amp;VLOOKUP('.'!AD212,Recipes!$A:$D,4,FALSE)&amp;"]"))</f>
        <v/>
      </c>
      <c r="AE212" s="47"/>
      <c r="AF212" s="47"/>
      <c r="AG212" s="47"/>
      <c r="AH212" s="47"/>
      <c r="AI212" s="47"/>
      <c r="AJ212" s="47"/>
      <c r="AK212" s="47"/>
      <c r="AL212" s="47"/>
      <c r="AM212" s="47"/>
      <c r="AN212" s="47"/>
      <c r="AO212" s="47"/>
      <c r="AP212" s="47"/>
      <c r="AQ212" s="47"/>
      <c r="AR212" s="47"/>
      <c r="AS212" s="47"/>
      <c r="AT212" s="47"/>
      <c r="AU212" s="47"/>
      <c r="AV212" s="47"/>
      <c r="AW212" s="47"/>
      <c r="AX212" s="47"/>
      <c r="AY212" s="47"/>
      <c r="AZ212" s="47"/>
      <c r="BA212" s="47"/>
      <c r="BB212" s="47"/>
      <c r="BC212" s="47"/>
      <c r="BD212" s="47"/>
      <c r="BE212" s="47"/>
      <c r="BF212" s="47"/>
      <c r="BG212" s="47"/>
      <c r="BH212" s="47"/>
      <c r="BI212" s="47"/>
      <c r="BJ212" s="47"/>
      <c r="BK212" s="47"/>
      <c r="BL212" s="47"/>
      <c r="BM212" s="47"/>
      <c r="BN212" s="47"/>
      <c r="BO212" s="47"/>
      <c r="BP212" s="47"/>
      <c r="BQ212" s="47"/>
      <c r="BR212" s="47"/>
      <c r="BS212" s="47"/>
      <c r="BT212" s="47"/>
      <c r="BU212" s="47"/>
      <c r="BV212" s="47"/>
      <c r="BW212" s="47"/>
      <c r="BX212" s="47"/>
      <c r="BY212" s="47"/>
      <c r="BZ212" s="47"/>
    </row>
    <row r="213" spans="1:78" ht="13">
      <c r="A213" s="48" t="str">
        <f ca="1">'.'!A213</f>
        <v>Green Tea Leaves</v>
      </c>
      <c r="B213" s="46" t="str">
        <f t="array" aca="1" ref="B213" ca="1">IF('.'!B213="","",'.'!B213&amp;IF(VLOOKUP('.'!B213,Recipes!$A:$D,4,FALSE)="",""," ["&amp;VLOOKUP('.'!B213,Recipes!$A:$D,4,FALSE)&amp;"]"))</f>
        <v>Green Tea</v>
      </c>
      <c r="C213" s="46" t="str">
        <f t="array" ref="C213">IF('.'!C213="","",'.'!C213&amp;IF(VLOOKUP('.'!C213,Recipes!$A:$D,4,FALSE)="",""," ["&amp;VLOOKUP('.'!C213,Recipes!$A:$D,4,FALSE)&amp;"]"))</f>
        <v/>
      </c>
      <c r="D213" s="46" t="str">
        <f t="array" ref="D213">IF('.'!D213="","",'.'!D213&amp;IF(VLOOKUP('.'!D213,Recipes!$A:$D,4,FALSE)="",""," ["&amp;VLOOKUP('.'!D213,Recipes!$A:$D,4,FALSE)&amp;"]"))</f>
        <v/>
      </c>
      <c r="E213" s="46" t="str">
        <f t="array" ref="E213">IF('.'!E213="","",'.'!E213&amp;IF(VLOOKUP('.'!E213,Recipes!$A:$D,4,FALSE)="",""," ["&amp;VLOOKUP('.'!E213,Recipes!$A:$D,4,FALSE)&amp;"]"))</f>
        <v/>
      </c>
      <c r="F213" s="46" t="str">
        <f t="array" ref="F213">IF('.'!F213="","",'.'!F213&amp;IF(VLOOKUP('.'!F213,Recipes!$A:$D,4,FALSE)="",""," ["&amp;VLOOKUP('.'!F213,Recipes!$A:$D,4,FALSE)&amp;"]"))</f>
        <v/>
      </c>
      <c r="G213" s="46" t="str">
        <f t="array" ref="G213">IF('.'!G213="","",'.'!G213&amp;IF(VLOOKUP('.'!G213,Recipes!$A:$D,4,FALSE)="",""," ["&amp;VLOOKUP('.'!G213,Recipes!$A:$D,4,FALSE)&amp;"]"))</f>
        <v/>
      </c>
      <c r="H213" s="46" t="str">
        <f t="array" ref="H213">IF('.'!H213="","",'.'!H213&amp;IF(VLOOKUP('.'!H213,Recipes!$A:$D,4,FALSE)="",""," ["&amp;VLOOKUP('.'!H213,Recipes!$A:$D,4,FALSE)&amp;"]"))</f>
        <v/>
      </c>
      <c r="I213" s="46" t="str">
        <f t="array" ref="I213">IF('.'!I213="","",'.'!I213&amp;IF(VLOOKUP('.'!I213,Recipes!$A:$D,4,FALSE)="",""," ["&amp;VLOOKUP('.'!I213,Recipes!$A:$D,4,FALSE)&amp;"]"))</f>
        <v/>
      </c>
      <c r="J213" s="46" t="str">
        <f t="array" ref="J213">IF('.'!J213="","",'.'!J213&amp;IF(VLOOKUP('.'!J213,Recipes!$A:$D,4,FALSE)="",""," ["&amp;VLOOKUP('.'!J213,Recipes!$A:$D,4,FALSE)&amp;"]"))</f>
        <v/>
      </c>
      <c r="K213" s="46" t="str">
        <f t="array" ref="K213">IF('.'!K213="","",'.'!K213&amp;IF(VLOOKUP('.'!K213,Recipes!$A:$D,4,FALSE)="",""," ["&amp;VLOOKUP('.'!K213,Recipes!$A:$D,4,FALSE)&amp;"]"))</f>
        <v/>
      </c>
      <c r="L213" s="46" t="str">
        <f t="array" ref="L213">IF('.'!L213="","",'.'!L213&amp;IF(VLOOKUP('.'!L213,Recipes!$A:$D,4,FALSE)="",""," ["&amp;VLOOKUP('.'!L213,Recipes!$A:$D,4,FALSE)&amp;"]"))</f>
        <v/>
      </c>
      <c r="M213" s="46" t="str">
        <f t="array" ref="M213">IF('.'!M213="","",'.'!M213&amp;IF(VLOOKUP('.'!M213,Recipes!$A:$D,4,FALSE)="",""," ["&amp;VLOOKUP('.'!M213,Recipes!$A:$D,4,FALSE)&amp;"]"))</f>
        <v/>
      </c>
      <c r="N213" s="46" t="str">
        <f t="array" ref="N213">IF('.'!N213="","",'.'!N213&amp;IF(VLOOKUP('.'!N213,Recipes!$A:$D,4,FALSE)="",""," ["&amp;VLOOKUP('.'!N213,Recipes!$A:$D,4,FALSE)&amp;"]"))</f>
        <v/>
      </c>
      <c r="O213" s="46" t="str">
        <f t="array" ref="O213">IF('.'!O213="","",'.'!O213&amp;IF(VLOOKUP('.'!O213,Recipes!$A:$D,4,FALSE)="",""," ["&amp;VLOOKUP('.'!O213,Recipes!$A:$D,4,FALSE)&amp;"]"))</f>
        <v/>
      </c>
      <c r="P213" s="46" t="str">
        <f t="array" ref="P213">IF('.'!P213="","",'.'!P213&amp;IF(VLOOKUP('.'!P213,Recipes!$A:$D,4,FALSE)="",""," ["&amp;VLOOKUP('.'!P213,Recipes!$A:$D,4,FALSE)&amp;"]"))</f>
        <v/>
      </c>
      <c r="Q213" s="46" t="str">
        <f t="array" ref="Q213">IF('.'!Q213="","",'.'!Q213&amp;IF(VLOOKUP('.'!Q213,Recipes!$A:$D,4,FALSE)="",""," ["&amp;VLOOKUP('.'!Q213,Recipes!$A:$D,4,FALSE)&amp;"]"))</f>
        <v/>
      </c>
      <c r="R213" s="46" t="str">
        <f t="array" ref="R213">IF('.'!R213="","",'.'!R213&amp;IF(VLOOKUP('.'!R213,Recipes!$A:$D,4,FALSE)="",""," ["&amp;VLOOKUP('.'!R213,Recipes!$A:$D,4,FALSE)&amp;"]"))</f>
        <v/>
      </c>
      <c r="S213" s="46" t="str">
        <f t="array" ref="S213">IF('.'!S213="","",'.'!S213&amp;IF(VLOOKUP('.'!S213,Recipes!$A:$D,4,FALSE)="",""," ["&amp;VLOOKUP('.'!S213,Recipes!$A:$D,4,FALSE)&amp;"]"))</f>
        <v/>
      </c>
      <c r="T213" s="46" t="str">
        <f t="array" ref="T213">IF('.'!T213="","",'.'!T213&amp;IF(VLOOKUP('.'!T213,Recipes!$A:$D,4,FALSE)="",""," ["&amp;VLOOKUP('.'!T213,Recipes!$A:$D,4,FALSE)&amp;"]"))</f>
        <v/>
      </c>
      <c r="U213" s="46" t="str">
        <f t="array" ref="U213">IF('.'!U213="","",'.'!U213&amp;IF(VLOOKUP('.'!U213,Recipes!$A:$D,4,FALSE)="",""," ["&amp;VLOOKUP('.'!U213,Recipes!$A:$D,4,FALSE)&amp;"]"))</f>
        <v/>
      </c>
      <c r="V213" s="46" t="str">
        <f t="array" ref="V213">IF('.'!V213="","",'.'!V213&amp;IF(VLOOKUP('.'!V213,Recipes!$A:$D,4,FALSE)="",""," ["&amp;VLOOKUP('.'!V213,Recipes!$A:$D,4,FALSE)&amp;"]"))</f>
        <v/>
      </c>
      <c r="W213" s="46" t="str">
        <f t="array" ref="W213">IF('.'!W213="","",'.'!W213&amp;IF(VLOOKUP('.'!W213,Recipes!$A:$D,4,FALSE)="",""," ["&amp;VLOOKUP('.'!W213,Recipes!$A:$D,4,FALSE)&amp;"]"))</f>
        <v/>
      </c>
      <c r="X213" s="46" t="str">
        <f t="array" ref="X213">IF('.'!X213="","",'.'!X213&amp;IF(VLOOKUP('.'!X213,Recipes!$A:$D,4,FALSE)="",""," ["&amp;VLOOKUP('.'!X213,Recipes!$A:$D,4,FALSE)&amp;"]"))</f>
        <v/>
      </c>
      <c r="Y213" s="46" t="str">
        <f t="array" ref="Y213">IF('.'!Y213="","",'.'!Y213&amp;IF(VLOOKUP('.'!Y213,Recipes!$A:$D,4,FALSE)="",""," ["&amp;VLOOKUP('.'!Y213,Recipes!$A:$D,4,FALSE)&amp;"]"))</f>
        <v/>
      </c>
      <c r="Z213" s="46" t="str">
        <f t="array" ref="Z213">IF('.'!Z213="","",'.'!Z213&amp;IF(VLOOKUP('.'!Z213,Recipes!$A:$D,4,FALSE)="",""," ["&amp;VLOOKUP('.'!Z213,Recipes!$A:$D,4,FALSE)&amp;"]"))</f>
        <v/>
      </c>
      <c r="AA213" s="46" t="str">
        <f t="array" ref="AA213">IF('.'!AA213="","",'.'!AA213&amp;IF(VLOOKUP('.'!AA213,Recipes!$A:$D,4,FALSE)="",""," ["&amp;VLOOKUP('.'!AA213,Recipes!$A:$D,4,FALSE)&amp;"]"))</f>
        <v/>
      </c>
      <c r="AB213" s="46" t="str">
        <f t="array" ref="AB213">IF('.'!AB213="","",'.'!AB213&amp;IF(VLOOKUP('.'!AB213,Recipes!$A:$D,4,FALSE)="",""," ["&amp;VLOOKUP('.'!AB213,Recipes!$A:$D,4,FALSE)&amp;"]"))</f>
        <v/>
      </c>
      <c r="AC213" s="46" t="str">
        <f t="array" ref="AC213">IF('.'!AC213="","",'.'!AC213&amp;IF(VLOOKUP('.'!AC213,Recipes!$A:$D,4,FALSE)="",""," ["&amp;VLOOKUP('.'!AC213,Recipes!$A:$D,4,FALSE)&amp;"]"))</f>
        <v/>
      </c>
      <c r="AD213" s="46" t="str">
        <f t="array" ref="AD213">IF('.'!AD213="","",'.'!AD213&amp;IF(VLOOKUP('.'!AD213,Recipes!$A:$D,4,FALSE)="",""," ["&amp;VLOOKUP('.'!AD213,Recipes!$A:$D,4,FALSE)&amp;"]"))</f>
        <v/>
      </c>
      <c r="AE213" s="47"/>
      <c r="AF213" s="47"/>
      <c r="AG213" s="47"/>
      <c r="AH213" s="47"/>
      <c r="AI213" s="47"/>
      <c r="AJ213" s="47"/>
      <c r="AK213" s="47"/>
      <c r="AL213" s="47"/>
      <c r="AM213" s="47"/>
      <c r="AN213" s="47"/>
      <c r="AO213" s="47"/>
      <c r="AP213" s="47"/>
      <c r="AQ213" s="47"/>
      <c r="AR213" s="47"/>
      <c r="AS213" s="47"/>
      <c r="AT213" s="47"/>
      <c r="AU213" s="47"/>
      <c r="AV213" s="47"/>
      <c r="AW213" s="47"/>
      <c r="AX213" s="47"/>
      <c r="AY213" s="47"/>
      <c r="AZ213" s="47"/>
      <c r="BA213" s="47"/>
      <c r="BB213" s="47"/>
      <c r="BC213" s="47"/>
      <c r="BD213" s="47"/>
      <c r="BE213" s="47"/>
      <c r="BF213" s="47"/>
      <c r="BG213" s="47"/>
      <c r="BH213" s="47"/>
      <c r="BI213" s="47"/>
      <c r="BJ213" s="47"/>
      <c r="BK213" s="47"/>
      <c r="BL213" s="47"/>
      <c r="BM213" s="47"/>
      <c r="BN213" s="47"/>
      <c r="BO213" s="47"/>
      <c r="BP213" s="47"/>
      <c r="BQ213" s="47"/>
      <c r="BR213" s="47"/>
      <c r="BS213" s="47"/>
      <c r="BT213" s="47"/>
      <c r="BU213" s="47"/>
      <c r="BV213" s="47"/>
      <c r="BW213" s="47"/>
      <c r="BX213" s="47"/>
      <c r="BY213" s="47"/>
      <c r="BZ213" s="47"/>
    </row>
    <row r="214" spans="1:78" ht="13">
      <c r="A214" s="48" t="str">
        <f ca="1">'.'!A214</f>
        <v>Guepinia Mushroom</v>
      </c>
      <c r="B214" s="46" t="str">
        <f t="array" aca="1" ref="B214" ca="1">IF('.'!B214="","",'.'!B214&amp;IF(VLOOKUP('.'!B214,Recipes!$A:$D,4,FALSE)="",""," ["&amp;VLOOKUP('.'!B214,Recipes!$A:$D,4,FALSE)&amp;"]"))</f>
        <v>Fire Resistance Potion [-70]</v>
      </c>
      <c r="C214" s="46" t="str">
        <f t="array" ref="C214">IF('.'!C214="","",'.'!C214&amp;IF(VLOOKUP('.'!C214,Recipes!$A:$D,4,FALSE)="",""," ["&amp;VLOOKUP('.'!C214,Recipes!$A:$D,4,FALSE)&amp;"]"))</f>
        <v/>
      </c>
      <c r="D214" s="46" t="str">
        <f t="array" ref="D214">IF('.'!D214="","",'.'!D214&amp;IF(VLOOKUP('.'!D214,Recipes!$A:$D,4,FALSE)="",""," ["&amp;VLOOKUP('.'!D214,Recipes!$A:$D,4,FALSE)&amp;"]"))</f>
        <v/>
      </c>
      <c r="E214" s="46" t="str">
        <f t="array" ref="E214">IF('.'!E214="","",'.'!E214&amp;IF(VLOOKUP('.'!E214,Recipes!$A:$D,4,FALSE)="",""," ["&amp;VLOOKUP('.'!E214,Recipes!$A:$D,4,FALSE)&amp;"]"))</f>
        <v/>
      </c>
      <c r="F214" s="46" t="str">
        <f t="array" ref="F214">IF('.'!F214="","",'.'!F214&amp;IF(VLOOKUP('.'!F214,Recipes!$A:$D,4,FALSE)="",""," ["&amp;VLOOKUP('.'!F214,Recipes!$A:$D,4,FALSE)&amp;"]"))</f>
        <v/>
      </c>
      <c r="G214" s="46" t="str">
        <f t="array" ref="G214">IF('.'!G214="","",'.'!G214&amp;IF(VLOOKUP('.'!G214,Recipes!$A:$D,4,FALSE)="",""," ["&amp;VLOOKUP('.'!G214,Recipes!$A:$D,4,FALSE)&amp;"]"))</f>
        <v/>
      </c>
      <c r="H214" s="46" t="str">
        <f t="array" ref="H214">IF('.'!H214="","",'.'!H214&amp;IF(VLOOKUP('.'!H214,Recipes!$A:$D,4,FALSE)="",""," ["&amp;VLOOKUP('.'!H214,Recipes!$A:$D,4,FALSE)&amp;"]"))</f>
        <v/>
      </c>
      <c r="I214" s="46" t="str">
        <f t="array" ref="I214">IF('.'!I214="","",'.'!I214&amp;IF(VLOOKUP('.'!I214,Recipes!$A:$D,4,FALSE)="",""," ["&amp;VLOOKUP('.'!I214,Recipes!$A:$D,4,FALSE)&amp;"]"))</f>
        <v/>
      </c>
      <c r="J214" s="46" t="str">
        <f t="array" ref="J214">IF('.'!J214="","",'.'!J214&amp;IF(VLOOKUP('.'!J214,Recipes!$A:$D,4,FALSE)="",""," ["&amp;VLOOKUP('.'!J214,Recipes!$A:$D,4,FALSE)&amp;"]"))</f>
        <v/>
      </c>
      <c r="K214" s="46" t="str">
        <f t="array" ref="K214">IF('.'!K214="","",'.'!K214&amp;IF(VLOOKUP('.'!K214,Recipes!$A:$D,4,FALSE)="",""," ["&amp;VLOOKUP('.'!K214,Recipes!$A:$D,4,FALSE)&amp;"]"))</f>
        <v/>
      </c>
      <c r="L214" s="46" t="str">
        <f t="array" ref="L214">IF('.'!L214="","",'.'!L214&amp;IF(VLOOKUP('.'!L214,Recipes!$A:$D,4,FALSE)="",""," ["&amp;VLOOKUP('.'!L214,Recipes!$A:$D,4,FALSE)&amp;"]"))</f>
        <v/>
      </c>
      <c r="M214" s="46" t="str">
        <f t="array" ref="M214">IF('.'!M214="","",'.'!M214&amp;IF(VLOOKUP('.'!M214,Recipes!$A:$D,4,FALSE)="",""," ["&amp;VLOOKUP('.'!M214,Recipes!$A:$D,4,FALSE)&amp;"]"))</f>
        <v/>
      </c>
      <c r="N214" s="46" t="str">
        <f t="array" ref="N214">IF('.'!N214="","",'.'!N214&amp;IF(VLOOKUP('.'!N214,Recipes!$A:$D,4,FALSE)="",""," ["&amp;VLOOKUP('.'!N214,Recipes!$A:$D,4,FALSE)&amp;"]"))</f>
        <v/>
      </c>
      <c r="O214" s="46" t="str">
        <f t="array" ref="O214">IF('.'!O214="","",'.'!O214&amp;IF(VLOOKUP('.'!O214,Recipes!$A:$D,4,FALSE)="",""," ["&amp;VLOOKUP('.'!O214,Recipes!$A:$D,4,FALSE)&amp;"]"))</f>
        <v/>
      </c>
      <c r="P214" s="46" t="str">
        <f t="array" ref="P214">IF('.'!P214="","",'.'!P214&amp;IF(VLOOKUP('.'!P214,Recipes!$A:$D,4,FALSE)="",""," ["&amp;VLOOKUP('.'!P214,Recipes!$A:$D,4,FALSE)&amp;"]"))</f>
        <v/>
      </c>
      <c r="Q214" s="46" t="str">
        <f t="array" ref="Q214">IF('.'!Q214="","",'.'!Q214&amp;IF(VLOOKUP('.'!Q214,Recipes!$A:$D,4,FALSE)="",""," ["&amp;VLOOKUP('.'!Q214,Recipes!$A:$D,4,FALSE)&amp;"]"))</f>
        <v/>
      </c>
      <c r="R214" s="46" t="str">
        <f t="array" ref="R214">IF('.'!R214="","",'.'!R214&amp;IF(VLOOKUP('.'!R214,Recipes!$A:$D,4,FALSE)="",""," ["&amp;VLOOKUP('.'!R214,Recipes!$A:$D,4,FALSE)&amp;"]"))</f>
        <v/>
      </c>
      <c r="S214" s="46" t="str">
        <f t="array" ref="S214">IF('.'!S214="","",'.'!S214&amp;IF(VLOOKUP('.'!S214,Recipes!$A:$D,4,FALSE)="",""," ["&amp;VLOOKUP('.'!S214,Recipes!$A:$D,4,FALSE)&amp;"]"))</f>
        <v/>
      </c>
      <c r="T214" s="46" t="str">
        <f t="array" ref="T214">IF('.'!T214="","",'.'!T214&amp;IF(VLOOKUP('.'!T214,Recipes!$A:$D,4,FALSE)="",""," ["&amp;VLOOKUP('.'!T214,Recipes!$A:$D,4,FALSE)&amp;"]"))</f>
        <v/>
      </c>
      <c r="U214" s="46" t="str">
        <f t="array" ref="U214">IF('.'!U214="","",'.'!U214&amp;IF(VLOOKUP('.'!U214,Recipes!$A:$D,4,FALSE)="",""," ["&amp;VLOOKUP('.'!U214,Recipes!$A:$D,4,FALSE)&amp;"]"))</f>
        <v/>
      </c>
      <c r="V214" s="46" t="str">
        <f t="array" ref="V214">IF('.'!V214="","",'.'!V214&amp;IF(VLOOKUP('.'!V214,Recipes!$A:$D,4,FALSE)="",""," ["&amp;VLOOKUP('.'!V214,Recipes!$A:$D,4,FALSE)&amp;"]"))</f>
        <v/>
      </c>
      <c r="W214" s="46" t="str">
        <f t="array" ref="W214">IF('.'!W214="","",'.'!W214&amp;IF(VLOOKUP('.'!W214,Recipes!$A:$D,4,FALSE)="",""," ["&amp;VLOOKUP('.'!W214,Recipes!$A:$D,4,FALSE)&amp;"]"))</f>
        <v/>
      </c>
      <c r="X214" s="46" t="str">
        <f t="array" ref="X214">IF('.'!X214="","",'.'!X214&amp;IF(VLOOKUP('.'!X214,Recipes!$A:$D,4,FALSE)="",""," ["&amp;VLOOKUP('.'!X214,Recipes!$A:$D,4,FALSE)&amp;"]"))</f>
        <v/>
      </c>
      <c r="Y214" s="46" t="str">
        <f t="array" ref="Y214">IF('.'!Y214="","",'.'!Y214&amp;IF(VLOOKUP('.'!Y214,Recipes!$A:$D,4,FALSE)="",""," ["&amp;VLOOKUP('.'!Y214,Recipes!$A:$D,4,FALSE)&amp;"]"))</f>
        <v/>
      </c>
      <c r="Z214" s="46" t="str">
        <f t="array" ref="Z214">IF('.'!Z214="","",'.'!Z214&amp;IF(VLOOKUP('.'!Z214,Recipes!$A:$D,4,FALSE)="",""," ["&amp;VLOOKUP('.'!Z214,Recipes!$A:$D,4,FALSE)&amp;"]"))</f>
        <v/>
      </c>
      <c r="AA214" s="46" t="str">
        <f t="array" ref="AA214">IF('.'!AA214="","",'.'!AA214&amp;IF(VLOOKUP('.'!AA214,Recipes!$A:$D,4,FALSE)="",""," ["&amp;VLOOKUP('.'!AA214,Recipes!$A:$D,4,FALSE)&amp;"]"))</f>
        <v/>
      </c>
      <c r="AB214" s="46" t="str">
        <f t="array" ref="AB214">IF('.'!AB214="","",'.'!AB214&amp;IF(VLOOKUP('.'!AB214,Recipes!$A:$D,4,FALSE)="",""," ["&amp;VLOOKUP('.'!AB214,Recipes!$A:$D,4,FALSE)&amp;"]"))</f>
        <v/>
      </c>
      <c r="AC214" s="46" t="str">
        <f t="array" ref="AC214">IF('.'!AC214="","",'.'!AC214&amp;IF(VLOOKUP('.'!AC214,Recipes!$A:$D,4,FALSE)="",""," ["&amp;VLOOKUP('.'!AC214,Recipes!$A:$D,4,FALSE)&amp;"]"))</f>
        <v/>
      </c>
      <c r="AD214" s="46" t="str">
        <f t="array" ref="AD214">IF('.'!AD214="","",'.'!AD214&amp;IF(VLOOKUP('.'!AD214,Recipes!$A:$D,4,FALSE)="",""," ["&amp;VLOOKUP('.'!AD214,Recipes!$A:$D,4,FALSE)&amp;"]"))</f>
        <v/>
      </c>
      <c r="AE214" s="47"/>
      <c r="AF214" s="47"/>
      <c r="AG214" s="47"/>
      <c r="AH214" s="47"/>
      <c r="AI214" s="47"/>
      <c r="AJ214" s="47"/>
      <c r="AK214" s="47"/>
      <c r="AL214" s="47"/>
      <c r="AM214" s="47"/>
      <c r="AN214" s="47"/>
      <c r="AO214" s="47"/>
      <c r="AP214" s="47"/>
      <c r="AQ214" s="47"/>
      <c r="AR214" s="47"/>
      <c r="AS214" s="47"/>
      <c r="AT214" s="47"/>
      <c r="AU214" s="47"/>
      <c r="AV214" s="47"/>
      <c r="AW214" s="47"/>
      <c r="AX214" s="47"/>
      <c r="AY214" s="47"/>
      <c r="AZ214" s="47"/>
      <c r="BA214" s="47"/>
      <c r="BB214" s="47"/>
      <c r="BC214" s="47"/>
      <c r="BD214" s="47"/>
      <c r="BE214" s="47"/>
      <c r="BF214" s="47"/>
      <c r="BG214" s="47"/>
      <c r="BH214" s="47"/>
      <c r="BI214" s="47"/>
      <c r="BJ214" s="47"/>
      <c r="BK214" s="47"/>
      <c r="BL214" s="47"/>
      <c r="BM214" s="47"/>
      <c r="BN214" s="47"/>
      <c r="BO214" s="47"/>
      <c r="BP214" s="47"/>
      <c r="BQ214" s="47"/>
      <c r="BR214" s="47"/>
      <c r="BS214" s="47"/>
      <c r="BT214" s="47"/>
      <c r="BU214" s="47"/>
      <c r="BV214" s="47"/>
      <c r="BW214" s="47"/>
      <c r="BX214" s="47"/>
      <c r="BY214" s="47"/>
      <c r="BZ214" s="47"/>
    </row>
    <row r="215" spans="1:78" ht="13">
      <c r="A215" s="48" t="str">
        <f ca="1">'.'!A215</f>
        <v>Haft of the Promise Breaker</v>
      </c>
      <c r="B215" s="46" t="e">
        <f t="array" aca="1" ref="B215" ca="1">IF('.'!B215="","",'.'!B215&amp;IF(VLOOKUP('.'!B215,Recipes!$A:$D,4,FALSE)="",""," ["&amp;VLOOKUP('.'!B215,Recipes!$A:$D,4,FALSE)&amp;"]"))</f>
        <v>#VALUE!</v>
      </c>
      <c r="C215" s="46" t="str">
        <f t="array" ref="C215">IF('.'!C215="","",'.'!C215&amp;IF(VLOOKUP('.'!C215,Recipes!$A:$D,4,FALSE)="",""," ["&amp;VLOOKUP('.'!C215,Recipes!$A:$D,4,FALSE)&amp;"]"))</f>
        <v/>
      </c>
      <c r="D215" s="46" t="str">
        <f t="array" ref="D215">IF('.'!D215="","",'.'!D215&amp;IF(VLOOKUP('.'!D215,Recipes!$A:$D,4,FALSE)="",""," ["&amp;VLOOKUP('.'!D215,Recipes!$A:$D,4,FALSE)&amp;"]"))</f>
        <v/>
      </c>
      <c r="E215" s="46" t="str">
        <f t="array" ref="E215">IF('.'!E215="","",'.'!E215&amp;IF(VLOOKUP('.'!E215,Recipes!$A:$D,4,FALSE)="",""," ["&amp;VLOOKUP('.'!E215,Recipes!$A:$D,4,FALSE)&amp;"]"))</f>
        <v/>
      </c>
      <c r="F215" s="46" t="str">
        <f t="array" ref="F215">IF('.'!F215="","",'.'!F215&amp;IF(VLOOKUP('.'!F215,Recipes!$A:$D,4,FALSE)="",""," ["&amp;VLOOKUP('.'!F215,Recipes!$A:$D,4,FALSE)&amp;"]"))</f>
        <v/>
      </c>
      <c r="G215" s="46" t="str">
        <f t="array" ref="G215">IF('.'!G215="","",'.'!G215&amp;IF(VLOOKUP('.'!G215,Recipes!$A:$D,4,FALSE)="",""," ["&amp;VLOOKUP('.'!G215,Recipes!$A:$D,4,FALSE)&amp;"]"))</f>
        <v/>
      </c>
      <c r="H215" s="46" t="str">
        <f t="array" ref="H215">IF('.'!H215="","",'.'!H215&amp;IF(VLOOKUP('.'!H215,Recipes!$A:$D,4,FALSE)="",""," ["&amp;VLOOKUP('.'!H215,Recipes!$A:$D,4,FALSE)&amp;"]"))</f>
        <v/>
      </c>
      <c r="I215" s="46" t="str">
        <f t="array" ref="I215">IF('.'!I215="","",'.'!I215&amp;IF(VLOOKUP('.'!I215,Recipes!$A:$D,4,FALSE)="",""," ["&amp;VLOOKUP('.'!I215,Recipes!$A:$D,4,FALSE)&amp;"]"))</f>
        <v/>
      </c>
      <c r="J215" s="46" t="str">
        <f t="array" ref="J215">IF('.'!J215="","",'.'!J215&amp;IF(VLOOKUP('.'!J215,Recipes!$A:$D,4,FALSE)="",""," ["&amp;VLOOKUP('.'!J215,Recipes!$A:$D,4,FALSE)&amp;"]"))</f>
        <v/>
      </c>
      <c r="K215" s="46" t="str">
        <f t="array" ref="K215">IF('.'!K215="","",'.'!K215&amp;IF(VLOOKUP('.'!K215,Recipes!$A:$D,4,FALSE)="",""," ["&amp;VLOOKUP('.'!K215,Recipes!$A:$D,4,FALSE)&amp;"]"))</f>
        <v/>
      </c>
      <c r="L215" s="46" t="str">
        <f t="array" ref="L215">IF('.'!L215="","",'.'!L215&amp;IF(VLOOKUP('.'!L215,Recipes!$A:$D,4,FALSE)="",""," ["&amp;VLOOKUP('.'!L215,Recipes!$A:$D,4,FALSE)&amp;"]"))</f>
        <v/>
      </c>
      <c r="M215" s="46" t="str">
        <f t="array" ref="M215">IF('.'!M215="","",'.'!M215&amp;IF(VLOOKUP('.'!M215,Recipes!$A:$D,4,FALSE)="",""," ["&amp;VLOOKUP('.'!M215,Recipes!$A:$D,4,FALSE)&amp;"]"))</f>
        <v/>
      </c>
      <c r="N215" s="46" t="str">
        <f t="array" ref="N215">IF('.'!N215="","",'.'!N215&amp;IF(VLOOKUP('.'!N215,Recipes!$A:$D,4,FALSE)="",""," ["&amp;VLOOKUP('.'!N215,Recipes!$A:$D,4,FALSE)&amp;"]"))</f>
        <v/>
      </c>
      <c r="O215" s="46" t="str">
        <f t="array" ref="O215">IF('.'!O215="","",'.'!O215&amp;IF(VLOOKUP('.'!O215,Recipes!$A:$D,4,FALSE)="",""," ["&amp;VLOOKUP('.'!O215,Recipes!$A:$D,4,FALSE)&amp;"]"))</f>
        <v/>
      </c>
      <c r="P215" s="46" t="str">
        <f t="array" ref="P215">IF('.'!P215="","",'.'!P215&amp;IF(VLOOKUP('.'!P215,Recipes!$A:$D,4,FALSE)="",""," ["&amp;VLOOKUP('.'!P215,Recipes!$A:$D,4,FALSE)&amp;"]"))</f>
        <v/>
      </c>
      <c r="Q215" s="46" t="str">
        <f t="array" ref="Q215">IF('.'!Q215="","",'.'!Q215&amp;IF(VLOOKUP('.'!Q215,Recipes!$A:$D,4,FALSE)="",""," ["&amp;VLOOKUP('.'!Q215,Recipes!$A:$D,4,FALSE)&amp;"]"))</f>
        <v/>
      </c>
      <c r="R215" s="46" t="str">
        <f t="array" ref="R215">IF('.'!R215="","",'.'!R215&amp;IF(VLOOKUP('.'!R215,Recipes!$A:$D,4,FALSE)="",""," ["&amp;VLOOKUP('.'!R215,Recipes!$A:$D,4,FALSE)&amp;"]"))</f>
        <v/>
      </c>
      <c r="S215" s="46" t="str">
        <f t="array" ref="S215">IF('.'!S215="","",'.'!S215&amp;IF(VLOOKUP('.'!S215,Recipes!$A:$D,4,FALSE)="",""," ["&amp;VLOOKUP('.'!S215,Recipes!$A:$D,4,FALSE)&amp;"]"))</f>
        <v/>
      </c>
      <c r="T215" s="46" t="str">
        <f t="array" ref="T215">IF('.'!T215="","",'.'!T215&amp;IF(VLOOKUP('.'!T215,Recipes!$A:$D,4,FALSE)="",""," ["&amp;VLOOKUP('.'!T215,Recipes!$A:$D,4,FALSE)&amp;"]"))</f>
        <v/>
      </c>
      <c r="U215" s="46" t="str">
        <f t="array" ref="U215">IF('.'!U215="","",'.'!U215&amp;IF(VLOOKUP('.'!U215,Recipes!$A:$D,4,FALSE)="",""," ["&amp;VLOOKUP('.'!U215,Recipes!$A:$D,4,FALSE)&amp;"]"))</f>
        <v/>
      </c>
      <c r="V215" s="46" t="str">
        <f t="array" ref="V215">IF('.'!V215="","",'.'!V215&amp;IF(VLOOKUP('.'!V215,Recipes!$A:$D,4,FALSE)="",""," ["&amp;VLOOKUP('.'!V215,Recipes!$A:$D,4,FALSE)&amp;"]"))</f>
        <v/>
      </c>
      <c r="W215" s="46" t="str">
        <f t="array" ref="W215">IF('.'!W215="","",'.'!W215&amp;IF(VLOOKUP('.'!W215,Recipes!$A:$D,4,FALSE)="",""," ["&amp;VLOOKUP('.'!W215,Recipes!$A:$D,4,FALSE)&amp;"]"))</f>
        <v/>
      </c>
      <c r="X215" s="46" t="str">
        <f t="array" ref="X215">IF('.'!X215="","",'.'!X215&amp;IF(VLOOKUP('.'!X215,Recipes!$A:$D,4,FALSE)="",""," ["&amp;VLOOKUP('.'!X215,Recipes!$A:$D,4,FALSE)&amp;"]"))</f>
        <v/>
      </c>
      <c r="Y215" s="46" t="str">
        <f t="array" ref="Y215">IF('.'!Y215="","",'.'!Y215&amp;IF(VLOOKUP('.'!Y215,Recipes!$A:$D,4,FALSE)="",""," ["&amp;VLOOKUP('.'!Y215,Recipes!$A:$D,4,FALSE)&amp;"]"))</f>
        <v/>
      </c>
      <c r="Z215" s="46" t="str">
        <f t="array" ref="Z215">IF('.'!Z215="","",'.'!Z215&amp;IF(VLOOKUP('.'!Z215,Recipes!$A:$D,4,FALSE)="",""," ["&amp;VLOOKUP('.'!Z215,Recipes!$A:$D,4,FALSE)&amp;"]"))</f>
        <v/>
      </c>
      <c r="AA215" s="46" t="str">
        <f t="array" ref="AA215">IF('.'!AA215="","",'.'!AA215&amp;IF(VLOOKUP('.'!AA215,Recipes!$A:$D,4,FALSE)="",""," ["&amp;VLOOKUP('.'!AA215,Recipes!$A:$D,4,FALSE)&amp;"]"))</f>
        <v/>
      </c>
      <c r="AB215" s="46" t="str">
        <f t="array" ref="AB215">IF('.'!AB215="","",'.'!AB215&amp;IF(VLOOKUP('.'!AB215,Recipes!$A:$D,4,FALSE)="",""," ["&amp;VLOOKUP('.'!AB215,Recipes!$A:$D,4,FALSE)&amp;"]"))</f>
        <v/>
      </c>
      <c r="AC215" s="46" t="str">
        <f t="array" ref="AC215">IF('.'!AC215="","",'.'!AC215&amp;IF(VLOOKUP('.'!AC215,Recipes!$A:$D,4,FALSE)="",""," ["&amp;VLOOKUP('.'!AC215,Recipes!$A:$D,4,FALSE)&amp;"]"))</f>
        <v/>
      </c>
      <c r="AD215" s="46" t="str">
        <f t="array" ref="AD215">IF('.'!AD215="","",'.'!AD215&amp;IF(VLOOKUP('.'!AD215,Recipes!$A:$D,4,FALSE)="",""," ["&amp;VLOOKUP('.'!AD215,Recipes!$A:$D,4,FALSE)&amp;"]"))</f>
        <v/>
      </c>
      <c r="AE215" s="47"/>
      <c r="AF215" s="47"/>
      <c r="AG215" s="47"/>
      <c r="AH215" s="47"/>
      <c r="AI215" s="47"/>
      <c r="AJ215" s="47"/>
      <c r="AK215" s="47"/>
      <c r="AL215" s="47"/>
      <c r="AM215" s="47"/>
      <c r="AN215" s="47"/>
      <c r="AO215" s="47"/>
      <c r="AP215" s="47"/>
      <c r="AQ215" s="47"/>
      <c r="AR215" s="47"/>
      <c r="AS215" s="47"/>
      <c r="AT215" s="47"/>
      <c r="AU215" s="47"/>
      <c r="AV215" s="47"/>
      <c r="AW215" s="47"/>
      <c r="AX215" s="47"/>
      <c r="AY215" s="47"/>
      <c r="AZ215" s="47"/>
      <c r="BA215" s="47"/>
      <c r="BB215" s="47"/>
      <c r="BC215" s="47"/>
      <c r="BD215" s="47"/>
      <c r="BE215" s="47"/>
      <c r="BF215" s="47"/>
      <c r="BG215" s="47"/>
      <c r="BH215" s="47"/>
      <c r="BI215" s="47"/>
      <c r="BJ215" s="47"/>
      <c r="BK215" s="47"/>
      <c r="BL215" s="47"/>
      <c r="BM215" s="47"/>
      <c r="BN215" s="47"/>
      <c r="BO215" s="47"/>
      <c r="BP215" s="47"/>
      <c r="BQ215" s="47"/>
      <c r="BR215" s="47"/>
      <c r="BS215" s="47"/>
      <c r="BT215" s="47"/>
      <c r="BU215" s="47"/>
      <c r="BV215" s="47"/>
      <c r="BW215" s="47"/>
      <c r="BX215" s="47"/>
      <c r="BY215" s="47"/>
      <c r="BZ215" s="47"/>
    </row>
    <row r="216" spans="1:78" ht="13">
      <c r="A216" s="48" t="str">
        <f ca="1">'.'!A216</f>
        <v>Hail Strike Scroll</v>
      </c>
      <c r="B216" s="46" t="str">
        <f t="array" aca="1" ref="B216" ca="1">IF('.'!B216="","",'.'!B216&amp;IF(VLOOKUP('.'!B216,Recipes!$A:$D,4,FALSE)="",""," ["&amp;VLOOKUP('.'!B216,Recipes!$A:$D,4,FALSE)&amp;"]"))</f>
        <v>Hail Strike Skillbook [-390]</v>
      </c>
      <c r="C216" s="46" t="str">
        <f t="array" ref="C216">IF('.'!C216="","",'.'!C216&amp;IF(VLOOKUP('.'!C216,Recipes!$A:$D,4,FALSE)="",""," ["&amp;VLOOKUP('.'!C216,Recipes!$A:$D,4,FALSE)&amp;"]"))</f>
        <v/>
      </c>
      <c r="D216" s="46" t="str">
        <f t="array" ref="D216">IF('.'!D216="","",'.'!D216&amp;IF(VLOOKUP('.'!D216,Recipes!$A:$D,4,FALSE)="",""," ["&amp;VLOOKUP('.'!D216,Recipes!$A:$D,4,FALSE)&amp;"]"))</f>
        <v/>
      </c>
      <c r="E216" s="46" t="str">
        <f t="array" ref="E216">IF('.'!E216="","",'.'!E216&amp;IF(VLOOKUP('.'!E216,Recipes!$A:$D,4,FALSE)="",""," ["&amp;VLOOKUP('.'!E216,Recipes!$A:$D,4,FALSE)&amp;"]"))</f>
        <v/>
      </c>
      <c r="F216" s="46" t="str">
        <f t="array" ref="F216">IF('.'!F216="","",'.'!F216&amp;IF(VLOOKUP('.'!F216,Recipes!$A:$D,4,FALSE)="",""," ["&amp;VLOOKUP('.'!F216,Recipes!$A:$D,4,FALSE)&amp;"]"))</f>
        <v/>
      </c>
      <c r="G216" s="46" t="str">
        <f t="array" ref="G216">IF('.'!G216="","",'.'!G216&amp;IF(VLOOKUP('.'!G216,Recipes!$A:$D,4,FALSE)="",""," ["&amp;VLOOKUP('.'!G216,Recipes!$A:$D,4,FALSE)&amp;"]"))</f>
        <v/>
      </c>
      <c r="H216" s="46" t="str">
        <f t="array" ref="H216">IF('.'!H216="","",'.'!H216&amp;IF(VLOOKUP('.'!H216,Recipes!$A:$D,4,FALSE)="",""," ["&amp;VLOOKUP('.'!H216,Recipes!$A:$D,4,FALSE)&amp;"]"))</f>
        <v/>
      </c>
      <c r="I216" s="46" t="str">
        <f t="array" ref="I216">IF('.'!I216="","",'.'!I216&amp;IF(VLOOKUP('.'!I216,Recipes!$A:$D,4,FALSE)="",""," ["&amp;VLOOKUP('.'!I216,Recipes!$A:$D,4,FALSE)&amp;"]"))</f>
        <v/>
      </c>
      <c r="J216" s="46" t="str">
        <f t="array" ref="J216">IF('.'!J216="","",'.'!J216&amp;IF(VLOOKUP('.'!J216,Recipes!$A:$D,4,FALSE)="",""," ["&amp;VLOOKUP('.'!J216,Recipes!$A:$D,4,FALSE)&amp;"]"))</f>
        <v/>
      </c>
      <c r="K216" s="46" t="str">
        <f t="array" ref="K216">IF('.'!K216="","",'.'!K216&amp;IF(VLOOKUP('.'!K216,Recipes!$A:$D,4,FALSE)="",""," ["&amp;VLOOKUP('.'!K216,Recipes!$A:$D,4,FALSE)&amp;"]"))</f>
        <v/>
      </c>
      <c r="L216" s="46" t="str">
        <f t="array" ref="L216">IF('.'!L216="","",'.'!L216&amp;IF(VLOOKUP('.'!L216,Recipes!$A:$D,4,FALSE)="",""," ["&amp;VLOOKUP('.'!L216,Recipes!$A:$D,4,FALSE)&amp;"]"))</f>
        <v/>
      </c>
      <c r="M216" s="46" t="str">
        <f t="array" ref="M216">IF('.'!M216="","",'.'!M216&amp;IF(VLOOKUP('.'!M216,Recipes!$A:$D,4,FALSE)="",""," ["&amp;VLOOKUP('.'!M216,Recipes!$A:$D,4,FALSE)&amp;"]"))</f>
        <v/>
      </c>
      <c r="N216" s="46" t="str">
        <f t="array" ref="N216">IF('.'!N216="","",'.'!N216&amp;IF(VLOOKUP('.'!N216,Recipes!$A:$D,4,FALSE)="",""," ["&amp;VLOOKUP('.'!N216,Recipes!$A:$D,4,FALSE)&amp;"]"))</f>
        <v/>
      </c>
      <c r="O216" s="46" t="str">
        <f t="array" ref="O216">IF('.'!O216="","",'.'!O216&amp;IF(VLOOKUP('.'!O216,Recipes!$A:$D,4,FALSE)="",""," ["&amp;VLOOKUP('.'!O216,Recipes!$A:$D,4,FALSE)&amp;"]"))</f>
        <v/>
      </c>
      <c r="P216" s="46" t="str">
        <f t="array" ref="P216">IF('.'!P216="","",'.'!P216&amp;IF(VLOOKUP('.'!P216,Recipes!$A:$D,4,FALSE)="",""," ["&amp;VLOOKUP('.'!P216,Recipes!$A:$D,4,FALSE)&amp;"]"))</f>
        <v/>
      </c>
      <c r="Q216" s="46" t="str">
        <f t="array" ref="Q216">IF('.'!Q216="","",'.'!Q216&amp;IF(VLOOKUP('.'!Q216,Recipes!$A:$D,4,FALSE)="",""," ["&amp;VLOOKUP('.'!Q216,Recipes!$A:$D,4,FALSE)&amp;"]"))</f>
        <v/>
      </c>
      <c r="R216" s="46" t="str">
        <f t="array" ref="R216">IF('.'!R216="","",'.'!R216&amp;IF(VLOOKUP('.'!R216,Recipes!$A:$D,4,FALSE)="",""," ["&amp;VLOOKUP('.'!R216,Recipes!$A:$D,4,FALSE)&amp;"]"))</f>
        <v/>
      </c>
      <c r="S216" s="46" t="str">
        <f t="array" ref="S216">IF('.'!S216="","",'.'!S216&amp;IF(VLOOKUP('.'!S216,Recipes!$A:$D,4,FALSE)="",""," ["&amp;VLOOKUP('.'!S216,Recipes!$A:$D,4,FALSE)&amp;"]"))</f>
        <v/>
      </c>
      <c r="T216" s="46" t="str">
        <f t="array" ref="T216">IF('.'!T216="","",'.'!T216&amp;IF(VLOOKUP('.'!T216,Recipes!$A:$D,4,FALSE)="",""," ["&amp;VLOOKUP('.'!T216,Recipes!$A:$D,4,FALSE)&amp;"]"))</f>
        <v/>
      </c>
      <c r="U216" s="46" t="str">
        <f t="array" ref="U216">IF('.'!U216="","",'.'!U216&amp;IF(VLOOKUP('.'!U216,Recipes!$A:$D,4,FALSE)="",""," ["&amp;VLOOKUP('.'!U216,Recipes!$A:$D,4,FALSE)&amp;"]"))</f>
        <v/>
      </c>
      <c r="V216" s="46" t="str">
        <f t="array" ref="V216">IF('.'!V216="","",'.'!V216&amp;IF(VLOOKUP('.'!V216,Recipes!$A:$D,4,FALSE)="",""," ["&amp;VLOOKUP('.'!V216,Recipes!$A:$D,4,FALSE)&amp;"]"))</f>
        <v/>
      </c>
      <c r="W216" s="46" t="str">
        <f t="array" ref="W216">IF('.'!W216="","",'.'!W216&amp;IF(VLOOKUP('.'!W216,Recipes!$A:$D,4,FALSE)="",""," ["&amp;VLOOKUP('.'!W216,Recipes!$A:$D,4,FALSE)&amp;"]"))</f>
        <v/>
      </c>
      <c r="X216" s="46" t="str">
        <f t="array" ref="X216">IF('.'!X216="","",'.'!X216&amp;IF(VLOOKUP('.'!X216,Recipes!$A:$D,4,FALSE)="",""," ["&amp;VLOOKUP('.'!X216,Recipes!$A:$D,4,FALSE)&amp;"]"))</f>
        <v/>
      </c>
      <c r="Y216" s="46" t="str">
        <f t="array" ref="Y216">IF('.'!Y216="","",'.'!Y216&amp;IF(VLOOKUP('.'!Y216,Recipes!$A:$D,4,FALSE)="",""," ["&amp;VLOOKUP('.'!Y216,Recipes!$A:$D,4,FALSE)&amp;"]"))</f>
        <v/>
      </c>
      <c r="Z216" s="46" t="str">
        <f t="array" ref="Z216">IF('.'!Z216="","",'.'!Z216&amp;IF(VLOOKUP('.'!Z216,Recipes!$A:$D,4,FALSE)="",""," ["&amp;VLOOKUP('.'!Z216,Recipes!$A:$D,4,FALSE)&amp;"]"))</f>
        <v/>
      </c>
      <c r="AA216" s="46" t="str">
        <f t="array" ref="AA216">IF('.'!AA216="","",'.'!AA216&amp;IF(VLOOKUP('.'!AA216,Recipes!$A:$D,4,FALSE)="",""," ["&amp;VLOOKUP('.'!AA216,Recipes!$A:$D,4,FALSE)&amp;"]"))</f>
        <v/>
      </c>
      <c r="AB216" s="46" t="str">
        <f t="array" ref="AB216">IF('.'!AB216="","",'.'!AB216&amp;IF(VLOOKUP('.'!AB216,Recipes!$A:$D,4,FALSE)="",""," ["&amp;VLOOKUP('.'!AB216,Recipes!$A:$D,4,FALSE)&amp;"]"))</f>
        <v/>
      </c>
      <c r="AC216" s="46" t="str">
        <f t="array" ref="AC216">IF('.'!AC216="","",'.'!AC216&amp;IF(VLOOKUP('.'!AC216,Recipes!$A:$D,4,FALSE)="",""," ["&amp;VLOOKUP('.'!AC216,Recipes!$A:$D,4,FALSE)&amp;"]"))</f>
        <v/>
      </c>
      <c r="AD216" s="46" t="str">
        <f t="array" ref="AD216">IF('.'!AD216="","",'.'!AD216&amp;IF(VLOOKUP('.'!AD216,Recipes!$A:$D,4,FALSE)="",""," ["&amp;VLOOKUP('.'!AD216,Recipes!$A:$D,4,FALSE)&amp;"]"))</f>
        <v/>
      </c>
      <c r="AE216" s="47"/>
      <c r="AF216" s="47"/>
      <c r="AG216" s="47"/>
      <c r="AH216" s="47"/>
      <c r="AI216" s="47"/>
      <c r="AJ216" s="47"/>
      <c r="AK216" s="47"/>
      <c r="AL216" s="47"/>
      <c r="AM216" s="47"/>
      <c r="AN216" s="47"/>
      <c r="AO216" s="47"/>
      <c r="AP216" s="47"/>
      <c r="AQ216" s="47"/>
      <c r="AR216" s="47"/>
      <c r="AS216" s="47"/>
      <c r="AT216" s="47"/>
      <c r="AU216" s="47"/>
      <c r="AV216" s="47"/>
      <c r="AW216" s="47"/>
      <c r="AX216" s="47"/>
      <c r="AY216" s="47"/>
      <c r="AZ216" s="47"/>
      <c r="BA216" s="47"/>
      <c r="BB216" s="47"/>
      <c r="BC216" s="47"/>
      <c r="BD216" s="47"/>
      <c r="BE216" s="47"/>
      <c r="BF216" s="47"/>
      <c r="BG216" s="47"/>
      <c r="BH216" s="47"/>
      <c r="BI216" s="47"/>
      <c r="BJ216" s="47"/>
      <c r="BK216" s="47"/>
      <c r="BL216" s="47"/>
      <c r="BM216" s="47"/>
      <c r="BN216" s="47"/>
      <c r="BO216" s="47"/>
      <c r="BP216" s="47"/>
      <c r="BQ216" s="47"/>
      <c r="BR216" s="47"/>
      <c r="BS216" s="47"/>
      <c r="BT216" s="47"/>
      <c r="BU216" s="47"/>
      <c r="BV216" s="47"/>
      <c r="BW216" s="47"/>
      <c r="BX216" s="47"/>
      <c r="BY216" s="47"/>
      <c r="BZ216" s="47"/>
    </row>
    <row r="217" spans="1:78" ht="13">
      <c r="A217" s="48" t="str">
        <f ca="1">'.'!A217</f>
        <v>Hair</v>
      </c>
      <c r="B217" s="46" t="str">
        <f t="array" aca="1" ref="B217" ca="1">IF('.'!B217="","",'.'!B217&amp;IF(VLOOKUP('.'!B217,Recipes!$A:$D,4,FALSE)="",""," ["&amp;VLOOKUP('.'!B217,Recipes!$A:$D,4,FALSE)&amp;"]"))</f>
        <v>Tornado Scroll [-175]</v>
      </c>
      <c r="C217" s="46" t="str">
        <f t="array" aca="1" ref="C217" ca="1">IF('.'!C217="","",'.'!C217&amp;IF(VLOOKUP('.'!C217,Recipes!$A:$D,4,FALSE)="",""," ["&amp;VLOOKUP('.'!C217,Recipes!$A:$D,4,FALSE)&amp;"]"))</f>
        <v>Thread [-1]</v>
      </c>
      <c r="D217" s="46" t="str">
        <f t="array" ref="D217">IF('.'!D217="","",'.'!D217&amp;IF(VLOOKUP('.'!D217,Recipes!$A:$D,4,FALSE)="",""," ["&amp;VLOOKUP('.'!D217,Recipes!$A:$D,4,FALSE)&amp;"]"))</f>
        <v/>
      </c>
      <c r="E217" s="46" t="str">
        <f t="array" ref="E217">IF('.'!E217="","",'.'!E217&amp;IF(VLOOKUP('.'!E217,Recipes!$A:$D,4,FALSE)="",""," ["&amp;VLOOKUP('.'!E217,Recipes!$A:$D,4,FALSE)&amp;"]"))</f>
        <v/>
      </c>
      <c r="F217" s="46" t="str">
        <f t="array" ref="F217">IF('.'!F217="","",'.'!F217&amp;IF(VLOOKUP('.'!F217,Recipes!$A:$D,4,FALSE)="",""," ["&amp;VLOOKUP('.'!F217,Recipes!$A:$D,4,FALSE)&amp;"]"))</f>
        <v/>
      </c>
      <c r="G217" s="46" t="str">
        <f t="array" ref="G217">IF('.'!G217="","",'.'!G217&amp;IF(VLOOKUP('.'!G217,Recipes!$A:$D,4,FALSE)="",""," ["&amp;VLOOKUP('.'!G217,Recipes!$A:$D,4,FALSE)&amp;"]"))</f>
        <v/>
      </c>
      <c r="H217" s="46" t="str">
        <f t="array" ref="H217">IF('.'!H217="","",'.'!H217&amp;IF(VLOOKUP('.'!H217,Recipes!$A:$D,4,FALSE)="",""," ["&amp;VLOOKUP('.'!H217,Recipes!$A:$D,4,FALSE)&amp;"]"))</f>
        <v/>
      </c>
      <c r="I217" s="46" t="str">
        <f t="array" ref="I217">IF('.'!I217="","",'.'!I217&amp;IF(VLOOKUP('.'!I217,Recipes!$A:$D,4,FALSE)="",""," ["&amp;VLOOKUP('.'!I217,Recipes!$A:$D,4,FALSE)&amp;"]"))</f>
        <v/>
      </c>
      <c r="J217" s="46" t="str">
        <f t="array" ref="J217">IF('.'!J217="","",'.'!J217&amp;IF(VLOOKUP('.'!J217,Recipes!$A:$D,4,FALSE)="",""," ["&amp;VLOOKUP('.'!J217,Recipes!$A:$D,4,FALSE)&amp;"]"))</f>
        <v/>
      </c>
      <c r="K217" s="46" t="str">
        <f t="array" ref="K217">IF('.'!K217="","",'.'!K217&amp;IF(VLOOKUP('.'!K217,Recipes!$A:$D,4,FALSE)="",""," ["&amp;VLOOKUP('.'!K217,Recipes!$A:$D,4,FALSE)&amp;"]"))</f>
        <v/>
      </c>
      <c r="L217" s="46" t="str">
        <f t="array" ref="L217">IF('.'!L217="","",'.'!L217&amp;IF(VLOOKUP('.'!L217,Recipes!$A:$D,4,FALSE)="",""," ["&amp;VLOOKUP('.'!L217,Recipes!$A:$D,4,FALSE)&amp;"]"))</f>
        <v/>
      </c>
      <c r="M217" s="46" t="str">
        <f t="array" ref="M217">IF('.'!M217="","",'.'!M217&amp;IF(VLOOKUP('.'!M217,Recipes!$A:$D,4,FALSE)="",""," ["&amp;VLOOKUP('.'!M217,Recipes!$A:$D,4,FALSE)&amp;"]"))</f>
        <v/>
      </c>
      <c r="N217" s="46" t="str">
        <f t="array" ref="N217">IF('.'!N217="","",'.'!N217&amp;IF(VLOOKUP('.'!N217,Recipes!$A:$D,4,FALSE)="",""," ["&amp;VLOOKUP('.'!N217,Recipes!$A:$D,4,FALSE)&amp;"]"))</f>
        <v/>
      </c>
      <c r="O217" s="46" t="str">
        <f t="array" ref="O217">IF('.'!O217="","",'.'!O217&amp;IF(VLOOKUP('.'!O217,Recipes!$A:$D,4,FALSE)="",""," ["&amp;VLOOKUP('.'!O217,Recipes!$A:$D,4,FALSE)&amp;"]"))</f>
        <v/>
      </c>
      <c r="P217" s="46" t="str">
        <f t="array" ref="P217">IF('.'!P217="","",'.'!P217&amp;IF(VLOOKUP('.'!P217,Recipes!$A:$D,4,FALSE)="",""," ["&amp;VLOOKUP('.'!P217,Recipes!$A:$D,4,FALSE)&amp;"]"))</f>
        <v/>
      </c>
      <c r="Q217" s="46" t="str">
        <f t="array" ref="Q217">IF('.'!Q217="","",'.'!Q217&amp;IF(VLOOKUP('.'!Q217,Recipes!$A:$D,4,FALSE)="",""," ["&amp;VLOOKUP('.'!Q217,Recipes!$A:$D,4,FALSE)&amp;"]"))</f>
        <v/>
      </c>
      <c r="R217" s="46" t="str">
        <f t="array" ref="R217">IF('.'!R217="","",'.'!R217&amp;IF(VLOOKUP('.'!R217,Recipes!$A:$D,4,FALSE)="",""," ["&amp;VLOOKUP('.'!R217,Recipes!$A:$D,4,FALSE)&amp;"]"))</f>
        <v/>
      </c>
      <c r="S217" s="46" t="str">
        <f t="array" ref="S217">IF('.'!S217="","",'.'!S217&amp;IF(VLOOKUP('.'!S217,Recipes!$A:$D,4,FALSE)="",""," ["&amp;VLOOKUP('.'!S217,Recipes!$A:$D,4,FALSE)&amp;"]"))</f>
        <v/>
      </c>
      <c r="T217" s="46" t="str">
        <f t="array" ref="T217">IF('.'!T217="","",'.'!T217&amp;IF(VLOOKUP('.'!T217,Recipes!$A:$D,4,FALSE)="",""," ["&amp;VLOOKUP('.'!T217,Recipes!$A:$D,4,FALSE)&amp;"]"))</f>
        <v/>
      </c>
      <c r="U217" s="46" t="str">
        <f t="array" ref="U217">IF('.'!U217="","",'.'!U217&amp;IF(VLOOKUP('.'!U217,Recipes!$A:$D,4,FALSE)="",""," ["&amp;VLOOKUP('.'!U217,Recipes!$A:$D,4,FALSE)&amp;"]"))</f>
        <v/>
      </c>
      <c r="V217" s="46" t="str">
        <f t="array" ref="V217">IF('.'!V217="","",'.'!V217&amp;IF(VLOOKUP('.'!V217,Recipes!$A:$D,4,FALSE)="",""," ["&amp;VLOOKUP('.'!V217,Recipes!$A:$D,4,FALSE)&amp;"]"))</f>
        <v/>
      </c>
      <c r="W217" s="46" t="str">
        <f t="array" ref="W217">IF('.'!W217="","",'.'!W217&amp;IF(VLOOKUP('.'!W217,Recipes!$A:$D,4,FALSE)="",""," ["&amp;VLOOKUP('.'!W217,Recipes!$A:$D,4,FALSE)&amp;"]"))</f>
        <v/>
      </c>
      <c r="X217" s="46" t="str">
        <f t="array" ref="X217">IF('.'!X217="","",'.'!X217&amp;IF(VLOOKUP('.'!X217,Recipes!$A:$D,4,FALSE)="",""," ["&amp;VLOOKUP('.'!X217,Recipes!$A:$D,4,FALSE)&amp;"]"))</f>
        <v/>
      </c>
      <c r="Y217" s="46" t="str">
        <f t="array" ref="Y217">IF('.'!Y217="","",'.'!Y217&amp;IF(VLOOKUP('.'!Y217,Recipes!$A:$D,4,FALSE)="",""," ["&amp;VLOOKUP('.'!Y217,Recipes!$A:$D,4,FALSE)&amp;"]"))</f>
        <v/>
      </c>
      <c r="Z217" s="46" t="str">
        <f t="array" ref="Z217">IF('.'!Z217="","",'.'!Z217&amp;IF(VLOOKUP('.'!Z217,Recipes!$A:$D,4,FALSE)="",""," ["&amp;VLOOKUP('.'!Z217,Recipes!$A:$D,4,FALSE)&amp;"]"))</f>
        <v/>
      </c>
      <c r="AA217" s="46" t="str">
        <f t="array" ref="AA217">IF('.'!AA217="","",'.'!AA217&amp;IF(VLOOKUP('.'!AA217,Recipes!$A:$D,4,FALSE)="",""," ["&amp;VLOOKUP('.'!AA217,Recipes!$A:$D,4,FALSE)&amp;"]"))</f>
        <v/>
      </c>
      <c r="AB217" s="46" t="str">
        <f t="array" ref="AB217">IF('.'!AB217="","",'.'!AB217&amp;IF(VLOOKUP('.'!AB217,Recipes!$A:$D,4,FALSE)="",""," ["&amp;VLOOKUP('.'!AB217,Recipes!$A:$D,4,FALSE)&amp;"]"))</f>
        <v/>
      </c>
      <c r="AC217" s="46" t="str">
        <f t="array" ref="AC217">IF('.'!AC217="","",'.'!AC217&amp;IF(VLOOKUP('.'!AC217,Recipes!$A:$D,4,FALSE)="",""," ["&amp;VLOOKUP('.'!AC217,Recipes!$A:$D,4,FALSE)&amp;"]"))</f>
        <v/>
      </c>
      <c r="AD217" s="46" t="str">
        <f t="array" ref="AD217">IF('.'!AD217="","",'.'!AD217&amp;IF(VLOOKUP('.'!AD217,Recipes!$A:$D,4,FALSE)="",""," ["&amp;VLOOKUP('.'!AD217,Recipes!$A:$D,4,FALSE)&amp;"]"))</f>
        <v/>
      </c>
      <c r="AE217" s="47"/>
      <c r="AF217" s="47"/>
      <c r="AG217" s="47"/>
      <c r="AH217" s="47"/>
      <c r="AI217" s="47"/>
      <c r="AJ217" s="47"/>
      <c r="AK217" s="47"/>
      <c r="AL217" s="47"/>
      <c r="AM217" s="47"/>
      <c r="AN217" s="47"/>
      <c r="AO217" s="47"/>
      <c r="AP217" s="47"/>
      <c r="AQ217" s="47"/>
      <c r="AR217" s="47"/>
      <c r="AS217" s="47"/>
      <c r="AT217" s="47"/>
      <c r="AU217" s="47"/>
      <c r="AV217" s="47"/>
      <c r="AW217" s="47"/>
      <c r="AX217" s="47"/>
      <c r="AY217" s="47"/>
      <c r="AZ217" s="47"/>
      <c r="BA217" s="47"/>
      <c r="BB217" s="47"/>
      <c r="BC217" s="47"/>
      <c r="BD217" s="47"/>
      <c r="BE217" s="47"/>
      <c r="BF217" s="47"/>
      <c r="BG217" s="47"/>
      <c r="BH217" s="47"/>
      <c r="BI217" s="47"/>
      <c r="BJ217" s="47"/>
      <c r="BK217" s="47"/>
      <c r="BL217" s="47"/>
      <c r="BM217" s="47"/>
      <c r="BN217" s="47"/>
      <c r="BO217" s="47"/>
      <c r="BP217" s="47"/>
      <c r="BQ217" s="47"/>
      <c r="BR217" s="47"/>
      <c r="BS217" s="47"/>
      <c r="BT217" s="47"/>
      <c r="BU217" s="47"/>
      <c r="BV217" s="47"/>
      <c r="BW217" s="47"/>
      <c r="BX217" s="47"/>
      <c r="BY217" s="47"/>
      <c r="BZ217" s="47"/>
    </row>
    <row r="218" spans="1:78" ht="13">
      <c r="A218" s="48" t="str">
        <f ca="1">'.'!A218</f>
        <v>Hammer</v>
      </c>
      <c r="B218" s="46" t="str">
        <f t="array" aca="1" ref="B218" ca="1">IF('.'!B218="","",'.'!B218&amp;IF(VLOOKUP('.'!B218,Recipes!$A:$D,4,FALSE)="",""," ["&amp;VLOOKUP('.'!B218,Recipes!$A:$D,4,FALSE)&amp;"]"))</f>
        <v>Cold Mashed Potatoes [2]</v>
      </c>
      <c r="C218" s="46" t="str">
        <f t="array" aca="1" ref="C218" ca="1">IF('.'!C218="","",'.'!C218&amp;IF(VLOOKUP('.'!C218,Recipes!$A:$D,4,FALSE)="",""," ["&amp;VLOOKUP('.'!C218,Recipes!$A:$D,4,FALSE)&amp;"]"))</f>
        <v>Tomato Sauce [1]</v>
      </c>
      <c r="D218" s="46" t="str">
        <f t="array" aca="1" ref="D218" ca="1">IF('.'!D218="","",'.'!D218&amp;IF(VLOOKUP('.'!D218,Recipes!$A:$D,4,FALSE)="",""," ["&amp;VLOOKUP('.'!D218,Recipes!$A:$D,4,FALSE)&amp;"]"))</f>
        <v>Broken Bottle [-1]</v>
      </c>
      <c r="E218" s="46" t="str">
        <f t="array" aca="1" ref="E218" ca="1">IF('.'!E218="","",'.'!E218&amp;IF(VLOOKUP('.'!E218,Recipes!$A:$D,4,FALSE)="",""," ["&amp;VLOOKUP('.'!E218,Recipes!$A:$D,4,FALSE)&amp;"]"))</f>
        <v>Lockpick [12]</v>
      </c>
      <c r="F218" s="46" t="str">
        <f t="array" aca="1" ref="F218" ca="1">IF('.'!F218="","",'.'!F218&amp;IF(VLOOKUP('.'!F218,Recipes!$A:$D,4,FALSE)="",""," ["&amp;VLOOKUP('.'!F218,Recipes!$A:$D,4,FALSE)&amp;"]"))</f>
        <v>Handmade Sword [V]</v>
      </c>
      <c r="G218" s="46" t="str">
        <f t="array" aca="1" ref="G218" ca="1">IF('.'!G218="","",'.'!G218&amp;IF(VLOOKUP('.'!G218,Recipes!$A:$D,4,FALSE)="",""," ["&amp;VLOOKUP('.'!G218,Recipes!$A:$D,4,FALSE)&amp;"]"))</f>
        <v>Shiv [V]</v>
      </c>
      <c r="H218" s="46" t="str">
        <f t="array" ref="H218">IF('.'!H218="","",'.'!H218&amp;IF(VLOOKUP('.'!H218,Recipes!$A:$D,4,FALSE)="",""," ["&amp;VLOOKUP('.'!H218,Recipes!$A:$D,4,FALSE)&amp;"]"))</f>
        <v/>
      </c>
      <c r="I218" s="46" t="str">
        <f t="array" ref="I218">IF('.'!I218="","",'.'!I218&amp;IF(VLOOKUP('.'!I218,Recipes!$A:$D,4,FALSE)="",""," ["&amp;VLOOKUP('.'!I218,Recipes!$A:$D,4,FALSE)&amp;"]"))</f>
        <v/>
      </c>
      <c r="J218" s="46" t="str">
        <f t="array" ref="J218">IF('.'!J218="","",'.'!J218&amp;IF(VLOOKUP('.'!J218,Recipes!$A:$D,4,FALSE)="",""," ["&amp;VLOOKUP('.'!J218,Recipes!$A:$D,4,FALSE)&amp;"]"))</f>
        <v/>
      </c>
      <c r="K218" s="46" t="str">
        <f t="array" ref="K218">IF('.'!K218="","",'.'!K218&amp;IF(VLOOKUP('.'!K218,Recipes!$A:$D,4,FALSE)="",""," ["&amp;VLOOKUP('.'!K218,Recipes!$A:$D,4,FALSE)&amp;"]"))</f>
        <v/>
      </c>
      <c r="L218" s="46" t="str">
        <f t="array" ref="L218">IF('.'!L218="","",'.'!L218&amp;IF(VLOOKUP('.'!L218,Recipes!$A:$D,4,FALSE)="",""," ["&amp;VLOOKUP('.'!L218,Recipes!$A:$D,4,FALSE)&amp;"]"))</f>
        <v/>
      </c>
      <c r="M218" s="46" t="str">
        <f t="array" ref="M218">IF('.'!M218="","",'.'!M218&amp;IF(VLOOKUP('.'!M218,Recipes!$A:$D,4,FALSE)="",""," ["&amp;VLOOKUP('.'!M218,Recipes!$A:$D,4,FALSE)&amp;"]"))</f>
        <v/>
      </c>
      <c r="N218" s="46" t="str">
        <f t="array" ref="N218">IF('.'!N218="","",'.'!N218&amp;IF(VLOOKUP('.'!N218,Recipes!$A:$D,4,FALSE)="",""," ["&amp;VLOOKUP('.'!N218,Recipes!$A:$D,4,FALSE)&amp;"]"))</f>
        <v/>
      </c>
      <c r="O218" s="46" t="str">
        <f t="array" ref="O218">IF('.'!O218="","",'.'!O218&amp;IF(VLOOKUP('.'!O218,Recipes!$A:$D,4,FALSE)="",""," ["&amp;VLOOKUP('.'!O218,Recipes!$A:$D,4,FALSE)&amp;"]"))</f>
        <v/>
      </c>
      <c r="P218" s="46" t="str">
        <f t="array" ref="P218">IF('.'!P218="","",'.'!P218&amp;IF(VLOOKUP('.'!P218,Recipes!$A:$D,4,FALSE)="",""," ["&amp;VLOOKUP('.'!P218,Recipes!$A:$D,4,FALSE)&amp;"]"))</f>
        <v/>
      </c>
      <c r="Q218" s="46" t="str">
        <f t="array" ref="Q218">IF('.'!Q218="","",'.'!Q218&amp;IF(VLOOKUP('.'!Q218,Recipes!$A:$D,4,FALSE)="",""," ["&amp;VLOOKUP('.'!Q218,Recipes!$A:$D,4,FALSE)&amp;"]"))</f>
        <v/>
      </c>
      <c r="R218" s="46" t="str">
        <f t="array" ref="R218">IF('.'!R218="","",'.'!R218&amp;IF(VLOOKUP('.'!R218,Recipes!$A:$D,4,FALSE)="",""," ["&amp;VLOOKUP('.'!R218,Recipes!$A:$D,4,FALSE)&amp;"]"))</f>
        <v/>
      </c>
      <c r="S218" s="46" t="str">
        <f t="array" ref="S218">IF('.'!S218="","",'.'!S218&amp;IF(VLOOKUP('.'!S218,Recipes!$A:$D,4,FALSE)="",""," ["&amp;VLOOKUP('.'!S218,Recipes!$A:$D,4,FALSE)&amp;"]"))</f>
        <v/>
      </c>
      <c r="T218" s="46" t="str">
        <f t="array" ref="T218">IF('.'!T218="","",'.'!T218&amp;IF(VLOOKUP('.'!T218,Recipes!$A:$D,4,FALSE)="",""," ["&amp;VLOOKUP('.'!T218,Recipes!$A:$D,4,FALSE)&amp;"]"))</f>
        <v/>
      </c>
      <c r="U218" s="46" t="str">
        <f t="array" ref="U218">IF('.'!U218="","",'.'!U218&amp;IF(VLOOKUP('.'!U218,Recipes!$A:$D,4,FALSE)="",""," ["&amp;VLOOKUP('.'!U218,Recipes!$A:$D,4,FALSE)&amp;"]"))</f>
        <v/>
      </c>
      <c r="V218" s="46" t="str">
        <f t="array" ref="V218">IF('.'!V218="","",'.'!V218&amp;IF(VLOOKUP('.'!V218,Recipes!$A:$D,4,FALSE)="",""," ["&amp;VLOOKUP('.'!V218,Recipes!$A:$D,4,FALSE)&amp;"]"))</f>
        <v/>
      </c>
      <c r="W218" s="46" t="str">
        <f t="array" ref="W218">IF('.'!W218="","",'.'!W218&amp;IF(VLOOKUP('.'!W218,Recipes!$A:$D,4,FALSE)="",""," ["&amp;VLOOKUP('.'!W218,Recipes!$A:$D,4,FALSE)&amp;"]"))</f>
        <v/>
      </c>
      <c r="X218" s="46" t="str">
        <f t="array" ref="X218">IF('.'!X218="","",'.'!X218&amp;IF(VLOOKUP('.'!X218,Recipes!$A:$D,4,FALSE)="",""," ["&amp;VLOOKUP('.'!X218,Recipes!$A:$D,4,FALSE)&amp;"]"))</f>
        <v/>
      </c>
      <c r="Y218" s="46" t="str">
        <f t="array" ref="Y218">IF('.'!Y218="","",'.'!Y218&amp;IF(VLOOKUP('.'!Y218,Recipes!$A:$D,4,FALSE)="",""," ["&amp;VLOOKUP('.'!Y218,Recipes!$A:$D,4,FALSE)&amp;"]"))</f>
        <v/>
      </c>
      <c r="Z218" s="46" t="str">
        <f t="array" ref="Z218">IF('.'!Z218="","",'.'!Z218&amp;IF(VLOOKUP('.'!Z218,Recipes!$A:$D,4,FALSE)="",""," ["&amp;VLOOKUP('.'!Z218,Recipes!$A:$D,4,FALSE)&amp;"]"))</f>
        <v/>
      </c>
      <c r="AA218" s="46" t="str">
        <f t="array" ref="AA218">IF('.'!AA218="","",'.'!AA218&amp;IF(VLOOKUP('.'!AA218,Recipes!$A:$D,4,FALSE)="",""," ["&amp;VLOOKUP('.'!AA218,Recipes!$A:$D,4,FALSE)&amp;"]"))</f>
        <v/>
      </c>
      <c r="AB218" s="46" t="str">
        <f t="array" ref="AB218">IF('.'!AB218="","",'.'!AB218&amp;IF(VLOOKUP('.'!AB218,Recipes!$A:$D,4,FALSE)="",""," ["&amp;VLOOKUP('.'!AB218,Recipes!$A:$D,4,FALSE)&amp;"]"))</f>
        <v/>
      </c>
      <c r="AC218" s="46" t="str">
        <f t="array" ref="AC218">IF('.'!AC218="","",'.'!AC218&amp;IF(VLOOKUP('.'!AC218,Recipes!$A:$D,4,FALSE)="",""," ["&amp;VLOOKUP('.'!AC218,Recipes!$A:$D,4,FALSE)&amp;"]"))</f>
        <v/>
      </c>
      <c r="AD218" s="46" t="str">
        <f t="array" ref="AD218">IF('.'!AD218="","",'.'!AD218&amp;IF(VLOOKUP('.'!AD218,Recipes!$A:$D,4,FALSE)="",""," ["&amp;VLOOKUP('.'!AD218,Recipes!$A:$D,4,FALSE)&amp;"]"))</f>
        <v/>
      </c>
      <c r="AE218" s="47"/>
      <c r="AF218" s="47"/>
      <c r="AG218" s="47"/>
      <c r="AH218" s="47"/>
      <c r="AI218" s="47"/>
      <c r="AJ218" s="47"/>
      <c r="AK218" s="47"/>
      <c r="AL218" s="47"/>
      <c r="AM218" s="47"/>
      <c r="AN218" s="47"/>
      <c r="AO218" s="47"/>
      <c r="AP218" s="47"/>
      <c r="AQ218" s="47"/>
      <c r="AR218" s="47"/>
      <c r="AS218" s="47"/>
      <c r="AT218" s="47"/>
      <c r="AU218" s="47"/>
      <c r="AV218" s="47"/>
      <c r="AW218" s="47"/>
      <c r="AX218" s="47"/>
      <c r="AY218" s="47"/>
      <c r="AZ218" s="47"/>
      <c r="BA218" s="47"/>
      <c r="BB218" s="47"/>
      <c r="BC218" s="47"/>
      <c r="BD218" s="47"/>
      <c r="BE218" s="47"/>
      <c r="BF218" s="47"/>
      <c r="BG218" s="47"/>
      <c r="BH218" s="47"/>
      <c r="BI218" s="47"/>
      <c r="BJ218" s="47"/>
      <c r="BK218" s="47"/>
      <c r="BL218" s="47"/>
      <c r="BM218" s="47"/>
      <c r="BN218" s="47"/>
      <c r="BO218" s="47"/>
      <c r="BP218" s="47"/>
      <c r="BQ218" s="47"/>
      <c r="BR218" s="47"/>
      <c r="BS218" s="47"/>
      <c r="BT218" s="47"/>
      <c r="BU218" s="47"/>
      <c r="BV218" s="47"/>
      <c r="BW218" s="47"/>
      <c r="BX218" s="47"/>
      <c r="BY218" s="47"/>
      <c r="BZ218" s="47"/>
    </row>
    <row r="219" spans="1:78" ht="13">
      <c r="A219" s="48" t="str">
        <f ca="1">'.'!A219</f>
        <v>Handkerchief</v>
      </c>
      <c r="B219" s="46" t="str">
        <f t="array" aca="1" ref="B219" ca="1">IF('.'!B219="","",'.'!B219&amp;IF(VLOOKUP('.'!B219,Recipes!$A:$D,4,FALSE)="",""," ["&amp;VLOOKUP('.'!B219,Recipes!$A:$D,4,FALSE)&amp;"]"))</f>
        <v>Pressure Spike Scroll [139]</v>
      </c>
      <c r="C219" s="46" t="str">
        <f t="array" aca="1" ref="C219" ca="1">IF('.'!C219="","",'.'!C219&amp;IF(VLOOKUP('.'!C219,Recipes!$A:$D,4,FALSE)="",""," ["&amp;VLOOKUP('.'!C219,Recipes!$A:$D,4,FALSE)&amp;"]"))</f>
        <v>Shiv [V]</v>
      </c>
      <c r="D219" s="46" t="str">
        <f t="array" ref="D219">IF('.'!D219="","",'.'!D219&amp;IF(VLOOKUP('.'!D219,Recipes!$A:$D,4,FALSE)="",""," ["&amp;VLOOKUP('.'!D219,Recipes!$A:$D,4,FALSE)&amp;"]"))</f>
        <v/>
      </c>
      <c r="E219" s="46" t="str">
        <f t="array" ref="E219">IF('.'!E219="","",'.'!E219&amp;IF(VLOOKUP('.'!E219,Recipes!$A:$D,4,FALSE)="",""," ["&amp;VLOOKUP('.'!E219,Recipes!$A:$D,4,FALSE)&amp;"]"))</f>
        <v/>
      </c>
      <c r="F219" s="46" t="str">
        <f t="array" ref="F219">IF('.'!F219="","",'.'!F219&amp;IF(VLOOKUP('.'!F219,Recipes!$A:$D,4,FALSE)="",""," ["&amp;VLOOKUP('.'!F219,Recipes!$A:$D,4,FALSE)&amp;"]"))</f>
        <v/>
      </c>
      <c r="G219" s="46" t="str">
        <f t="array" ref="G219">IF('.'!G219="","",'.'!G219&amp;IF(VLOOKUP('.'!G219,Recipes!$A:$D,4,FALSE)="",""," ["&amp;VLOOKUP('.'!G219,Recipes!$A:$D,4,FALSE)&amp;"]"))</f>
        <v/>
      </c>
      <c r="H219" s="46" t="str">
        <f t="array" ref="H219">IF('.'!H219="","",'.'!H219&amp;IF(VLOOKUP('.'!H219,Recipes!$A:$D,4,FALSE)="",""," ["&amp;VLOOKUP('.'!H219,Recipes!$A:$D,4,FALSE)&amp;"]"))</f>
        <v/>
      </c>
      <c r="I219" s="46" t="str">
        <f t="array" ref="I219">IF('.'!I219="","",'.'!I219&amp;IF(VLOOKUP('.'!I219,Recipes!$A:$D,4,FALSE)="",""," ["&amp;VLOOKUP('.'!I219,Recipes!$A:$D,4,FALSE)&amp;"]"))</f>
        <v/>
      </c>
      <c r="J219" s="46" t="str">
        <f t="array" ref="J219">IF('.'!J219="","",'.'!J219&amp;IF(VLOOKUP('.'!J219,Recipes!$A:$D,4,FALSE)="",""," ["&amp;VLOOKUP('.'!J219,Recipes!$A:$D,4,FALSE)&amp;"]"))</f>
        <v/>
      </c>
      <c r="K219" s="46" t="str">
        <f t="array" ref="K219">IF('.'!K219="","",'.'!K219&amp;IF(VLOOKUP('.'!K219,Recipes!$A:$D,4,FALSE)="",""," ["&amp;VLOOKUP('.'!K219,Recipes!$A:$D,4,FALSE)&amp;"]"))</f>
        <v/>
      </c>
      <c r="L219" s="46" t="str">
        <f t="array" ref="L219">IF('.'!L219="","",'.'!L219&amp;IF(VLOOKUP('.'!L219,Recipes!$A:$D,4,FALSE)="",""," ["&amp;VLOOKUP('.'!L219,Recipes!$A:$D,4,FALSE)&amp;"]"))</f>
        <v/>
      </c>
      <c r="M219" s="46" t="str">
        <f t="array" ref="M219">IF('.'!M219="","",'.'!M219&amp;IF(VLOOKUP('.'!M219,Recipes!$A:$D,4,FALSE)="",""," ["&amp;VLOOKUP('.'!M219,Recipes!$A:$D,4,FALSE)&amp;"]"))</f>
        <v/>
      </c>
      <c r="N219" s="46" t="str">
        <f t="array" ref="N219">IF('.'!N219="","",'.'!N219&amp;IF(VLOOKUP('.'!N219,Recipes!$A:$D,4,FALSE)="",""," ["&amp;VLOOKUP('.'!N219,Recipes!$A:$D,4,FALSE)&amp;"]"))</f>
        <v/>
      </c>
      <c r="O219" s="46" t="str">
        <f t="array" ref="O219">IF('.'!O219="","",'.'!O219&amp;IF(VLOOKUP('.'!O219,Recipes!$A:$D,4,FALSE)="",""," ["&amp;VLOOKUP('.'!O219,Recipes!$A:$D,4,FALSE)&amp;"]"))</f>
        <v/>
      </c>
      <c r="P219" s="46" t="str">
        <f t="array" ref="P219">IF('.'!P219="","",'.'!P219&amp;IF(VLOOKUP('.'!P219,Recipes!$A:$D,4,FALSE)="",""," ["&amp;VLOOKUP('.'!P219,Recipes!$A:$D,4,FALSE)&amp;"]"))</f>
        <v/>
      </c>
      <c r="Q219" s="46" t="str">
        <f t="array" ref="Q219">IF('.'!Q219="","",'.'!Q219&amp;IF(VLOOKUP('.'!Q219,Recipes!$A:$D,4,FALSE)="",""," ["&amp;VLOOKUP('.'!Q219,Recipes!$A:$D,4,FALSE)&amp;"]"))</f>
        <v/>
      </c>
      <c r="R219" s="46" t="str">
        <f t="array" ref="R219">IF('.'!R219="","",'.'!R219&amp;IF(VLOOKUP('.'!R219,Recipes!$A:$D,4,FALSE)="",""," ["&amp;VLOOKUP('.'!R219,Recipes!$A:$D,4,FALSE)&amp;"]"))</f>
        <v/>
      </c>
      <c r="S219" s="46" t="str">
        <f t="array" ref="S219">IF('.'!S219="","",'.'!S219&amp;IF(VLOOKUP('.'!S219,Recipes!$A:$D,4,FALSE)="",""," ["&amp;VLOOKUP('.'!S219,Recipes!$A:$D,4,FALSE)&amp;"]"))</f>
        <v/>
      </c>
      <c r="T219" s="46" t="str">
        <f t="array" ref="T219">IF('.'!T219="","",'.'!T219&amp;IF(VLOOKUP('.'!T219,Recipes!$A:$D,4,FALSE)="",""," ["&amp;VLOOKUP('.'!T219,Recipes!$A:$D,4,FALSE)&amp;"]"))</f>
        <v/>
      </c>
      <c r="U219" s="46" t="str">
        <f t="array" ref="U219">IF('.'!U219="","",'.'!U219&amp;IF(VLOOKUP('.'!U219,Recipes!$A:$D,4,FALSE)="",""," ["&amp;VLOOKUP('.'!U219,Recipes!$A:$D,4,FALSE)&amp;"]"))</f>
        <v/>
      </c>
      <c r="V219" s="46" t="str">
        <f t="array" ref="V219">IF('.'!V219="","",'.'!V219&amp;IF(VLOOKUP('.'!V219,Recipes!$A:$D,4,FALSE)="",""," ["&amp;VLOOKUP('.'!V219,Recipes!$A:$D,4,FALSE)&amp;"]"))</f>
        <v/>
      </c>
      <c r="W219" s="46" t="str">
        <f t="array" ref="W219">IF('.'!W219="","",'.'!W219&amp;IF(VLOOKUP('.'!W219,Recipes!$A:$D,4,FALSE)="",""," ["&amp;VLOOKUP('.'!W219,Recipes!$A:$D,4,FALSE)&amp;"]"))</f>
        <v/>
      </c>
      <c r="X219" s="46" t="str">
        <f t="array" ref="X219">IF('.'!X219="","",'.'!X219&amp;IF(VLOOKUP('.'!X219,Recipes!$A:$D,4,FALSE)="",""," ["&amp;VLOOKUP('.'!X219,Recipes!$A:$D,4,FALSE)&amp;"]"))</f>
        <v/>
      </c>
      <c r="Y219" s="46" t="str">
        <f t="array" ref="Y219">IF('.'!Y219="","",'.'!Y219&amp;IF(VLOOKUP('.'!Y219,Recipes!$A:$D,4,FALSE)="",""," ["&amp;VLOOKUP('.'!Y219,Recipes!$A:$D,4,FALSE)&amp;"]"))</f>
        <v/>
      </c>
      <c r="Z219" s="46" t="str">
        <f t="array" ref="Z219">IF('.'!Z219="","",'.'!Z219&amp;IF(VLOOKUP('.'!Z219,Recipes!$A:$D,4,FALSE)="",""," ["&amp;VLOOKUP('.'!Z219,Recipes!$A:$D,4,FALSE)&amp;"]"))</f>
        <v/>
      </c>
      <c r="AA219" s="46" t="str">
        <f t="array" ref="AA219">IF('.'!AA219="","",'.'!AA219&amp;IF(VLOOKUP('.'!AA219,Recipes!$A:$D,4,FALSE)="",""," ["&amp;VLOOKUP('.'!AA219,Recipes!$A:$D,4,FALSE)&amp;"]"))</f>
        <v/>
      </c>
      <c r="AB219" s="46" t="str">
        <f t="array" ref="AB219">IF('.'!AB219="","",'.'!AB219&amp;IF(VLOOKUP('.'!AB219,Recipes!$A:$D,4,FALSE)="",""," ["&amp;VLOOKUP('.'!AB219,Recipes!$A:$D,4,FALSE)&amp;"]"))</f>
        <v/>
      </c>
      <c r="AC219" s="46" t="str">
        <f t="array" ref="AC219">IF('.'!AC219="","",'.'!AC219&amp;IF(VLOOKUP('.'!AC219,Recipes!$A:$D,4,FALSE)="",""," ["&amp;VLOOKUP('.'!AC219,Recipes!$A:$D,4,FALSE)&amp;"]"))</f>
        <v/>
      </c>
      <c r="AD219" s="46" t="str">
        <f t="array" ref="AD219">IF('.'!AD219="","",'.'!AD219&amp;IF(VLOOKUP('.'!AD219,Recipes!$A:$D,4,FALSE)="",""," ["&amp;VLOOKUP('.'!AD219,Recipes!$A:$D,4,FALSE)&amp;"]"))</f>
        <v/>
      </c>
      <c r="AE219" s="47"/>
      <c r="AF219" s="47"/>
      <c r="AG219" s="47"/>
      <c r="AH219" s="47"/>
      <c r="AI219" s="47"/>
      <c r="AJ219" s="47"/>
      <c r="AK219" s="47"/>
      <c r="AL219" s="47"/>
      <c r="AM219" s="47"/>
      <c r="AN219" s="47"/>
      <c r="AO219" s="47"/>
      <c r="AP219" s="47"/>
      <c r="AQ219" s="47"/>
      <c r="AR219" s="47"/>
      <c r="AS219" s="47"/>
      <c r="AT219" s="47"/>
      <c r="AU219" s="47"/>
      <c r="AV219" s="47"/>
      <c r="AW219" s="47"/>
      <c r="AX219" s="47"/>
      <c r="AY219" s="47"/>
      <c r="AZ219" s="47"/>
      <c r="BA219" s="47"/>
      <c r="BB219" s="47"/>
      <c r="BC219" s="47"/>
      <c r="BD219" s="47"/>
      <c r="BE219" s="47"/>
      <c r="BF219" s="47"/>
      <c r="BG219" s="47"/>
      <c r="BH219" s="47"/>
      <c r="BI219" s="47"/>
      <c r="BJ219" s="47"/>
      <c r="BK219" s="47"/>
      <c r="BL219" s="47"/>
      <c r="BM219" s="47"/>
      <c r="BN219" s="47"/>
      <c r="BO219" s="47"/>
      <c r="BP219" s="47"/>
      <c r="BQ219" s="47"/>
      <c r="BR219" s="47"/>
      <c r="BS219" s="47"/>
      <c r="BT219" s="47"/>
      <c r="BU219" s="47"/>
      <c r="BV219" s="47"/>
      <c r="BW219" s="47"/>
      <c r="BX219" s="47"/>
      <c r="BY219" s="47"/>
      <c r="BZ219" s="47"/>
    </row>
    <row r="220" spans="1:78" ht="13">
      <c r="A220" s="48" t="str">
        <f ca="1">'.'!A220</f>
        <v>Haste Scroll</v>
      </c>
      <c r="B220" s="46" t="str">
        <f t="array" aca="1" ref="B220" ca="1">IF('.'!B220="","",'.'!B220&amp;IF(VLOOKUP('.'!B220,Recipes!$A:$D,4,FALSE)="",""," ["&amp;VLOOKUP('.'!B220,Recipes!$A:$D,4,FALSE)&amp;"]"))</f>
        <v>Haste Skillbook [-180]</v>
      </c>
      <c r="C220" s="46" t="str">
        <f t="array" ref="C220">IF('.'!C220="","",'.'!C220&amp;IF(VLOOKUP('.'!C220,Recipes!$A:$D,4,FALSE)="",""," ["&amp;VLOOKUP('.'!C220,Recipes!$A:$D,4,FALSE)&amp;"]"))</f>
        <v/>
      </c>
      <c r="D220" s="46" t="str">
        <f t="array" ref="D220">IF('.'!D220="","",'.'!D220&amp;IF(VLOOKUP('.'!D220,Recipes!$A:$D,4,FALSE)="",""," ["&amp;VLOOKUP('.'!D220,Recipes!$A:$D,4,FALSE)&amp;"]"))</f>
        <v/>
      </c>
      <c r="E220" s="46" t="str">
        <f t="array" ref="E220">IF('.'!E220="","",'.'!E220&amp;IF(VLOOKUP('.'!E220,Recipes!$A:$D,4,FALSE)="",""," ["&amp;VLOOKUP('.'!E220,Recipes!$A:$D,4,FALSE)&amp;"]"))</f>
        <v/>
      </c>
      <c r="F220" s="46" t="str">
        <f t="array" ref="F220">IF('.'!F220="","",'.'!F220&amp;IF(VLOOKUP('.'!F220,Recipes!$A:$D,4,FALSE)="",""," ["&amp;VLOOKUP('.'!F220,Recipes!$A:$D,4,FALSE)&amp;"]"))</f>
        <v/>
      </c>
      <c r="G220" s="46" t="str">
        <f t="array" ref="G220">IF('.'!G220="","",'.'!G220&amp;IF(VLOOKUP('.'!G220,Recipes!$A:$D,4,FALSE)="",""," ["&amp;VLOOKUP('.'!G220,Recipes!$A:$D,4,FALSE)&amp;"]"))</f>
        <v/>
      </c>
      <c r="H220" s="46" t="str">
        <f t="array" ref="H220">IF('.'!H220="","",'.'!H220&amp;IF(VLOOKUP('.'!H220,Recipes!$A:$D,4,FALSE)="",""," ["&amp;VLOOKUP('.'!H220,Recipes!$A:$D,4,FALSE)&amp;"]"))</f>
        <v/>
      </c>
      <c r="I220" s="46" t="str">
        <f t="array" ref="I220">IF('.'!I220="","",'.'!I220&amp;IF(VLOOKUP('.'!I220,Recipes!$A:$D,4,FALSE)="",""," ["&amp;VLOOKUP('.'!I220,Recipes!$A:$D,4,FALSE)&amp;"]"))</f>
        <v/>
      </c>
      <c r="J220" s="46" t="str">
        <f t="array" ref="J220">IF('.'!J220="","",'.'!J220&amp;IF(VLOOKUP('.'!J220,Recipes!$A:$D,4,FALSE)="",""," ["&amp;VLOOKUP('.'!J220,Recipes!$A:$D,4,FALSE)&amp;"]"))</f>
        <v/>
      </c>
      <c r="K220" s="46" t="str">
        <f t="array" ref="K220">IF('.'!K220="","",'.'!K220&amp;IF(VLOOKUP('.'!K220,Recipes!$A:$D,4,FALSE)="",""," ["&amp;VLOOKUP('.'!K220,Recipes!$A:$D,4,FALSE)&amp;"]"))</f>
        <v/>
      </c>
      <c r="L220" s="46" t="str">
        <f t="array" ref="L220">IF('.'!L220="","",'.'!L220&amp;IF(VLOOKUP('.'!L220,Recipes!$A:$D,4,FALSE)="",""," ["&amp;VLOOKUP('.'!L220,Recipes!$A:$D,4,FALSE)&amp;"]"))</f>
        <v/>
      </c>
      <c r="M220" s="46" t="str">
        <f t="array" ref="M220">IF('.'!M220="","",'.'!M220&amp;IF(VLOOKUP('.'!M220,Recipes!$A:$D,4,FALSE)="",""," ["&amp;VLOOKUP('.'!M220,Recipes!$A:$D,4,FALSE)&amp;"]"))</f>
        <v/>
      </c>
      <c r="N220" s="46" t="str">
        <f t="array" ref="N220">IF('.'!N220="","",'.'!N220&amp;IF(VLOOKUP('.'!N220,Recipes!$A:$D,4,FALSE)="",""," ["&amp;VLOOKUP('.'!N220,Recipes!$A:$D,4,FALSE)&amp;"]"))</f>
        <v/>
      </c>
      <c r="O220" s="46" t="str">
        <f t="array" ref="O220">IF('.'!O220="","",'.'!O220&amp;IF(VLOOKUP('.'!O220,Recipes!$A:$D,4,FALSE)="",""," ["&amp;VLOOKUP('.'!O220,Recipes!$A:$D,4,FALSE)&amp;"]"))</f>
        <v/>
      </c>
      <c r="P220" s="46" t="str">
        <f t="array" ref="P220">IF('.'!P220="","",'.'!P220&amp;IF(VLOOKUP('.'!P220,Recipes!$A:$D,4,FALSE)="",""," ["&amp;VLOOKUP('.'!P220,Recipes!$A:$D,4,FALSE)&amp;"]"))</f>
        <v/>
      </c>
      <c r="Q220" s="46" t="str">
        <f t="array" ref="Q220">IF('.'!Q220="","",'.'!Q220&amp;IF(VLOOKUP('.'!Q220,Recipes!$A:$D,4,FALSE)="",""," ["&amp;VLOOKUP('.'!Q220,Recipes!$A:$D,4,FALSE)&amp;"]"))</f>
        <v/>
      </c>
      <c r="R220" s="46" t="str">
        <f t="array" ref="R220">IF('.'!R220="","",'.'!R220&amp;IF(VLOOKUP('.'!R220,Recipes!$A:$D,4,FALSE)="",""," ["&amp;VLOOKUP('.'!R220,Recipes!$A:$D,4,FALSE)&amp;"]"))</f>
        <v/>
      </c>
      <c r="S220" s="46" t="str">
        <f t="array" ref="S220">IF('.'!S220="","",'.'!S220&amp;IF(VLOOKUP('.'!S220,Recipes!$A:$D,4,FALSE)="",""," ["&amp;VLOOKUP('.'!S220,Recipes!$A:$D,4,FALSE)&amp;"]"))</f>
        <v/>
      </c>
      <c r="T220" s="46" t="str">
        <f t="array" ref="T220">IF('.'!T220="","",'.'!T220&amp;IF(VLOOKUP('.'!T220,Recipes!$A:$D,4,FALSE)="",""," ["&amp;VLOOKUP('.'!T220,Recipes!$A:$D,4,FALSE)&amp;"]"))</f>
        <v/>
      </c>
      <c r="U220" s="46" t="str">
        <f t="array" ref="U220">IF('.'!U220="","",'.'!U220&amp;IF(VLOOKUP('.'!U220,Recipes!$A:$D,4,FALSE)="",""," ["&amp;VLOOKUP('.'!U220,Recipes!$A:$D,4,FALSE)&amp;"]"))</f>
        <v/>
      </c>
      <c r="V220" s="46" t="str">
        <f t="array" ref="V220">IF('.'!V220="","",'.'!V220&amp;IF(VLOOKUP('.'!V220,Recipes!$A:$D,4,FALSE)="",""," ["&amp;VLOOKUP('.'!V220,Recipes!$A:$D,4,FALSE)&amp;"]"))</f>
        <v/>
      </c>
      <c r="W220" s="46" t="str">
        <f t="array" ref="W220">IF('.'!W220="","",'.'!W220&amp;IF(VLOOKUP('.'!W220,Recipes!$A:$D,4,FALSE)="",""," ["&amp;VLOOKUP('.'!W220,Recipes!$A:$D,4,FALSE)&amp;"]"))</f>
        <v/>
      </c>
      <c r="X220" s="46" t="str">
        <f t="array" ref="X220">IF('.'!X220="","",'.'!X220&amp;IF(VLOOKUP('.'!X220,Recipes!$A:$D,4,FALSE)="",""," ["&amp;VLOOKUP('.'!X220,Recipes!$A:$D,4,FALSE)&amp;"]"))</f>
        <v/>
      </c>
      <c r="Y220" s="46" t="str">
        <f t="array" ref="Y220">IF('.'!Y220="","",'.'!Y220&amp;IF(VLOOKUP('.'!Y220,Recipes!$A:$D,4,FALSE)="",""," ["&amp;VLOOKUP('.'!Y220,Recipes!$A:$D,4,FALSE)&amp;"]"))</f>
        <v/>
      </c>
      <c r="Z220" s="46" t="str">
        <f t="array" ref="Z220">IF('.'!Z220="","",'.'!Z220&amp;IF(VLOOKUP('.'!Z220,Recipes!$A:$D,4,FALSE)="",""," ["&amp;VLOOKUP('.'!Z220,Recipes!$A:$D,4,FALSE)&amp;"]"))</f>
        <v/>
      </c>
      <c r="AA220" s="46" t="str">
        <f t="array" ref="AA220">IF('.'!AA220="","",'.'!AA220&amp;IF(VLOOKUP('.'!AA220,Recipes!$A:$D,4,FALSE)="",""," ["&amp;VLOOKUP('.'!AA220,Recipes!$A:$D,4,FALSE)&amp;"]"))</f>
        <v/>
      </c>
      <c r="AB220" s="46" t="str">
        <f t="array" ref="AB220">IF('.'!AB220="","",'.'!AB220&amp;IF(VLOOKUP('.'!AB220,Recipes!$A:$D,4,FALSE)="",""," ["&amp;VLOOKUP('.'!AB220,Recipes!$A:$D,4,FALSE)&amp;"]"))</f>
        <v/>
      </c>
      <c r="AC220" s="46" t="str">
        <f t="array" ref="AC220">IF('.'!AC220="","",'.'!AC220&amp;IF(VLOOKUP('.'!AC220,Recipes!$A:$D,4,FALSE)="",""," ["&amp;VLOOKUP('.'!AC220,Recipes!$A:$D,4,FALSE)&amp;"]"))</f>
        <v/>
      </c>
      <c r="AD220" s="46" t="str">
        <f t="array" ref="AD220">IF('.'!AD220="","",'.'!AD220&amp;IF(VLOOKUP('.'!AD220,Recipes!$A:$D,4,FALSE)="",""," ["&amp;VLOOKUP('.'!AD220,Recipes!$A:$D,4,FALSE)&amp;"]"))</f>
        <v/>
      </c>
      <c r="AE220" s="47"/>
      <c r="AF220" s="47"/>
      <c r="AG220" s="47"/>
      <c r="AH220" s="47"/>
      <c r="AI220" s="47"/>
      <c r="AJ220" s="47"/>
      <c r="AK220" s="47"/>
      <c r="AL220" s="47"/>
      <c r="AM220" s="47"/>
      <c r="AN220" s="47"/>
      <c r="AO220" s="47"/>
      <c r="AP220" s="47"/>
      <c r="AQ220" s="47"/>
      <c r="AR220" s="47"/>
      <c r="AS220" s="47"/>
      <c r="AT220" s="47"/>
      <c r="AU220" s="47"/>
      <c r="AV220" s="47"/>
      <c r="AW220" s="47"/>
      <c r="AX220" s="47"/>
      <c r="AY220" s="47"/>
      <c r="AZ220" s="47"/>
      <c r="BA220" s="47"/>
      <c r="BB220" s="47"/>
      <c r="BC220" s="47"/>
      <c r="BD220" s="47"/>
      <c r="BE220" s="47"/>
      <c r="BF220" s="47"/>
      <c r="BG220" s="47"/>
      <c r="BH220" s="47"/>
      <c r="BI220" s="47"/>
      <c r="BJ220" s="47"/>
      <c r="BK220" s="47"/>
      <c r="BL220" s="47"/>
      <c r="BM220" s="47"/>
      <c r="BN220" s="47"/>
      <c r="BO220" s="47"/>
      <c r="BP220" s="47"/>
      <c r="BQ220" s="47"/>
      <c r="BR220" s="47"/>
      <c r="BS220" s="47"/>
      <c r="BT220" s="47"/>
      <c r="BU220" s="47"/>
      <c r="BV220" s="47"/>
      <c r="BW220" s="47"/>
      <c r="BX220" s="47"/>
      <c r="BY220" s="47"/>
      <c r="BZ220" s="47"/>
    </row>
    <row r="221" spans="1:78" ht="13">
      <c r="A221" s="48" t="str">
        <f ca="1">'.'!A221</f>
        <v>Head of Angelic Statue</v>
      </c>
      <c r="B221" s="46" t="e">
        <f t="array" aca="1" ref="B221" ca="1">IF('.'!B221="","",'.'!B221&amp;IF(VLOOKUP('.'!B221,Recipes!$A:$D,4,FALSE)="",""," ["&amp;VLOOKUP('.'!B221,Recipes!$A:$D,4,FALSE)&amp;"]"))</f>
        <v>#VALUE!</v>
      </c>
      <c r="C221" s="46" t="str">
        <f t="array" ref="C221">IF('.'!C221="","",'.'!C221&amp;IF(VLOOKUP('.'!C221,Recipes!$A:$D,4,FALSE)="",""," ["&amp;VLOOKUP('.'!C221,Recipes!$A:$D,4,FALSE)&amp;"]"))</f>
        <v/>
      </c>
      <c r="D221" s="46" t="str">
        <f t="array" ref="D221">IF('.'!D221="","",'.'!D221&amp;IF(VLOOKUP('.'!D221,Recipes!$A:$D,4,FALSE)="",""," ["&amp;VLOOKUP('.'!D221,Recipes!$A:$D,4,FALSE)&amp;"]"))</f>
        <v/>
      </c>
      <c r="E221" s="46" t="str">
        <f t="array" ref="E221">IF('.'!E221="","",'.'!E221&amp;IF(VLOOKUP('.'!E221,Recipes!$A:$D,4,FALSE)="",""," ["&amp;VLOOKUP('.'!E221,Recipes!$A:$D,4,FALSE)&amp;"]"))</f>
        <v/>
      </c>
      <c r="F221" s="46" t="str">
        <f t="array" ref="F221">IF('.'!F221="","",'.'!F221&amp;IF(VLOOKUP('.'!F221,Recipes!$A:$D,4,FALSE)="",""," ["&amp;VLOOKUP('.'!F221,Recipes!$A:$D,4,FALSE)&amp;"]"))</f>
        <v/>
      </c>
      <c r="G221" s="46" t="str">
        <f t="array" ref="G221">IF('.'!G221="","",'.'!G221&amp;IF(VLOOKUP('.'!G221,Recipes!$A:$D,4,FALSE)="",""," ["&amp;VLOOKUP('.'!G221,Recipes!$A:$D,4,FALSE)&amp;"]"))</f>
        <v/>
      </c>
      <c r="H221" s="46" t="str">
        <f t="array" ref="H221">IF('.'!H221="","",'.'!H221&amp;IF(VLOOKUP('.'!H221,Recipes!$A:$D,4,FALSE)="",""," ["&amp;VLOOKUP('.'!H221,Recipes!$A:$D,4,FALSE)&amp;"]"))</f>
        <v/>
      </c>
      <c r="I221" s="46" t="str">
        <f t="array" ref="I221">IF('.'!I221="","",'.'!I221&amp;IF(VLOOKUP('.'!I221,Recipes!$A:$D,4,FALSE)="",""," ["&amp;VLOOKUP('.'!I221,Recipes!$A:$D,4,FALSE)&amp;"]"))</f>
        <v/>
      </c>
      <c r="J221" s="46" t="str">
        <f t="array" ref="J221">IF('.'!J221="","",'.'!J221&amp;IF(VLOOKUP('.'!J221,Recipes!$A:$D,4,FALSE)="",""," ["&amp;VLOOKUP('.'!J221,Recipes!$A:$D,4,FALSE)&amp;"]"))</f>
        <v/>
      </c>
      <c r="K221" s="46" t="str">
        <f t="array" ref="K221">IF('.'!K221="","",'.'!K221&amp;IF(VLOOKUP('.'!K221,Recipes!$A:$D,4,FALSE)="",""," ["&amp;VLOOKUP('.'!K221,Recipes!$A:$D,4,FALSE)&amp;"]"))</f>
        <v/>
      </c>
      <c r="L221" s="46" t="str">
        <f t="array" ref="L221">IF('.'!L221="","",'.'!L221&amp;IF(VLOOKUP('.'!L221,Recipes!$A:$D,4,FALSE)="",""," ["&amp;VLOOKUP('.'!L221,Recipes!$A:$D,4,FALSE)&amp;"]"))</f>
        <v/>
      </c>
      <c r="M221" s="46" t="str">
        <f t="array" ref="M221">IF('.'!M221="","",'.'!M221&amp;IF(VLOOKUP('.'!M221,Recipes!$A:$D,4,FALSE)="",""," ["&amp;VLOOKUP('.'!M221,Recipes!$A:$D,4,FALSE)&amp;"]"))</f>
        <v/>
      </c>
      <c r="N221" s="46" t="str">
        <f t="array" ref="N221">IF('.'!N221="","",'.'!N221&amp;IF(VLOOKUP('.'!N221,Recipes!$A:$D,4,FALSE)="",""," ["&amp;VLOOKUP('.'!N221,Recipes!$A:$D,4,FALSE)&amp;"]"))</f>
        <v/>
      </c>
      <c r="O221" s="46" t="str">
        <f t="array" ref="O221">IF('.'!O221="","",'.'!O221&amp;IF(VLOOKUP('.'!O221,Recipes!$A:$D,4,FALSE)="",""," ["&amp;VLOOKUP('.'!O221,Recipes!$A:$D,4,FALSE)&amp;"]"))</f>
        <v/>
      </c>
      <c r="P221" s="46" t="str">
        <f t="array" ref="P221">IF('.'!P221="","",'.'!P221&amp;IF(VLOOKUP('.'!P221,Recipes!$A:$D,4,FALSE)="",""," ["&amp;VLOOKUP('.'!P221,Recipes!$A:$D,4,FALSE)&amp;"]"))</f>
        <v/>
      </c>
      <c r="Q221" s="46" t="str">
        <f t="array" ref="Q221">IF('.'!Q221="","",'.'!Q221&amp;IF(VLOOKUP('.'!Q221,Recipes!$A:$D,4,FALSE)="",""," ["&amp;VLOOKUP('.'!Q221,Recipes!$A:$D,4,FALSE)&amp;"]"))</f>
        <v/>
      </c>
      <c r="R221" s="46" t="str">
        <f t="array" ref="R221">IF('.'!R221="","",'.'!R221&amp;IF(VLOOKUP('.'!R221,Recipes!$A:$D,4,FALSE)="",""," ["&amp;VLOOKUP('.'!R221,Recipes!$A:$D,4,FALSE)&amp;"]"))</f>
        <v/>
      </c>
      <c r="S221" s="46" t="str">
        <f t="array" ref="S221">IF('.'!S221="","",'.'!S221&amp;IF(VLOOKUP('.'!S221,Recipes!$A:$D,4,FALSE)="",""," ["&amp;VLOOKUP('.'!S221,Recipes!$A:$D,4,FALSE)&amp;"]"))</f>
        <v/>
      </c>
      <c r="T221" s="46" t="str">
        <f t="array" ref="T221">IF('.'!T221="","",'.'!T221&amp;IF(VLOOKUP('.'!T221,Recipes!$A:$D,4,FALSE)="",""," ["&amp;VLOOKUP('.'!T221,Recipes!$A:$D,4,FALSE)&amp;"]"))</f>
        <v/>
      </c>
      <c r="U221" s="46" t="str">
        <f t="array" ref="U221">IF('.'!U221="","",'.'!U221&amp;IF(VLOOKUP('.'!U221,Recipes!$A:$D,4,FALSE)="",""," ["&amp;VLOOKUP('.'!U221,Recipes!$A:$D,4,FALSE)&amp;"]"))</f>
        <v/>
      </c>
      <c r="V221" s="46" t="str">
        <f t="array" ref="V221">IF('.'!V221="","",'.'!V221&amp;IF(VLOOKUP('.'!V221,Recipes!$A:$D,4,FALSE)="",""," ["&amp;VLOOKUP('.'!V221,Recipes!$A:$D,4,FALSE)&amp;"]"))</f>
        <v/>
      </c>
      <c r="W221" s="46" t="str">
        <f t="array" ref="W221">IF('.'!W221="","",'.'!W221&amp;IF(VLOOKUP('.'!W221,Recipes!$A:$D,4,FALSE)="",""," ["&amp;VLOOKUP('.'!W221,Recipes!$A:$D,4,FALSE)&amp;"]"))</f>
        <v/>
      </c>
      <c r="X221" s="46" t="str">
        <f t="array" ref="X221">IF('.'!X221="","",'.'!X221&amp;IF(VLOOKUP('.'!X221,Recipes!$A:$D,4,FALSE)="",""," ["&amp;VLOOKUP('.'!X221,Recipes!$A:$D,4,FALSE)&amp;"]"))</f>
        <v/>
      </c>
      <c r="Y221" s="46" t="str">
        <f t="array" ref="Y221">IF('.'!Y221="","",'.'!Y221&amp;IF(VLOOKUP('.'!Y221,Recipes!$A:$D,4,FALSE)="",""," ["&amp;VLOOKUP('.'!Y221,Recipes!$A:$D,4,FALSE)&amp;"]"))</f>
        <v/>
      </c>
      <c r="Z221" s="46" t="str">
        <f t="array" ref="Z221">IF('.'!Z221="","",'.'!Z221&amp;IF(VLOOKUP('.'!Z221,Recipes!$A:$D,4,FALSE)="",""," ["&amp;VLOOKUP('.'!Z221,Recipes!$A:$D,4,FALSE)&amp;"]"))</f>
        <v/>
      </c>
      <c r="AA221" s="46" t="str">
        <f t="array" ref="AA221">IF('.'!AA221="","",'.'!AA221&amp;IF(VLOOKUP('.'!AA221,Recipes!$A:$D,4,FALSE)="",""," ["&amp;VLOOKUP('.'!AA221,Recipes!$A:$D,4,FALSE)&amp;"]"))</f>
        <v/>
      </c>
      <c r="AB221" s="46" t="str">
        <f t="array" ref="AB221">IF('.'!AB221="","",'.'!AB221&amp;IF(VLOOKUP('.'!AB221,Recipes!$A:$D,4,FALSE)="",""," ["&amp;VLOOKUP('.'!AB221,Recipes!$A:$D,4,FALSE)&amp;"]"))</f>
        <v/>
      </c>
      <c r="AC221" s="46" t="str">
        <f t="array" ref="AC221">IF('.'!AC221="","",'.'!AC221&amp;IF(VLOOKUP('.'!AC221,Recipes!$A:$D,4,FALSE)="",""," ["&amp;VLOOKUP('.'!AC221,Recipes!$A:$D,4,FALSE)&amp;"]"))</f>
        <v/>
      </c>
      <c r="AD221" s="46" t="str">
        <f t="array" ref="AD221">IF('.'!AD221="","",'.'!AD221&amp;IF(VLOOKUP('.'!AD221,Recipes!$A:$D,4,FALSE)="",""," ["&amp;VLOOKUP('.'!AD221,Recipes!$A:$D,4,FALSE)&amp;"]"))</f>
        <v/>
      </c>
      <c r="AE221" s="47"/>
      <c r="AF221" s="47"/>
      <c r="AG221" s="47"/>
      <c r="AH221" s="47"/>
      <c r="AI221" s="47"/>
      <c r="AJ221" s="47"/>
      <c r="AK221" s="47"/>
      <c r="AL221" s="47"/>
      <c r="AM221" s="47"/>
      <c r="AN221" s="47"/>
      <c r="AO221" s="47"/>
      <c r="AP221" s="47"/>
      <c r="AQ221" s="47"/>
      <c r="AR221" s="47"/>
      <c r="AS221" s="47"/>
      <c r="AT221" s="47"/>
      <c r="AU221" s="47"/>
      <c r="AV221" s="47"/>
      <c r="AW221" s="47"/>
      <c r="AX221" s="47"/>
      <c r="AY221" s="47"/>
      <c r="AZ221" s="47"/>
      <c r="BA221" s="47"/>
      <c r="BB221" s="47"/>
      <c r="BC221" s="47"/>
      <c r="BD221" s="47"/>
      <c r="BE221" s="47"/>
      <c r="BF221" s="47"/>
      <c r="BG221" s="47"/>
      <c r="BH221" s="47"/>
      <c r="BI221" s="47"/>
      <c r="BJ221" s="47"/>
      <c r="BK221" s="47"/>
      <c r="BL221" s="47"/>
      <c r="BM221" s="47"/>
      <c r="BN221" s="47"/>
      <c r="BO221" s="47"/>
      <c r="BP221" s="47"/>
      <c r="BQ221" s="47"/>
      <c r="BR221" s="47"/>
      <c r="BS221" s="47"/>
      <c r="BT221" s="47"/>
      <c r="BU221" s="47"/>
      <c r="BV221" s="47"/>
      <c r="BW221" s="47"/>
      <c r="BX221" s="47"/>
      <c r="BY221" s="47"/>
      <c r="BZ221" s="47"/>
    </row>
    <row r="222" spans="1:78" ht="13">
      <c r="A222" s="48" t="str">
        <f ca="1">'.'!A222</f>
        <v>Healing Elixir</v>
      </c>
      <c r="B222" s="46" t="str">
        <f t="array" aca="1" ref="B222" ca="1">IF('.'!B222="","",'.'!B222&amp;IF(VLOOKUP('.'!B222,Recipes!$A:$D,4,FALSE)="",""," ["&amp;VLOOKUP('.'!B222,Recipes!$A:$D,4,FALSE)&amp;"]"))</f>
        <v>Poison Elixir [0]</v>
      </c>
      <c r="C222" s="46" t="str">
        <f t="array" ref="C222">IF('.'!C222="","",'.'!C222&amp;IF(VLOOKUP('.'!C222,Recipes!$A:$D,4,FALSE)="",""," ["&amp;VLOOKUP('.'!C222,Recipes!$A:$D,4,FALSE)&amp;"]"))</f>
        <v/>
      </c>
      <c r="D222" s="46" t="str">
        <f t="array" ref="D222">IF('.'!D222="","",'.'!D222&amp;IF(VLOOKUP('.'!D222,Recipes!$A:$D,4,FALSE)="",""," ["&amp;VLOOKUP('.'!D222,Recipes!$A:$D,4,FALSE)&amp;"]"))</f>
        <v/>
      </c>
      <c r="E222" s="46" t="str">
        <f t="array" ref="E222">IF('.'!E222="","",'.'!E222&amp;IF(VLOOKUP('.'!E222,Recipes!$A:$D,4,FALSE)="",""," ["&amp;VLOOKUP('.'!E222,Recipes!$A:$D,4,FALSE)&amp;"]"))</f>
        <v/>
      </c>
      <c r="F222" s="46" t="str">
        <f t="array" ref="F222">IF('.'!F222="","",'.'!F222&amp;IF(VLOOKUP('.'!F222,Recipes!$A:$D,4,FALSE)="",""," ["&amp;VLOOKUP('.'!F222,Recipes!$A:$D,4,FALSE)&amp;"]"))</f>
        <v/>
      </c>
      <c r="G222" s="46" t="str">
        <f t="array" ref="G222">IF('.'!G222="","",'.'!G222&amp;IF(VLOOKUP('.'!G222,Recipes!$A:$D,4,FALSE)="",""," ["&amp;VLOOKUP('.'!G222,Recipes!$A:$D,4,FALSE)&amp;"]"))</f>
        <v/>
      </c>
      <c r="H222" s="46" t="str">
        <f t="array" ref="H222">IF('.'!H222="","",'.'!H222&amp;IF(VLOOKUP('.'!H222,Recipes!$A:$D,4,FALSE)="",""," ["&amp;VLOOKUP('.'!H222,Recipes!$A:$D,4,FALSE)&amp;"]"))</f>
        <v/>
      </c>
      <c r="I222" s="46" t="str">
        <f t="array" ref="I222">IF('.'!I222="","",'.'!I222&amp;IF(VLOOKUP('.'!I222,Recipes!$A:$D,4,FALSE)="",""," ["&amp;VLOOKUP('.'!I222,Recipes!$A:$D,4,FALSE)&amp;"]"))</f>
        <v/>
      </c>
      <c r="J222" s="46" t="str">
        <f t="array" ref="J222">IF('.'!J222="","",'.'!J222&amp;IF(VLOOKUP('.'!J222,Recipes!$A:$D,4,FALSE)="",""," ["&amp;VLOOKUP('.'!J222,Recipes!$A:$D,4,FALSE)&amp;"]"))</f>
        <v/>
      </c>
      <c r="K222" s="46" t="str">
        <f t="array" ref="K222">IF('.'!K222="","",'.'!K222&amp;IF(VLOOKUP('.'!K222,Recipes!$A:$D,4,FALSE)="",""," ["&amp;VLOOKUP('.'!K222,Recipes!$A:$D,4,FALSE)&amp;"]"))</f>
        <v/>
      </c>
      <c r="L222" s="46" t="str">
        <f t="array" ref="L222">IF('.'!L222="","",'.'!L222&amp;IF(VLOOKUP('.'!L222,Recipes!$A:$D,4,FALSE)="",""," ["&amp;VLOOKUP('.'!L222,Recipes!$A:$D,4,FALSE)&amp;"]"))</f>
        <v/>
      </c>
      <c r="M222" s="46" t="str">
        <f t="array" ref="M222">IF('.'!M222="","",'.'!M222&amp;IF(VLOOKUP('.'!M222,Recipes!$A:$D,4,FALSE)="",""," ["&amp;VLOOKUP('.'!M222,Recipes!$A:$D,4,FALSE)&amp;"]"))</f>
        <v/>
      </c>
      <c r="N222" s="46" t="str">
        <f t="array" ref="N222">IF('.'!N222="","",'.'!N222&amp;IF(VLOOKUP('.'!N222,Recipes!$A:$D,4,FALSE)="",""," ["&amp;VLOOKUP('.'!N222,Recipes!$A:$D,4,FALSE)&amp;"]"))</f>
        <v/>
      </c>
      <c r="O222" s="46" t="str">
        <f t="array" ref="O222">IF('.'!O222="","",'.'!O222&amp;IF(VLOOKUP('.'!O222,Recipes!$A:$D,4,FALSE)="",""," ["&amp;VLOOKUP('.'!O222,Recipes!$A:$D,4,FALSE)&amp;"]"))</f>
        <v/>
      </c>
      <c r="P222" s="46" t="str">
        <f t="array" ref="P222">IF('.'!P222="","",'.'!P222&amp;IF(VLOOKUP('.'!P222,Recipes!$A:$D,4,FALSE)="",""," ["&amp;VLOOKUP('.'!P222,Recipes!$A:$D,4,FALSE)&amp;"]"))</f>
        <v/>
      </c>
      <c r="Q222" s="46" t="str">
        <f t="array" ref="Q222">IF('.'!Q222="","",'.'!Q222&amp;IF(VLOOKUP('.'!Q222,Recipes!$A:$D,4,FALSE)="",""," ["&amp;VLOOKUP('.'!Q222,Recipes!$A:$D,4,FALSE)&amp;"]"))</f>
        <v/>
      </c>
      <c r="R222" s="46" t="str">
        <f t="array" ref="R222">IF('.'!R222="","",'.'!R222&amp;IF(VLOOKUP('.'!R222,Recipes!$A:$D,4,FALSE)="",""," ["&amp;VLOOKUP('.'!R222,Recipes!$A:$D,4,FALSE)&amp;"]"))</f>
        <v/>
      </c>
      <c r="S222" s="46" t="str">
        <f t="array" ref="S222">IF('.'!S222="","",'.'!S222&amp;IF(VLOOKUP('.'!S222,Recipes!$A:$D,4,FALSE)="",""," ["&amp;VLOOKUP('.'!S222,Recipes!$A:$D,4,FALSE)&amp;"]"))</f>
        <v/>
      </c>
      <c r="T222" s="46" t="str">
        <f t="array" ref="T222">IF('.'!T222="","",'.'!T222&amp;IF(VLOOKUP('.'!T222,Recipes!$A:$D,4,FALSE)="",""," ["&amp;VLOOKUP('.'!T222,Recipes!$A:$D,4,FALSE)&amp;"]"))</f>
        <v/>
      </c>
      <c r="U222" s="46" t="str">
        <f t="array" ref="U222">IF('.'!U222="","",'.'!U222&amp;IF(VLOOKUP('.'!U222,Recipes!$A:$D,4,FALSE)="",""," ["&amp;VLOOKUP('.'!U222,Recipes!$A:$D,4,FALSE)&amp;"]"))</f>
        <v/>
      </c>
      <c r="V222" s="46" t="str">
        <f t="array" ref="V222">IF('.'!V222="","",'.'!V222&amp;IF(VLOOKUP('.'!V222,Recipes!$A:$D,4,FALSE)="",""," ["&amp;VLOOKUP('.'!V222,Recipes!$A:$D,4,FALSE)&amp;"]"))</f>
        <v/>
      </c>
      <c r="W222" s="46" t="str">
        <f t="array" ref="W222">IF('.'!W222="","",'.'!W222&amp;IF(VLOOKUP('.'!W222,Recipes!$A:$D,4,FALSE)="",""," ["&amp;VLOOKUP('.'!W222,Recipes!$A:$D,4,FALSE)&amp;"]"))</f>
        <v/>
      </c>
      <c r="X222" s="46" t="str">
        <f t="array" ref="X222">IF('.'!X222="","",'.'!X222&amp;IF(VLOOKUP('.'!X222,Recipes!$A:$D,4,FALSE)="",""," ["&amp;VLOOKUP('.'!X222,Recipes!$A:$D,4,FALSE)&amp;"]"))</f>
        <v/>
      </c>
      <c r="Y222" s="46" t="str">
        <f t="array" ref="Y222">IF('.'!Y222="","",'.'!Y222&amp;IF(VLOOKUP('.'!Y222,Recipes!$A:$D,4,FALSE)="",""," ["&amp;VLOOKUP('.'!Y222,Recipes!$A:$D,4,FALSE)&amp;"]"))</f>
        <v/>
      </c>
      <c r="Z222" s="46" t="str">
        <f t="array" ref="Z222">IF('.'!Z222="","",'.'!Z222&amp;IF(VLOOKUP('.'!Z222,Recipes!$A:$D,4,FALSE)="",""," ["&amp;VLOOKUP('.'!Z222,Recipes!$A:$D,4,FALSE)&amp;"]"))</f>
        <v/>
      </c>
      <c r="AA222" s="46" t="str">
        <f t="array" ref="AA222">IF('.'!AA222="","",'.'!AA222&amp;IF(VLOOKUP('.'!AA222,Recipes!$A:$D,4,FALSE)="",""," ["&amp;VLOOKUP('.'!AA222,Recipes!$A:$D,4,FALSE)&amp;"]"))</f>
        <v/>
      </c>
      <c r="AB222" s="46" t="str">
        <f t="array" ref="AB222">IF('.'!AB222="","",'.'!AB222&amp;IF(VLOOKUP('.'!AB222,Recipes!$A:$D,4,FALSE)="",""," ["&amp;VLOOKUP('.'!AB222,Recipes!$A:$D,4,FALSE)&amp;"]"))</f>
        <v/>
      </c>
      <c r="AC222" s="46" t="str">
        <f t="array" ref="AC222">IF('.'!AC222="","",'.'!AC222&amp;IF(VLOOKUP('.'!AC222,Recipes!$A:$D,4,FALSE)="",""," ["&amp;VLOOKUP('.'!AC222,Recipes!$A:$D,4,FALSE)&amp;"]"))</f>
        <v/>
      </c>
      <c r="AD222" s="46" t="str">
        <f t="array" ref="AD222">IF('.'!AD222="","",'.'!AD222&amp;IF(VLOOKUP('.'!AD222,Recipes!$A:$D,4,FALSE)="",""," ["&amp;VLOOKUP('.'!AD222,Recipes!$A:$D,4,FALSE)&amp;"]"))</f>
        <v/>
      </c>
      <c r="AE222" s="47"/>
      <c r="AF222" s="47"/>
      <c r="AG222" s="47"/>
      <c r="AH222" s="47"/>
      <c r="AI222" s="47"/>
      <c r="AJ222" s="47"/>
      <c r="AK222" s="47"/>
      <c r="AL222" s="47"/>
      <c r="AM222" s="47"/>
      <c r="AN222" s="47"/>
      <c r="AO222" s="47"/>
      <c r="AP222" s="47"/>
      <c r="AQ222" s="47"/>
      <c r="AR222" s="47"/>
      <c r="AS222" s="47"/>
      <c r="AT222" s="47"/>
      <c r="AU222" s="47"/>
      <c r="AV222" s="47"/>
      <c r="AW222" s="47"/>
      <c r="AX222" s="47"/>
      <c r="AY222" s="47"/>
      <c r="AZ222" s="47"/>
      <c r="BA222" s="47"/>
      <c r="BB222" s="47"/>
      <c r="BC222" s="47"/>
      <c r="BD222" s="47"/>
      <c r="BE222" s="47"/>
      <c r="BF222" s="47"/>
      <c r="BG222" s="47"/>
      <c r="BH222" s="47"/>
      <c r="BI222" s="47"/>
      <c r="BJ222" s="47"/>
      <c r="BK222" s="47"/>
      <c r="BL222" s="47"/>
      <c r="BM222" s="47"/>
      <c r="BN222" s="47"/>
      <c r="BO222" s="47"/>
      <c r="BP222" s="47"/>
      <c r="BQ222" s="47"/>
      <c r="BR222" s="47"/>
      <c r="BS222" s="47"/>
      <c r="BT222" s="47"/>
      <c r="BU222" s="47"/>
      <c r="BV222" s="47"/>
      <c r="BW222" s="47"/>
      <c r="BX222" s="47"/>
      <c r="BY222" s="47"/>
      <c r="BZ222" s="47"/>
    </row>
    <row r="223" spans="1:78" ht="13">
      <c r="A223" s="48" t="str">
        <f ca="1">'.'!A223</f>
        <v>Healing Potion [Large]</v>
      </c>
      <c r="B223" s="46" t="str">
        <f t="array" aca="1" ref="B223" ca="1">IF('.'!B223="","",'.'!B223&amp;IF(VLOOKUP('.'!B223,Recipes!$A:$D,4,FALSE)="",""," ["&amp;VLOOKUP('.'!B223,Recipes!$A:$D,4,FALSE)&amp;"]"))</f>
        <v>Huge Healing Potion [-35]</v>
      </c>
      <c r="C223" s="46" t="str">
        <f t="array" aca="1" ref="C223" ca="1">IF('.'!C223="","",'.'!C223&amp;IF(VLOOKUP('.'!C223,Recipes!$A:$D,4,FALSE)="",""," ["&amp;VLOOKUP('.'!C223,Recipes!$A:$D,4,FALSE)&amp;"]"))</f>
        <v>Large Poison Bottle [0]</v>
      </c>
      <c r="D223" s="46" t="str">
        <f t="array" ref="D223">IF('.'!D223="","",'.'!D223&amp;IF(VLOOKUP('.'!D223,Recipes!$A:$D,4,FALSE)="",""," ["&amp;VLOOKUP('.'!D223,Recipes!$A:$D,4,FALSE)&amp;"]"))</f>
        <v/>
      </c>
      <c r="E223" s="46" t="str">
        <f t="array" ref="E223">IF('.'!E223="","",'.'!E223&amp;IF(VLOOKUP('.'!E223,Recipes!$A:$D,4,FALSE)="",""," ["&amp;VLOOKUP('.'!E223,Recipes!$A:$D,4,FALSE)&amp;"]"))</f>
        <v/>
      </c>
      <c r="F223" s="46" t="str">
        <f t="array" ref="F223">IF('.'!F223="","",'.'!F223&amp;IF(VLOOKUP('.'!F223,Recipes!$A:$D,4,FALSE)="",""," ["&amp;VLOOKUP('.'!F223,Recipes!$A:$D,4,FALSE)&amp;"]"))</f>
        <v/>
      </c>
      <c r="G223" s="46" t="str">
        <f t="array" ref="G223">IF('.'!G223="","",'.'!G223&amp;IF(VLOOKUP('.'!G223,Recipes!$A:$D,4,FALSE)="",""," ["&amp;VLOOKUP('.'!G223,Recipes!$A:$D,4,FALSE)&amp;"]"))</f>
        <v/>
      </c>
      <c r="H223" s="46" t="str">
        <f t="array" ref="H223">IF('.'!H223="","",'.'!H223&amp;IF(VLOOKUP('.'!H223,Recipes!$A:$D,4,FALSE)="",""," ["&amp;VLOOKUP('.'!H223,Recipes!$A:$D,4,FALSE)&amp;"]"))</f>
        <v/>
      </c>
      <c r="I223" s="46" t="str">
        <f t="array" ref="I223">IF('.'!I223="","",'.'!I223&amp;IF(VLOOKUP('.'!I223,Recipes!$A:$D,4,FALSE)="",""," ["&amp;VLOOKUP('.'!I223,Recipes!$A:$D,4,FALSE)&amp;"]"))</f>
        <v/>
      </c>
      <c r="J223" s="46" t="str">
        <f t="array" ref="J223">IF('.'!J223="","",'.'!J223&amp;IF(VLOOKUP('.'!J223,Recipes!$A:$D,4,FALSE)="",""," ["&amp;VLOOKUP('.'!J223,Recipes!$A:$D,4,FALSE)&amp;"]"))</f>
        <v/>
      </c>
      <c r="K223" s="46" t="str">
        <f t="array" ref="K223">IF('.'!K223="","",'.'!K223&amp;IF(VLOOKUP('.'!K223,Recipes!$A:$D,4,FALSE)="",""," ["&amp;VLOOKUP('.'!K223,Recipes!$A:$D,4,FALSE)&amp;"]"))</f>
        <v/>
      </c>
      <c r="L223" s="46" t="str">
        <f t="array" ref="L223">IF('.'!L223="","",'.'!L223&amp;IF(VLOOKUP('.'!L223,Recipes!$A:$D,4,FALSE)="",""," ["&amp;VLOOKUP('.'!L223,Recipes!$A:$D,4,FALSE)&amp;"]"))</f>
        <v/>
      </c>
      <c r="M223" s="46" t="str">
        <f t="array" ref="M223">IF('.'!M223="","",'.'!M223&amp;IF(VLOOKUP('.'!M223,Recipes!$A:$D,4,FALSE)="",""," ["&amp;VLOOKUP('.'!M223,Recipes!$A:$D,4,FALSE)&amp;"]"))</f>
        <v/>
      </c>
      <c r="N223" s="46" t="str">
        <f t="array" ref="N223">IF('.'!N223="","",'.'!N223&amp;IF(VLOOKUP('.'!N223,Recipes!$A:$D,4,FALSE)="",""," ["&amp;VLOOKUP('.'!N223,Recipes!$A:$D,4,FALSE)&amp;"]"))</f>
        <v/>
      </c>
      <c r="O223" s="46" t="str">
        <f t="array" ref="O223">IF('.'!O223="","",'.'!O223&amp;IF(VLOOKUP('.'!O223,Recipes!$A:$D,4,FALSE)="",""," ["&amp;VLOOKUP('.'!O223,Recipes!$A:$D,4,FALSE)&amp;"]"))</f>
        <v/>
      </c>
      <c r="P223" s="46" t="str">
        <f t="array" ref="P223">IF('.'!P223="","",'.'!P223&amp;IF(VLOOKUP('.'!P223,Recipes!$A:$D,4,FALSE)="",""," ["&amp;VLOOKUP('.'!P223,Recipes!$A:$D,4,FALSE)&amp;"]"))</f>
        <v/>
      </c>
      <c r="Q223" s="46" t="str">
        <f t="array" ref="Q223">IF('.'!Q223="","",'.'!Q223&amp;IF(VLOOKUP('.'!Q223,Recipes!$A:$D,4,FALSE)="",""," ["&amp;VLOOKUP('.'!Q223,Recipes!$A:$D,4,FALSE)&amp;"]"))</f>
        <v/>
      </c>
      <c r="R223" s="46" t="str">
        <f t="array" ref="R223">IF('.'!R223="","",'.'!R223&amp;IF(VLOOKUP('.'!R223,Recipes!$A:$D,4,FALSE)="",""," ["&amp;VLOOKUP('.'!R223,Recipes!$A:$D,4,FALSE)&amp;"]"))</f>
        <v/>
      </c>
      <c r="S223" s="46" t="str">
        <f t="array" ref="S223">IF('.'!S223="","",'.'!S223&amp;IF(VLOOKUP('.'!S223,Recipes!$A:$D,4,FALSE)="",""," ["&amp;VLOOKUP('.'!S223,Recipes!$A:$D,4,FALSE)&amp;"]"))</f>
        <v/>
      </c>
      <c r="T223" s="46" t="str">
        <f t="array" ref="T223">IF('.'!T223="","",'.'!T223&amp;IF(VLOOKUP('.'!T223,Recipes!$A:$D,4,FALSE)="",""," ["&amp;VLOOKUP('.'!T223,Recipes!$A:$D,4,FALSE)&amp;"]"))</f>
        <v/>
      </c>
      <c r="U223" s="46" t="str">
        <f t="array" ref="U223">IF('.'!U223="","",'.'!U223&amp;IF(VLOOKUP('.'!U223,Recipes!$A:$D,4,FALSE)="",""," ["&amp;VLOOKUP('.'!U223,Recipes!$A:$D,4,FALSE)&amp;"]"))</f>
        <v/>
      </c>
      <c r="V223" s="46" t="str">
        <f t="array" ref="V223">IF('.'!V223="","",'.'!V223&amp;IF(VLOOKUP('.'!V223,Recipes!$A:$D,4,FALSE)="",""," ["&amp;VLOOKUP('.'!V223,Recipes!$A:$D,4,FALSE)&amp;"]"))</f>
        <v/>
      </c>
      <c r="W223" s="46" t="str">
        <f t="array" ref="W223">IF('.'!W223="","",'.'!W223&amp;IF(VLOOKUP('.'!W223,Recipes!$A:$D,4,FALSE)="",""," ["&amp;VLOOKUP('.'!W223,Recipes!$A:$D,4,FALSE)&amp;"]"))</f>
        <v/>
      </c>
      <c r="X223" s="46" t="str">
        <f t="array" ref="X223">IF('.'!X223="","",'.'!X223&amp;IF(VLOOKUP('.'!X223,Recipes!$A:$D,4,FALSE)="",""," ["&amp;VLOOKUP('.'!X223,Recipes!$A:$D,4,FALSE)&amp;"]"))</f>
        <v/>
      </c>
      <c r="Y223" s="46" t="str">
        <f t="array" ref="Y223">IF('.'!Y223="","",'.'!Y223&amp;IF(VLOOKUP('.'!Y223,Recipes!$A:$D,4,FALSE)="",""," ["&amp;VLOOKUP('.'!Y223,Recipes!$A:$D,4,FALSE)&amp;"]"))</f>
        <v/>
      </c>
      <c r="Z223" s="46" t="str">
        <f t="array" ref="Z223">IF('.'!Z223="","",'.'!Z223&amp;IF(VLOOKUP('.'!Z223,Recipes!$A:$D,4,FALSE)="",""," ["&amp;VLOOKUP('.'!Z223,Recipes!$A:$D,4,FALSE)&amp;"]"))</f>
        <v/>
      </c>
      <c r="AA223" s="46" t="str">
        <f t="array" ref="AA223">IF('.'!AA223="","",'.'!AA223&amp;IF(VLOOKUP('.'!AA223,Recipes!$A:$D,4,FALSE)="",""," ["&amp;VLOOKUP('.'!AA223,Recipes!$A:$D,4,FALSE)&amp;"]"))</f>
        <v/>
      </c>
      <c r="AB223" s="46" t="str">
        <f t="array" ref="AB223">IF('.'!AB223="","",'.'!AB223&amp;IF(VLOOKUP('.'!AB223,Recipes!$A:$D,4,FALSE)="",""," ["&amp;VLOOKUP('.'!AB223,Recipes!$A:$D,4,FALSE)&amp;"]"))</f>
        <v/>
      </c>
      <c r="AC223" s="46" t="str">
        <f t="array" ref="AC223">IF('.'!AC223="","",'.'!AC223&amp;IF(VLOOKUP('.'!AC223,Recipes!$A:$D,4,FALSE)="",""," ["&amp;VLOOKUP('.'!AC223,Recipes!$A:$D,4,FALSE)&amp;"]"))</f>
        <v/>
      </c>
      <c r="AD223" s="46" t="str">
        <f t="array" ref="AD223">IF('.'!AD223="","",'.'!AD223&amp;IF(VLOOKUP('.'!AD223,Recipes!$A:$D,4,FALSE)="",""," ["&amp;VLOOKUP('.'!AD223,Recipes!$A:$D,4,FALSE)&amp;"]"))</f>
        <v/>
      </c>
      <c r="AE223" s="47"/>
      <c r="AF223" s="47"/>
      <c r="AG223" s="47"/>
      <c r="AH223" s="47"/>
      <c r="AI223" s="47"/>
      <c r="AJ223" s="47"/>
      <c r="AK223" s="47"/>
      <c r="AL223" s="47"/>
      <c r="AM223" s="47"/>
      <c r="AN223" s="47"/>
      <c r="AO223" s="47"/>
      <c r="AP223" s="47"/>
      <c r="AQ223" s="47"/>
      <c r="AR223" s="47"/>
      <c r="AS223" s="47"/>
      <c r="AT223" s="47"/>
      <c r="AU223" s="47"/>
      <c r="AV223" s="47"/>
      <c r="AW223" s="47"/>
      <c r="AX223" s="47"/>
      <c r="AY223" s="47"/>
      <c r="AZ223" s="47"/>
      <c r="BA223" s="47"/>
      <c r="BB223" s="47"/>
      <c r="BC223" s="47"/>
      <c r="BD223" s="47"/>
      <c r="BE223" s="47"/>
      <c r="BF223" s="47"/>
      <c r="BG223" s="47"/>
      <c r="BH223" s="47"/>
      <c r="BI223" s="47"/>
      <c r="BJ223" s="47"/>
      <c r="BK223" s="47"/>
      <c r="BL223" s="47"/>
      <c r="BM223" s="47"/>
      <c r="BN223" s="47"/>
      <c r="BO223" s="47"/>
      <c r="BP223" s="47"/>
      <c r="BQ223" s="47"/>
      <c r="BR223" s="47"/>
      <c r="BS223" s="47"/>
      <c r="BT223" s="47"/>
      <c r="BU223" s="47"/>
      <c r="BV223" s="47"/>
      <c r="BW223" s="47"/>
      <c r="BX223" s="47"/>
      <c r="BY223" s="47"/>
      <c r="BZ223" s="47"/>
    </row>
    <row r="224" spans="1:78" ht="13">
      <c r="A224" s="48" t="str">
        <f ca="1">'.'!A224</f>
        <v>Healing Ritual Scroll</v>
      </c>
      <c r="B224" s="46" t="str">
        <f t="array" aca="1" ref="B224" ca="1">IF('.'!B224="","",'.'!B224&amp;IF(VLOOKUP('.'!B224,Recipes!$A:$D,4,FALSE)="",""," ["&amp;VLOOKUP('.'!B224,Recipes!$A:$D,4,FALSE)&amp;"]"))</f>
        <v>Healing Ritual Skillbook [-160]</v>
      </c>
      <c r="C224" s="46" t="str">
        <f t="array" ref="C224">IF('.'!C224="","",'.'!C224&amp;IF(VLOOKUP('.'!C224,Recipes!$A:$D,4,FALSE)="",""," ["&amp;VLOOKUP('.'!C224,Recipes!$A:$D,4,FALSE)&amp;"]"))</f>
        <v/>
      </c>
      <c r="D224" s="46" t="str">
        <f t="array" ref="D224">IF('.'!D224="","",'.'!D224&amp;IF(VLOOKUP('.'!D224,Recipes!$A:$D,4,FALSE)="",""," ["&amp;VLOOKUP('.'!D224,Recipes!$A:$D,4,FALSE)&amp;"]"))</f>
        <v/>
      </c>
      <c r="E224" s="46" t="str">
        <f t="array" ref="E224">IF('.'!E224="","",'.'!E224&amp;IF(VLOOKUP('.'!E224,Recipes!$A:$D,4,FALSE)="",""," ["&amp;VLOOKUP('.'!E224,Recipes!$A:$D,4,FALSE)&amp;"]"))</f>
        <v/>
      </c>
      <c r="F224" s="46" t="str">
        <f t="array" ref="F224">IF('.'!F224="","",'.'!F224&amp;IF(VLOOKUP('.'!F224,Recipes!$A:$D,4,FALSE)="",""," ["&amp;VLOOKUP('.'!F224,Recipes!$A:$D,4,FALSE)&amp;"]"))</f>
        <v/>
      </c>
      <c r="G224" s="46" t="str">
        <f t="array" ref="G224">IF('.'!G224="","",'.'!G224&amp;IF(VLOOKUP('.'!G224,Recipes!$A:$D,4,FALSE)="",""," ["&amp;VLOOKUP('.'!G224,Recipes!$A:$D,4,FALSE)&amp;"]"))</f>
        <v/>
      </c>
      <c r="H224" s="46" t="str">
        <f t="array" ref="H224">IF('.'!H224="","",'.'!H224&amp;IF(VLOOKUP('.'!H224,Recipes!$A:$D,4,FALSE)="",""," ["&amp;VLOOKUP('.'!H224,Recipes!$A:$D,4,FALSE)&amp;"]"))</f>
        <v/>
      </c>
      <c r="I224" s="46" t="str">
        <f t="array" ref="I224">IF('.'!I224="","",'.'!I224&amp;IF(VLOOKUP('.'!I224,Recipes!$A:$D,4,FALSE)="",""," ["&amp;VLOOKUP('.'!I224,Recipes!$A:$D,4,FALSE)&amp;"]"))</f>
        <v/>
      </c>
      <c r="J224" s="46" t="str">
        <f t="array" ref="J224">IF('.'!J224="","",'.'!J224&amp;IF(VLOOKUP('.'!J224,Recipes!$A:$D,4,FALSE)="",""," ["&amp;VLOOKUP('.'!J224,Recipes!$A:$D,4,FALSE)&amp;"]"))</f>
        <v/>
      </c>
      <c r="K224" s="46" t="str">
        <f t="array" ref="K224">IF('.'!K224="","",'.'!K224&amp;IF(VLOOKUP('.'!K224,Recipes!$A:$D,4,FALSE)="",""," ["&amp;VLOOKUP('.'!K224,Recipes!$A:$D,4,FALSE)&amp;"]"))</f>
        <v/>
      </c>
      <c r="L224" s="46" t="str">
        <f t="array" ref="L224">IF('.'!L224="","",'.'!L224&amp;IF(VLOOKUP('.'!L224,Recipes!$A:$D,4,FALSE)="",""," ["&amp;VLOOKUP('.'!L224,Recipes!$A:$D,4,FALSE)&amp;"]"))</f>
        <v/>
      </c>
      <c r="M224" s="46" t="str">
        <f t="array" ref="M224">IF('.'!M224="","",'.'!M224&amp;IF(VLOOKUP('.'!M224,Recipes!$A:$D,4,FALSE)="",""," ["&amp;VLOOKUP('.'!M224,Recipes!$A:$D,4,FALSE)&amp;"]"))</f>
        <v/>
      </c>
      <c r="N224" s="46" t="str">
        <f t="array" ref="N224">IF('.'!N224="","",'.'!N224&amp;IF(VLOOKUP('.'!N224,Recipes!$A:$D,4,FALSE)="",""," ["&amp;VLOOKUP('.'!N224,Recipes!$A:$D,4,FALSE)&amp;"]"))</f>
        <v/>
      </c>
      <c r="O224" s="46" t="str">
        <f t="array" ref="O224">IF('.'!O224="","",'.'!O224&amp;IF(VLOOKUP('.'!O224,Recipes!$A:$D,4,FALSE)="",""," ["&amp;VLOOKUP('.'!O224,Recipes!$A:$D,4,FALSE)&amp;"]"))</f>
        <v/>
      </c>
      <c r="P224" s="46" t="str">
        <f t="array" ref="P224">IF('.'!P224="","",'.'!P224&amp;IF(VLOOKUP('.'!P224,Recipes!$A:$D,4,FALSE)="",""," ["&amp;VLOOKUP('.'!P224,Recipes!$A:$D,4,FALSE)&amp;"]"))</f>
        <v/>
      </c>
      <c r="Q224" s="46" t="str">
        <f t="array" ref="Q224">IF('.'!Q224="","",'.'!Q224&amp;IF(VLOOKUP('.'!Q224,Recipes!$A:$D,4,FALSE)="",""," ["&amp;VLOOKUP('.'!Q224,Recipes!$A:$D,4,FALSE)&amp;"]"))</f>
        <v/>
      </c>
      <c r="R224" s="46" t="str">
        <f t="array" ref="R224">IF('.'!R224="","",'.'!R224&amp;IF(VLOOKUP('.'!R224,Recipes!$A:$D,4,FALSE)="",""," ["&amp;VLOOKUP('.'!R224,Recipes!$A:$D,4,FALSE)&amp;"]"))</f>
        <v/>
      </c>
      <c r="S224" s="46" t="str">
        <f t="array" ref="S224">IF('.'!S224="","",'.'!S224&amp;IF(VLOOKUP('.'!S224,Recipes!$A:$D,4,FALSE)="",""," ["&amp;VLOOKUP('.'!S224,Recipes!$A:$D,4,FALSE)&amp;"]"))</f>
        <v/>
      </c>
      <c r="T224" s="46" t="str">
        <f t="array" ref="T224">IF('.'!T224="","",'.'!T224&amp;IF(VLOOKUP('.'!T224,Recipes!$A:$D,4,FALSE)="",""," ["&amp;VLOOKUP('.'!T224,Recipes!$A:$D,4,FALSE)&amp;"]"))</f>
        <v/>
      </c>
      <c r="U224" s="46" t="str">
        <f t="array" ref="U224">IF('.'!U224="","",'.'!U224&amp;IF(VLOOKUP('.'!U224,Recipes!$A:$D,4,FALSE)="",""," ["&amp;VLOOKUP('.'!U224,Recipes!$A:$D,4,FALSE)&amp;"]"))</f>
        <v/>
      </c>
      <c r="V224" s="46" t="str">
        <f t="array" ref="V224">IF('.'!V224="","",'.'!V224&amp;IF(VLOOKUP('.'!V224,Recipes!$A:$D,4,FALSE)="",""," ["&amp;VLOOKUP('.'!V224,Recipes!$A:$D,4,FALSE)&amp;"]"))</f>
        <v/>
      </c>
      <c r="W224" s="46" t="str">
        <f t="array" ref="W224">IF('.'!W224="","",'.'!W224&amp;IF(VLOOKUP('.'!W224,Recipes!$A:$D,4,FALSE)="",""," ["&amp;VLOOKUP('.'!W224,Recipes!$A:$D,4,FALSE)&amp;"]"))</f>
        <v/>
      </c>
      <c r="X224" s="46" t="str">
        <f t="array" ref="X224">IF('.'!X224="","",'.'!X224&amp;IF(VLOOKUP('.'!X224,Recipes!$A:$D,4,FALSE)="",""," ["&amp;VLOOKUP('.'!X224,Recipes!$A:$D,4,FALSE)&amp;"]"))</f>
        <v/>
      </c>
      <c r="Y224" s="46" t="str">
        <f t="array" ref="Y224">IF('.'!Y224="","",'.'!Y224&amp;IF(VLOOKUP('.'!Y224,Recipes!$A:$D,4,FALSE)="",""," ["&amp;VLOOKUP('.'!Y224,Recipes!$A:$D,4,FALSE)&amp;"]"))</f>
        <v/>
      </c>
      <c r="Z224" s="46" t="str">
        <f t="array" ref="Z224">IF('.'!Z224="","",'.'!Z224&amp;IF(VLOOKUP('.'!Z224,Recipes!$A:$D,4,FALSE)="",""," ["&amp;VLOOKUP('.'!Z224,Recipes!$A:$D,4,FALSE)&amp;"]"))</f>
        <v/>
      </c>
      <c r="AA224" s="46" t="str">
        <f t="array" ref="AA224">IF('.'!AA224="","",'.'!AA224&amp;IF(VLOOKUP('.'!AA224,Recipes!$A:$D,4,FALSE)="",""," ["&amp;VLOOKUP('.'!AA224,Recipes!$A:$D,4,FALSE)&amp;"]"))</f>
        <v/>
      </c>
      <c r="AB224" s="46" t="str">
        <f t="array" ref="AB224">IF('.'!AB224="","",'.'!AB224&amp;IF(VLOOKUP('.'!AB224,Recipes!$A:$D,4,FALSE)="",""," ["&amp;VLOOKUP('.'!AB224,Recipes!$A:$D,4,FALSE)&amp;"]"))</f>
        <v/>
      </c>
      <c r="AC224" s="46" t="str">
        <f t="array" ref="AC224">IF('.'!AC224="","",'.'!AC224&amp;IF(VLOOKUP('.'!AC224,Recipes!$A:$D,4,FALSE)="",""," ["&amp;VLOOKUP('.'!AC224,Recipes!$A:$D,4,FALSE)&amp;"]"))</f>
        <v/>
      </c>
      <c r="AD224" s="46" t="str">
        <f t="array" ref="AD224">IF('.'!AD224="","",'.'!AD224&amp;IF(VLOOKUP('.'!AD224,Recipes!$A:$D,4,FALSE)="",""," ["&amp;VLOOKUP('.'!AD224,Recipes!$A:$D,4,FALSE)&amp;"]"))</f>
        <v/>
      </c>
      <c r="AE224" s="47"/>
      <c r="AF224" s="47"/>
      <c r="AG224" s="47"/>
      <c r="AH224" s="47"/>
      <c r="AI224" s="47"/>
      <c r="AJ224" s="47"/>
      <c r="AK224" s="47"/>
      <c r="AL224" s="47"/>
      <c r="AM224" s="47"/>
      <c r="AN224" s="47"/>
      <c r="AO224" s="47"/>
      <c r="AP224" s="47"/>
      <c r="AQ224" s="47"/>
      <c r="AR224" s="47"/>
      <c r="AS224" s="47"/>
      <c r="AT224" s="47"/>
      <c r="AU224" s="47"/>
      <c r="AV224" s="47"/>
      <c r="AW224" s="47"/>
      <c r="AX224" s="47"/>
      <c r="AY224" s="47"/>
      <c r="AZ224" s="47"/>
      <c r="BA224" s="47"/>
      <c r="BB224" s="47"/>
      <c r="BC224" s="47"/>
      <c r="BD224" s="47"/>
      <c r="BE224" s="47"/>
      <c r="BF224" s="47"/>
      <c r="BG224" s="47"/>
      <c r="BH224" s="47"/>
      <c r="BI224" s="47"/>
      <c r="BJ224" s="47"/>
      <c r="BK224" s="47"/>
      <c r="BL224" s="47"/>
      <c r="BM224" s="47"/>
      <c r="BN224" s="47"/>
      <c r="BO224" s="47"/>
      <c r="BP224" s="47"/>
      <c r="BQ224" s="47"/>
      <c r="BR224" s="47"/>
      <c r="BS224" s="47"/>
      <c r="BT224" s="47"/>
      <c r="BU224" s="47"/>
      <c r="BV224" s="47"/>
      <c r="BW224" s="47"/>
      <c r="BX224" s="47"/>
      <c r="BY224" s="47"/>
      <c r="BZ224" s="47"/>
    </row>
    <row r="225" spans="1:78" ht="13">
      <c r="A225" s="48" t="str">
        <f ca="1">'.'!A225</f>
        <v>Heart of Steel Scroll</v>
      </c>
      <c r="B225" s="46" t="str">
        <f t="array" aca="1" ref="B225" ca="1">IF('.'!B225="","",'.'!B225&amp;IF(VLOOKUP('.'!B225,Recipes!$A:$D,4,FALSE)="",""," ["&amp;VLOOKUP('.'!B225,Recipes!$A:$D,4,FALSE)&amp;"]"))</f>
        <v>Heart of Steel Skillbook [-120]</v>
      </c>
      <c r="C225" s="46" t="str">
        <f t="array" ref="C225">IF('.'!C225="","",'.'!C225&amp;IF(VLOOKUP('.'!C225,Recipes!$A:$D,4,FALSE)="",""," ["&amp;VLOOKUP('.'!C225,Recipes!$A:$D,4,FALSE)&amp;"]"))</f>
        <v/>
      </c>
      <c r="D225" s="46" t="str">
        <f t="array" ref="D225">IF('.'!D225="","",'.'!D225&amp;IF(VLOOKUP('.'!D225,Recipes!$A:$D,4,FALSE)="",""," ["&amp;VLOOKUP('.'!D225,Recipes!$A:$D,4,FALSE)&amp;"]"))</f>
        <v/>
      </c>
      <c r="E225" s="46" t="str">
        <f t="array" ref="E225">IF('.'!E225="","",'.'!E225&amp;IF(VLOOKUP('.'!E225,Recipes!$A:$D,4,FALSE)="",""," ["&amp;VLOOKUP('.'!E225,Recipes!$A:$D,4,FALSE)&amp;"]"))</f>
        <v/>
      </c>
      <c r="F225" s="46" t="str">
        <f t="array" ref="F225">IF('.'!F225="","",'.'!F225&amp;IF(VLOOKUP('.'!F225,Recipes!$A:$D,4,FALSE)="",""," ["&amp;VLOOKUP('.'!F225,Recipes!$A:$D,4,FALSE)&amp;"]"))</f>
        <v/>
      </c>
      <c r="G225" s="46" t="str">
        <f t="array" ref="G225">IF('.'!G225="","",'.'!G225&amp;IF(VLOOKUP('.'!G225,Recipes!$A:$D,4,FALSE)="",""," ["&amp;VLOOKUP('.'!G225,Recipes!$A:$D,4,FALSE)&amp;"]"))</f>
        <v/>
      </c>
      <c r="H225" s="46" t="str">
        <f t="array" ref="H225">IF('.'!H225="","",'.'!H225&amp;IF(VLOOKUP('.'!H225,Recipes!$A:$D,4,FALSE)="",""," ["&amp;VLOOKUP('.'!H225,Recipes!$A:$D,4,FALSE)&amp;"]"))</f>
        <v/>
      </c>
      <c r="I225" s="46" t="str">
        <f t="array" ref="I225">IF('.'!I225="","",'.'!I225&amp;IF(VLOOKUP('.'!I225,Recipes!$A:$D,4,FALSE)="",""," ["&amp;VLOOKUP('.'!I225,Recipes!$A:$D,4,FALSE)&amp;"]"))</f>
        <v/>
      </c>
      <c r="J225" s="46" t="str">
        <f t="array" ref="J225">IF('.'!J225="","",'.'!J225&amp;IF(VLOOKUP('.'!J225,Recipes!$A:$D,4,FALSE)="",""," ["&amp;VLOOKUP('.'!J225,Recipes!$A:$D,4,FALSE)&amp;"]"))</f>
        <v/>
      </c>
      <c r="K225" s="46" t="str">
        <f t="array" ref="K225">IF('.'!K225="","",'.'!K225&amp;IF(VLOOKUP('.'!K225,Recipes!$A:$D,4,FALSE)="",""," ["&amp;VLOOKUP('.'!K225,Recipes!$A:$D,4,FALSE)&amp;"]"))</f>
        <v/>
      </c>
      <c r="L225" s="46" t="str">
        <f t="array" ref="L225">IF('.'!L225="","",'.'!L225&amp;IF(VLOOKUP('.'!L225,Recipes!$A:$D,4,FALSE)="",""," ["&amp;VLOOKUP('.'!L225,Recipes!$A:$D,4,FALSE)&amp;"]"))</f>
        <v/>
      </c>
      <c r="M225" s="46" t="str">
        <f t="array" ref="M225">IF('.'!M225="","",'.'!M225&amp;IF(VLOOKUP('.'!M225,Recipes!$A:$D,4,FALSE)="",""," ["&amp;VLOOKUP('.'!M225,Recipes!$A:$D,4,FALSE)&amp;"]"))</f>
        <v/>
      </c>
      <c r="N225" s="46" t="str">
        <f t="array" ref="N225">IF('.'!N225="","",'.'!N225&amp;IF(VLOOKUP('.'!N225,Recipes!$A:$D,4,FALSE)="",""," ["&amp;VLOOKUP('.'!N225,Recipes!$A:$D,4,FALSE)&amp;"]"))</f>
        <v/>
      </c>
      <c r="O225" s="46" t="str">
        <f t="array" ref="O225">IF('.'!O225="","",'.'!O225&amp;IF(VLOOKUP('.'!O225,Recipes!$A:$D,4,FALSE)="",""," ["&amp;VLOOKUP('.'!O225,Recipes!$A:$D,4,FALSE)&amp;"]"))</f>
        <v/>
      </c>
      <c r="P225" s="46" t="str">
        <f t="array" ref="P225">IF('.'!P225="","",'.'!P225&amp;IF(VLOOKUP('.'!P225,Recipes!$A:$D,4,FALSE)="",""," ["&amp;VLOOKUP('.'!P225,Recipes!$A:$D,4,FALSE)&amp;"]"))</f>
        <v/>
      </c>
      <c r="Q225" s="46" t="str">
        <f t="array" ref="Q225">IF('.'!Q225="","",'.'!Q225&amp;IF(VLOOKUP('.'!Q225,Recipes!$A:$D,4,FALSE)="",""," ["&amp;VLOOKUP('.'!Q225,Recipes!$A:$D,4,FALSE)&amp;"]"))</f>
        <v/>
      </c>
      <c r="R225" s="46" t="str">
        <f t="array" ref="R225">IF('.'!R225="","",'.'!R225&amp;IF(VLOOKUP('.'!R225,Recipes!$A:$D,4,FALSE)="",""," ["&amp;VLOOKUP('.'!R225,Recipes!$A:$D,4,FALSE)&amp;"]"))</f>
        <v/>
      </c>
      <c r="S225" s="46" t="str">
        <f t="array" ref="S225">IF('.'!S225="","",'.'!S225&amp;IF(VLOOKUP('.'!S225,Recipes!$A:$D,4,FALSE)="",""," ["&amp;VLOOKUP('.'!S225,Recipes!$A:$D,4,FALSE)&amp;"]"))</f>
        <v/>
      </c>
      <c r="T225" s="46" t="str">
        <f t="array" ref="T225">IF('.'!T225="","",'.'!T225&amp;IF(VLOOKUP('.'!T225,Recipes!$A:$D,4,FALSE)="",""," ["&amp;VLOOKUP('.'!T225,Recipes!$A:$D,4,FALSE)&amp;"]"))</f>
        <v/>
      </c>
      <c r="U225" s="46" t="str">
        <f t="array" ref="U225">IF('.'!U225="","",'.'!U225&amp;IF(VLOOKUP('.'!U225,Recipes!$A:$D,4,FALSE)="",""," ["&amp;VLOOKUP('.'!U225,Recipes!$A:$D,4,FALSE)&amp;"]"))</f>
        <v/>
      </c>
      <c r="V225" s="46" t="str">
        <f t="array" ref="V225">IF('.'!V225="","",'.'!V225&amp;IF(VLOOKUP('.'!V225,Recipes!$A:$D,4,FALSE)="",""," ["&amp;VLOOKUP('.'!V225,Recipes!$A:$D,4,FALSE)&amp;"]"))</f>
        <v/>
      </c>
      <c r="W225" s="46" t="str">
        <f t="array" ref="W225">IF('.'!W225="","",'.'!W225&amp;IF(VLOOKUP('.'!W225,Recipes!$A:$D,4,FALSE)="",""," ["&amp;VLOOKUP('.'!W225,Recipes!$A:$D,4,FALSE)&amp;"]"))</f>
        <v/>
      </c>
      <c r="X225" s="46" t="str">
        <f t="array" ref="X225">IF('.'!X225="","",'.'!X225&amp;IF(VLOOKUP('.'!X225,Recipes!$A:$D,4,FALSE)="",""," ["&amp;VLOOKUP('.'!X225,Recipes!$A:$D,4,FALSE)&amp;"]"))</f>
        <v/>
      </c>
      <c r="Y225" s="46" t="str">
        <f t="array" ref="Y225">IF('.'!Y225="","",'.'!Y225&amp;IF(VLOOKUP('.'!Y225,Recipes!$A:$D,4,FALSE)="",""," ["&amp;VLOOKUP('.'!Y225,Recipes!$A:$D,4,FALSE)&amp;"]"))</f>
        <v/>
      </c>
      <c r="Z225" s="46" t="str">
        <f t="array" ref="Z225">IF('.'!Z225="","",'.'!Z225&amp;IF(VLOOKUP('.'!Z225,Recipes!$A:$D,4,FALSE)="",""," ["&amp;VLOOKUP('.'!Z225,Recipes!$A:$D,4,FALSE)&amp;"]"))</f>
        <v/>
      </c>
      <c r="AA225" s="46" t="str">
        <f t="array" ref="AA225">IF('.'!AA225="","",'.'!AA225&amp;IF(VLOOKUP('.'!AA225,Recipes!$A:$D,4,FALSE)="",""," ["&amp;VLOOKUP('.'!AA225,Recipes!$A:$D,4,FALSE)&amp;"]"))</f>
        <v/>
      </c>
      <c r="AB225" s="46" t="str">
        <f t="array" ref="AB225">IF('.'!AB225="","",'.'!AB225&amp;IF(VLOOKUP('.'!AB225,Recipes!$A:$D,4,FALSE)="",""," ["&amp;VLOOKUP('.'!AB225,Recipes!$A:$D,4,FALSE)&amp;"]"))</f>
        <v/>
      </c>
      <c r="AC225" s="46" t="str">
        <f t="array" ref="AC225">IF('.'!AC225="","",'.'!AC225&amp;IF(VLOOKUP('.'!AC225,Recipes!$A:$D,4,FALSE)="",""," ["&amp;VLOOKUP('.'!AC225,Recipes!$A:$D,4,FALSE)&amp;"]"))</f>
        <v/>
      </c>
      <c r="AD225" s="46" t="str">
        <f t="array" ref="AD225">IF('.'!AD225="","",'.'!AD225&amp;IF(VLOOKUP('.'!AD225,Recipes!$A:$D,4,FALSE)="",""," ["&amp;VLOOKUP('.'!AD225,Recipes!$A:$D,4,FALSE)&amp;"]"))</f>
        <v/>
      </c>
      <c r="AE225" s="47"/>
      <c r="AF225" s="47"/>
      <c r="AG225" s="47"/>
      <c r="AH225" s="47"/>
      <c r="AI225" s="47"/>
      <c r="AJ225" s="47"/>
      <c r="AK225" s="47"/>
      <c r="AL225" s="47"/>
      <c r="AM225" s="47"/>
      <c r="AN225" s="47"/>
      <c r="AO225" s="47"/>
      <c r="AP225" s="47"/>
      <c r="AQ225" s="47"/>
      <c r="AR225" s="47"/>
      <c r="AS225" s="47"/>
      <c r="AT225" s="47"/>
      <c r="AU225" s="47"/>
      <c r="AV225" s="47"/>
      <c r="AW225" s="47"/>
      <c r="AX225" s="47"/>
      <c r="AY225" s="47"/>
      <c r="AZ225" s="47"/>
      <c r="BA225" s="47"/>
      <c r="BB225" s="47"/>
      <c r="BC225" s="47"/>
      <c r="BD225" s="47"/>
      <c r="BE225" s="47"/>
      <c r="BF225" s="47"/>
      <c r="BG225" s="47"/>
      <c r="BH225" s="47"/>
      <c r="BI225" s="47"/>
      <c r="BJ225" s="47"/>
      <c r="BK225" s="47"/>
      <c r="BL225" s="47"/>
      <c r="BM225" s="47"/>
      <c r="BN225" s="47"/>
      <c r="BO225" s="47"/>
      <c r="BP225" s="47"/>
      <c r="BQ225" s="47"/>
      <c r="BR225" s="47"/>
      <c r="BS225" s="47"/>
      <c r="BT225" s="47"/>
      <c r="BU225" s="47"/>
      <c r="BV225" s="47"/>
      <c r="BW225" s="47"/>
      <c r="BX225" s="47"/>
      <c r="BY225" s="47"/>
      <c r="BZ225" s="47"/>
    </row>
    <row r="226" spans="1:78" ht="13">
      <c r="A226" s="48" t="str">
        <f ca="1">'.'!A226</f>
        <v>Helmet</v>
      </c>
      <c r="B226" s="46" t="str">
        <f t="array" aca="1" ref="B226" ca="1">IF('.'!B226="","",'.'!B226&amp;IF(VLOOKUP('.'!B226,Recipes!$A:$D,4,FALSE)="",""," ["&amp;VLOOKUP('.'!B226,Recipes!$A:$D,4,FALSE)&amp;"]"))</f>
        <v>Boost Helmet [-700]</v>
      </c>
      <c r="C226" s="46" t="str">
        <f t="array" ref="C226">IF('.'!C226="","",'.'!C226&amp;IF(VLOOKUP('.'!C226,Recipes!$A:$D,4,FALSE)="",""," ["&amp;VLOOKUP('.'!C226,Recipes!$A:$D,4,FALSE)&amp;"]"))</f>
        <v/>
      </c>
      <c r="D226" s="46" t="str">
        <f t="array" ref="D226">IF('.'!D226="","",'.'!D226&amp;IF(VLOOKUP('.'!D226,Recipes!$A:$D,4,FALSE)="",""," ["&amp;VLOOKUP('.'!D226,Recipes!$A:$D,4,FALSE)&amp;"]"))</f>
        <v/>
      </c>
      <c r="E226" s="46" t="str">
        <f t="array" ref="E226">IF('.'!E226="","",'.'!E226&amp;IF(VLOOKUP('.'!E226,Recipes!$A:$D,4,FALSE)="",""," ["&amp;VLOOKUP('.'!E226,Recipes!$A:$D,4,FALSE)&amp;"]"))</f>
        <v/>
      </c>
      <c r="F226" s="46" t="str">
        <f t="array" ref="F226">IF('.'!F226="","",'.'!F226&amp;IF(VLOOKUP('.'!F226,Recipes!$A:$D,4,FALSE)="",""," ["&amp;VLOOKUP('.'!F226,Recipes!$A:$D,4,FALSE)&amp;"]"))</f>
        <v/>
      </c>
      <c r="G226" s="46" t="str">
        <f t="array" ref="G226">IF('.'!G226="","",'.'!G226&amp;IF(VLOOKUP('.'!G226,Recipes!$A:$D,4,FALSE)="",""," ["&amp;VLOOKUP('.'!G226,Recipes!$A:$D,4,FALSE)&amp;"]"))</f>
        <v/>
      </c>
      <c r="H226" s="46" t="str">
        <f t="array" ref="H226">IF('.'!H226="","",'.'!H226&amp;IF(VLOOKUP('.'!H226,Recipes!$A:$D,4,FALSE)="",""," ["&amp;VLOOKUP('.'!H226,Recipes!$A:$D,4,FALSE)&amp;"]"))</f>
        <v/>
      </c>
      <c r="I226" s="46" t="str">
        <f t="array" ref="I226">IF('.'!I226="","",'.'!I226&amp;IF(VLOOKUP('.'!I226,Recipes!$A:$D,4,FALSE)="",""," ["&amp;VLOOKUP('.'!I226,Recipes!$A:$D,4,FALSE)&amp;"]"))</f>
        <v/>
      </c>
      <c r="J226" s="46" t="str">
        <f t="array" ref="J226">IF('.'!J226="","",'.'!J226&amp;IF(VLOOKUP('.'!J226,Recipes!$A:$D,4,FALSE)="",""," ["&amp;VLOOKUP('.'!J226,Recipes!$A:$D,4,FALSE)&amp;"]"))</f>
        <v/>
      </c>
      <c r="K226" s="46" t="str">
        <f t="array" ref="K226">IF('.'!K226="","",'.'!K226&amp;IF(VLOOKUP('.'!K226,Recipes!$A:$D,4,FALSE)="",""," ["&amp;VLOOKUP('.'!K226,Recipes!$A:$D,4,FALSE)&amp;"]"))</f>
        <v/>
      </c>
      <c r="L226" s="46" t="str">
        <f t="array" ref="L226">IF('.'!L226="","",'.'!L226&amp;IF(VLOOKUP('.'!L226,Recipes!$A:$D,4,FALSE)="",""," ["&amp;VLOOKUP('.'!L226,Recipes!$A:$D,4,FALSE)&amp;"]"))</f>
        <v/>
      </c>
      <c r="M226" s="46" t="str">
        <f t="array" ref="M226">IF('.'!M226="","",'.'!M226&amp;IF(VLOOKUP('.'!M226,Recipes!$A:$D,4,FALSE)="",""," ["&amp;VLOOKUP('.'!M226,Recipes!$A:$D,4,FALSE)&amp;"]"))</f>
        <v/>
      </c>
      <c r="N226" s="46" t="str">
        <f t="array" ref="N226">IF('.'!N226="","",'.'!N226&amp;IF(VLOOKUP('.'!N226,Recipes!$A:$D,4,FALSE)="",""," ["&amp;VLOOKUP('.'!N226,Recipes!$A:$D,4,FALSE)&amp;"]"))</f>
        <v/>
      </c>
      <c r="O226" s="46" t="str">
        <f t="array" ref="O226">IF('.'!O226="","",'.'!O226&amp;IF(VLOOKUP('.'!O226,Recipes!$A:$D,4,FALSE)="",""," ["&amp;VLOOKUP('.'!O226,Recipes!$A:$D,4,FALSE)&amp;"]"))</f>
        <v/>
      </c>
      <c r="P226" s="46" t="str">
        <f t="array" ref="P226">IF('.'!P226="","",'.'!P226&amp;IF(VLOOKUP('.'!P226,Recipes!$A:$D,4,FALSE)="",""," ["&amp;VLOOKUP('.'!P226,Recipes!$A:$D,4,FALSE)&amp;"]"))</f>
        <v/>
      </c>
      <c r="Q226" s="46" t="str">
        <f t="array" ref="Q226">IF('.'!Q226="","",'.'!Q226&amp;IF(VLOOKUP('.'!Q226,Recipes!$A:$D,4,FALSE)="",""," ["&amp;VLOOKUP('.'!Q226,Recipes!$A:$D,4,FALSE)&amp;"]"))</f>
        <v/>
      </c>
      <c r="R226" s="46" t="str">
        <f t="array" ref="R226">IF('.'!R226="","",'.'!R226&amp;IF(VLOOKUP('.'!R226,Recipes!$A:$D,4,FALSE)="",""," ["&amp;VLOOKUP('.'!R226,Recipes!$A:$D,4,FALSE)&amp;"]"))</f>
        <v/>
      </c>
      <c r="S226" s="46" t="str">
        <f t="array" ref="S226">IF('.'!S226="","",'.'!S226&amp;IF(VLOOKUP('.'!S226,Recipes!$A:$D,4,FALSE)="",""," ["&amp;VLOOKUP('.'!S226,Recipes!$A:$D,4,FALSE)&amp;"]"))</f>
        <v/>
      </c>
      <c r="T226" s="46" t="str">
        <f t="array" ref="T226">IF('.'!T226="","",'.'!T226&amp;IF(VLOOKUP('.'!T226,Recipes!$A:$D,4,FALSE)="",""," ["&amp;VLOOKUP('.'!T226,Recipes!$A:$D,4,FALSE)&amp;"]"))</f>
        <v/>
      </c>
      <c r="U226" s="46" t="str">
        <f t="array" ref="U226">IF('.'!U226="","",'.'!U226&amp;IF(VLOOKUP('.'!U226,Recipes!$A:$D,4,FALSE)="",""," ["&amp;VLOOKUP('.'!U226,Recipes!$A:$D,4,FALSE)&amp;"]"))</f>
        <v/>
      </c>
      <c r="V226" s="46" t="str">
        <f t="array" ref="V226">IF('.'!V226="","",'.'!V226&amp;IF(VLOOKUP('.'!V226,Recipes!$A:$D,4,FALSE)="",""," ["&amp;VLOOKUP('.'!V226,Recipes!$A:$D,4,FALSE)&amp;"]"))</f>
        <v/>
      </c>
      <c r="W226" s="46" t="str">
        <f t="array" ref="W226">IF('.'!W226="","",'.'!W226&amp;IF(VLOOKUP('.'!W226,Recipes!$A:$D,4,FALSE)="",""," ["&amp;VLOOKUP('.'!W226,Recipes!$A:$D,4,FALSE)&amp;"]"))</f>
        <v/>
      </c>
      <c r="X226" s="46" t="str">
        <f t="array" ref="X226">IF('.'!X226="","",'.'!X226&amp;IF(VLOOKUP('.'!X226,Recipes!$A:$D,4,FALSE)="",""," ["&amp;VLOOKUP('.'!X226,Recipes!$A:$D,4,FALSE)&amp;"]"))</f>
        <v/>
      </c>
      <c r="Y226" s="46" t="str">
        <f t="array" ref="Y226">IF('.'!Y226="","",'.'!Y226&amp;IF(VLOOKUP('.'!Y226,Recipes!$A:$D,4,FALSE)="",""," ["&amp;VLOOKUP('.'!Y226,Recipes!$A:$D,4,FALSE)&amp;"]"))</f>
        <v/>
      </c>
      <c r="Z226" s="46" t="str">
        <f t="array" ref="Z226">IF('.'!Z226="","",'.'!Z226&amp;IF(VLOOKUP('.'!Z226,Recipes!$A:$D,4,FALSE)="",""," ["&amp;VLOOKUP('.'!Z226,Recipes!$A:$D,4,FALSE)&amp;"]"))</f>
        <v/>
      </c>
      <c r="AA226" s="46" t="str">
        <f t="array" ref="AA226">IF('.'!AA226="","",'.'!AA226&amp;IF(VLOOKUP('.'!AA226,Recipes!$A:$D,4,FALSE)="",""," ["&amp;VLOOKUP('.'!AA226,Recipes!$A:$D,4,FALSE)&amp;"]"))</f>
        <v/>
      </c>
      <c r="AB226" s="46" t="str">
        <f t="array" ref="AB226">IF('.'!AB226="","",'.'!AB226&amp;IF(VLOOKUP('.'!AB226,Recipes!$A:$D,4,FALSE)="",""," ["&amp;VLOOKUP('.'!AB226,Recipes!$A:$D,4,FALSE)&amp;"]"))</f>
        <v/>
      </c>
      <c r="AC226" s="46" t="str">
        <f t="array" ref="AC226">IF('.'!AC226="","",'.'!AC226&amp;IF(VLOOKUP('.'!AC226,Recipes!$A:$D,4,FALSE)="",""," ["&amp;VLOOKUP('.'!AC226,Recipes!$A:$D,4,FALSE)&amp;"]"))</f>
        <v/>
      </c>
      <c r="AD226" s="46" t="str">
        <f t="array" ref="AD226">IF('.'!AD226="","",'.'!AD226&amp;IF(VLOOKUP('.'!AD226,Recipes!$A:$D,4,FALSE)="",""," ["&amp;VLOOKUP('.'!AD226,Recipes!$A:$D,4,FALSE)&amp;"]"))</f>
        <v/>
      </c>
      <c r="AE226" s="47"/>
      <c r="AF226" s="47"/>
      <c r="AG226" s="47"/>
      <c r="AH226" s="47"/>
      <c r="AI226" s="47"/>
      <c r="AJ226" s="47"/>
      <c r="AK226" s="47"/>
      <c r="AL226" s="47"/>
      <c r="AM226" s="47"/>
      <c r="AN226" s="47"/>
      <c r="AO226" s="47"/>
      <c r="AP226" s="47"/>
      <c r="AQ226" s="47"/>
      <c r="AR226" s="47"/>
      <c r="AS226" s="47"/>
      <c r="AT226" s="47"/>
      <c r="AU226" s="47"/>
      <c r="AV226" s="47"/>
      <c r="AW226" s="47"/>
      <c r="AX226" s="47"/>
      <c r="AY226" s="47"/>
      <c r="AZ226" s="47"/>
      <c r="BA226" s="47"/>
      <c r="BB226" s="47"/>
      <c r="BC226" s="47"/>
      <c r="BD226" s="47"/>
      <c r="BE226" s="47"/>
      <c r="BF226" s="47"/>
      <c r="BG226" s="47"/>
      <c r="BH226" s="47"/>
      <c r="BI226" s="47"/>
      <c r="BJ226" s="47"/>
      <c r="BK226" s="47"/>
      <c r="BL226" s="47"/>
      <c r="BM226" s="47"/>
      <c r="BN226" s="47"/>
      <c r="BO226" s="47"/>
      <c r="BP226" s="47"/>
      <c r="BQ226" s="47"/>
      <c r="BR226" s="47"/>
      <c r="BS226" s="47"/>
      <c r="BT226" s="47"/>
      <c r="BU226" s="47"/>
      <c r="BV226" s="47"/>
      <c r="BW226" s="47"/>
      <c r="BX226" s="47"/>
      <c r="BY226" s="47"/>
      <c r="BZ226" s="47"/>
    </row>
    <row r="227" spans="1:78" ht="13">
      <c r="A227" s="48" t="str">
        <f ca="1">'.'!A227</f>
        <v>Herring</v>
      </c>
      <c r="B227" s="46" t="str">
        <f t="array" aca="1" ref="B227" ca="1">IF('.'!B227="","",'.'!B227&amp;IF(VLOOKUP('.'!B227,Recipes!$A:$D,4,FALSE)="",""," ["&amp;VLOOKUP('.'!B227,Recipes!$A:$D,4,FALSE)&amp;"]"))</f>
        <v>Rain Scroll [-6]</v>
      </c>
      <c r="C227" s="46" t="str">
        <f t="array" ref="C227">IF('.'!C227="","",'.'!C227&amp;IF(VLOOKUP('.'!C227,Recipes!$A:$D,4,FALSE)="",""," ["&amp;VLOOKUP('.'!C227,Recipes!$A:$D,4,FALSE)&amp;"]"))</f>
        <v/>
      </c>
      <c r="D227" s="46" t="str">
        <f t="array" ref="D227">IF('.'!D227="","",'.'!D227&amp;IF(VLOOKUP('.'!D227,Recipes!$A:$D,4,FALSE)="",""," ["&amp;VLOOKUP('.'!D227,Recipes!$A:$D,4,FALSE)&amp;"]"))</f>
        <v/>
      </c>
      <c r="E227" s="46" t="str">
        <f t="array" ref="E227">IF('.'!E227="","",'.'!E227&amp;IF(VLOOKUP('.'!E227,Recipes!$A:$D,4,FALSE)="",""," ["&amp;VLOOKUP('.'!E227,Recipes!$A:$D,4,FALSE)&amp;"]"))</f>
        <v/>
      </c>
      <c r="F227" s="46" t="str">
        <f t="array" ref="F227">IF('.'!F227="","",'.'!F227&amp;IF(VLOOKUP('.'!F227,Recipes!$A:$D,4,FALSE)="",""," ["&amp;VLOOKUP('.'!F227,Recipes!$A:$D,4,FALSE)&amp;"]"))</f>
        <v/>
      </c>
      <c r="G227" s="46" t="str">
        <f t="array" ref="G227">IF('.'!G227="","",'.'!G227&amp;IF(VLOOKUP('.'!G227,Recipes!$A:$D,4,FALSE)="",""," ["&amp;VLOOKUP('.'!G227,Recipes!$A:$D,4,FALSE)&amp;"]"))</f>
        <v/>
      </c>
      <c r="H227" s="46" t="str">
        <f t="array" ref="H227">IF('.'!H227="","",'.'!H227&amp;IF(VLOOKUP('.'!H227,Recipes!$A:$D,4,FALSE)="",""," ["&amp;VLOOKUP('.'!H227,Recipes!$A:$D,4,FALSE)&amp;"]"))</f>
        <v/>
      </c>
      <c r="I227" s="46" t="str">
        <f t="array" ref="I227">IF('.'!I227="","",'.'!I227&amp;IF(VLOOKUP('.'!I227,Recipes!$A:$D,4,FALSE)="",""," ["&amp;VLOOKUP('.'!I227,Recipes!$A:$D,4,FALSE)&amp;"]"))</f>
        <v/>
      </c>
      <c r="J227" s="46" t="str">
        <f t="array" ref="J227">IF('.'!J227="","",'.'!J227&amp;IF(VLOOKUP('.'!J227,Recipes!$A:$D,4,FALSE)="",""," ["&amp;VLOOKUP('.'!J227,Recipes!$A:$D,4,FALSE)&amp;"]"))</f>
        <v/>
      </c>
      <c r="K227" s="46" t="str">
        <f t="array" ref="K227">IF('.'!K227="","",'.'!K227&amp;IF(VLOOKUP('.'!K227,Recipes!$A:$D,4,FALSE)="",""," ["&amp;VLOOKUP('.'!K227,Recipes!$A:$D,4,FALSE)&amp;"]"))</f>
        <v/>
      </c>
      <c r="L227" s="46" t="str">
        <f t="array" ref="L227">IF('.'!L227="","",'.'!L227&amp;IF(VLOOKUP('.'!L227,Recipes!$A:$D,4,FALSE)="",""," ["&amp;VLOOKUP('.'!L227,Recipes!$A:$D,4,FALSE)&amp;"]"))</f>
        <v/>
      </c>
      <c r="M227" s="46" t="str">
        <f t="array" ref="M227">IF('.'!M227="","",'.'!M227&amp;IF(VLOOKUP('.'!M227,Recipes!$A:$D,4,FALSE)="",""," ["&amp;VLOOKUP('.'!M227,Recipes!$A:$D,4,FALSE)&amp;"]"))</f>
        <v/>
      </c>
      <c r="N227" s="46" t="str">
        <f t="array" ref="N227">IF('.'!N227="","",'.'!N227&amp;IF(VLOOKUP('.'!N227,Recipes!$A:$D,4,FALSE)="",""," ["&amp;VLOOKUP('.'!N227,Recipes!$A:$D,4,FALSE)&amp;"]"))</f>
        <v/>
      </c>
      <c r="O227" s="46" t="str">
        <f t="array" ref="O227">IF('.'!O227="","",'.'!O227&amp;IF(VLOOKUP('.'!O227,Recipes!$A:$D,4,FALSE)="",""," ["&amp;VLOOKUP('.'!O227,Recipes!$A:$D,4,FALSE)&amp;"]"))</f>
        <v/>
      </c>
      <c r="P227" s="46" t="str">
        <f t="array" ref="P227">IF('.'!P227="","",'.'!P227&amp;IF(VLOOKUP('.'!P227,Recipes!$A:$D,4,FALSE)="",""," ["&amp;VLOOKUP('.'!P227,Recipes!$A:$D,4,FALSE)&amp;"]"))</f>
        <v/>
      </c>
      <c r="Q227" s="46" t="str">
        <f t="array" ref="Q227">IF('.'!Q227="","",'.'!Q227&amp;IF(VLOOKUP('.'!Q227,Recipes!$A:$D,4,FALSE)="",""," ["&amp;VLOOKUP('.'!Q227,Recipes!$A:$D,4,FALSE)&amp;"]"))</f>
        <v/>
      </c>
      <c r="R227" s="46" t="str">
        <f t="array" ref="R227">IF('.'!R227="","",'.'!R227&amp;IF(VLOOKUP('.'!R227,Recipes!$A:$D,4,FALSE)="",""," ["&amp;VLOOKUP('.'!R227,Recipes!$A:$D,4,FALSE)&amp;"]"))</f>
        <v/>
      </c>
      <c r="S227" s="46" t="str">
        <f t="array" ref="S227">IF('.'!S227="","",'.'!S227&amp;IF(VLOOKUP('.'!S227,Recipes!$A:$D,4,FALSE)="",""," ["&amp;VLOOKUP('.'!S227,Recipes!$A:$D,4,FALSE)&amp;"]"))</f>
        <v/>
      </c>
      <c r="T227" s="46" t="str">
        <f t="array" ref="T227">IF('.'!T227="","",'.'!T227&amp;IF(VLOOKUP('.'!T227,Recipes!$A:$D,4,FALSE)="",""," ["&amp;VLOOKUP('.'!T227,Recipes!$A:$D,4,FALSE)&amp;"]"))</f>
        <v/>
      </c>
      <c r="U227" s="46" t="str">
        <f t="array" ref="U227">IF('.'!U227="","",'.'!U227&amp;IF(VLOOKUP('.'!U227,Recipes!$A:$D,4,FALSE)="",""," ["&amp;VLOOKUP('.'!U227,Recipes!$A:$D,4,FALSE)&amp;"]"))</f>
        <v/>
      </c>
      <c r="V227" s="46" t="str">
        <f t="array" ref="V227">IF('.'!V227="","",'.'!V227&amp;IF(VLOOKUP('.'!V227,Recipes!$A:$D,4,FALSE)="",""," ["&amp;VLOOKUP('.'!V227,Recipes!$A:$D,4,FALSE)&amp;"]"))</f>
        <v/>
      </c>
      <c r="W227" s="46" t="str">
        <f t="array" ref="W227">IF('.'!W227="","",'.'!W227&amp;IF(VLOOKUP('.'!W227,Recipes!$A:$D,4,FALSE)="",""," ["&amp;VLOOKUP('.'!W227,Recipes!$A:$D,4,FALSE)&amp;"]"))</f>
        <v/>
      </c>
      <c r="X227" s="46" t="str">
        <f t="array" ref="X227">IF('.'!X227="","",'.'!X227&amp;IF(VLOOKUP('.'!X227,Recipes!$A:$D,4,FALSE)="",""," ["&amp;VLOOKUP('.'!X227,Recipes!$A:$D,4,FALSE)&amp;"]"))</f>
        <v/>
      </c>
      <c r="Y227" s="46" t="str">
        <f t="array" ref="Y227">IF('.'!Y227="","",'.'!Y227&amp;IF(VLOOKUP('.'!Y227,Recipes!$A:$D,4,FALSE)="",""," ["&amp;VLOOKUP('.'!Y227,Recipes!$A:$D,4,FALSE)&amp;"]"))</f>
        <v/>
      </c>
      <c r="Z227" s="46" t="str">
        <f t="array" ref="Z227">IF('.'!Z227="","",'.'!Z227&amp;IF(VLOOKUP('.'!Z227,Recipes!$A:$D,4,FALSE)="",""," ["&amp;VLOOKUP('.'!Z227,Recipes!$A:$D,4,FALSE)&amp;"]"))</f>
        <v/>
      </c>
      <c r="AA227" s="46" t="str">
        <f t="array" ref="AA227">IF('.'!AA227="","",'.'!AA227&amp;IF(VLOOKUP('.'!AA227,Recipes!$A:$D,4,FALSE)="",""," ["&amp;VLOOKUP('.'!AA227,Recipes!$A:$D,4,FALSE)&amp;"]"))</f>
        <v/>
      </c>
      <c r="AB227" s="46" t="str">
        <f t="array" ref="AB227">IF('.'!AB227="","",'.'!AB227&amp;IF(VLOOKUP('.'!AB227,Recipes!$A:$D,4,FALSE)="",""," ["&amp;VLOOKUP('.'!AB227,Recipes!$A:$D,4,FALSE)&amp;"]"))</f>
        <v/>
      </c>
      <c r="AC227" s="46" t="str">
        <f t="array" ref="AC227">IF('.'!AC227="","",'.'!AC227&amp;IF(VLOOKUP('.'!AC227,Recipes!$A:$D,4,FALSE)="",""," ["&amp;VLOOKUP('.'!AC227,Recipes!$A:$D,4,FALSE)&amp;"]"))</f>
        <v/>
      </c>
      <c r="AD227" s="46" t="str">
        <f t="array" ref="AD227">IF('.'!AD227="","",'.'!AD227&amp;IF(VLOOKUP('.'!AD227,Recipes!$A:$D,4,FALSE)="",""," ["&amp;VLOOKUP('.'!AD227,Recipes!$A:$D,4,FALSE)&amp;"]"))</f>
        <v/>
      </c>
      <c r="AE227" s="47"/>
      <c r="AF227" s="47"/>
      <c r="AG227" s="47"/>
      <c r="AH227" s="47"/>
      <c r="AI227" s="47"/>
      <c r="AJ227" s="47"/>
      <c r="AK227" s="47"/>
      <c r="AL227" s="47"/>
      <c r="AM227" s="47"/>
      <c r="AN227" s="47"/>
      <c r="AO227" s="47"/>
      <c r="AP227" s="47"/>
      <c r="AQ227" s="47"/>
      <c r="AR227" s="47"/>
      <c r="AS227" s="47"/>
      <c r="AT227" s="47"/>
      <c r="AU227" s="47"/>
      <c r="AV227" s="47"/>
      <c r="AW227" s="47"/>
      <c r="AX227" s="47"/>
      <c r="AY227" s="47"/>
      <c r="AZ227" s="47"/>
      <c r="BA227" s="47"/>
      <c r="BB227" s="47"/>
      <c r="BC227" s="47"/>
      <c r="BD227" s="47"/>
      <c r="BE227" s="47"/>
      <c r="BF227" s="47"/>
      <c r="BG227" s="47"/>
      <c r="BH227" s="47"/>
      <c r="BI227" s="47"/>
      <c r="BJ227" s="47"/>
      <c r="BK227" s="47"/>
      <c r="BL227" s="47"/>
      <c r="BM227" s="47"/>
      <c r="BN227" s="47"/>
      <c r="BO227" s="47"/>
      <c r="BP227" s="47"/>
      <c r="BQ227" s="47"/>
      <c r="BR227" s="47"/>
      <c r="BS227" s="47"/>
      <c r="BT227" s="47"/>
      <c r="BU227" s="47"/>
      <c r="BV227" s="47"/>
      <c r="BW227" s="47"/>
      <c r="BX227" s="47"/>
      <c r="BY227" s="47"/>
      <c r="BZ227" s="47"/>
    </row>
    <row r="228" spans="1:78" ht="13">
      <c r="A228" s="48" t="str">
        <f ca="1">'.'!A228</f>
        <v>High Quality Air Essence</v>
      </c>
      <c r="B228" s="46" t="str">
        <f t="array" aca="1" ref="B228" ca="1">IF('.'!B228="","",'.'!B228&amp;IF(VLOOKUP('.'!B228,Recipes!$A:$D,4,FALSE)="",""," ["&amp;VLOOKUP('.'!B228,Recipes!$A:$D,4,FALSE)&amp;"]"))</f>
        <v>Apportation Scroll [-121]</v>
      </c>
      <c r="C228" s="46" t="str">
        <f t="array" aca="1" ref="C228" ca="1">IF('.'!C228="","",'.'!C228&amp;IF(VLOOKUP('.'!C228,Recipes!$A:$D,4,FALSE)="",""," ["&amp;VLOOKUP('.'!C228,Recipes!$A:$D,4,FALSE)&amp;"]"))</f>
        <v>Netherswap Scroll [-80]</v>
      </c>
      <c r="D228" s="46" t="str">
        <f t="array" aca="1" ref="D228" ca="1">IF('.'!D228="","",'.'!D228&amp;IF(VLOOKUP('.'!D228,Recipes!$A:$D,4,FALSE)="",""," ["&amp;VLOOKUP('.'!D228,Recipes!$A:$D,4,FALSE)&amp;"]"))</f>
        <v>Pressure Spike Scroll [139]</v>
      </c>
      <c r="E228" s="46" t="str">
        <f t="array" aca="1" ref="E228" ca="1">IF('.'!E228="","",'.'!E228&amp;IF(VLOOKUP('.'!E228,Recipes!$A:$D,4,FALSE)="",""," ["&amp;VLOOKUP('.'!E228,Recipes!$A:$D,4,FALSE)&amp;"]"))</f>
        <v>Tornado Scroll [-175]</v>
      </c>
      <c r="F228" s="46" t="str">
        <f t="array" ref="F228">IF('.'!F228="","",'.'!F228&amp;IF(VLOOKUP('.'!F228,Recipes!$A:$D,4,FALSE)="",""," ["&amp;VLOOKUP('.'!F228,Recipes!$A:$D,4,FALSE)&amp;"]"))</f>
        <v/>
      </c>
      <c r="G228" s="46" t="str">
        <f t="array" ref="G228">IF('.'!G228="","",'.'!G228&amp;IF(VLOOKUP('.'!G228,Recipes!$A:$D,4,FALSE)="",""," ["&amp;VLOOKUP('.'!G228,Recipes!$A:$D,4,FALSE)&amp;"]"))</f>
        <v/>
      </c>
      <c r="H228" s="46" t="str">
        <f t="array" ref="H228">IF('.'!H228="","",'.'!H228&amp;IF(VLOOKUP('.'!H228,Recipes!$A:$D,4,FALSE)="",""," ["&amp;VLOOKUP('.'!H228,Recipes!$A:$D,4,FALSE)&amp;"]"))</f>
        <v/>
      </c>
      <c r="I228" s="46" t="str">
        <f t="array" ref="I228">IF('.'!I228="","",'.'!I228&amp;IF(VLOOKUP('.'!I228,Recipes!$A:$D,4,FALSE)="",""," ["&amp;VLOOKUP('.'!I228,Recipes!$A:$D,4,FALSE)&amp;"]"))</f>
        <v/>
      </c>
      <c r="J228" s="46" t="str">
        <f t="array" ref="J228">IF('.'!J228="","",'.'!J228&amp;IF(VLOOKUP('.'!J228,Recipes!$A:$D,4,FALSE)="",""," ["&amp;VLOOKUP('.'!J228,Recipes!$A:$D,4,FALSE)&amp;"]"))</f>
        <v/>
      </c>
      <c r="K228" s="46" t="str">
        <f t="array" ref="K228">IF('.'!K228="","",'.'!K228&amp;IF(VLOOKUP('.'!K228,Recipes!$A:$D,4,FALSE)="",""," ["&amp;VLOOKUP('.'!K228,Recipes!$A:$D,4,FALSE)&amp;"]"))</f>
        <v/>
      </c>
      <c r="L228" s="46" t="str">
        <f t="array" ref="L228">IF('.'!L228="","",'.'!L228&amp;IF(VLOOKUP('.'!L228,Recipes!$A:$D,4,FALSE)="",""," ["&amp;VLOOKUP('.'!L228,Recipes!$A:$D,4,FALSE)&amp;"]"))</f>
        <v/>
      </c>
      <c r="M228" s="46" t="str">
        <f t="array" ref="M228">IF('.'!M228="","",'.'!M228&amp;IF(VLOOKUP('.'!M228,Recipes!$A:$D,4,FALSE)="",""," ["&amp;VLOOKUP('.'!M228,Recipes!$A:$D,4,FALSE)&amp;"]"))</f>
        <v/>
      </c>
      <c r="N228" s="46" t="str">
        <f t="array" ref="N228">IF('.'!N228="","",'.'!N228&amp;IF(VLOOKUP('.'!N228,Recipes!$A:$D,4,FALSE)="",""," ["&amp;VLOOKUP('.'!N228,Recipes!$A:$D,4,FALSE)&amp;"]"))</f>
        <v/>
      </c>
      <c r="O228" s="46" t="str">
        <f t="array" ref="O228">IF('.'!O228="","",'.'!O228&amp;IF(VLOOKUP('.'!O228,Recipes!$A:$D,4,FALSE)="",""," ["&amp;VLOOKUP('.'!O228,Recipes!$A:$D,4,FALSE)&amp;"]"))</f>
        <v/>
      </c>
      <c r="P228" s="46" t="str">
        <f t="array" ref="P228">IF('.'!P228="","",'.'!P228&amp;IF(VLOOKUP('.'!P228,Recipes!$A:$D,4,FALSE)="",""," ["&amp;VLOOKUP('.'!P228,Recipes!$A:$D,4,FALSE)&amp;"]"))</f>
        <v/>
      </c>
      <c r="Q228" s="46" t="str">
        <f t="array" ref="Q228">IF('.'!Q228="","",'.'!Q228&amp;IF(VLOOKUP('.'!Q228,Recipes!$A:$D,4,FALSE)="",""," ["&amp;VLOOKUP('.'!Q228,Recipes!$A:$D,4,FALSE)&amp;"]"))</f>
        <v/>
      </c>
      <c r="R228" s="46" t="str">
        <f t="array" ref="R228">IF('.'!R228="","",'.'!R228&amp;IF(VLOOKUP('.'!R228,Recipes!$A:$D,4,FALSE)="",""," ["&amp;VLOOKUP('.'!R228,Recipes!$A:$D,4,FALSE)&amp;"]"))</f>
        <v/>
      </c>
      <c r="S228" s="46" t="str">
        <f t="array" ref="S228">IF('.'!S228="","",'.'!S228&amp;IF(VLOOKUP('.'!S228,Recipes!$A:$D,4,FALSE)="",""," ["&amp;VLOOKUP('.'!S228,Recipes!$A:$D,4,FALSE)&amp;"]"))</f>
        <v/>
      </c>
      <c r="T228" s="46" t="str">
        <f t="array" ref="T228">IF('.'!T228="","",'.'!T228&amp;IF(VLOOKUP('.'!T228,Recipes!$A:$D,4,FALSE)="",""," ["&amp;VLOOKUP('.'!T228,Recipes!$A:$D,4,FALSE)&amp;"]"))</f>
        <v/>
      </c>
      <c r="U228" s="46" t="str">
        <f t="array" ref="U228">IF('.'!U228="","",'.'!U228&amp;IF(VLOOKUP('.'!U228,Recipes!$A:$D,4,FALSE)="",""," ["&amp;VLOOKUP('.'!U228,Recipes!$A:$D,4,FALSE)&amp;"]"))</f>
        <v/>
      </c>
      <c r="V228" s="46" t="str">
        <f t="array" ref="V228">IF('.'!V228="","",'.'!V228&amp;IF(VLOOKUP('.'!V228,Recipes!$A:$D,4,FALSE)="",""," ["&amp;VLOOKUP('.'!V228,Recipes!$A:$D,4,FALSE)&amp;"]"))</f>
        <v/>
      </c>
      <c r="W228" s="46" t="str">
        <f t="array" ref="W228">IF('.'!W228="","",'.'!W228&amp;IF(VLOOKUP('.'!W228,Recipes!$A:$D,4,FALSE)="",""," ["&amp;VLOOKUP('.'!W228,Recipes!$A:$D,4,FALSE)&amp;"]"))</f>
        <v/>
      </c>
      <c r="X228" s="46" t="str">
        <f t="array" ref="X228">IF('.'!X228="","",'.'!X228&amp;IF(VLOOKUP('.'!X228,Recipes!$A:$D,4,FALSE)="",""," ["&amp;VLOOKUP('.'!X228,Recipes!$A:$D,4,FALSE)&amp;"]"))</f>
        <v/>
      </c>
      <c r="Y228" s="46" t="str">
        <f t="array" ref="Y228">IF('.'!Y228="","",'.'!Y228&amp;IF(VLOOKUP('.'!Y228,Recipes!$A:$D,4,FALSE)="",""," ["&amp;VLOOKUP('.'!Y228,Recipes!$A:$D,4,FALSE)&amp;"]"))</f>
        <v/>
      </c>
      <c r="Z228" s="46" t="str">
        <f t="array" ref="Z228">IF('.'!Z228="","",'.'!Z228&amp;IF(VLOOKUP('.'!Z228,Recipes!$A:$D,4,FALSE)="",""," ["&amp;VLOOKUP('.'!Z228,Recipes!$A:$D,4,FALSE)&amp;"]"))</f>
        <v/>
      </c>
      <c r="AA228" s="46" t="str">
        <f t="array" ref="AA228">IF('.'!AA228="","",'.'!AA228&amp;IF(VLOOKUP('.'!AA228,Recipes!$A:$D,4,FALSE)="",""," ["&amp;VLOOKUP('.'!AA228,Recipes!$A:$D,4,FALSE)&amp;"]"))</f>
        <v/>
      </c>
      <c r="AB228" s="46" t="str">
        <f t="array" ref="AB228">IF('.'!AB228="","",'.'!AB228&amp;IF(VLOOKUP('.'!AB228,Recipes!$A:$D,4,FALSE)="",""," ["&amp;VLOOKUP('.'!AB228,Recipes!$A:$D,4,FALSE)&amp;"]"))</f>
        <v/>
      </c>
      <c r="AC228" s="46" t="str">
        <f t="array" ref="AC228">IF('.'!AC228="","",'.'!AC228&amp;IF(VLOOKUP('.'!AC228,Recipes!$A:$D,4,FALSE)="",""," ["&amp;VLOOKUP('.'!AC228,Recipes!$A:$D,4,FALSE)&amp;"]"))</f>
        <v/>
      </c>
      <c r="AD228" s="46" t="str">
        <f t="array" ref="AD228">IF('.'!AD228="","",'.'!AD228&amp;IF(VLOOKUP('.'!AD228,Recipes!$A:$D,4,FALSE)="",""," ["&amp;VLOOKUP('.'!AD228,Recipes!$A:$D,4,FALSE)&amp;"]"))</f>
        <v/>
      </c>
      <c r="AE228" s="47"/>
      <c r="AF228" s="47"/>
      <c r="AG228" s="47"/>
      <c r="AH228" s="47"/>
      <c r="AI228" s="47"/>
      <c r="AJ228" s="47"/>
      <c r="AK228" s="47"/>
      <c r="AL228" s="47"/>
      <c r="AM228" s="47"/>
      <c r="AN228" s="47"/>
      <c r="AO228" s="47"/>
      <c r="AP228" s="47"/>
      <c r="AQ228" s="47"/>
      <c r="AR228" s="47"/>
      <c r="AS228" s="47"/>
      <c r="AT228" s="47"/>
      <c r="AU228" s="47"/>
      <c r="AV228" s="47"/>
      <c r="AW228" s="47"/>
      <c r="AX228" s="47"/>
      <c r="AY228" s="47"/>
      <c r="AZ228" s="47"/>
      <c r="BA228" s="47"/>
      <c r="BB228" s="47"/>
      <c r="BC228" s="47"/>
      <c r="BD228" s="47"/>
      <c r="BE228" s="47"/>
      <c r="BF228" s="47"/>
      <c r="BG228" s="47"/>
      <c r="BH228" s="47"/>
      <c r="BI228" s="47"/>
      <c r="BJ228" s="47"/>
      <c r="BK228" s="47"/>
      <c r="BL228" s="47"/>
      <c r="BM228" s="47"/>
      <c r="BN228" s="47"/>
      <c r="BO228" s="47"/>
      <c r="BP228" s="47"/>
      <c r="BQ228" s="47"/>
      <c r="BR228" s="47"/>
      <c r="BS228" s="47"/>
      <c r="BT228" s="47"/>
      <c r="BU228" s="47"/>
      <c r="BV228" s="47"/>
      <c r="BW228" s="47"/>
      <c r="BX228" s="47"/>
      <c r="BY228" s="47"/>
      <c r="BZ228" s="47"/>
    </row>
    <row r="229" spans="1:78" ht="13">
      <c r="A229" s="48" t="str">
        <f ca="1">'.'!A229</f>
        <v>High Quality Augmentor</v>
      </c>
      <c r="B229" s="46" t="str">
        <f t="array" aca="1" ref="B229" ca="1">IF('.'!B229="","",'.'!B229&amp;IF(VLOOKUP('.'!B229,Recipes!$A:$D,4,FALSE)="",""," ["&amp;VLOOKUP('.'!B229,Recipes!$A:$D,4,FALSE)&amp;"]"))</f>
        <v>Large Air Resistance Potion [55]</v>
      </c>
      <c r="C229" s="46" t="str">
        <f t="array" aca="1" ref="C229" ca="1">IF('.'!C229="","",'.'!C229&amp;IF(VLOOKUP('.'!C229,Recipes!$A:$D,4,FALSE)="",""," ["&amp;VLOOKUP('.'!C229,Recipes!$A:$D,4,FALSE)&amp;"]"))</f>
        <v>Large Earth Resistance Potion [55]</v>
      </c>
      <c r="D229" s="46" t="str">
        <f t="array" aca="1" ref="D229" ca="1">IF('.'!D229="","",'.'!D229&amp;IF(VLOOKUP('.'!D229,Recipes!$A:$D,4,FALSE)="",""," ["&amp;VLOOKUP('.'!D229,Recipes!$A:$D,4,FALSE)&amp;"]"))</f>
        <v>Large Fire Resistance Potion [55]</v>
      </c>
      <c r="E229" s="46" t="str">
        <f t="array" aca="1" ref="E229" ca="1">IF('.'!E229="","",'.'!E229&amp;IF(VLOOKUP('.'!E229,Recipes!$A:$D,4,FALSE)="",""," ["&amp;VLOOKUP('.'!E229,Recipes!$A:$D,4,FALSE)&amp;"]"))</f>
        <v>Large Magic Armor Potion [-15]</v>
      </c>
      <c r="F229" s="46" t="str">
        <f t="array" aca="1" ref="F229" ca="1">IF('.'!F229="","",'.'!F229&amp;IF(VLOOKUP('.'!F229,Recipes!$A:$D,4,FALSE)="",""," ["&amp;VLOOKUP('.'!F229,Recipes!$A:$D,4,FALSE)&amp;"]"))</f>
        <v>Large Physical Armor Potion [-15]</v>
      </c>
      <c r="G229" s="46" t="str">
        <f t="array" aca="1" ref="G229" ca="1">IF('.'!G229="","",'.'!G229&amp;IF(VLOOKUP('.'!G229,Recipes!$A:$D,4,FALSE)="",""," ["&amp;VLOOKUP('.'!G229,Recipes!$A:$D,4,FALSE)&amp;"]"))</f>
        <v>Large Water Resistance Potion [55]</v>
      </c>
      <c r="H229" s="46" t="str">
        <f t="array" aca="1" ref="H229" ca="1">IF('.'!H229="","",'.'!H229&amp;IF(VLOOKUP('.'!H229,Recipes!$A:$D,4,FALSE)="",""," ["&amp;VLOOKUP('.'!H229,Recipes!$A:$D,4,FALSE)&amp;"]"))</f>
        <v>Medium Air Resistance Potion [-35]</v>
      </c>
      <c r="I229" s="46" t="str">
        <f t="array" aca="1" ref="I229" ca="1">IF('.'!I229="","",'.'!I229&amp;IF(VLOOKUP('.'!I229,Recipes!$A:$D,4,FALSE)="",""," ["&amp;VLOOKUP('.'!I229,Recipes!$A:$D,4,FALSE)&amp;"]"))</f>
        <v>Medium Earth Resistance Potion [-35]</v>
      </c>
      <c r="J229" s="46" t="str">
        <f t="array" aca="1" ref="J229" ca="1">IF('.'!J229="","",'.'!J229&amp;IF(VLOOKUP('.'!J229,Recipes!$A:$D,4,FALSE)="",""," ["&amp;VLOOKUP('.'!J229,Recipes!$A:$D,4,FALSE)&amp;"]"))</f>
        <v>Medium Fire Resistance Potion [-35]</v>
      </c>
      <c r="K229" s="46" t="str">
        <f t="array" aca="1" ref="K229" ca="1">IF('.'!K229="","",'.'!K229&amp;IF(VLOOKUP('.'!K229,Recipes!$A:$D,4,FALSE)="",""," ["&amp;VLOOKUP('.'!K229,Recipes!$A:$D,4,FALSE)&amp;"]"))</f>
        <v>Medium Magic Armor Potion [-10]</v>
      </c>
      <c r="L229" s="46" t="str">
        <f t="array" aca="1" ref="L229" ca="1">IF('.'!L229="","",'.'!L229&amp;IF(VLOOKUP('.'!L229,Recipes!$A:$D,4,FALSE)="",""," ["&amp;VLOOKUP('.'!L229,Recipes!$A:$D,4,FALSE)&amp;"]"))</f>
        <v>Medium Physical Armor Potion [-10]</v>
      </c>
      <c r="M229" s="46" t="str">
        <f t="array" aca="1" ref="M229" ca="1">IF('.'!M229="","",'.'!M229&amp;IF(VLOOKUP('.'!M229,Recipes!$A:$D,4,FALSE)="",""," ["&amp;VLOOKUP('.'!M229,Recipes!$A:$D,4,FALSE)&amp;"]"))</f>
        <v>Medium Resist All Potion [-25]</v>
      </c>
      <c r="N229" s="46" t="str">
        <f t="array" aca="1" ref="N229" ca="1">IF('.'!N229="","",'.'!N229&amp;IF(VLOOKUP('.'!N229,Recipes!$A:$D,4,FALSE)="",""," ["&amp;VLOOKUP('.'!N229,Recipes!$A:$D,4,FALSE)&amp;"]"))</f>
        <v>Medium Water Resistance Potion [-35]</v>
      </c>
      <c r="O229" s="46" t="str">
        <f t="array" aca="1" ref="O229" ca="1">IF('.'!O229="","",'.'!O229&amp;IF(VLOOKUP('.'!O229,Recipes!$A:$D,4,FALSE)="",""," ["&amp;VLOOKUP('.'!O229,Recipes!$A:$D,4,FALSE)&amp;"]"))</f>
        <v>Healing Potion [Large] [0]</v>
      </c>
      <c r="P229" s="46" t="str">
        <f t="array" aca="1" ref="P229" ca="1">IF('.'!P229="","",'.'!P229&amp;IF(VLOOKUP('.'!P229,Recipes!$A:$D,4,FALSE)="",""," ["&amp;VLOOKUP('.'!P229,Recipes!$A:$D,4,FALSE)&amp;"]"))</f>
        <v>Huge Healing Potion [-35]</v>
      </c>
      <c r="Q229" s="46" t="str">
        <f t="array" aca="1" ref="Q229" ca="1">IF('.'!Q229="","",'.'!Q229&amp;IF(VLOOKUP('.'!Q229,Recipes!$A:$D,4,FALSE)="",""," ["&amp;VLOOKUP('.'!Q229,Recipes!$A:$D,4,FALSE)&amp;"]"))</f>
        <v>Medium Healing Potion [-40]</v>
      </c>
      <c r="R229" s="46" t="str">
        <f t="array" aca="1" ref="R229" ca="1">IF('.'!R229="","",'.'!R229&amp;IF(VLOOKUP('.'!R229,Recipes!$A:$D,4,FALSE)="",""," ["&amp;VLOOKUP('.'!R229,Recipes!$A:$D,4,FALSE)&amp;"]"))</f>
        <v>Huge Poison Vial [-35]</v>
      </c>
      <c r="S229" s="46" t="str">
        <f t="array" aca="1" ref="S229" ca="1">IF('.'!S229="","",'.'!S229&amp;IF(VLOOKUP('.'!S229,Recipes!$A:$D,4,FALSE)="",""," ["&amp;VLOOKUP('.'!S229,Recipes!$A:$D,4,FALSE)&amp;"]"))</f>
        <v>Large Poison Bottle [0]</v>
      </c>
      <c r="T229" s="46" t="str">
        <f t="array" aca="1" ref="T229" ca="1">IF('.'!T229="","",'.'!T229&amp;IF(VLOOKUP('.'!T229,Recipes!$A:$D,4,FALSE)="",""," ["&amp;VLOOKUP('.'!T229,Recipes!$A:$D,4,FALSE)&amp;"]"))</f>
        <v>Medium Poison Bottle [-40]</v>
      </c>
      <c r="U229" s="46" t="str">
        <f t="array" ref="U229">IF('.'!U229="","",'.'!U229&amp;IF(VLOOKUP('.'!U229,Recipes!$A:$D,4,FALSE)="",""," ["&amp;VLOOKUP('.'!U229,Recipes!$A:$D,4,FALSE)&amp;"]"))</f>
        <v/>
      </c>
      <c r="V229" s="46" t="str">
        <f t="array" ref="V229">IF('.'!V229="","",'.'!V229&amp;IF(VLOOKUP('.'!V229,Recipes!$A:$D,4,FALSE)="",""," ["&amp;VLOOKUP('.'!V229,Recipes!$A:$D,4,FALSE)&amp;"]"))</f>
        <v/>
      </c>
      <c r="W229" s="46" t="str">
        <f t="array" ref="W229">IF('.'!W229="","",'.'!W229&amp;IF(VLOOKUP('.'!W229,Recipes!$A:$D,4,FALSE)="",""," ["&amp;VLOOKUP('.'!W229,Recipes!$A:$D,4,FALSE)&amp;"]"))</f>
        <v/>
      </c>
      <c r="X229" s="46" t="str">
        <f t="array" ref="X229">IF('.'!X229="","",'.'!X229&amp;IF(VLOOKUP('.'!X229,Recipes!$A:$D,4,FALSE)="",""," ["&amp;VLOOKUP('.'!X229,Recipes!$A:$D,4,FALSE)&amp;"]"))</f>
        <v/>
      </c>
      <c r="Y229" s="46" t="str">
        <f t="array" ref="Y229">IF('.'!Y229="","",'.'!Y229&amp;IF(VLOOKUP('.'!Y229,Recipes!$A:$D,4,FALSE)="",""," ["&amp;VLOOKUP('.'!Y229,Recipes!$A:$D,4,FALSE)&amp;"]"))</f>
        <v/>
      </c>
      <c r="Z229" s="46" t="str">
        <f t="array" ref="Z229">IF('.'!Z229="","",'.'!Z229&amp;IF(VLOOKUP('.'!Z229,Recipes!$A:$D,4,FALSE)="",""," ["&amp;VLOOKUP('.'!Z229,Recipes!$A:$D,4,FALSE)&amp;"]"))</f>
        <v/>
      </c>
      <c r="AA229" s="46" t="str">
        <f t="array" ref="AA229">IF('.'!AA229="","",'.'!AA229&amp;IF(VLOOKUP('.'!AA229,Recipes!$A:$D,4,FALSE)="",""," ["&amp;VLOOKUP('.'!AA229,Recipes!$A:$D,4,FALSE)&amp;"]"))</f>
        <v/>
      </c>
      <c r="AB229" s="46" t="str">
        <f t="array" ref="AB229">IF('.'!AB229="","",'.'!AB229&amp;IF(VLOOKUP('.'!AB229,Recipes!$A:$D,4,FALSE)="",""," ["&amp;VLOOKUP('.'!AB229,Recipes!$A:$D,4,FALSE)&amp;"]"))</f>
        <v/>
      </c>
      <c r="AC229" s="46" t="str">
        <f t="array" ref="AC229">IF('.'!AC229="","",'.'!AC229&amp;IF(VLOOKUP('.'!AC229,Recipes!$A:$D,4,FALSE)="",""," ["&amp;VLOOKUP('.'!AC229,Recipes!$A:$D,4,FALSE)&amp;"]"))</f>
        <v/>
      </c>
      <c r="AD229" s="46" t="str">
        <f t="array" ref="AD229">IF('.'!AD229="","",'.'!AD229&amp;IF(VLOOKUP('.'!AD229,Recipes!$A:$D,4,FALSE)="",""," ["&amp;VLOOKUP('.'!AD229,Recipes!$A:$D,4,FALSE)&amp;"]"))</f>
        <v/>
      </c>
      <c r="AE229" s="47"/>
      <c r="AF229" s="47"/>
      <c r="AG229" s="47"/>
      <c r="AH229" s="47"/>
      <c r="AI229" s="47"/>
      <c r="AJ229" s="47"/>
      <c r="AK229" s="47"/>
      <c r="AL229" s="47"/>
      <c r="AM229" s="47"/>
      <c r="AN229" s="47"/>
      <c r="AO229" s="47"/>
      <c r="AP229" s="47"/>
      <c r="AQ229" s="47"/>
      <c r="AR229" s="47"/>
      <c r="AS229" s="47"/>
      <c r="AT229" s="47"/>
      <c r="AU229" s="47"/>
      <c r="AV229" s="47"/>
      <c r="AW229" s="47"/>
      <c r="AX229" s="47"/>
      <c r="AY229" s="47"/>
      <c r="AZ229" s="47"/>
      <c r="BA229" s="47"/>
      <c r="BB229" s="47"/>
      <c r="BC229" s="47"/>
      <c r="BD229" s="47"/>
      <c r="BE229" s="47"/>
      <c r="BF229" s="47"/>
      <c r="BG229" s="47"/>
      <c r="BH229" s="47"/>
      <c r="BI229" s="47"/>
      <c r="BJ229" s="47"/>
      <c r="BK229" s="47"/>
      <c r="BL229" s="47"/>
      <c r="BM229" s="47"/>
      <c r="BN229" s="47"/>
      <c r="BO229" s="47"/>
      <c r="BP229" s="47"/>
      <c r="BQ229" s="47"/>
      <c r="BR229" s="47"/>
      <c r="BS229" s="47"/>
      <c r="BT229" s="47"/>
      <c r="BU229" s="47"/>
      <c r="BV229" s="47"/>
      <c r="BW229" s="47"/>
      <c r="BX229" s="47"/>
      <c r="BY229" s="47"/>
      <c r="BZ229" s="47"/>
    </row>
    <row r="230" spans="1:78" ht="13">
      <c r="A230" s="48" t="str">
        <f ca="1">'.'!A230</f>
        <v>High Quality Earth Essence</v>
      </c>
      <c r="B230" s="46" t="str">
        <f t="array" aca="1" ref="B230" ca="1">IF('.'!B230="","",'.'!B230&amp;IF(VLOOKUP('.'!B230,Recipes!$A:$D,4,FALSE)="",""," ["&amp;VLOOKUP('.'!B230,Recipes!$A:$D,4,FALSE)&amp;"]"))</f>
        <v>Earthquake Scroll [139]</v>
      </c>
      <c r="C230" s="46" t="str">
        <f t="array" aca="1" ref="C230" ca="1">IF('.'!C230="","",'.'!C230&amp;IF(VLOOKUP('.'!C230,Recipes!$A:$D,4,FALSE)="",""," ["&amp;VLOOKUP('.'!C230,Recipes!$A:$D,4,FALSE)&amp;"]"))</f>
        <v>Poison Wave Scroll [135]</v>
      </c>
      <c r="D230" s="46" t="str">
        <f t="array" aca="1" ref="D230" ca="1">IF('.'!D230="","",'.'!D230&amp;IF(VLOOKUP('.'!D230,Recipes!$A:$D,4,FALSE)="",""," ["&amp;VLOOKUP('.'!D230,Recipes!$A:$D,4,FALSE)&amp;"]"))</f>
        <v>Reactive Armor Scroll [20]</v>
      </c>
      <c r="E230" s="46" t="str">
        <f t="array" ref="E230">IF('.'!E230="","",'.'!E230&amp;IF(VLOOKUP('.'!E230,Recipes!$A:$D,4,FALSE)="",""," ["&amp;VLOOKUP('.'!E230,Recipes!$A:$D,4,FALSE)&amp;"]"))</f>
        <v/>
      </c>
      <c r="F230" s="46" t="str">
        <f t="array" ref="F230">IF('.'!F230="","",'.'!F230&amp;IF(VLOOKUP('.'!F230,Recipes!$A:$D,4,FALSE)="",""," ["&amp;VLOOKUP('.'!F230,Recipes!$A:$D,4,FALSE)&amp;"]"))</f>
        <v/>
      </c>
      <c r="G230" s="46" t="str">
        <f t="array" ref="G230">IF('.'!G230="","",'.'!G230&amp;IF(VLOOKUP('.'!G230,Recipes!$A:$D,4,FALSE)="",""," ["&amp;VLOOKUP('.'!G230,Recipes!$A:$D,4,FALSE)&amp;"]"))</f>
        <v/>
      </c>
      <c r="H230" s="46" t="str">
        <f t="array" ref="H230">IF('.'!H230="","",'.'!H230&amp;IF(VLOOKUP('.'!H230,Recipes!$A:$D,4,FALSE)="",""," ["&amp;VLOOKUP('.'!H230,Recipes!$A:$D,4,FALSE)&amp;"]"))</f>
        <v/>
      </c>
      <c r="I230" s="46" t="str">
        <f t="array" ref="I230">IF('.'!I230="","",'.'!I230&amp;IF(VLOOKUP('.'!I230,Recipes!$A:$D,4,FALSE)="",""," ["&amp;VLOOKUP('.'!I230,Recipes!$A:$D,4,FALSE)&amp;"]"))</f>
        <v/>
      </c>
      <c r="J230" s="46" t="str">
        <f t="array" ref="J230">IF('.'!J230="","",'.'!J230&amp;IF(VLOOKUP('.'!J230,Recipes!$A:$D,4,FALSE)="",""," ["&amp;VLOOKUP('.'!J230,Recipes!$A:$D,4,FALSE)&amp;"]"))</f>
        <v/>
      </c>
      <c r="K230" s="46" t="str">
        <f t="array" ref="K230">IF('.'!K230="","",'.'!K230&amp;IF(VLOOKUP('.'!K230,Recipes!$A:$D,4,FALSE)="",""," ["&amp;VLOOKUP('.'!K230,Recipes!$A:$D,4,FALSE)&amp;"]"))</f>
        <v/>
      </c>
      <c r="L230" s="46" t="str">
        <f t="array" ref="L230">IF('.'!L230="","",'.'!L230&amp;IF(VLOOKUP('.'!L230,Recipes!$A:$D,4,FALSE)="",""," ["&amp;VLOOKUP('.'!L230,Recipes!$A:$D,4,FALSE)&amp;"]"))</f>
        <v/>
      </c>
      <c r="M230" s="46" t="str">
        <f t="array" ref="M230">IF('.'!M230="","",'.'!M230&amp;IF(VLOOKUP('.'!M230,Recipes!$A:$D,4,FALSE)="",""," ["&amp;VLOOKUP('.'!M230,Recipes!$A:$D,4,FALSE)&amp;"]"))</f>
        <v/>
      </c>
      <c r="N230" s="46" t="str">
        <f t="array" ref="N230">IF('.'!N230="","",'.'!N230&amp;IF(VLOOKUP('.'!N230,Recipes!$A:$D,4,FALSE)="",""," ["&amp;VLOOKUP('.'!N230,Recipes!$A:$D,4,FALSE)&amp;"]"))</f>
        <v/>
      </c>
      <c r="O230" s="46" t="str">
        <f t="array" ref="O230">IF('.'!O230="","",'.'!O230&amp;IF(VLOOKUP('.'!O230,Recipes!$A:$D,4,FALSE)="",""," ["&amp;VLOOKUP('.'!O230,Recipes!$A:$D,4,FALSE)&amp;"]"))</f>
        <v/>
      </c>
      <c r="P230" s="46" t="str">
        <f t="array" ref="P230">IF('.'!P230="","",'.'!P230&amp;IF(VLOOKUP('.'!P230,Recipes!$A:$D,4,FALSE)="",""," ["&amp;VLOOKUP('.'!P230,Recipes!$A:$D,4,FALSE)&amp;"]"))</f>
        <v/>
      </c>
      <c r="Q230" s="46" t="str">
        <f t="array" ref="Q230">IF('.'!Q230="","",'.'!Q230&amp;IF(VLOOKUP('.'!Q230,Recipes!$A:$D,4,FALSE)="",""," ["&amp;VLOOKUP('.'!Q230,Recipes!$A:$D,4,FALSE)&amp;"]"))</f>
        <v/>
      </c>
      <c r="R230" s="46" t="str">
        <f t="array" ref="R230">IF('.'!R230="","",'.'!R230&amp;IF(VLOOKUP('.'!R230,Recipes!$A:$D,4,FALSE)="",""," ["&amp;VLOOKUP('.'!R230,Recipes!$A:$D,4,FALSE)&amp;"]"))</f>
        <v/>
      </c>
      <c r="S230" s="46" t="str">
        <f t="array" ref="S230">IF('.'!S230="","",'.'!S230&amp;IF(VLOOKUP('.'!S230,Recipes!$A:$D,4,FALSE)="",""," ["&amp;VLOOKUP('.'!S230,Recipes!$A:$D,4,FALSE)&amp;"]"))</f>
        <v/>
      </c>
      <c r="T230" s="46" t="str">
        <f t="array" ref="T230">IF('.'!T230="","",'.'!T230&amp;IF(VLOOKUP('.'!T230,Recipes!$A:$D,4,FALSE)="",""," ["&amp;VLOOKUP('.'!T230,Recipes!$A:$D,4,FALSE)&amp;"]"))</f>
        <v/>
      </c>
      <c r="U230" s="46" t="str">
        <f t="array" ref="U230">IF('.'!U230="","",'.'!U230&amp;IF(VLOOKUP('.'!U230,Recipes!$A:$D,4,FALSE)="",""," ["&amp;VLOOKUP('.'!U230,Recipes!$A:$D,4,FALSE)&amp;"]"))</f>
        <v/>
      </c>
      <c r="V230" s="46" t="str">
        <f t="array" ref="V230">IF('.'!V230="","",'.'!V230&amp;IF(VLOOKUP('.'!V230,Recipes!$A:$D,4,FALSE)="",""," ["&amp;VLOOKUP('.'!V230,Recipes!$A:$D,4,FALSE)&amp;"]"))</f>
        <v/>
      </c>
      <c r="W230" s="46" t="str">
        <f t="array" ref="W230">IF('.'!W230="","",'.'!W230&amp;IF(VLOOKUP('.'!W230,Recipes!$A:$D,4,FALSE)="",""," ["&amp;VLOOKUP('.'!W230,Recipes!$A:$D,4,FALSE)&amp;"]"))</f>
        <v/>
      </c>
      <c r="X230" s="46" t="str">
        <f t="array" ref="X230">IF('.'!X230="","",'.'!X230&amp;IF(VLOOKUP('.'!X230,Recipes!$A:$D,4,FALSE)="",""," ["&amp;VLOOKUP('.'!X230,Recipes!$A:$D,4,FALSE)&amp;"]"))</f>
        <v/>
      </c>
      <c r="Y230" s="46" t="str">
        <f t="array" ref="Y230">IF('.'!Y230="","",'.'!Y230&amp;IF(VLOOKUP('.'!Y230,Recipes!$A:$D,4,FALSE)="",""," ["&amp;VLOOKUP('.'!Y230,Recipes!$A:$D,4,FALSE)&amp;"]"))</f>
        <v/>
      </c>
      <c r="Z230" s="46" t="str">
        <f t="array" ref="Z230">IF('.'!Z230="","",'.'!Z230&amp;IF(VLOOKUP('.'!Z230,Recipes!$A:$D,4,FALSE)="",""," ["&amp;VLOOKUP('.'!Z230,Recipes!$A:$D,4,FALSE)&amp;"]"))</f>
        <v/>
      </c>
      <c r="AA230" s="46" t="str">
        <f t="array" ref="AA230">IF('.'!AA230="","",'.'!AA230&amp;IF(VLOOKUP('.'!AA230,Recipes!$A:$D,4,FALSE)="",""," ["&amp;VLOOKUP('.'!AA230,Recipes!$A:$D,4,FALSE)&amp;"]"))</f>
        <v/>
      </c>
      <c r="AB230" s="46" t="str">
        <f t="array" ref="AB230">IF('.'!AB230="","",'.'!AB230&amp;IF(VLOOKUP('.'!AB230,Recipes!$A:$D,4,FALSE)="",""," ["&amp;VLOOKUP('.'!AB230,Recipes!$A:$D,4,FALSE)&amp;"]"))</f>
        <v/>
      </c>
      <c r="AC230" s="46" t="str">
        <f t="array" ref="AC230">IF('.'!AC230="","",'.'!AC230&amp;IF(VLOOKUP('.'!AC230,Recipes!$A:$D,4,FALSE)="",""," ["&amp;VLOOKUP('.'!AC230,Recipes!$A:$D,4,FALSE)&amp;"]"))</f>
        <v/>
      </c>
      <c r="AD230" s="46" t="str">
        <f t="array" ref="AD230">IF('.'!AD230="","",'.'!AD230&amp;IF(VLOOKUP('.'!AD230,Recipes!$A:$D,4,FALSE)="",""," ["&amp;VLOOKUP('.'!AD230,Recipes!$A:$D,4,FALSE)&amp;"]"))</f>
        <v/>
      </c>
      <c r="AE230" s="47"/>
      <c r="AF230" s="47"/>
      <c r="AG230" s="47"/>
      <c r="AH230" s="47"/>
      <c r="AI230" s="47"/>
      <c r="AJ230" s="47"/>
      <c r="AK230" s="47"/>
      <c r="AL230" s="47"/>
      <c r="AM230" s="47"/>
      <c r="AN230" s="47"/>
      <c r="AO230" s="47"/>
      <c r="AP230" s="47"/>
      <c r="AQ230" s="47"/>
      <c r="AR230" s="47"/>
      <c r="AS230" s="47"/>
      <c r="AT230" s="47"/>
      <c r="AU230" s="47"/>
      <c r="AV230" s="47"/>
      <c r="AW230" s="47"/>
      <c r="AX230" s="47"/>
      <c r="AY230" s="47"/>
      <c r="AZ230" s="47"/>
      <c r="BA230" s="47"/>
      <c r="BB230" s="47"/>
      <c r="BC230" s="47"/>
      <c r="BD230" s="47"/>
      <c r="BE230" s="47"/>
      <c r="BF230" s="47"/>
      <c r="BG230" s="47"/>
      <c r="BH230" s="47"/>
      <c r="BI230" s="47"/>
      <c r="BJ230" s="47"/>
      <c r="BK230" s="47"/>
      <c r="BL230" s="47"/>
      <c r="BM230" s="47"/>
      <c r="BN230" s="47"/>
      <c r="BO230" s="47"/>
      <c r="BP230" s="47"/>
      <c r="BQ230" s="47"/>
      <c r="BR230" s="47"/>
      <c r="BS230" s="47"/>
      <c r="BT230" s="47"/>
      <c r="BU230" s="47"/>
      <c r="BV230" s="47"/>
      <c r="BW230" s="47"/>
      <c r="BX230" s="47"/>
      <c r="BY230" s="47"/>
      <c r="BZ230" s="47"/>
    </row>
    <row r="231" spans="1:78" ht="13">
      <c r="A231" s="48" t="str">
        <f ca="1">'.'!A231</f>
        <v>High Quality Fire Essence</v>
      </c>
      <c r="B231" s="46" t="str">
        <f t="array" aca="1" ref="B231" ca="1">IF('.'!B231="","",'.'!B231&amp;IF(VLOOKUP('.'!B231,Recipes!$A:$D,4,FALSE)="",""," ["&amp;VLOOKUP('.'!B231,Recipes!$A:$D,4,FALSE)&amp;"]"))</f>
        <v>Fire Whip Scroll [90]</v>
      </c>
      <c r="C231" s="46" t="str">
        <f t="array" aca="1" ref="C231" ca="1">IF('.'!C231="","",'.'!C231&amp;IF(VLOOKUP('.'!C231,Recipes!$A:$D,4,FALSE)="",""," ["&amp;VLOOKUP('.'!C231,Recipes!$A:$D,4,FALSE)&amp;"]"))</f>
        <v>Flaming Tongues Scroll [40]</v>
      </c>
      <c r="D231" s="46" t="str">
        <f t="array" aca="1" ref="D231" ca="1">IF('.'!D231="","",'.'!D231&amp;IF(VLOOKUP('.'!D231,Recipes!$A:$D,4,FALSE)="",""," ["&amp;VLOOKUP('.'!D231,Recipes!$A:$D,4,FALSE)&amp;"]"))</f>
        <v>Laser Ray Scroll [139]</v>
      </c>
      <c r="E231" s="46" t="str">
        <f t="array" aca="1" ref="E231" ca="1">IF('.'!E231="","",'.'!E231&amp;IF(VLOOKUP('.'!E231,Recipes!$A:$D,4,FALSE)="",""," ["&amp;VLOOKUP('.'!E231,Recipes!$A:$D,4,FALSE)&amp;"]"))</f>
        <v>Supernova Scroll [-200]</v>
      </c>
      <c r="F231" s="46" t="str">
        <f t="array" ref="F231">IF('.'!F231="","",'.'!F231&amp;IF(VLOOKUP('.'!F231,Recipes!$A:$D,4,FALSE)="",""," ["&amp;VLOOKUP('.'!F231,Recipes!$A:$D,4,FALSE)&amp;"]"))</f>
        <v/>
      </c>
      <c r="G231" s="46" t="str">
        <f t="array" ref="G231">IF('.'!G231="","",'.'!G231&amp;IF(VLOOKUP('.'!G231,Recipes!$A:$D,4,FALSE)="",""," ["&amp;VLOOKUP('.'!G231,Recipes!$A:$D,4,FALSE)&amp;"]"))</f>
        <v/>
      </c>
      <c r="H231" s="46" t="str">
        <f t="array" ref="H231">IF('.'!H231="","",'.'!H231&amp;IF(VLOOKUP('.'!H231,Recipes!$A:$D,4,FALSE)="",""," ["&amp;VLOOKUP('.'!H231,Recipes!$A:$D,4,FALSE)&amp;"]"))</f>
        <v/>
      </c>
      <c r="I231" s="46" t="str">
        <f t="array" ref="I231">IF('.'!I231="","",'.'!I231&amp;IF(VLOOKUP('.'!I231,Recipes!$A:$D,4,FALSE)="",""," ["&amp;VLOOKUP('.'!I231,Recipes!$A:$D,4,FALSE)&amp;"]"))</f>
        <v/>
      </c>
      <c r="J231" s="46" t="str">
        <f t="array" ref="J231">IF('.'!J231="","",'.'!J231&amp;IF(VLOOKUP('.'!J231,Recipes!$A:$D,4,FALSE)="",""," ["&amp;VLOOKUP('.'!J231,Recipes!$A:$D,4,FALSE)&amp;"]"))</f>
        <v/>
      </c>
      <c r="K231" s="46" t="str">
        <f t="array" ref="K231">IF('.'!K231="","",'.'!K231&amp;IF(VLOOKUP('.'!K231,Recipes!$A:$D,4,FALSE)="",""," ["&amp;VLOOKUP('.'!K231,Recipes!$A:$D,4,FALSE)&amp;"]"))</f>
        <v/>
      </c>
      <c r="L231" s="46" t="str">
        <f t="array" ref="L231">IF('.'!L231="","",'.'!L231&amp;IF(VLOOKUP('.'!L231,Recipes!$A:$D,4,FALSE)="",""," ["&amp;VLOOKUP('.'!L231,Recipes!$A:$D,4,FALSE)&amp;"]"))</f>
        <v/>
      </c>
      <c r="M231" s="46" t="str">
        <f t="array" ref="M231">IF('.'!M231="","",'.'!M231&amp;IF(VLOOKUP('.'!M231,Recipes!$A:$D,4,FALSE)="",""," ["&amp;VLOOKUP('.'!M231,Recipes!$A:$D,4,FALSE)&amp;"]"))</f>
        <v/>
      </c>
      <c r="N231" s="46" t="str">
        <f t="array" ref="N231">IF('.'!N231="","",'.'!N231&amp;IF(VLOOKUP('.'!N231,Recipes!$A:$D,4,FALSE)="",""," ["&amp;VLOOKUP('.'!N231,Recipes!$A:$D,4,FALSE)&amp;"]"))</f>
        <v/>
      </c>
      <c r="O231" s="46" t="str">
        <f t="array" ref="O231">IF('.'!O231="","",'.'!O231&amp;IF(VLOOKUP('.'!O231,Recipes!$A:$D,4,FALSE)="",""," ["&amp;VLOOKUP('.'!O231,Recipes!$A:$D,4,FALSE)&amp;"]"))</f>
        <v/>
      </c>
      <c r="P231" s="46" t="str">
        <f t="array" ref="P231">IF('.'!P231="","",'.'!P231&amp;IF(VLOOKUP('.'!P231,Recipes!$A:$D,4,FALSE)="",""," ["&amp;VLOOKUP('.'!P231,Recipes!$A:$D,4,FALSE)&amp;"]"))</f>
        <v/>
      </c>
      <c r="Q231" s="46" t="str">
        <f t="array" ref="Q231">IF('.'!Q231="","",'.'!Q231&amp;IF(VLOOKUP('.'!Q231,Recipes!$A:$D,4,FALSE)="",""," ["&amp;VLOOKUP('.'!Q231,Recipes!$A:$D,4,FALSE)&amp;"]"))</f>
        <v/>
      </c>
      <c r="R231" s="46" t="str">
        <f t="array" ref="R231">IF('.'!R231="","",'.'!R231&amp;IF(VLOOKUP('.'!R231,Recipes!$A:$D,4,FALSE)="",""," ["&amp;VLOOKUP('.'!R231,Recipes!$A:$D,4,FALSE)&amp;"]"))</f>
        <v/>
      </c>
      <c r="S231" s="46" t="str">
        <f t="array" ref="S231">IF('.'!S231="","",'.'!S231&amp;IF(VLOOKUP('.'!S231,Recipes!$A:$D,4,FALSE)="",""," ["&amp;VLOOKUP('.'!S231,Recipes!$A:$D,4,FALSE)&amp;"]"))</f>
        <v/>
      </c>
      <c r="T231" s="46" t="str">
        <f t="array" ref="T231">IF('.'!T231="","",'.'!T231&amp;IF(VLOOKUP('.'!T231,Recipes!$A:$D,4,FALSE)="",""," ["&amp;VLOOKUP('.'!T231,Recipes!$A:$D,4,FALSE)&amp;"]"))</f>
        <v/>
      </c>
      <c r="U231" s="46" t="str">
        <f t="array" ref="U231">IF('.'!U231="","",'.'!U231&amp;IF(VLOOKUP('.'!U231,Recipes!$A:$D,4,FALSE)="",""," ["&amp;VLOOKUP('.'!U231,Recipes!$A:$D,4,FALSE)&amp;"]"))</f>
        <v/>
      </c>
      <c r="V231" s="46" t="str">
        <f t="array" ref="V231">IF('.'!V231="","",'.'!V231&amp;IF(VLOOKUP('.'!V231,Recipes!$A:$D,4,FALSE)="",""," ["&amp;VLOOKUP('.'!V231,Recipes!$A:$D,4,FALSE)&amp;"]"))</f>
        <v/>
      </c>
      <c r="W231" s="46" t="str">
        <f t="array" ref="W231">IF('.'!W231="","",'.'!W231&amp;IF(VLOOKUP('.'!W231,Recipes!$A:$D,4,FALSE)="",""," ["&amp;VLOOKUP('.'!W231,Recipes!$A:$D,4,FALSE)&amp;"]"))</f>
        <v/>
      </c>
      <c r="X231" s="46" t="str">
        <f t="array" ref="X231">IF('.'!X231="","",'.'!X231&amp;IF(VLOOKUP('.'!X231,Recipes!$A:$D,4,FALSE)="",""," ["&amp;VLOOKUP('.'!X231,Recipes!$A:$D,4,FALSE)&amp;"]"))</f>
        <v/>
      </c>
      <c r="Y231" s="46" t="str">
        <f t="array" ref="Y231">IF('.'!Y231="","",'.'!Y231&amp;IF(VLOOKUP('.'!Y231,Recipes!$A:$D,4,FALSE)="",""," ["&amp;VLOOKUP('.'!Y231,Recipes!$A:$D,4,FALSE)&amp;"]"))</f>
        <v/>
      </c>
      <c r="Z231" s="46" t="str">
        <f t="array" ref="Z231">IF('.'!Z231="","",'.'!Z231&amp;IF(VLOOKUP('.'!Z231,Recipes!$A:$D,4,FALSE)="",""," ["&amp;VLOOKUP('.'!Z231,Recipes!$A:$D,4,FALSE)&amp;"]"))</f>
        <v/>
      </c>
      <c r="AA231" s="46" t="str">
        <f t="array" ref="AA231">IF('.'!AA231="","",'.'!AA231&amp;IF(VLOOKUP('.'!AA231,Recipes!$A:$D,4,FALSE)="",""," ["&amp;VLOOKUP('.'!AA231,Recipes!$A:$D,4,FALSE)&amp;"]"))</f>
        <v/>
      </c>
      <c r="AB231" s="46" t="str">
        <f t="array" ref="AB231">IF('.'!AB231="","",'.'!AB231&amp;IF(VLOOKUP('.'!AB231,Recipes!$A:$D,4,FALSE)="",""," ["&amp;VLOOKUP('.'!AB231,Recipes!$A:$D,4,FALSE)&amp;"]"))</f>
        <v/>
      </c>
      <c r="AC231" s="46" t="str">
        <f t="array" ref="AC231">IF('.'!AC231="","",'.'!AC231&amp;IF(VLOOKUP('.'!AC231,Recipes!$A:$D,4,FALSE)="",""," ["&amp;VLOOKUP('.'!AC231,Recipes!$A:$D,4,FALSE)&amp;"]"))</f>
        <v/>
      </c>
      <c r="AD231" s="46" t="str">
        <f t="array" ref="AD231">IF('.'!AD231="","",'.'!AD231&amp;IF(VLOOKUP('.'!AD231,Recipes!$A:$D,4,FALSE)="",""," ["&amp;VLOOKUP('.'!AD231,Recipes!$A:$D,4,FALSE)&amp;"]"))</f>
        <v/>
      </c>
      <c r="AE231" s="47"/>
      <c r="AF231" s="47"/>
      <c r="AG231" s="47"/>
      <c r="AH231" s="47"/>
      <c r="AI231" s="47"/>
      <c r="AJ231" s="47"/>
      <c r="AK231" s="47"/>
      <c r="AL231" s="47"/>
      <c r="AM231" s="47"/>
      <c r="AN231" s="47"/>
      <c r="AO231" s="47"/>
      <c r="AP231" s="47"/>
      <c r="AQ231" s="47"/>
      <c r="AR231" s="47"/>
      <c r="AS231" s="47"/>
      <c r="AT231" s="47"/>
      <c r="AU231" s="47"/>
      <c r="AV231" s="47"/>
      <c r="AW231" s="47"/>
      <c r="AX231" s="47"/>
      <c r="AY231" s="47"/>
      <c r="AZ231" s="47"/>
      <c r="BA231" s="47"/>
      <c r="BB231" s="47"/>
      <c r="BC231" s="47"/>
      <c r="BD231" s="47"/>
      <c r="BE231" s="47"/>
      <c r="BF231" s="47"/>
      <c r="BG231" s="47"/>
      <c r="BH231" s="47"/>
      <c r="BI231" s="47"/>
      <c r="BJ231" s="47"/>
      <c r="BK231" s="47"/>
      <c r="BL231" s="47"/>
      <c r="BM231" s="47"/>
      <c r="BN231" s="47"/>
      <c r="BO231" s="47"/>
      <c r="BP231" s="47"/>
      <c r="BQ231" s="47"/>
      <c r="BR231" s="47"/>
      <c r="BS231" s="47"/>
      <c r="BT231" s="47"/>
      <c r="BU231" s="47"/>
      <c r="BV231" s="47"/>
      <c r="BW231" s="47"/>
      <c r="BX231" s="47"/>
      <c r="BY231" s="47"/>
      <c r="BZ231" s="47"/>
    </row>
    <row r="232" spans="1:78" ht="13">
      <c r="A232" s="48" t="str">
        <f ca="1">'.'!A232</f>
        <v>High Quality Life Essence</v>
      </c>
      <c r="B232" s="46" t="str">
        <f t="array" aca="1" ref="B232" ca="1">IF('.'!B232="","",'.'!B232&amp;IF(VLOOKUP('.'!B232,Recipes!$A:$D,4,FALSE)="",""," ["&amp;VLOOKUP('.'!B232,Recipes!$A:$D,4,FALSE)&amp;"]"))</f>
        <v>Spider Legs Scroll [60]</v>
      </c>
      <c r="C232" s="46" t="e">
        <f t="array" aca="1" ref="C232" ca="1">IF('.'!C232="","",'.'!C232&amp;IF(VLOOKUP('.'!C232,Recipes!$A:$D,4,FALSE)="",""," ["&amp;VLOOKUP('.'!C232,Recipes!$A:$D,4,FALSE)&amp;"]"))</f>
        <v>#VALUE!</v>
      </c>
      <c r="D232" s="46" t="str">
        <f t="array" ref="D232">IF('.'!D232="","",'.'!D232&amp;IF(VLOOKUP('.'!D232,Recipes!$A:$D,4,FALSE)="",""," ["&amp;VLOOKUP('.'!D232,Recipes!$A:$D,4,FALSE)&amp;"]"))</f>
        <v/>
      </c>
      <c r="E232" s="46" t="str">
        <f t="array" ref="E232">IF('.'!E232="","",'.'!E232&amp;IF(VLOOKUP('.'!E232,Recipes!$A:$D,4,FALSE)="",""," ["&amp;VLOOKUP('.'!E232,Recipes!$A:$D,4,FALSE)&amp;"]"))</f>
        <v/>
      </c>
      <c r="F232" s="46" t="str">
        <f t="array" ref="F232">IF('.'!F232="","",'.'!F232&amp;IF(VLOOKUP('.'!F232,Recipes!$A:$D,4,FALSE)="",""," ["&amp;VLOOKUP('.'!F232,Recipes!$A:$D,4,FALSE)&amp;"]"))</f>
        <v/>
      </c>
      <c r="G232" s="46" t="str">
        <f t="array" ref="G232">IF('.'!G232="","",'.'!G232&amp;IF(VLOOKUP('.'!G232,Recipes!$A:$D,4,FALSE)="",""," ["&amp;VLOOKUP('.'!G232,Recipes!$A:$D,4,FALSE)&amp;"]"))</f>
        <v/>
      </c>
      <c r="H232" s="46" t="str">
        <f t="array" ref="H232">IF('.'!H232="","",'.'!H232&amp;IF(VLOOKUP('.'!H232,Recipes!$A:$D,4,FALSE)="",""," ["&amp;VLOOKUP('.'!H232,Recipes!$A:$D,4,FALSE)&amp;"]"))</f>
        <v/>
      </c>
      <c r="I232" s="46" t="str">
        <f t="array" ref="I232">IF('.'!I232="","",'.'!I232&amp;IF(VLOOKUP('.'!I232,Recipes!$A:$D,4,FALSE)="",""," ["&amp;VLOOKUP('.'!I232,Recipes!$A:$D,4,FALSE)&amp;"]"))</f>
        <v/>
      </c>
      <c r="J232" s="46" t="str">
        <f t="array" ref="J232">IF('.'!J232="","",'.'!J232&amp;IF(VLOOKUP('.'!J232,Recipes!$A:$D,4,FALSE)="",""," ["&amp;VLOOKUP('.'!J232,Recipes!$A:$D,4,FALSE)&amp;"]"))</f>
        <v/>
      </c>
      <c r="K232" s="46" t="str">
        <f t="array" ref="K232">IF('.'!K232="","",'.'!K232&amp;IF(VLOOKUP('.'!K232,Recipes!$A:$D,4,FALSE)="",""," ["&amp;VLOOKUP('.'!K232,Recipes!$A:$D,4,FALSE)&amp;"]"))</f>
        <v/>
      </c>
      <c r="L232" s="46" t="str">
        <f t="array" ref="L232">IF('.'!L232="","",'.'!L232&amp;IF(VLOOKUP('.'!L232,Recipes!$A:$D,4,FALSE)="",""," ["&amp;VLOOKUP('.'!L232,Recipes!$A:$D,4,FALSE)&amp;"]"))</f>
        <v/>
      </c>
      <c r="M232" s="46" t="str">
        <f t="array" ref="M232">IF('.'!M232="","",'.'!M232&amp;IF(VLOOKUP('.'!M232,Recipes!$A:$D,4,FALSE)="",""," ["&amp;VLOOKUP('.'!M232,Recipes!$A:$D,4,FALSE)&amp;"]"))</f>
        <v/>
      </c>
      <c r="N232" s="46" t="str">
        <f t="array" ref="N232">IF('.'!N232="","",'.'!N232&amp;IF(VLOOKUP('.'!N232,Recipes!$A:$D,4,FALSE)="",""," ["&amp;VLOOKUP('.'!N232,Recipes!$A:$D,4,FALSE)&amp;"]"))</f>
        <v/>
      </c>
      <c r="O232" s="46" t="str">
        <f t="array" ref="O232">IF('.'!O232="","",'.'!O232&amp;IF(VLOOKUP('.'!O232,Recipes!$A:$D,4,FALSE)="",""," ["&amp;VLOOKUP('.'!O232,Recipes!$A:$D,4,FALSE)&amp;"]"))</f>
        <v/>
      </c>
      <c r="P232" s="46" t="str">
        <f t="array" ref="P232">IF('.'!P232="","",'.'!P232&amp;IF(VLOOKUP('.'!P232,Recipes!$A:$D,4,FALSE)="",""," ["&amp;VLOOKUP('.'!P232,Recipes!$A:$D,4,FALSE)&amp;"]"))</f>
        <v/>
      </c>
      <c r="Q232" s="46" t="str">
        <f t="array" ref="Q232">IF('.'!Q232="","",'.'!Q232&amp;IF(VLOOKUP('.'!Q232,Recipes!$A:$D,4,FALSE)="",""," ["&amp;VLOOKUP('.'!Q232,Recipes!$A:$D,4,FALSE)&amp;"]"))</f>
        <v/>
      </c>
      <c r="R232" s="46" t="str">
        <f t="array" ref="R232">IF('.'!R232="","",'.'!R232&amp;IF(VLOOKUP('.'!R232,Recipes!$A:$D,4,FALSE)="",""," ["&amp;VLOOKUP('.'!R232,Recipes!$A:$D,4,FALSE)&amp;"]"))</f>
        <v/>
      </c>
      <c r="S232" s="46" t="str">
        <f t="array" ref="S232">IF('.'!S232="","",'.'!S232&amp;IF(VLOOKUP('.'!S232,Recipes!$A:$D,4,FALSE)="",""," ["&amp;VLOOKUP('.'!S232,Recipes!$A:$D,4,FALSE)&amp;"]"))</f>
        <v/>
      </c>
      <c r="T232" s="46" t="str">
        <f t="array" ref="T232">IF('.'!T232="","",'.'!T232&amp;IF(VLOOKUP('.'!T232,Recipes!$A:$D,4,FALSE)="",""," ["&amp;VLOOKUP('.'!T232,Recipes!$A:$D,4,FALSE)&amp;"]"))</f>
        <v/>
      </c>
      <c r="U232" s="46" t="str">
        <f t="array" ref="U232">IF('.'!U232="","",'.'!U232&amp;IF(VLOOKUP('.'!U232,Recipes!$A:$D,4,FALSE)="",""," ["&amp;VLOOKUP('.'!U232,Recipes!$A:$D,4,FALSE)&amp;"]"))</f>
        <v/>
      </c>
      <c r="V232" s="46" t="str">
        <f t="array" ref="V232">IF('.'!V232="","",'.'!V232&amp;IF(VLOOKUP('.'!V232,Recipes!$A:$D,4,FALSE)="",""," ["&amp;VLOOKUP('.'!V232,Recipes!$A:$D,4,FALSE)&amp;"]"))</f>
        <v/>
      </c>
      <c r="W232" s="46" t="str">
        <f t="array" ref="W232">IF('.'!W232="","",'.'!W232&amp;IF(VLOOKUP('.'!W232,Recipes!$A:$D,4,FALSE)="",""," ["&amp;VLOOKUP('.'!W232,Recipes!$A:$D,4,FALSE)&amp;"]"))</f>
        <v/>
      </c>
      <c r="X232" s="46" t="str">
        <f t="array" ref="X232">IF('.'!X232="","",'.'!X232&amp;IF(VLOOKUP('.'!X232,Recipes!$A:$D,4,FALSE)="",""," ["&amp;VLOOKUP('.'!X232,Recipes!$A:$D,4,FALSE)&amp;"]"))</f>
        <v/>
      </c>
      <c r="Y232" s="46" t="str">
        <f t="array" ref="Y232">IF('.'!Y232="","",'.'!Y232&amp;IF(VLOOKUP('.'!Y232,Recipes!$A:$D,4,FALSE)="",""," ["&amp;VLOOKUP('.'!Y232,Recipes!$A:$D,4,FALSE)&amp;"]"))</f>
        <v/>
      </c>
      <c r="Z232" s="46" t="str">
        <f t="array" ref="Z232">IF('.'!Z232="","",'.'!Z232&amp;IF(VLOOKUP('.'!Z232,Recipes!$A:$D,4,FALSE)="",""," ["&amp;VLOOKUP('.'!Z232,Recipes!$A:$D,4,FALSE)&amp;"]"))</f>
        <v/>
      </c>
      <c r="AA232" s="46" t="str">
        <f t="array" ref="AA232">IF('.'!AA232="","",'.'!AA232&amp;IF(VLOOKUP('.'!AA232,Recipes!$A:$D,4,FALSE)="",""," ["&amp;VLOOKUP('.'!AA232,Recipes!$A:$D,4,FALSE)&amp;"]"))</f>
        <v/>
      </c>
      <c r="AB232" s="46" t="str">
        <f t="array" ref="AB232">IF('.'!AB232="","",'.'!AB232&amp;IF(VLOOKUP('.'!AB232,Recipes!$A:$D,4,FALSE)="",""," ["&amp;VLOOKUP('.'!AB232,Recipes!$A:$D,4,FALSE)&amp;"]"))</f>
        <v/>
      </c>
      <c r="AC232" s="46" t="str">
        <f t="array" ref="AC232">IF('.'!AC232="","",'.'!AC232&amp;IF(VLOOKUP('.'!AC232,Recipes!$A:$D,4,FALSE)="",""," ["&amp;VLOOKUP('.'!AC232,Recipes!$A:$D,4,FALSE)&amp;"]"))</f>
        <v/>
      </c>
      <c r="AD232" s="46" t="str">
        <f t="array" ref="AD232">IF('.'!AD232="","",'.'!AD232&amp;IF(VLOOKUP('.'!AD232,Recipes!$A:$D,4,FALSE)="",""," ["&amp;VLOOKUP('.'!AD232,Recipes!$A:$D,4,FALSE)&amp;"]"))</f>
        <v/>
      </c>
      <c r="AE232" s="47"/>
      <c r="AF232" s="47"/>
      <c r="AG232" s="47"/>
      <c r="AH232" s="47"/>
      <c r="AI232" s="47"/>
      <c r="AJ232" s="47"/>
      <c r="AK232" s="47"/>
      <c r="AL232" s="47"/>
      <c r="AM232" s="47"/>
      <c r="AN232" s="47"/>
      <c r="AO232" s="47"/>
      <c r="AP232" s="47"/>
      <c r="AQ232" s="47"/>
      <c r="AR232" s="47"/>
      <c r="AS232" s="47"/>
      <c r="AT232" s="47"/>
      <c r="AU232" s="47"/>
      <c r="AV232" s="47"/>
      <c r="AW232" s="47"/>
      <c r="AX232" s="47"/>
      <c r="AY232" s="47"/>
      <c r="AZ232" s="47"/>
      <c r="BA232" s="47"/>
      <c r="BB232" s="47"/>
      <c r="BC232" s="47"/>
      <c r="BD232" s="47"/>
      <c r="BE232" s="47"/>
      <c r="BF232" s="47"/>
      <c r="BG232" s="47"/>
      <c r="BH232" s="47"/>
      <c r="BI232" s="47"/>
      <c r="BJ232" s="47"/>
      <c r="BK232" s="47"/>
      <c r="BL232" s="47"/>
      <c r="BM232" s="47"/>
      <c r="BN232" s="47"/>
      <c r="BO232" s="47"/>
      <c r="BP232" s="47"/>
      <c r="BQ232" s="47"/>
      <c r="BR232" s="47"/>
      <c r="BS232" s="47"/>
      <c r="BT232" s="47"/>
      <c r="BU232" s="47"/>
      <c r="BV232" s="47"/>
      <c r="BW232" s="47"/>
      <c r="BX232" s="47"/>
      <c r="BY232" s="47"/>
      <c r="BZ232" s="47"/>
    </row>
    <row r="233" spans="1:78" ht="13">
      <c r="A233" s="48" t="str">
        <f ca="1">'.'!A233</f>
        <v>High Quality Shadow Essence</v>
      </c>
      <c r="B233" s="46" t="str">
        <f t="array" aca="1" ref="B233" ca="1">IF('.'!B233="","",'.'!B233&amp;IF(VLOOKUP('.'!B233,Recipes!$A:$D,4,FALSE)="",""," ["&amp;VLOOKUP('.'!B233,Recipes!$A:$D,4,FALSE)&amp;"]"))</f>
        <v>Bone Cage Scroll [139]</v>
      </c>
      <c r="C233" s="46" t="str">
        <f t="array" aca="1" ref="C233" ca="1">IF('.'!C233="","",'.'!C233&amp;IF(VLOOKUP('.'!C233,Recipes!$A:$D,4,FALSE)="",""," ["&amp;VLOOKUP('.'!C233,Recipes!$A:$D,4,FALSE)&amp;"]"))</f>
        <v>Grasp of the Starved Scroll [-1156]</v>
      </c>
      <c r="D233" s="46" t="str">
        <f t="array" aca="1" ref="D233" ca="1">IF('.'!D233="","",'.'!D233&amp;IF(VLOOKUP('.'!D233,Recipes!$A:$D,4,FALSE)="",""," ["&amp;VLOOKUP('.'!D233,Recipes!$A:$D,4,FALSE)&amp;"]"))</f>
        <v>Living on the Edge Scroll [137]</v>
      </c>
      <c r="E233" s="46" t="str">
        <f t="array" aca="1" ref="E233" ca="1">IF('.'!E233="","",'.'!E233&amp;IF(VLOOKUP('.'!E233,Recipes!$A:$D,4,FALSE)="",""," ["&amp;VLOOKUP('.'!E233,Recipes!$A:$D,4,FALSE)&amp;"]"))</f>
        <v>Raise Bone Widow Scroll [60]</v>
      </c>
      <c r="F233" s="46" t="str">
        <f t="array" ref="F233">IF('.'!F233="","",'.'!F233&amp;IF(VLOOKUP('.'!F233,Recipes!$A:$D,4,FALSE)="",""," ["&amp;VLOOKUP('.'!F233,Recipes!$A:$D,4,FALSE)&amp;"]"))</f>
        <v/>
      </c>
      <c r="G233" s="46" t="str">
        <f t="array" ref="G233">IF('.'!G233="","",'.'!G233&amp;IF(VLOOKUP('.'!G233,Recipes!$A:$D,4,FALSE)="",""," ["&amp;VLOOKUP('.'!G233,Recipes!$A:$D,4,FALSE)&amp;"]"))</f>
        <v/>
      </c>
      <c r="H233" s="46" t="str">
        <f t="array" ref="H233">IF('.'!H233="","",'.'!H233&amp;IF(VLOOKUP('.'!H233,Recipes!$A:$D,4,FALSE)="",""," ["&amp;VLOOKUP('.'!H233,Recipes!$A:$D,4,FALSE)&amp;"]"))</f>
        <v/>
      </c>
      <c r="I233" s="46" t="str">
        <f t="array" ref="I233">IF('.'!I233="","",'.'!I233&amp;IF(VLOOKUP('.'!I233,Recipes!$A:$D,4,FALSE)="",""," ["&amp;VLOOKUP('.'!I233,Recipes!$A:$D,4,FALSE)&amp;"]"))</f>
        <v/>
      </c>
      <c r="J233" s="46" t="str">
        <f t="array" ref="J233">IF('.'!J233="","",'.'!J233&amp;IF(VLOOKUP('.'!J233,Recipes!$A:$D,4,FALSE)="",""," ["&amp;VLOOKUP('.'!J233,Recipes!$A:$D,4,FALSE)&amp;"]"))</f>
        <v/>
      </c>
      <c r="K233" s="46" t="str">
        <f t="array" ref="K233">IF('.'!K233="","",'.'!K233&amp;IF(VLOOKUP('.'!K233,Recipes!$A:$D,4,FALSE)="",""," ["&amp;VLOOKUP('.'!K233,Recipes!$A:$D,4,FALSE)&amp;"]"))</f>
        <v/>
      </c>
      <c r="L233" s="46" t="str">
        <f t="array" ref="L233">IF('.'!L233="","",'.'!L233&amp;IF(VLOOKUP('.'!L233,Recipes!$A:$D,4,FALSE)="",""," ["&amp;VLOOKUP('.'!L233,Recipes!$A:$D,4,FALSE)&amp;"]"))</f>
        <v/>
      </c>
      <c r="M233" s="46" t="str">
        <f t="array" ref="M233">IF('.'!M233="","",'.'!M233&amp;IF(VLOOKUP('.'!M233,Recipes!$A:$D,4,FALSE)="",""," ["&amp;VLOOKUP('.'!M233,Recipes!$A:$D,4,FALSE)&amp;"]"))</f>
        <v/>
      </c>
      <c r="N233" s="46" t="str">
        <f t="array" ref="N233">IF('.'!N233="","",'.'!N233&amp;IF(VLOOKUP('.'!N233,Recipes!$A:$D,4,FALSE)="",""," ["&amp;VLOOKUP('.'!N233,Recipes!$A:$D,4,FALSE)&amp;"]"))</f>
        <v/>
      </c>
      <c r="O233" s="46" t="str">
        <f t="array" ref="O233">IF('.'!O233="","",'.'!O233&amp;IF(VLOOKUP('.'!O233,Recipes!$A:$D,4,FALSE)="",""," ["&amp;VLOOKUP('.'!O233,Recipes!$A:$D,4,FALSE)&amp;"]"))</f>
        <v/>
      </c>
      <c r="P233" s="46" t="str">
        <f t="array" ref="P233">IF('.'!P233="","",'.'!P233&amp;IF(VLOOKUP('.'!P233,Recipes!$A:$D,4,FALSE)="",""," ["&amp;VLOOKUP('.'!P233,Recipes!$A:$D,4,FALSE)&amp;"]"))</f>
        <v/>
      </c>
      <c r="Q233" s="46" t="str">
        <f t="array" ref="Q233">IF('.'!Q233="","",'.'!Q233&amp;IF(VLOOKUP('.'!Q233,Recipes!$A:$D,4,FALSE)="",""," ["&amp;VLOOKUP('.'!Q233,Recipes!$A:$D,4,FALSE)&amp;"]"))</f>
        <v/>
      </c>
      <c r="R233" s="46" t="str">
        <f t="array" ref="R233">IF('.'!R233="","",'.'!R233&amp;IF(VLOOKUP('.'!R233,Recipes!$A:$D,4,FALSE)="",""," ["&amp;VLOOKUP('.'!R233,Recipes!$A:$D,4,FALSE)&amp;"]"))</f>
        <v/>
      </c>
      <c r="S233" s="46" t="str">
        <f t="array" ref="S233">IF('.'!S233="","",'.'!S233&amp;IF(VLOOKUP('.'!S233,Recipes!$A:$D,4,FALSE)="",""," ["&amp;VLOOKUP('.'!S233,Recipes!$A:$D,4,FALSE)&amp;"]"))</f>
        <v/>
      </c>
      <c r="T233" s="46" t="str">
        <f t="array" ref="T233">IF('.'!T233="","",'.'!T233&amp;IF(VLOOKUP('.'!T233,Recipes!$A:$D,4,FALSE)="",""," ["&amp;VLOOKUP('.'!T233,Recipes!$A:$D,4,FALSE)&amp;"]"))</f>
        <v/>
      </c>
      <c r="U233" s="46" t="str">
        <f t="array" ref="U233">IF('.'!U233="","",'.'!U233&amp;IF(VLOOKUP('.'!U233,Recipes!$A:$D,4,FALSE)="",""," ["&amp;VLOOKUP('.'!U233,Recipes!$A:$D,4,FALSE)&amp;"]"))</f>
        <v/>
      </c>
      <c r="V233" s="46" t="str">
        <f t="array" ref="V233">IF('.'!V233="","",'.'!V233&amp;IF(VLOOKUP('.'!V233,Recipes!$A:$D,4,FALSE)="",""," ["&amp;VLOOKUP('.'!V233,Recipes!$A:$D,4,FALSE)&amp;"]"))</f>
        <v/>
      </c>
      <c r="W233" s="46" t="str">
        <f t="array" ref="W233">IF('.'!W233="","",'.'!W233&amp;IF(VLOOKUP('.'!W233,Recipes!$A:$D,4,FALSE)="",""," ["&amp;VLOOKUP('.'!W233,Recipes!$A:$D,4,FALSE)&amp;"]"))</f>
        <v/>
      </c>
      <c r="X233" s="46" t="str">
        <f t="array" ref="X233">IF('.'!X233="","",'.'!X233&amp;IF(VLOOKUP('.'!X233,Recipes!$A:$D,4,FALSE)="",""," ["&amp;VLOOKUP('.'!X233,Recipes!$A:$D,4,FALSE)&amp;"]"))</f>
        <v/>
      </c>
      <c r="Y233" s="46" t="str">
        <f t="array" ref="Y233">IF('.'!Y233="","",'.'!Y233&amp;IF(VLOOKUP('.'!Y233,Recipes!$A:$D,4,FALSE)="",""," ["&amp;VLOOKUP('.'!Y233,Recipes!$A:$D,4,FALSE)&amp;"]"))</f>
        <v/>
      </c>
      <c r="Z233" s="46" t="str">
        <f t="array" ref="Z233">IF('.'!Z233="","",'.'!Z233&amp;IF(VLOOKUP('.'!Z233,Recipes!$A:$D,4,FALSE)="",""," ["&amp;VLOOKUP('.'!Z233,Recipes!$A:$D,4,FALSE)&amp;"]"))</f>
        <v/>
      </c>
      <c r="AA233" s="46" t="str">
        <f t="array" ref="AA233">IF('.'!AA233="","",'.'!AA233&amp;IF(VLOOKUP('.'!AA233,Recipes!$A:$D,4,FALSE)="",""," ["&amp;VLOOKUP('.'!AA233,Recipes!$A:$D,4,FALSE)&amp;"]"))</f>
        <v/>
      </c>
      <c r="AB233" s="46" t="str">
        <f t="array" ref="AB233">IF('.'!AB233="","",'.'!AB233&amp;IF(VLOOKUP('.'!AB233,Recipes!$A:$D,4,FALSE)="",""," ["&amp;VLOOKUP('.'!AB233,Recipes!$A:$D,4,FALSE)&amp;"]"))</f>
        <v/>
      </c>
      <c r="AC233" s="46" t="str">
        <f t="array" ref="AC233">IF('.'!AC233="","",'.'!AC233&amp;IF(VLOOKUP('.'!AC233,Recipes!$A:$D,4,FALSE)="",""," ["&amp;VLOOKUP('.'!AC233,Recipes!$A:$D,4,FALSE)&amp;"]"))</f>
        <v/>
      </c>
      <c r="AD233" s="46" t="str">
        <f t="array" ref="AD233">IF('.'!AD233="","",'.'!AD233&amp;IF(VLOOKUP('.'!AD233,Recipes!$A:$D,4,FALSE)="",""," ["&amp;VLOOKUP('.'!AD233,Recipes!$A:$D,4,FALSE)&amp;"]"))</f>
        <v/>
      </c>
      <c r="AE233" s="47"/>
      <c r="AF233" s="47"/>
      <c r="AG233" s="47"/>
      <c r="AH233" s="47"/>
      <c r="AI233" s="47"/>
      <c r="AJ233" s="47"/>
      <c r="AK233" s="47"/>
      <c r="AL233" s="47"/>
      <c r="AM233" s="47"/>
      <c r="AN233" s="47"/>
      <c r="AO233" s="47"/>
      <c r="AP233" s="47"/>
      <c r="AQ233" s="47"/>
      <c r="AR233" s="47"/>
      <c r="AS233" s="47"/>
      <c r="AT233" s="47"/>
      <c r="AU233" s="47"/>
      <c r="AV233" s="47"/>
      <c r="AW233" s="47"/>
      <c r="AX233" s="47"/>
      <c r="AY233" s="47"/>
      <c r="AZ233" s="47"/>
      <c r="BA233" s="47"/>
      <c r="BB233" s="47"/>
      <c r="BC233" s="47"/>
      <c r="BD233" s="47"/>
      <c r="BE233" s="47"/>
      <c r="BF233" s="47"/>
      <c r="BG233" s="47"/>
      <c r="BH233" s="47"/>
      <c r="BI233" s="47"/>
      <c r="BJ233" s="47"/>
      <c r="BK233" s="47"/>
      <c r="BL233" s="47"/>
      <c r="BM233" s="47"/>
      <c r="BN233" s="47"/>
      <c r="BO233" s="47"/>
      <c r="BP233" s="47"/>
      <c r="BQ233" s="47"/>
      <c r="BR233" s="47"/>
      <c r="BS233" s="47"/>
      <c r="BT233" s="47"/>
      <c r="BU233" s="47"/>
      <c r="BV233" s="47"/>
      <c r="BW233" s="47"/>
      <c r="BX233" s="47"/>
      <c r="BY233" s="47"/>
      <c r="BZ233" s="47"/>
    </row>
    <row r="234" spans="1:78" ht="13">
      <c r="A234" s="48" t="str">
        <f ca="1">'.'!A234</f>
        <v>High Quality Tormented Soul</v>
      </c>
      <c r="B234" s="46" t="str">
        <f t="array" aca="1" ref="B234" ca="1">IF('.'!B234="","",'.'!B234&amp;IF(VLOOKUP('.'!B234,Recipes!$A:$D,4,FALSE)="",""," ["&amp;VLOOKUP('.'!B234,Recipes!$A:$D,4,FALSE)&amp;"]"))</f>
        <v>Curse Scroll [279]</v>
      </c>
      <c r="C234" s="46" t="str">
        <f t="array" aca="1" ref="C234" ca="1">IF('.'!C234="","",'.'!C234&amp;IF(VLOOKUP('.'!C234,Recipes!$A:$D,4,FALSE)="",""," ["&amp;VLOOKUP('.'!C234,Recipes!$A:$D,4,FALSE)&amp;"]"))</f>
        <v>Soul Mate Scroll [137]</v>
      </c>
      <c r="D234" s="46" t="str">
        <f t="array" ref="D234">IF('.'!D234="","",'.'!D234&amp;IF(VLOOKUP('.'!D234,Recipes!$A:$D,4,FALSE)="",""," ["&amp;VLOOKUP('.'!D234,Recipes!$A:$D,4,FALSE)&amp;"]"))</f>
        <v/>
      </c>
      <c r="E234" s="46" t="str">
        <f t="array" ref="E234">IF('.'!E234="","",'.'!E234&amp;IF(VLOOKUP('.'!E234,Recipes!$A:$D,4,FALSE)="",""," ["&amp;VLOOKUP('.'!E234,Recipes!$A:$D,4,FALSE)&amp;"]"))</f>
        <v/>
      </c>
      <c r="F234" s="46" t="str">
        <f t="array" ref="F234">IF('.'!F234="","",'.'!F234&amp;IF(VLOOKUP('.'!F234,Recipes!$A:$D,4,FALSE)="",""," ["&amp;VLOOKUP('.'!F234,Recipes!$A:$D,4,FALSE)&amp;"]"))</f>
        <v/>
      </c>
      <c r="G234" s="46" t="str">
        <f t="array" ref="G234">IF('.'!G234="","",'.'!G234&amp;IF(VLOOKUP('.'!G234,Recipes!$A:$D,4,FALSE)="",""," ["&amp;VLOOKUP('.'!G234,Recipes!$A:$D,4,FALSE)&amp;"]"))</f>
        <v/>
      </c>
      <c r="H234" s="46" t="str">
        <f t="array" ref="H234">IF('.'!H234="","",'.'!H234&amp;IF(VLOOKUP('.'!H234,Recipes!$A:$D,4,FALSE)="",""," ["&amp;VLOOKUP('.'!H234,Recipes!$A:$D,4,FALSE)&amp;"]"))</f>
        <v/>
      </c>
      <c r="I234" s="46" t="str">
        <f t="array" ref="I234">IF('.'!I234="","",'.'!I234&amp;IF(VLOOKUP('.'!I234,Recipes!$A:$D,4,FALSE)="",""," ["&amp;VLOOKUP('.'!I234,Recipes!$A:$D,4,FALSE)&amp;"]"))</f>
        <v/>
      </c>
      <c r="J234" s="46" t="str">
        <f t="array" ref="J234">IF('.'!J234="","",'.'!J234&amp;IF(VLOOKUP('.'!J234,Recipes!$A:$D,4,FALSE)="",""," ["&amp;VLOOKUP('.'!J234,Recipes!$A:$D,4,FALSE)&amp;"]"))</f>
        <v/>
      </c>
      <c r="K234" s="46" t="str">
        <f t="array" ref="K234">IF('.'!K234="","",'.'!K234&amp;IF(VLOOKUP('.'!K234,Recipes!$A:$D,4,FALSE)="",""," ["&amp;VLOOKUP('.'!K234,Recipes!$A:$D,4,FALSE)&amp;"]"))</f>
        <v/>
      </c>
      <c r="L234" s="46" t="str">
        <f t="array" ref="L234">IF('.'!L234="","",'.'!L234&amp;IF(VLOOKUP('.'!L234,Recipes!$A:$D,4,FALSE)="",""," ["&amp;VLOOKUP('.'!L234,Recipes!$A:$D,4,FALSE)&amp;"]"))</f>
        <v/>
      </c>
      <c r="M234" s="46" t="str">
        <f t="array" ref="M234">IF('.'!M234="","",'.'!M234&amp;IF(VLOOKUP('.'!M234,Recipes!$A:$D,4,FALSE)="",""," ["&amp;VLOOKUP('.'!M234,Recipes!$A:$D,4,FALSE)&amp;"]"))</f>
        <v/>
      </c>
      <c r="N234" s="46" t="str">
        <f t="array" ref="N234">IF('.'!N234="","",'.'!N234&amp;IF(VLOOKUP('.'!N234,Recipes!$A:$D,4,FALSE)="",""," ["&amp;VLOOKUP('.'!N234,Recipes!$A:$D,4,FALSE)&amp;"]"))</f>
        <v/>
      </c>
      <c r="O234" s="46" t="str">
        <f t="array" ref="O234">IF('.'!O234="","",'.'!O234&amp;IF(VLOOKUP('.'!O234,Recipes!$A:$D,4,FALSE)="",""," ["&amp;VLOOKUP('.'!O234,Recipes!$A:$D,4,FALSE)&amp;"]"))</f>
        <v/>
      </c>
      <c r="P234" s="46" t="str">
        <f t="array" ref="P234">IF('.'!P234="","",'.'!P234&amp;IF(VLOOKUP('.'!P234,Recipes!$A:$D,4,FALSE)="",""," ["&amp;VLOOKUP('.'!P234,Recipes!$A:$D,4,FALSE)&amp;"]"))</f>
        <v/>
      </c>
      <c r="Q234" s="46" t="str">
        <f t="array" ref="Q234">IF('.'!Q234="","",'.'!Q234&amp;IF(VLOOKUP('.'!Q234,Recipes!$A:$D,4,FALSE)="",""," ["&amp;VLOOKUP('.'!Q234,Recipes!$A:$D,4,FALSE)&amp;"]"))</f>
        <v/>
      </c>
      <c r="R234" s="46" t="str">
        <f t="array" ref="R234">IF('.'!R234="","",'.'!R234&amp;IF(VLOOKUP('.'!R234,Recipes!$A:$D,4,FALSE)="",""," ["&amp;VLOOKUP('.'!R234,Recipes!$A:$D,4,FALSE)&amp;"]"))</f>
        <v/>
      </c>
      <c r="S234" s="46" t="str">
        <f t="array" ref="S234">IF('.'!S234="","",'.'!S234&amp;IF(VLOOKUP('.'!S234,Recipes!$A:$D,4,FALSE)="",""," ["&amp;VLOOKUP('.'!S234,Recipes!$A:$D,4,FALSE)&amp;"]"))</f>
        <v/>
      </c>
      <c r="T234" s="46" t="str">
        <f t="array" ref="T234">IF('.'!T234="","",'.'!T234&amp;IF(VLOOKUP('.'!T234,Recipes!$A:$D,4,FALSE)="",""," ["&amp;VLOOKUP('.'!T234,Recipes!$A:$D,4,FALSE)&amp;"]"))</f>
        <v/>
      </c>
      <c r="U234" s="46" t="str">
        <f t="array" ref="U234">IF('.'!U234="","",'.'!U234&amp;IF(VLOOKUP('.'!U234,Recipes!$A:$D,4,FALSE)="",""," ["&amp;VLOOKUP('.'!U234,Recipes!$A:$D,4,FALSE)&amp;"]"))</f>
        <v/>
      </c>
      <c r="V234" s="46" t="str">
        <f t="array" ref="V234">IF('.'!V234="","",'.'!V234&amp;IF(VLOOKUP('.'!V234,Recipes!$A:$D,4,FALSE)="",""," ["&amp;VLOOKUP('.'!V234,Recipes!$A:$D,4,FALSE)&amp;"]"))</f>
        <v/>
      </c>
      <c r="W234" s="46" t="str">
        <f t="array" ref="W234">IF('.'!W234="","",'.'!W234&amp;IF(VLOOKUP('.'!W234,Recipes!$A:$D,4,FALSE)="",""," ["&amp;VLOOKUP('.'!W234,Recipes!$A:$D,4,FALSE)&amp;"]"))</f>
        <v/>
      </c>
      <c r="X234" s="46" t="str">
        <f t="array" ref="X234">IF('.'!X234="","",'.'!X234&amp;IF(VLOOKUP('.'!X234,Recipes!$A:$D,4,FALSE)="",""," ["&amp;VLOOKUP('.'!X234,Recipes!$A:$D,4,FALSE)&amp;"]"))</f>
        <v/>
      </c>
      <c r="Y234" s="46" t="str">
        <f t="array" ref="Y234">IF('.'!Y234="","",'.'!Y234&amp;IF(VLOOKUP('.'!Y234,Recipes!$A:$D,4,FALSE)="",""," ["&amp;VLOOKUP('.'!Y234,Recipes!$A:$D,4,FALSE)&amp;"]"))</f>
        <v/>
      </c>
      <c r="Z234" s="46" t="str">
        <f t="array" ref="Z234">IF('.'!Z234="","",'.'!Z234&amp;IF(VLOOKUP('.'!Z234,Recipes!$A:$D,4,FALSE)="",""," ["&amp;VLOOKUP('.'!Z234,Recipes!$A:$D,4,FALSE)&amp;"]"))</f>
        <v/>
      </c>
      <c r="AA234" s="46" t="str">
        <f t="array" ref="AA234">IF('.'!AA234="","",'.'!AA234&amp;IF(VLOOKUP('.'!AA234,Recipes!$A:$D,4,FALSE)="",""," ["&amp;VLOOKUP('.'!AA234,Recipes!$A:$D,4,FALSE)&amp;"]"))</f>
        <v/>
      </c>
      <c r="AB234" s="46" t="str">
        <f t="array" ref="AB234">IF('.'!AB234="","",'.'!AB234&amp;IF(VLOOKUP('.'!AB234,Recipes!$A:$D,4,FALSE)="",""," ["&amp;VLOOKUP('.'!AB234,Recipes!$A:$D,4,FALSE)&amp;"]"))</f>
        <v/>
      </c>
      <c r="AC234" s="46" t="str">
        <f t="array" ref="AC234">IF('.'!AC234="","",'.'!AC234&amp;IF(VLOOKUP('.'!AC234,Recipes!$A:$D,4,FALSE)="",""," ["&amp;VLOOKUP('.'!AC234,Recipes!$A:$D,4,FALSE)&amp;"]"))</f>
        <v/>
      </c>
      <c r="AD234" s="46" t="str">
        <f t="array" ref="AD234">IF('.'!AD234="","",'.'!AD234&amp;IF(VLOOKUP('.'!AD234,Recipes!$A:$D,4,FALSE)="",""," ["&amp;VLOOKUP('.'!AD234,Recipes!$A:$D,4,FALSE)&amp;"]"))</f>
        <v/>
      </c>
      <c r="AE234" s="47"/>
      <c r="AF234" s="47"/>
      <c r="AG234" s="47"/>
      <c r="AH234" s="47"/>
      <c r="AI234" s="47"/>
      <c r="AJ234" s="47"/>
      <c r="AK234" s="47"/>
      <c r="AL234" s="47"/>
      <c r="AM234" s="47"/>
      <c r="AN234" s="47"/>
      <c r="AO234" s="47"/>
      <c r="AP234" s="47"/>
      <c r="AQ234" s="47"/>
      <c r="AR234" s="47"/>
      <c r="AS234" s="47"/>
      <c r="AT234" s="47"/>
      <c r="AU234" s="47"/>
      <c r="AV234" s="47"/>
      <c r="AW234" s="47"/>
      <c r="AX234" s="47"/>
      <c r="AY234" s="47"/>
      <c r="AZ234" s="47"/>
      <c r="BA234" s="47"/>
      <c r="BB234" s="47"/>
      <c r="BC234" s="47"/>
      <c r="BD234" s="47"/>
      <c r="BE234" s="47"/>
      <c r="BF234" s="47"/>
      <c r="BG234" s="47"/>
      <c r="BH234" s="47"/>
      <c r="BI234" s="47"/>
      <c r="BJ234" s="47"/>
      <c r="BK234" s="47"/>
      <c r="BL234" s="47"/>
      <c r="BM234" s="47"/>
      <c r="BN234" s="47"/>
      <c r="BO234" s="47"/>
      <c r="BP234" s="47"/>
      <c r="BQ234" s="47"/>
      <c r="BR234" s="47"/>
      <c r="BS234" s="47"/>
      <c r="BT234" s="47"/>
      <c r="BU234" s="47"/>
      <c r="BV234" s="47"/>
      <c r="BW234" s="47"/>
      <c r="BX234" s="47"/>
      <c r="BY234" s="47"/>
      <c r="BZ234" s="47"/>
    </row>
    <row r="235" spans="1:78" ht="13">
      <c r="A235" s="48" t="str">
        <f ca="1">'.'!A235</f>
        <v>High Quality Water Essence</v>
      </c>
      <c r="B235" s="46" t="str">
        <f t="array" aca="1" ref="B235" ca="1">IF('.'!B235="","",'.'!B235&amp;IF(VLOOKUP('.'!B235,Recipes!$A:$D,4,FALSE)="",""," ["&amp;VLOOKUP('.'!B235,Recipes!$A:$D,4,FALSE)&amp;"]"))</f>
        <v>Hail Strike Scroll [113]</v>
      </c>
      <c r="C235" s="46" t="str">
        <f t="array" aca="1" ref="C235" ca="1">IF('.'!C235="","",'.'!C235&amp;IF(VLOOKUP('.'!C235,Recipes!$A:$D,4,FALSE)="",""," ["&amp;VLOOKUP('.'!C235,Recipes!$A:$D,4,FALSE)&amp;"]"))</f>
        <v>Healing Ritual Scroll [40]</v>
      </c>
      <c r="D235" s="46" t="str">
        <f t="array" ref="D235">IF('.'!D235="","",'.'!D235&amp;IF(VLOOKUP('.'!D235,Recipes!$A:$D,4,FALSE)="",""," ["&amp;VLOOKUP('.'!D235,Recipes!$A:$D,4,FALSE)&amp;"]"))</f>
        <v/>
      </c>
      <c r="E235" s="46" t="str">
        <f t="array" ref="E235">IF('.'!E235="","",'.'!E235&amp;IF(VLOOKUP('.'!E235,Recipes!$A:$D,4,FALSE)="",""," ["&amp;VLOOKUP('.'!E235,Recipes!$A:$D,4,FALSE)&amp;"]"))</f>
        <v/>
      </c>
      <c r="F235" s="46" t="str">
        <f t="array" ref="F235">IF('.'!F235="","",'.'!F235&amp;IF(VLOOKUP('.'!F235,Recipes!$A:$D,4,FALSE)="",""," ["&amp;VLOOKUP('.'!F235,Recipes!$A:$D,4,FALSE)&amp;"]"))</f>
        <v/>
      </c>
      <c r="G235" s="46" t="str">
        <f t="array" ref="G235">IF('.'!G235="","",'.'!G235&amp;IF(VLOOKUP('.'!G235,Recipes!$A:$D,4,FALSE)="",""," ["&amp;VLOOKUP('.'!G235,Recipes!$A:$D,4,FALSE)&amp;"]"))</f>
        <v/>
      </c>
      <c r="H235" s="46" t="str">
        <f t="array" ref="H235">IF('.'!H235="","",'.'!H235&amp;IF(VLOOKUP('.'!H235,Recipes!$A:$D,4,FALSE)="",""," ["&amp;VLOOKUP('.'!H235,Recipes!$A:$D,4,FALSE)&amp;"]"))</f>
        <v/>
      </c>
      <c r="I235" s="46" t="str">
        <f t="array" ref="I235">IF('.'!I235="","",'.'!I235&amp;IF(VLOOKUP('.'!I235,Recipes!$A:$D,4,FALSE)="",""," ["&amp;VLOOKUP('.'!I235,Recipes!$A:$D,4,FALSE)&amp;"]"))</f>
        <v/>
      </c>
      <c r="J235" s="46" t="str">
        <f t="array" ref="J235">IF('.'!J235="","",'.'!J235&amp;IF(VLOOKUP('.'!J235,Recipes!$A:$D,4,FALSE)="",""," ["&amp;VLOOKUP('.'!J235,Recipes!$A:$D,4,FALSE)&amp;"]"))</f>
        <v/>
      </c>
      <c r="K235" s="46" t="str">
        <f t="array" ref="K235">IF('.'!K235="","",'.'!K235&amp;IF(VLOOKUP('.'!K235,Recipes!$A:$D,4,FALSE)="",""," ["&amp;VLOOKUP('.'!K235,Recipes!$A:$D,4,FALSE)&amp;"]"))</f>
        <v/>
      </c>
      <c r="L235" s="46" t="str">
        <f t="array" ref="L235">IF('.'!L235="","",'.'!L235&amp;IF(VLOOKUP('.'!L235,Recipes!$A:$D,4,FALSE)="",""," ["&amp;VLOOKUP('.'!L235,Recipes!$A:$D,4,FALSE)&amp;"]"))</f>
        <v/>
      </c>
      <c r="M235" s="46" t="str">
        <f t="array" ref="M235">IF('.'!M235="","",'.'!M235&amp;IF(VLOOKUP('.'!M235,Recipes!$A:$D,4,FALSE)="",""," ["&amp;VLOOKUP('.'!M235,Recipes!$A:$D,4,FALSE)&amp;"]"))</f>
        <v/>
      </c>
      <c r="N235" s="46" t="str">
        <f t="array" ref="N235">IF('.'!N235="","",'.'!N235&amp;IF(VLOOKUP('.'!N235,Recipes!$A:$D,4,FALSE)="",""," ["&amp;VLOOKUP('.'!N235,Recipes!$A:$D,4,FALSE)&amp;"]"))</f>
        <v/>
      </c>
      <c r="O235" s="46" t="str">
        <f t="array" ref="O235">IF('.'!O235="","",'.'!O235&amp;IF(VLOOKUP('.'!O235,Recipes!$A:$D,4,FALSE)="",""," ["&amp;VLOOKUP('.'!O235,Recipes!$A:$D,4,FALSE)&amp;"]"))</f>
        <v/>
      </c>
      <c r="P235" s="46" t="str">
        <f t="array" ref="P235">IF('.'!P235="","",'.'!P235&amp;IF(VLOOKUP('.'!P235,Recipes!$A:$D,4,FALSE)="",""," ["&amp;VLOOKUP('.'!P235,Recipes!$A:$D,4,FALSE)&amp;"]"))</f>
        <v/>
      </c>
      <c r="Q235" s="46" t="str">
        <f t="array" ref="Q235">IF('.'!Q235="","",'.'!Q235&amp;IF(VLOOKUP('.'!Q235,Recipes!$A:$D,4,FALSE)="",""," ["&amp;VLOOKUP('.'!Q235,Recipes!$A:$D,4,FALSE)&amp;"]"))</f>
        <v/>
      </c>
      <c r="R235" s="46" t="str">
        <f t="array" ref="R235">IF('.'!R235="","",'.'!R235&amp;IF(VLOOKUP('.'!R235,Recipes!$A:$D,4,FALSE)="",""," ["&amp;VLOOKUP('.'!R235,Recipes!$A:$D,4,FALSE)&amp;"]"))</f>
        <v/>
      </c>
      <c r="S235" s="46" t="str">
        <f t="array" ref="S235">IF('.'!S235="","",'.'!S235&amp;IF(VLOOKUP('.'!S235,Recipes!$A:$D,4,FALSE)="",""," ["&amp;VLOOKUP('.'!S235,Recipes!$A:$D,4,FALSE)&amp;"]"))</f>
        <v/>
      </c>
      <c r="T235" s="46" t="str">
        <f t="array" ref="T235">IF('.'!T235="","",'.'!T235&amp;IF(VLOOKUP('.'!T235,Recipes!$A:$D,4,FALSE)="",""," ["&amp;VLOOKUP('.'!T235,Recipes!$A:$D,4,FALSE)&amp;"]"))</f>
        <v/>
      </c>
      <c r="U235" s="46" t="str">
        <f t="array" ref="U235">IF('.'!U235="","",'.'!U235&amp;IF(VLOOKUP('.'!U235,Recipes!$A:$D,4,FALSE)="",""," ["&amp;VLOOKUP('.'!U235,Recipes!$A:$D,4,FALSE)&amp;"]"))</f>
        <v/>
      </c>
      <c r="V235" s="46" t="str">
        <f t="array" ref="V235">IF('.'!V235="","",'.'!V235&amp;IF(VLOOKUP('.'!V235,Recipes!$A:$D,4,FALSE)="",""," ["&amp;VLOOKUP('.'!V235,Recipes!$A:$D,4,FALSE)&amp;"]"))</f>
        <v/>
      </c>
      <c r="W235" s="46" t="str">
        <f t="array" ref="W235">IF('.'!W235="","",'.'!W235&amp;IF(VLOOKUP('.'!W235,Recipes!$A:$D,4,FALSE)="",""," ["&amp;VLOOKUP('.'!W235,Recipes!$A:$D,4,FALSE)&amp;"]"))</f>
        <v/>
      </c>
      <c r="X235" s="46" t="str">
        <f t="array" ref="X235">IF('.'!X235="","",'.'!X235&amp;IF(VLOOKUP('.'!X235,Recipes!$A:$D,4,FALSE)="",""," ["&amp;VLOOKUP('.'!X235,Recipes!$A:$D,4,FALSE)&amp;"]"))</f>
        <v/>
      </c>
      <c r="Y235" s="46" t="str">
        <f t="array" ref="Y235">IF('.'!Y235="","",'.'!Y235&amp;IF(VLOOKUP('.'!Y235,Recipes!$A:$D,4,FALSE)="",""," ["&amp;VLOOKUP('.'!Y235,Recipes!$A:$D,4,FALSE)&amp;"]"))</f>
        <v/>
      </c>
      <c r="Z235" s="46" t="str">
        <f t="array" ref="Z235">IF('.'!Z235="","",'.'!Z235&amp;IF(VLOOKUP('.'!Z235,Recipes!$A:$D,4,FALSE)="",""," ["&amp;VLOOKUP('.'!Z235,Recipes!$A:$D,4,FALSE)&amp;"]"))</f>
        <v/>
      </c>
      <c r="AA235" s="46" t="str">
        <f t="array" ref="AA235">IF('.'!AA235="","",'.'!AA235&amp;IF(VLOOKUP('.'!AA235,Recipes!$A:$D,4,FALSE)="",""," ["&amp;VLOOKUP('.'!AA235,Recipes!$A:$D,4,FALSE)&amp;"]"))</f>
        <v/>
      </c>
      <c r="AB235" s="46" t="str">
        <f t="array" ref="AB235">IF('.'!AB235="","",'.'!AB235&amp;IF(VLOOKUP('.'!AB235,Recipes!$A:$D,4,FALSE)="",""," ["&amp;VLOOKUP('.'!AB235,Recipes!$A:$D,4,FALSE)&amp;"]"))</f>
        <v/>
      </c>
      <c r="AC235" s="46" t="str">
        <f t="array" ref="AC235">IF('.'!AC235="","",'.'!AC235&amp;IF(VLOOKUP('.'!AC235,Recipes!$A:$D,4,FALSE)="",""," ["&amp;VLOOKUP('.'!AC235,Recipes!$A:$D,4,FALSE)&amp;"]"))</f>
        <v/>
      </c>
      <c r="AD235" s="46" t="str">
        <f t="array" ref="AD235">IF('.'!AD235="","",'.'!AD235&amp;IF(VLOOKUP('.'!AD235,Recipes!$A:$D,4,FALSE)="",""," ["&amp;VLOOKUP('.'!AD235,Recipes!$A:$D,4,FALSE)&amp;"]"))</f>
        <v/>
      </c>
      <c r="AE235" s="47"/>
      <c r="AF235" s="47"/>
      <c r="AG235" s="47"/>
      <c r="AH235" s="47"/>
      <c r="AI235" s="47"/>
      <c r="AJ235" s="47"/>
      <c r="AK235" s="47"/>
      <c r="AL235" s="47"/>
      <c r="AM235" s="47"/>
      <c r="AN235" s="47"/>
      <c r="AO235" s="47"/>
      <c r="AP235" s="47"/>
      <c r="AQ235" s="47"/>
      <c r="AR235" s="47"/>
      <c r="AS235" s="47"/>
      <c r="AT235" s="47"/>
      <c r="AU235" s="47"/>
      <c r="AV235" s="47"/>
      <c r="AW235" s="47"/>
      <c r="AX235" s="47"/>
      <c r="AY235" s="47"/>
      <c r="AZ235" s="47"/>
      <c r="BA235" s="47"/>
      <c r="BB235" s="47"/>
      <c r="BC235" s="47"/>
      <c r="BD235" s="47"/>
      <c r="BE235" s="47"/>
      <c r="BF235" s="47"/>
      <c r="BG235" s="47"/>
      <c r="BH235" s="47"/>
      <c r="BI235" s="47"/>
      <c r="BJ235" s="47"/>
      <c r="BK235" s="47"/>
      <c r="BL235" s="47"/>
      <c r="BM235" s="47"/>
      <c r="BN235" s="47"/>
      <c r="BO235" s="47"/>
      <c r="BP235" s="47"/>
      <c r="BQ235" s="47"/>
      <c r="BR235" s="47"/>
      <c r="BS235" s="47"/>
      <c r="BT235" s="47"/>
      <c r="BU235" s="47"/>
      <c r="BV235" s="47"/>
      <c r="BW235" s="47"/>
      <c r="BX235" s="47"/>
      <c r="BY235" s="47"/>
      <c r="BZ235" s="47"/>
    </row>
    <row r="236" spans="1:78" ht="13">
      <c r="A236" s="48" t="str">
        <f ca="1">'.'!A236</f>
        <v>High Tier Blank Skillbook Air</v>
      </c>
      <c r="B236" s="46" t="str">
        <f t="array" aca="1" ref="B236" ca="1">IF('.'!B236="","",'.'!B236&amp;IF(VLOOKUP('.'!B236,Recipes!$A:$D,4,FALSE)="",""," ["&amp;VLOOKUP('.'!B236,Recipes!$A:$D,4,FALSE)&amp;"]"))</f>
        <v>Blinding Radiance Skillbook [-340]</v>
      </c>
      <c r="C236" s="46" t="str">
        <f t="array" aca="1" ref="C236" ca="1">IF('.'!C236="","",'.'!C236&amp;IF(VLOOKUP('.'!C236,Recipes!$A:$D,4,FALSE)="",""," ["&amp;VLOOKUP('.'!C236,Recipes!$A:$D,4,FALSE)&amp;"]"))</f>
        <v>Chain Lightning Skillbook [140]</v>
      </c>
      <c r="D236" s="46" t="str">
        <f t="array" aca="1" ref="D236" ca="1">IF('.'!D236="","",'.'!D236&amp;IF(VLOOKUP('.'!D236,Recipes!$A:$D,4,FALSE)="",""," ["&amp;VLOOKUP('.'!D236,Recipes!$A:$D,4,FALSE)&amp;"]"))</f>
        <v>Closed Circuit Skillbook [0]</v>
      </c>
      <c r="E236" s="46" t="str">
        <f t="array" aca="1" ref="E236" ca="1">IF('.'!E236="","",'.'!E236&amp;IF(VLOOKUP('.'!E236,Recipes!$A:$D,4,FALSE)="",""," ["&amp;VLOOKUP('.'!E236,Recipes!$A:$D,4,FALSE)&amp;"]"))</f>
        <v>Netherswap Skillbook [-160]</v>
      </c>
      <c r="F236" s="46" t="str">
        <f t="array" aca="1" ref="F236" ca="1">IF('.'!F236="","",'.'!F236&amp;IF(VLOOKUP('.'!F236,Recipes!$A:$D,4,FALSE)="",""," ["&amp;VLOOKUP('.'!F236,Recipes!$A:$D,4,FALSE)&amp;"]"))</f>
        <v>Superconductor Skillbook [650]</v>
      </c>
      <c r="G236" s="46" t="str">
        <f t="array" aca="1" ref="G236" ca="1">IF('.'!G236="","",'.'!G236&amp;IF(VLOOKUP('.'!G236,Recipes!$A:$D,4,FALSE)="",""," ["&amp;VLOOKUP('.'!G236,Recipes!$A:$D,4,FALSE)&amp;"]"))</f>
        <v>Thunderstorm Skillbook [2600]</v>
      </c>
      <c r="H236" s="46" t="str">
        <f t="array" aca="1" ref="H236" ca="1">IF('.'!H236="","",'.'!H236&amp;IF(VLOOKUP('.'!H236,Recipes!$A:$D,4,FALSE)="",""," ["&amp;VLOOKUP('.'!H236,Recipes!$A:$D,4,FALSE)&amp;"]"))</f>
        <v>Tornado Skillbook [740]</v>
      </c>
      <c r="I236" s="46" t="str">
        <f t="array" ref="I236">IF('.'!I236="","",'.'!I236&amp;IF(VLOOKUP('.'!I236,Recipes!$A:$D,4,FALSE)="",""," ["&amp;VLOOKUP('.'!I236,Recipes!$A:$D,4,FALSE)&amp;"]"))</f>
        <v/>
      </c>
      <c r="J236" s="46" t="str">
        <f t="array" ref="J236">IF('.'!J236="","",'.'!J236&amp;IF(VLOOKUP('.'!J236,Recipes!$A:$D,4,FALSE)="",""," ["&amp;VLOOKUP('.'!J236,Recipes!$A:$D,4,FALSE)&amp;"]"))</f>
        <v/>
      </c>
      <c r="K236" s="46" t="str">
        <f t="array" ref="K236">IF('.'!K236="","",'.'!K236&amp;IF(VLOOKUP('.'!K236,Recipes!$A:$D,4,FALSE)="",""," ["&amp;VLOOKUP('.'!K236,Recipes!$A:$D,4,FALSE)&amp;"]"))</f>
        <v/>
      </c>
      <c r="L236" s="46" t="str">
        <f t="array" ref="L236">IF('.'!L236="","",'.'!L236&amp;IF(VLOOKUP('.'!L236,Recipes!$A:$D,4,FALSE)="",""," ["&amp;VLOOKUP('.'!L236,Recipes!$A:$D,4,FALSE)&amp;"]"))</f>
        <v/>
      </c>
      <c r="M236" s="46" t="str">
        <f t="array" ref="M236">IF('.'!M236="","",'.'!M236&amp;IF(VLOOKUP('.'!M236,Recipes!$A:$D,4,FALSE)="",""," ["&amp;VLOOKUP('.'!M236,Recipes!$A:$D,4,FALSE)&amp;"]"))</f>
        <v/>
      </c>
      <c r="N236" s="46" t="str">
        <f t="array" ref="N236">IF('.'!N236="","",'.'!N236&amp;IF(VLOOKUP('.'!N236,Recipes!$A:$D,4,FALSE)="",""," ["&amp;VLOOKUP('.'!N236,Recipes!$A:$D,4,FALSE)&amp;"]"))</f>
        <v/>
      </c>
      <c r="O236" s="46" t="str">
        <f t="array" ref="O236">IF('.'!O236="","",'.'!O236&amp;IF(VLOOKUP('.'!O236,Recipes!$A:$D,4,FALSE)="",""," ["&amp;VLOOKUP('.'!O236,Recipes!$A:$D,4,FALSE)&amp;"]"))</f>
        <v/>
      </c>
      <c r="P236" s="46" t="str">
        <f t="array" ref="P236">IF('.'!P236="","",'.'!P236&amp;IF(VLOOKUP('.'!P236,Recipes!$A:$D,4,FALSE)="",""," ["&amp;VLOOKUP('.'!P236,Recipes!$A:$D,4,FALSE)&amp;"]"))</f>
        <v/>
      </c>
      <c r="Q236" s="46" t="str">
        <f t="array" ref="Q236">IF('.'!Q236="","",'.'!Q236&amp;IF(VLOOKUP('.'!Q236,Recipes!$A:$D,4,FALSE)="",""," ["&amp;VLOOKUP('.'!Q236,Recipes!$A:$D,4,FALSE)&amp;"]"))</f>
        <v/>
      </c>
      <c r="R236" s="46" t="str">
        <f t="array" ref="R236">IF('.'!R236="","",'.'!R236&amp;IF(VLOOKUP('.'!R236,Recipes!$A:$D,4,FALSE)="",""," ["&amp;VLOOKUP('.'!R236,Recipes!$A:$D,4,FALSE)&amp;"]"))</f>
        <v/>
      </c>
      <c r="S236" s="46" t="str">
        <f t="array" ref="S236">IF('.'!S236="","",'.'!S236&amp;IF(VLOOKUP('.'!S236,Recipes!$A:$D,4,FALSE)="",""," ["&amp;VLOOKUP('.'!S236,Recipes!$A:$D,4,FALSE)&amp;"]"))</f>
        <v/>
      </c>
      <c r="T236" s="46" t="str">
        <f t="array" ref="T236">IF('.'!T236="","",'.'!T236&amp;IF(VLOOKUP('.'!T236,Recipes!$A:$D,4,FALSE)="",""," ["&amp;VLOOKUP('.'!T236,Recipes!$A:$D,4,FALSE)&amp;"]"))</f>
        <v/>
      </c>
      <c r="U236" s="46" t="str">
        <f t="array" ref="U236">IF('.'!U236="","",'.'!U236&amp;IF(VLOOKUP('.'!U236,Recipes!$A:$D,4,FALSE)="",""," ["&amp;VLOOKUP('.'!U236,Recipes!$A:$D,4,FALSE)&amp;"]"))</f>
        <v/>
      </c>
      <c r="V236" s="46" t="str">
        <f t="array" ref="V236">IF('.'!V236="","",'.'!V236&amp;IF(VLOOKUP('.'!V236,Recipes!$A:$D,4,FALSE)="",""," ["&amp;VLOOKUP('.'!V236,Recipes!$A:$D,4,FALSE)&amp;"]"))</f>
        <v/>
      </c>
      <c r="W236" s="46" t="str">
        <f t="array" ref="W236">IF('.'!W236="","",'.'!W236&amp;IF(VLOOKUP('.'!W236,Recipes!$A:$D,4,FALSE)="",""," ["&amp;VLOOKUP('.'!W236,Recipes!$A:$D,4,FALSE)&amp;"]"))</f>
        <v/>
      </c>
      <c r="X236" s="46" t="str">
        <f t="array" ref="X236">IF('.'!X236="","",'.'!X236&amp;IF(VLOOKUP('.'!X236,Recipes!$A:$D,4,FALSE)="",""," ["&amp;VLOOKUP('.'!X236,Recipes!$A:$D,4,FALSE)&amp;"]"))</f>
        <v/>
      </c>
      <c r="Y236" s="46" t="str">
        <f t="array" ref="Y236">IF('.'!Y236="","",'.'!Y236&amp;IF(VLOOKUP('.'!Y236,Recipes!$A:$D,4,FALSE)="",""," ["&amp;VLOOKUP('.'!Y236,Recipes!$A:$D,4,FALSE)&amp;"]"))</f>
        <v/>
      </c>
      <c r="Z236" s="46" t="str">
        <f t="array" ref="Z236">IF('.'!Z236="","",'.'!Z236&amp;IF(VLOOKUP('.'!Z236,Recipes!$A:$D,4,FALSE)="",""," ["&amp;VLOOKUP('.'!Z236,Recipes!$A:$D,4,FALSE)&amp;"]"))</f>
        <v/>
      </c>
      <c r="AA236" s="46" t="str">
        <f t="array" ref="AA236">IF('.'!AA236="","",'.'!AA236&amp;IF(VLOOKUP('.'!AA236,Recipes!$A:$D,4,FALSE)="",""," ["&amp;VLOOKUP('.'!AA236,Recipes!$A:$D,4,FALSE)&amp;"]"))</f>
        <v/>
      </c>
      <c r="AB236" s="46" t="str">
        <f t="array" ref="AB236">IF('.'!AB236="","",'.'!AB236&amp;IF(VLOOKUP('.'!AB236,Recipes!$A:$D,4,FALSE)="",""," ["&amp;VLOOKUP('.'!AB236,Recipes!$A:$D,4,FALSE)&amp;"]"))</f>
        <v/>
      </c>
      <c r="AC236" s="46" t="str">
        <f t="array" ref="AC236">IF('.'!AC236="","",'.'!AC236&amp;IF(VLOOKUP('.'!AC236,Recipes!$A:$D,4,FALSE)="",""," ["&amp;VLOOKUP('.'!AC236,Recipes!$A:$D,4,FALSE)&amp;"]"))</f>
        <v/>
      </c>
      <c r="AD236" s="46" t="str">
        <f t="array" ref="AD236">IF('.'!AD236="","",'.'!AD236&amp;IF(VLOOKUP('.'!AD236,Recipes!$A:$D,4,FALSE)="",""," ["&amp;VLOOKUP('.'!AD236,Recipes!$A:$D,4,FALSE)&amp;"]"))</f>
        <v/>
      </c>
      <c r="AE236" s="47"/>
      <c r="AF236" s="47"/>
      <c r="AG236" s="47"/>
      <c r="AH236" s="47"/>
      <c r="AI236" s="47"/>
      <c r="AJ236" s="47"/>
      <c r="AK236" s="47"/>
      <c r="AL236" s="47"/>
      <c r="AM236" s="47"/>
      <c r="AN236" s="47"/>
      <c r="AO236" s="47"/>
      <c r="AP236" s="47"/>
      <c r="AQ236" s="47"/>
      <c r="AR236" s="47"/>
      <c r="AS236" s="47"/>
      <c r="AT236" s="47"/>
      <c r="AU236" s="47"/>
      <c r="AV236" s="47"/>
      <c r="AW236" s="47"/>
      <c r="AX236" s="47"/>
      <c r="AY236" s="47"/>
      <c r="AZ236" s="47"/>
      <c r="BA236" s="47"/>
      <c r="BB236" s="47"/>
      <c r="BC236" s="47"/>
      <c r="BD236" s="47"/>
      <c r="BE236" s="47"/>
      <c r="BF236" s="47"/>
      <c r="BG236" s="47"/>
      <c r="BH236" s="47"/>
      <c r="BI236" s="47"/>
      <c r="BJ236" s="47"/>
      <c r="BK236" s="47"/>
      <c r="BL236" s="47"/>
      <c r="BM236" s="47"/>
      <c r="BN236" s="47"/>
      <c r="BO236" s="47"/>
      <c r="BP236" s="47"/>
      <c r="BQ236" s="47"/>
      <c r="BR236" s="47"/>
      <c r="BS236" s="47"/>
      <c r="BT236" s="47"/>
      <c r="BU236" s="47"/>
      <c r="BV236" s="47"/>
      <c r="BW236" s="47"/>
      <c r="BX236" s="47"/>
      <c r="BY236" s="47"/>
      <c r="BZ236" s="47"/>
    </row>
    <row r="237" spans="1:78" ht="13">
      <c r="A237" s="48" t="str">
        <f ca="1">'.'!A237</f>
        <v>High Tier Blank Skillbook Earth</v>
      </c>
      <c r="B237" s="46" t="str">
        <f t="array" aca="1" ref="B237" ca="1">IF('.'!B237="","",'.'!B237&amp;IF(VLOOKUP('.'!B237,Recipes!$A:$D,4,FALSE)="",""," ["&amp;VLOOKUP('.'!B237,Recipes!$A:$D,4,FALSE)&amp;"]"))</f>
        <v>Acid Spores Skillbook [90]</v>
      </c>
      <c r="C237" s="46" t="str">
        <f t="array" aca="1" ref="C237" ca="1">IF('.'!C237="","",'.'!C237&amp;IF(VLOOKUP('.'!C237,Recipes!$A:$D,4,FALSE)="",""," ["&amp;VLOOKUP('.'!C237,Recipes!$A:$D,4,FALSE)&amp;"]"))</f>
        <v>Living Wall Skillbook [650]</v>
      </c>
      <c r="D237" s="46" t="str">
        <f t="array" aca="1" ref="D237" ca="1">IF('.'!D237="","",'.'!D237&amp;IF(VLOOKUP('.'!D237,Recipes!$A:$D,4,FALSE)="",""," ["&amp;VLOOKUP('.'!D237,Recipes!$A:$D,4,FALSE)&amp;"]"))</f>
        <v>Pyroclastic Eruption Skillbook [2600]</v>
      </c>
      <c r="E237" s="46" t="str">
        <f t="array" aca="1" ref="E237" ca="1">IF('.'!E237="","",'.'!E237&amp;IF(VLOOKUP('.'!E237,Recipes!$A:$D,4,FALSE)="",""," ["&amp;VLOOKUP('.'!E237,Recipes!$A:$D,4,FALSE)&amp;"]"))</f>
        <v>Siphon Poison Skillbook [1000]</v>
      </c>
      <c r="F237" s="46" t="str">
        <f t="array" ref="F237">IF('.'!F237="","",'.'!F237&amp;IF(VLOOKUP('.'!F237,Recipes!$A:$D,4,FALSE)="",""," ["&amp;VLOOKUP('.'!F237,Recipes!$A:$D,4,FALSE)&amp;"]"))</f>
        <v/>
      </c>
      <c r="G237" s="46" t="str">
        <f t="array" ref="G237">IF('.'!G237="","",'.'!G237&amp;IF(VLOOKUP('.'!G237,Recipes!$A:$D,4,FALSE)="",""," ["&amp;VLOOKUP('.'!G237,Recipes!$A:$D,4,FALSE)&amp;"]"))</f>
        <v/>
      </c>
      <c r="H237" s="46" t="str">
        <f t="array" ref="H237">IF('.'!H237="","",'.'!H237&amp;IF(VLOOKUP('.'!H237,Recipes!$A:$D,4,FALSE)="",""," ["&amp;VLOOKUP('.'!H237,Recipes!$A:$D,4,FALSE)&amp;"]"))</f>
        <v/>
      </c>
      <c r="I237" s="46" t="str">
        <f t="array" ref="I237">IF('.'!I237="","",'.'!I237&amp;IF(VLOOKUP('.'!I237,Recipes!$A:$D,4,FALSE)="",""," ["&amp;VLOOKUP('.'!I237,Recipes!$A:$D,4,FALSE)&amp;"]"))</f>
        <v/>
      </c>
      <c r="J237" s="46" t="str">
        <f t="array" ref="J237">IF('.'!J237="","",'.'!J237&amp;IF(VLOOKUP('.'!J237,Recipes!$A:$D,4,FALSE)="",""," ["&amp;VLOOKUP('.'!J237,Recipes!$A:$D,4,FALSE)&amp;"]"))</f>
        <v/>
      </c>
      <c r="K237" s="46" t="str">
        <f t="array" ref="K237">IF('.'!K237="","",'.'!K237&amp;IF(VLOOKUP('.'!K237,Recipes!$A:$D,4,FALSE)="",""," ["&amp;VLOOKUP('.'!K237,Recipes!$A:$D,4,FALSE)&amp;"]"))</f>
        <v/>
      </c>
      <c r="L237" s="46" t="str">
        <f t="array" ref="L237">IF('.'!L237="","",'.'!L237&amp;IF(VLOOKUP('.'!L237,Recipes!$A:$D,4,FALSE)="",""," ["&amp;VLOOKUP('.'!L237,Recipes!$A:$D,4,FALSE)&amp;"]"))</f>
        <v/>
      </c>
      <c r="M237" s="46" t="str">
        <f t="array" ref="M237">IF('.'!M237="","",'.'!M237&amp;IF(VLOOKUP('.'!M237,Recipes!$A:$D,4,FALSE)="",""," ["&amp;VLOOKUP('.'!M237,Recipes!$A:$D,4,FALSE)&amp;"]"))</f>
        <v/>
      </c>
      <c r="N237" s="46" t="str">
        <f t="array" ref="N237">IF('.'!N237="","",'.'!N237&amp;IF(VLOOKUP('.'!N237,Recipes!$A:$D,4,FALSE)="",""," ["&amp;VLOOKUP('.'!N237,Recipes!$A:$D,4,FALSE)&amp;"]"))</f>
        <v/>
      </c>
      <c r="O237" s="46" t="str">
        <f t="array" ref="O237">IF('.'!O237="","",'.'!O237&amp;IF(VLOOKUP('.'!O237,Recipes!$A:$D,4,FALSE)="",""," ["&amp;VLOOKUP('.'!O237,Recipes!$A:$D,4,FALSE)&amp;"]"))</f>
        <v/>
      </c>
      <c r="P237" s="46" t="str">
        <f t="array" ref="P237">IF('.'!P237="","",'.'!P237&amp;IF(VLOOKUP('.'!P237,Recipes!$A:$D,4,FALSE)="",""," ["&amp;VLOOKUP('.'!P237,Recipes!$A:$D,4,FALSE)&amp;"]"))</f>
        <v/>
      </c>
      <c r="Q237" s="46" t="str">
        <f t="array" ref="Q237">IF('.'!Q237="","",'.'!Q237&amp;IF(VLOOKUP('.'!Q237,Recipes!$A:$D,4,FALSE)="",""," ["&amp;VLOOKUP('.'!Q237,Recipes!$A:$D,4,FALSE)&amp;"]"))</f>
        <v/>
      </c>
      <c r="R237" s="46" t="str">
        <f t="array" ref="R237">IF('.'!R237="","",'.'!R237&amp;IF(VLOOKUP('.'!R237,Recipes!$A:$D,4,FALSE)="",""," ["&amp;VLOOKUP('.'!R237,Recipes!$A:$D,4,FALSE)&amp;"]"))</f>
        <v/>
      </c>
      <c r="S237" s="46" t="str">
        <f t="array" ref="S237">IF('.'!S237="","",'.'!S237&amp;IF(VLOOKUP('.'!S237,Recipes!$A:$D,4,FALSE)="",""," ["&amp;VLOOKUP('.'!S237,Recipes!$A:$D,4,FALSE)&amp;"]"))</f>
        <v/>
      </c>
      <c r="T237" s="46" t="str">
        <f t="array" ref="T237">IF('.'!T237="","",'.'!T237&amp;IF(VLOOKUP('.'!T237,Recipes!$A:$D,4,FALSE)="",""," ["&amp;VLOOKUP('.'!T237,Recipes!$A:$D,4,FALSE)&amp;"]"))</f>
        <v/>
      </c>
      <c r="U237" s="46" t="str">
        <f t="array" ref="U237">IF('.'!U237="","",'.'!U237&amp;IF(VLOOKUP('.'!U237,Recipes!$A:$D,4,FALSE)="",""," ["&amp;VLOOKUP('.'!U237,Recipes!$A:$D,4,FALSE)&amp;"]"))</f>
        <v/>
      </c>
      <c r="V237" s="46" t="str">
        <f t="array" ref="V237">IF('.'!V237="","",'.'!V237&amp;IF(VLOOKUP('.'!V237,Recipes!$A:$D,4,FALSE)="",""," ["&amp;VLOOKUP('.'!V237,Recipes!$A:$D,4,FALSE)&amp;"]"))</f>
        <v/>
      </c>
      <c r="W237" s="46" t="str">
        <f t="array" ref="W237">IF('.'!W237="","",'.'!W237&amp;IF(VLOOKUP('.'!W237,Recipes!$A:$D,4,FALSE)="",""," ["&amp;VLOOKUP('.'!W237,Recipes!$A:$D,4,FALSE)&amp;"]"))</f>
        <v/>
      </c>
      <c r="X237" s="46" t="str">
        <f t="array" ref="X237">IF('.'!X237="","",'.'!X237&amp;IF(VLOOKUP('.'!X237,Recipes!$A:$D,4,FALSE)="",""," ["&amp;VLOOKUP('.'!X237,Recipes!$A:$D,4,FALSE)&amp;"]"))</f>
        <v/>
      </c>
      <c r="Y237" s="46" t="str">
        <f t="array" ref="Y237">IF('.'!Y237="","",'.'!Y237&amp;IF(VLOOKUP('.'!Y237,Recipes!$A:$D,4,FALSE)="",""," ["&amp;VLOOKUP('.'!Y237,Recipes!$A:$D,4,FALSE)&amp;"]"))</f>
        <v/>
      </c>
      <c r="Z237" s="46" t="str">
        <f t="array" ref="Z237">IF('.'!Z237="","",'.'!Z237&amp;IF(VLOOKUP('.'!Z237,Recipes!$A:$D,4,FALSE)="",""," ["&amp;VLOOKUP('.'!Z237,Recipes!$A:$D,4,FALSE)&amp;"]"))</f>
        <v/>
      </c>
      <c r="AA237" s="46" t="str">
        <f t="array" ref="AA237">IF('.'!AA237="","",'.'!AA237&amp;IF(VLOOKUP('.'!AA237,Recipes!$A:$D,4,FALSE)="",""," ["&amp;VLOOKUP('.'!AA237,Recipes!$A:$D,4,FALSE)&amp;"]"))</f>
        <v/>
      </c>
      <c r="AB237" s="46" t="str">
        <f t="array" ref="AB237">IF('.'!AB237="","",'.'!AB237&amp;IF(VLOOKUP('.'!AB237,Recipes!$A:$D,4,FALSE)="",""," ["&amp;VLOOKUP('.'!AB237,Recipes!$A:$D,4,FALSE)&amp;"]"))</f>
        <v/>
      </c>
      <c r="AC237" s="46" t="str">
        <f t="array" ref="AC237">IF('.'!AC237="","",'.'!AC237&amp;IF(VLOOKUP('.'!AC237,Recipes!$A:$D,4,FALSE)="",""," ["&amp;VLOOKUP('.'!AC237,Recipes!$A:$D,4,FALSE)&amp;"]"))</f>
        <v/>
      </c>
      <c r="AD237" s="46" t="str">
        <f t="array" ref="AD237">IF('.'!AD237="","",'.'!AD237&amp;IF(VLOOKUP('.'!AD237,Recipes!$A:$D,4,FALSE)="",""," ["&amp;VLOOKUP('.'!AD237,Recipes!$A:$D,4,FALSE)&amp;"]"))</f>
        <v/>
      </c>
      <c r="AE237" s="47"/>
      <c r="AF237" s="47"/>
      <c r="AG237" s="47"/>
      <c r="AH237" s="47"/>
      <c r="AI237" s="47"/>
      <c r="AJ237" s="47"/>
      <c r="AK237" s="47"/>
      <c r="AL237" s="47"/>
      <c r="AM237" s="47"/>
      <c r="AN237" s="47"/>
      <c r="AO237" s="47"/>
      <c r="AP237" s="47"/>
      <c r="AQ237" s="47"/>
      <c r="AR237" s="47"/>
      <c r="AS237" s="47"/>
      <c r="AT237" s="47"/>
      <c r="AU237" s="47"/>
      <c r="AV237" s="47"/>
      <c r="AW237" s="47"/>
      <c r="AX237" s="47"/>
      <c r="AY237" s="47"/>
      <c r="AZ237" s="47"/>
      <c r="BA237" s="47"/>
      <c r="BB237" s="47"/>
      <c r="BC237" s="47"/>
      <c r="BD237" s="47"/>
      <c r="BE237" s="47"/>
      <c r="BF237" s="47"/>
      <c r="BG237" s="47"/>
      <c r="BH237" s="47"/>
      <c r="BI237" s="47"/>
      <c r="BJ237" s="47"/>
      <c r="BK237" s="47"/>
      <c r="BL237" s="47"/>
      <c r="BM237" s="47"/>
      <c r="BN237" s="47"/>
      <c r="BO237" s="47"/>
      <c r="BP237" s="47"/>
      <c r="BQ237" s="47"/>
      <c r="BR237" s="47"/>
      <c r="BS237" s="47"/>
      <c r="BT237" s="47"/>
      <c r="BU237" s="47"/>
      <c r="BV237" s="47"/>
      <c r="BW237" s="47"/>
      <c r="BX237" s="47"/>
      <c r="BY237" s="47"/>
      <c r="BZ237" s="47"/>
    </row>
    <row r="238" spans="1:78" ht="13">
      <c r="A238" s="48" t="str">
        <f ca="1">'.'!A238</f>
        <v>High Tier Blank Skillbook Fire</v>
      </c>
      <c r="B238" s="46" t="str">
        <f t="array" aca="1" ref="B238" ca="1">IF('.'!B238="","",'.'!B238&amp;IF(VLOOKUP('.'!B238,Recipes!$A:$D,4,FALSE)="",""," ["&amp;VLOOKUP('.'!B238,Recipes!$A:$D,4,FALSE)&amp;"]"))</f>
        <v>Epidemic of Fire Skillbook [0]</v>
      </c>
      <c r="C238" s="46" t="str">
        <f t="array" aca="1" ref="C238" ca="1">IF('.'!C238="","",'.'!C238&amp;IF(VLOOKUP('.'!C238,Recipes!$A:$D,4,FALSE)="",""," ["&amp;VLOOKUP('.'!C238,Recipes!$A:$D,4,FALSE)&amp;"]"))</f>
        <v>Firebrand Skillbook [650]</v>
      </c>
      <c r="D238" s="46" t="str">
        <f t="array" aca="1" ref="D238" ca="1">IF('.'!D238="","",'.'!D238&amp;IF(VLOOKUP('.'!D238,Recipes!$A:$D,4,FALSE)="",""," ["&amp;VLOOKUP('.'!D238,Recipes!$A:$D,4,FALSE)&amp;"]"))</f>
        <v>Flaming Crescendo Skillbook [650]</v>
      </c>
      <c r="E238" s="46" t="str">
        <f t="array" aca="1" ref="E238" ca="1">IF('.'!E238="","",'.'!E238&amp;IF(VLOOKUP('.'!E238,Recipes!$A:$D,4,FALSE)="",""," ["&amp;VLOOKUP('.'!E238,Recipes!$A:$D,4,FALSE)&amp;"]"))</f>
        <v>Meteor Shower Skillbook [2600]</v>
      </c>
      <c r="F238" s="46" t="str">
        <f t="array" ref="F238">IF('.'!F238="","",'.'!F238&amp;IF(VLOOKUP('.'!F238,Recipes!$A:$D,4,FALSE)="",""," ["&amp;VLOOKUP('.'!F238,Recipes!$A:$D,4,FALSE)&amp;"]"))</f>
        <v/>
      </c>
      <c r="G238" s="46" t="str">
        <f t="array" ref="G238">IF('.'!G238="","",'.'!G238&amp;IF(VLOOKUP('.'!G238,Recipes!$A:$D,4,FALSE)="",""," ["&amp;VLOOKUP('.'!G238,Recipes!$A:$D,4,FALSE)&amp;"]"))</f>
        <v/>
      </c>
      <c r="H238" s="46" t="str">
        <f t="array" ref="H238">IF('.'!H238="","",'.'!H238&amp;IF(VLOOKUP('.'!H238,Recipes!$A:$D,4,FALSE)="",""," ["&amp;VLOOKUP('.'!H238,Recipes!$A:$D,4,FALSE)&amp;"]"))</f>
        <v/>
      </c>
      <c r="I238" s="46" t="str">
        <f t="array" ref="I238">IF('.'!I238="","",'.'!I238&amp;IF(VLOOKUP('.'!I238,Recipes!$A:$D,4,FALSE)="",""," ["&amp;VLOOKUP('.'!I238,Recipes!$A:$D,4,FALSE)&amp;"]"))</f>
        <v/>
      </c>
      <c r="J238" s="46" t="str">
        <f t="array" ref="J238">IF('.'!J238="","",'.'!J238&amp;IF(VLOOKUP('.'!J238,Recipes!$A:$D,4,FALSE)="",""," ["&amp;VLOOKUP('.'!J238,Recipes!$A:$D,4,FALSE)&amp;"]"))</f>
        <v/>
      </c>
      <c r="K238" s="46" t="str">
        <f t="array" ref="K238">IF('.'!K238="","",'.'!K238&amp;IF(VLOOKUP('.'!K238,Recipes!$A:$D,4,FALSE)="",""," ["&amp;VLOOKUP('.'!K238,Recipes!$A:$D,4,FALSE)&amp;"]"))</f>
        <v/>
      </c>
      <c r="L238" s="46" t="str">
        <f t="array" ref="L238">IF('.'!L238="","",'.'!L238&amp;IF(VLOOKUP('.'!L238,Recipes!$A:$D,4,FALSE)="",""," ["&amp;VLOOKUP('.'!L238,Recipes!$A:$D,4,FALSE)&amp;"]"))</f>
        <v/>
      </c>
      <c r="M238" s="46" t="str">
        <f t="array" ref="M238">IF('.'!M238="","",'.'!M238&amp;IF(VLOOKUP('.'!M238,Recipes!$A:$D,4,FALSE)="",""," ["&amp;VLOOKUP('.'!M238,Recipes!$A:$D,4,FALSE)&amp;"]"))</f>
        <v/>
      </c>
      <c r="N238" s="46" t="str">
        <f t="array" ref="N238">IF('.'!N238="","",'.'!N238&amp;IF(VLOOKUP('.'!N238,Recipes!$A:$D,4,FALSE)="",""," ["&amp;VLOOKUP('.'!N238,Recipes!$A:$D,4,FALSE)&amp;"]"))</f>
        <v/>
      </c>
      <c r="O238" s="46" t="str">
        <f t="array" ref="O238">IF('.'!O238="","",'.'!O238&amp;IF(VLOOKUP('.'!O238,Recipes!$A:$D,4,FALSE)="",""," ["&amp;VLOOKUP('.'!O238,Recipes!$A:$D,4,FALSE)&amp;"]"))</f>
        <v/>
      </c>
      <c r="P238" s="46" t="str">
        <f t="array" ref="P238">IF('.'!P238="","",'.'!P238&amp;IF(VLOOKUP('.'!P238,Recipes!$A:$D,4,FALSE)="",""," ["&amp;VLOOKUP('.'!P238,Recipes!$A:$D,4,FALSE)&amp;"]"))</f>
        <v/>
      </c>
      <c r="Q238" s="46" t="str">
        <f t="array" ref="Q238">IF('.'!Q238="","",'.'!Q238&amp;IF(VLOOKUP('.'!Q238,Recipes!$A:$D,4,FALSE)="",""," ["&amp;VLOOKUP('.'!Q238,Recipes!$A:$D,4,FALSE)&amp;"]"))</f>
        <v/>
      </c>
      <c r="R238" s="46" t="str">
        <f t="array" ref="R238">IF('.'!R238="","",'.'!R238&amp;IF(VLOOKUP('.'!R238,Recipes!$A:$D,4,FALSE)="",""," ["&amp;VLOOKUP('.'!R238,Recipes!$A:$D,4,FALSE)&amp;"]"))</f>
        <v/>
      </c>
      <c r="S238" s="46" t="str">
        <f t="array" ref="S238">IF('.'!S238="","",'.'!S238&amp;IF(VLOOKUP('.'!S238,Recipes!$A:$D,4,FALSE)="",""," ["&amp;VLOOKUP('.'!S238,Recipes!$A:$D,4,FALSE)&amp;"]"))</f>
        <v/>
      </c>
      <c r="T238" s="46" t="str">
        <f t="array" ref="T238">IF('.'!T238="","",'.'!T238&amp;IF(VLOOKUP('.'!T238,Recipes!$A:$D,4,FALSE)="",""," ["&amp;VLOOKUP('.'!T238,Recipes!$A:$D,4,FALSE)&amp;"]"))</f>
        <v/>
      </c>
      <c r="U238" s="46" t="str">
        <f t="array" ref="U238">IF('.'!U238="","",'.'!U238&amp;IF(VLOOKUP('.'!U238,Recipes!$A:$D,4,FALSE)="",""," ["&amp;VLOOKUP('.'!U238,Recipes!$A:$D,4,FALSE)&amp;"]"))</f>
        <v/>
      </c>
      <c r="V238" s="46" t="str">
        <f t="array" ref="V238">IF('.'!V238="","",'.'!V238&amp;IF(VLOOKUP('.'!V238,Recipes!$A:$D,4,FALSE)="",""," ["&amp;VLOOKUP('.'!V238,Recipes!$A:$D,4,FALSE)&amp;"]"))</f>
        <v/>
      </c>
      <c r="W238" s="46" t="str">
        <f t="array" ref="W238">IF('.'!W238="","",'.'!W238&amp;IF(VLOOKUP('.'!W238,Recipes!$A:$D,4,FALSE)="",""," ["&amp;VLOOKUP('.'!W238,Recipes!$A:$D,4,FALSE)&amp;"]"))</f>
        <v/>
      </c>
      <c r="X238" s="46" t="str">
        <f t="array" ref="X238">IF('.'!X238="","",'.'!X238&amp;IF(VLOOKUP('.'!X238,Recipes!$A:$D,4,FALSE)="",""," ["&amp;VLOOKUP('.'!X238,Recipes!$A:$D,4,FALSE)&amp;"]"))</f>
        <v/>
      </c>
      <c r="Y238" s="46" t="str">
        <f t="array" ref="Y238">IF('.'!Y238="","",'.'!Y238&amp;IF(VLOOKUP('.'!Y238,Recipes!$A:$D,4,FALSE)="",""," ["&amp;VLOOKUP('.'!Y238,Recipes!$A:$D,4,FALSE)&amp;"]"))</f>
        <v/>
      </c>
      <c r="Z238" s="46" t="str">
        <f t="array" ref="Z238">IF('.'!Z238="","",'.'!Z238&amp;IF(VLOOKUP('.'!Z238,Recipes!$A:$D,4,FALSE)="",""," ["&amp;VLOOKUP('.'!Z238,Recipes!$A:$D,4,FALSE)&amp;"]"))</f>
        <v/>
      </c>
      <c r="AA238" s="46" t="str">
        <f t="array" ref="AA238">IF('.'!AA238="","",'.'!AA238&amp;IF(VLOOKUP('.'!AA238,Recipes!$A:$D,4,FALSE)="",""," ["&amp;VLOOKUP('.'!AA238,Recipes!$A:$D,4,FALSE)&amp;"]"))</f>
        <v/>
      </c>
      <c r="AB238" s="46" t="str">
        <f t="array" ref="AB238">IF('.'!AB238="","",'.'!AB238&amp;IF(VLOOKUP('.'!AB238,Recipes!$A:$D,4,FALSE)="",""," ["&amp;VLOOKUP('.'!AB238,Recipes!$A:$D,4,FALSE)&amp;"]"))</f>
        <v/>
      </c>
      <c r="AC238" s="46" t="str">
        <f t="array" ref="AC238">IF('.'!AC238="","",'.'!AC238&amp;IF(VLOOKUP('.'!AC238,Recipes!$A:$D,4,FALSE)="",""," ["&amp;VLOOKUP('.'!AC238,Recipes!$A:$D,4,FALSE)&amp;"]"))</f>
        <v/>
      </c>
      <c r="AD238" s="46" t="str">
        <f t="array" ref="AD238">IF('.'!AD238="","",'.'!AD238&amp;IF(VLOOKUP('.'!AD238,Recipes!$A:$D,4,FALSE)="",""," ["&amp;VLOOKUP('.'!AD238,Recipes!$A:$D,4,FALSE)&amp;"]"))</f>
        <v/>
      </c>
      <c r="AE238" s="47"/>
      <c r="AF238" s="47"/>
      <c r="AG238" s="47"/>
      <c r="AH238" s="47"/>
      <c r="AI238" s="47"/>
      <c r="AJ238" s="47"/>
      <c r="AK238" s="47"/>
      <c r="AL238" s="47"/>
      <c r="AM238" s="47"/>
      <c r="AN238" s="47"/>
      <c r="AO238" s="47"/>
      <c r="AP238" s="47"/>
      <c r="AQ238" s="47"/>
      <c r="AR238" s="47"/>
      <c r="AS238" s="47"/>
      <c r="AT238" s="47"/>
      <c r="AU238" s="47"/>
      <c r="AV238" s="47"/>
      <c r="AW238" s="47"/>
      <c r="AX238" s="47"/>
      <c r="AY238" s="47"/>
      <c r="AZ238" s="47"/>
      <c r="BA238" s="47"/>
      <c r="BB238" s="47"/>
      <c r="BC238" s="47"/>
      <c r="BD238" s="47"/>
      <c r="BE238" s="47"/>
      <c r="BF238" s="47"/>
      <c r="BG238" s="47"/>
      <c r="BH238" s="47"/>
      <c r="BI238" s="47"/>
      <c r="BJ238" s="47"/>
      <c r="BK238" s="47"/>
      <c r="BL238" s="47"/>
      <c r="BM238" s="47"/>
      <c r="BN238" s="47"/>
      <c r="BO238" s="47"/>
      <c r="BP238" s="47"/>
      <c r="BQ238" s="47"/>
      <c r="BR238" s="47"/>
      <c r="BS238" s="47"/>
      <c r="BT238" s="47"/>
      <c r="BU238" s="47"/>
      <c r="BV238" s="47"/>
      <c r="BW238" s="47"/>
      <c r="BX238" s="47"/>
      <c r="BY238" s="47"/>
      <c r="BZ238" s="47"/>
    </row>
    <row r="239" spans="1:78" ht="13">
      <c r="A239" s="48" t="str">
        <f ca="1">'.'!A239</f>
        <v>High Tier Blank Skillbook Necromancy</v>
      </c>
      <c r="B239" s="46" t="str">
        <f t="array" aca="1" ref="B239" ca="1">IF('.'!B239="","",'.'!B239&amp;IF(VLOOKUP('.'!B239,Recipes!$A:$D,4,FALSE)="",""," ["&amp;VLOOKUP('.'!B239,Recipes!$A:$D,4,FALSE)&amp;"]"))</f>
        <v>Grasp of the Starved Skillbook [90]</v>
      </c>
      <c r="C239" s="46" t="str">
        <f t="array" aca="1" ref="C239" ca="1">IF('.'!C239="","",'.'!C239&amp;IF(VLOOKUP('.'!C239,Recipes!$A:$D,4,FALSE)="",""," ["&amp;VLOOKUP('.'!C239,Recipes!$A:$D,4,FALSE)&amp;"]"))</f>
        <v>Silencing Stare Skillbook [650]</v>
      </c>
      <c r="D239" s="46" t="str">
        <f t="array" aca="1" ref="D239" ca="1">IF('.'!D239="","",'.'!D239&amp;IF(VLOOKUP('.'!D239,Recipes!$A:$D,4,FALSE)="",""," ["&amp;VLOOKUP('.'!D239,Recipes!$A:$D,4,FALSE)&amp;"]"))</f>
        <v>Totems of the Necromancer Skillbook [2600]</v>
      </c>
      <c r="E239" s="46" t="str">
        <f t="array" ref="E239">IF('.'!E239="","",'.'!E239&amp;IF(VLOOKUP('.'!E239,Recipes!$A:$D,4,FALSE)="",""," ["&amp;VLOOKUP('.'!E239,Recipes!$A:$D,4,FALSE)&amp;"]"))</f>
        <v/>
      </c>
      <c r="F239" s="46" t="str">
        <f t="array" ref="F239">IF('.'!F239="","",'.'!F239&amp;IF(VLOOKUP('.'!F239,Recipes!$A:$D,4,FALSE)="",""," ["&amp;VLOOKUP('.'!F239,Recipes!$A:$D,4,FALSE)&amp;"]"))</f>
        <v/>
      </c>
      <c r="G239" s="46" t="str">
        <f t="array" ref="G239">IF('.'!G239="","",'.'!G239&amp;IF(VLOOKUP('.'!G239,Recipes!$A:$D,4,FALSE)="",""," ["&amp;VLOOKUP('.'!G239,Recipes!$A:$D,4,FALSE)&amp;"]"))</f>
        <v/>
      </c>
      <c r="H239" s="46" t="str">
        <f t="array" ref="H239">IF('.'!H239="","",'.'!H239&amp;IF(VLOOKUP('.'!H239,Recipes!$A:$D,4,FALSE)="",""," ["&amp;VLOOKUP('.'!H239,Recipes!$A:$D,4,FALSE)&amp;"]"))</f>
        <v/>
      </c>
      <c r="I239" s="46" t="str">
        <f t="array" ref="I239">IF('.'!I239="","",'.'!I239&amp;IF(VLOOKUP('.'!I239,Recipes!$A:$D,4,FALSE)="",""," ["&amp;VLOOKUP('.'!I239,Recipes!$A:$D,4,FALSE)&amp;"]"))</f>
        <v/>
      </c>
      <c r="J239" s="46" t="str">
        <f t="array" ref="J239">IF('.'!J239="","",'.'!J239&amp;IF(VLOOKUP('.'!J239,Recipes!$A:$D,4,FALSE)="",""," ["&amp;VLOOKUP('.'!J239,Recipes!$A:$D,4,FALSE)&amp;"]"))</f>
        <v/>
      </c>
      <c r="K239" s="46" t="str">
        <f t="array" ref="K239">IF('.'!K239="","",'.'!K239&amp;IF(VLOOKUP('.'!K239,Recipes!$A:$D,4,FALSE)="",""," ["&amp;VLOOKUP('.'!K239,Recipes!$A:$D,4,FALSE)&amp;"]"))</f>
        <v/>
      </c>
      <c r="L239" s="46" t="str">
        <f t="array" ref="L239">IF('.'!L239="","",'.'!L239&amp;IF(VLOOKUP('.'!L239,Recipes!$A:$D,4,FALSE)="",""," ["&amp;VLOOKUP('.'!L239,Recipes!$A:$D,4,FALSE)&amp;"]"))</f>
        <v/>
      </c>
      <c r="M239" s="46" t="str">
        <f t="array" ref="M239">IF('.'!M239="","",'.'!M239&amp;IF(VLOOKUP('.'!M239,Recipes!$A:$D,4,FALSE)="",""," ["&amp;VLOOKUP('.'!M239,Recipes!$A:$D,4,FALSE)&amp;"]"))</f>
        <v/>
      </c>
      <c r="N239" s="46" t="str">
        <f t="array" ref="N239">IF('.'!N239="","",'.'!N239&amp;IF(VLOOKUP('.'!N239,Recipes!$A:$D,4,FALSE)="",""," ["&amp;VLOOKUP('.'!N239,Recipes!$A:$D,4,FALSE)&amp;"]"))</f>
        <v/>
      </c>
      <c r="O239" s="46" t="str">
        <f t="array" ref="O239">IF('.'!O239="","",'.'!O239&amp;IF(VLOOKUP('.'!O239,Recipes!$A:$D,4,FALSE)="",""," ["&amp;VLOOKUP('.'!O239,Recipes!$A:$D,4,FALSE)&amp;"]"))</f>
        <v/>
      </c>
      <c r="P239" s="46" t="str">
        <f t="array" ref="P239">IF('.'!P239="","",'.'!P239&amp;IF(VLOOKUP('.'!P239,Recipes!$A:$D,4,FALSE)="",""," ["&amp;VLOOKUP('.'!P239,Recipes!$A:$D,4,FALSE)&amp;"]"))</f>
        <v/>
      </c>
      <c r="Q239" s="46" t="str">
        <f t="array" ref="Q239">IF('.'!Q239="","",'.'!Q239&amp;IF(VLOOKUP('.'!Q239,Recipes!$A:$D,4,FALSE)="",""," ["&amp;VLOOKUP('.'!Q239,Recipes!$A:$D,4,FALSE)&amp;"]"))</f>
        <v/>
      </c>
      <c r="R239" s="46" t="str">
        <f t="array" ref="R239">IF('.'!R239="","",'.'!R239&amp;IF(VLOOKUP('.'!R239,Recipes!$A:$D,4,FALSE)="",""," ["&amp;VLOOKUP('.'!R239,Recipes!$A:$D,4,FALSE)&amp;"]"))</f>
        <v/>
      </c>
      <c r="S239" s="46" t="str">
        <f t="array" ref="S239">IF('.'!S239="","",'.'!S239&amp;IF(VLOOKUP('.'!S239,Recipes!$A:$D,4,FALSE)="",""," ["&amp;VLOOKUP('.'!S239,Recipes!$A:$D,4,FALSE)&amp;"]"))</f>
        <v/>
      </c>
      <c r="T239" s="46" t="str">
        <f t="array" ref="T239">IF('.'!T239="","",'.'!T239&amp;IF(VLOOKUP('.'!T239,Recipes!$A:$D,4,FALSE)="",""," ["&amp;VLOOKUP('.'!T239,Recipes!$A:$D,4,FALSE)&amp;"]"))</f>
        <v/>
      </c>
      <c r="U239" s="46" t="str">
        <f t="array" ref="U239">IF('.'!U239="","",'.'!U239&amp;IF(VLOOKUP('.'!U239,Recipes!$A:$D,4,FALSE)="",""," ["&amp;VLOOKUP('.'!U239,Recipes!$A:$D,4,FALSE)&amp;"]"))</f>
        <v/>
      </c>
      <c r="V239" s="46" t="str">
        <f t="array" ref="V239">IF('.'!V239="","",'.'!V239&amp;IF(VLOOKUP('.'!V239,Recipes!$A:$D,4,FALSE)="",""," ["&amp;VLOOKUP('.'!V239,Recipes!$A:$D,4,FALSE)&amp;"]"))</f>
        <v/>
      </c>
      <c r="W239" s="46" t="str">
        <f t="array" ref="W239">IF('.'!W239="","",'.'!W239&amp;IF(VLOOKUP('.'!W239,Recipes!$A:$D,4,FALSE)="",""," ["&amp;VLOOKUP('.'!W239,Recipes!$A:$D,4,FALSE)&amp;"]"))</f>
        <v/>
      </c>
      <c r="X239" s="46" t="str">
        <f t="array" ref="X239">IF('.'!X239="","",'.'!X239&amp;IF(VLOOKUP('.'!X239,Recipes!$A:$D,4,FALSE)="",""," ["&amp;VLOOKUP('.'!X239,Recipes!$A:$D,4,FALSE)&amp;"]"))</f>
        <v/>
      </c>
      <c r="Y239" s="46" t="str">
        <f t="array" ref="Y239">IF('.'!Y239="","",'.'!Y239&amp;IF(VLOOKUP('.'!Y239,Recipes!$A:$D,4,FALSE)="",""," ["&amp;VLOOKUP('.'!Y239,Recipes!$A:$D,4,FALSE)&amp;"]"))</f>
        <v/>
      </c>
      <c r="Z239" s="46" t="str">
        <f t="array" ref="Z239">IF('.'!Z239="","",'.'!Z239&amp;IF(VLOOKUP('.'!Z239,Recipes!$A:$D,4,FALSE)="",""," ["&amp;VLOOKUP('.'!Z239,Recipes!$A:$D,4,FALSE)&amp;"]"))</f>
        <v/>
      </c>
      <c r="AA239" s="46" t="str">
        <f t="array" ref="AA239">IF('.'!AA239="","",'.'!AA239&amp;IF(VLOOKUP('.'!AA239,Recipes!$A:$D,4,FALSE)="",""," ["&amp;VLOOKUP('.'!AA239,Recipes!$A:$D,4,FALSE)&amp;"]"))</f>
        <v/>
      </c>
      <c r="AB239" s="46" t="str">
        <f t="array" ref="AB239">IF('.'!AB239="","",'.'!AB239&amp;IF(VLOOKUP('.'!AB239,Recipes!$A:$D,4,FALSE)="",""," ["&amp;VLOOKUP('.'!AB239,Recipes!$A:$D,4,FALSE)&amp;"]"))</f>
        <v/>
      </c>
      <c r="AC239" s="46" t="str">
        <f t="array" ref="AC239">IF('.'!AC239="","",'.'!AC239&amp;IF(VLOOKUP('.'!AC239,Recipes!$A:$D,4,FALSE)="",""," ["&amp;VLOOKUP('.'!AC239,Recipes!$A:$D,4,FALSE)&amp;"]"))</f>
        <v/>
      </c>
      <c r="AD239" s="46" t="str">
        <f t="array" ref="AD239">IF('.'!AD239="","",'.'!AD239&amp;IF(VLOOKUP('.'!AD239,Recipes!$A:$D,4,FALSE)="",""," ["&amp;VLOOKUP('.'!AD239,Recipes!$A:$D,4,FALSE)&amp;"]"))</f>
        <v/>
      </c>
      <c r="AE239" s="47"/>
      <c r="AF239" s="47"/>
      <c r="AG239" s="47"/>
      <c r="AH239" s="47"/>
      <c r="AI239" s="47"/>
      <c r="AJ239" s="47"/>
      <c r="AK239" s="47"/>
      <c r="AL239" s="47"/>
      <c r="AM239" s="47"/>
      <c r="AN239" s="47"/>
      <c r="AO239" s="47"/>
      <c r="AP239" s="47"/>
      <c r="AQ239" s="47"/>
      <c r="AR239" s="47"/>
      <c r="AS239" s="47"/>
      <c r="AT239" s="47"/>
      <c r="AU239" s="47"/>
      <c r="AV239" s="47"/>
      <c r="AW239" s="47"/>
      <c r="AX239" s="47"/>
      <c r="AY239" s="47"/>
      <c r="AZ239" s="47"/>
      <c r="BA239" s="47"/>
      <c r="BB239" s="47"/>
      <c r="BC239" s="47"/>
      <c r="BD239" s="47"/>
      <c r="BE239" s="47"/>
      <c r="BF239" s="47"/>
      <c r="BG239" s="47"/>
      <c r="BH239" s="47"/>
      <c r="BI239" s="47"/>
      <c r="BJ239" s="47"/>
      <c r="BK239" s="47"/>
      <c r="BL239" s="47"/>
      <c r="BM239" s="47"/>
      <c r="BN239" s="47"/>
      <c r="BO239" s="47"/>
      <c r="BP239" s="47"/>
      <c r="BQ239" s="47"/>
      <c r="BR239" s="47"/>
      <c r="BS239" s="47"/>
      <c r="BT239" s="47"/>
      <c r="BU239" s="47"/>
      <c r="BV239" s="47"/>
      <c r="BW239" s="47"/>
      <c r="BX239" s="47"/>
      <c r="BY239" s="47"/>
      <c r="BZ239" s="47"/>
    </row>
    <row r="240" spans="1:78" ht="13">
      <c r="A240" s="48" t="str">
        <f ca="1">'.'!A240</f>
        <v>High Tier Blank Skillbook Polymorph</v>
      </c>
      <c r="B240" s="46" t="str">
        <f t="array" aca="1" ref="B240" ca="1">IF('.'!B240="","",'.'!B240&amp;IF(VLOOKUP('.'!B240,Recipes!$A:$D,4,FALSE)="",""," ["&amp;VLOOKUP('.'!B240,Recipes!$A:$D,4,FALSE)&amp;"]"))</f>
        <v>Apotheosis Skillbook [2600]</v>
      </c>
      <c r="C240" s="46" t="str">
        <f t="array" aca="1" ref="C240" ca="1">IF('.'!C240="","",'.'!C240&amp;IF(VLOOKUP('.'!C240,Recipes!$A:$D,4,FALSE)="",""," ["&amp;VLOOKUP('.'!C240,Recipes!$A:$D,4,FALSE)&amp;"]"))</f>
        <v>Equalise Skillbook [650]</v>
      </c>
      <c r="D240" s="46" t="str">
        <f t="array" aca="1" ref="D240" ca="1">IF('.'!D240="","",'.'!D240&amp;IF(VLOOKUP('.'!D240,Recipes!$A:$D,4,FALSE)="",""," ["&amp;VLOOKUP('.'!D240,Recipes!$A:$D,4,FALSE)&amp;"]"))</f>
        <v>Flay Skin Skillbook [650]</v>
      </c>
      <c r="E240" s="46" t="str">
        <f t="array" aca="1" ref="E240" ca="1">IF('.'!E240="","",'.'!E240&amp;IF(VLOOKUP('.'!E240,Recipes!$A:$D,4,FALSE)="",""," ["&amp;VLOOKUP('.'!E240,Recipes!$A:$D,4,FALSE)&amp;"]"))</f>
        <v>Forced Exchange Skillbook [350]</v>
      </c>
      <c r="F240" s="46" t="str">
        <f t="array" ref="F240">IF('.'!F240="","",'.'!F240&amp;IF(VLOOKUP('.'!F240,Recipes!$A:$D,4,FALSE)="",""," ["&amp;VLOOKUP('.'!F240,Recipes!$A:$D,4,FALSE)&amp;"]"))</f>
        <v/>
      </c>
      <c r="G240" s="46" t="str">
        <f t="array" ref="G240">IF('.'!G240="","",'.'!G240&amp;IF(VLOOKUP('.'!G240,Recipes!$A:$D,4,FALSE)="",""," ["&amp;VLOOKUP('.'!G240,Recipes!$A:$D,4,FALSE)&amp;"]"))</f>
        <v/>
      </c>
      <c r="H240" s="46" t="str">
        <f t="array" ref="H240">IF('.'!H240="","",'.'!H240&amp;IF(VLOOKUP('.'!H240,Recipes!$A:$D,4,FALSE)="",""," ["&amp;VLOOKUP('.'!H240,Recipes!$A:$D,4,FALSE)&amp;"]"))</f>
        <v/>
      </c>
      <c r="I240" s="46" t="str">
        <f t="array" ref="I240">IF('.'!I240="","",'.'!I240&amp;IF(VLOOKUP('.'!I240,Recipes!$A:$D,4,FALSE)="",""," ["&amp;VLOOKUP('.'!I240,Recipes!$A:$D,4,FALSE)&amp;"]"))</f>
        <v/>
      </c>
      <c r="J240" s="46" t="str">
        <f t="array" ref="J240">IF('.'!J240="","",'.'!J240&amp;IF(VLOOKUP('.'!J240,Recipes!$A:$D,4,FALSE)="",""," ["&amp;VLOOKUP('.'!J240,Recipes!$A:$D,4,FALSE)&amp;"]"))</f>
        <v/>
      </c>
      <c r="K240" s="46" t="str">
        <f t="array" ref="K240">IF('.'!K240="","",'.'!K240&amp;IF(VLOOKUP('.'!K240,Recipes!$A:$D,4,FALSE)="",""," ["&amp;VLOOKUP('.'!K240,Recipes!$A:$D,4,FALSE)&amp;"]"))</f>
        <v/>
      </c>
      <c r="L240" s="46" t="str">
        <f t="array" ref="L240">IF('.'!L240="","",'.'!L240&amp;IF(VLOOKUP('.'!L240,Recipes!$A:$D,4,FALSE)="",""," ["&amp;VLOOKUP('.'!L240,Recipes!$A:$D,4,FALSE)&amp;"]"))</f>
        <v/>
      </c>
      <c r="M240" s="46" t="str">
        <f t="array" ref="M240">IF('.'!M240="","",'.'!M240&amp;IF(VLOOKUP('.'!M240,Recipes!$A:$D,4,FALSE)="",""," ["&amp;VLOOKUP('.'!M240,Recipes!$A:$D,4,FALSE)&amp;"]"))</f>
        <v/>
      </c>
      <c r="N240" s="46" t="str">
        <f t="array" ref="N240">IF('.'!N240="","",'.'!N240&amp;IF(VLOOKUP('.'!N240,Recipes!$A:$D,4,FALSE)="",""," ["&amp;VLOOKUP('.'!N240,Recipes!$A:$D,4,FALSE)&amp;"]"))</f>
        <v/>
      </c>
      <c r="O240" s="46" t="str">
        <f t="array" ref="O240">IF('.'!O240="","",'.'!O240&amp;IF(VLOOKUP('.'!O240,Recipes!$A:$D,4,FALSE)="",""," ["&amp;VLOOKUP('.'!O240,Recipes!$A:$D,4,FALSE)&amp;"]"))</f>
        <v/>
      </c>
      <c r="P240" s="46" t="str">
        <f t="array" ref="P240">IF('.'!P240="","",'.'!P240&amp;IF(VLOOKUP('.'!P240,Recipes!$A:$D,4,FALSE)="",""," ["&amp;VLOOKUP('.'!P240,Recipes!$A:$D,4,FALSE)&amp;"]"))</f>
        <v/>
      </c>
      <c r="Q240" s="46" t="str">
        <f t="array" ref="Q240">IF('.'!Q240="","",'.'!Q240&amp;IF(VLOOKUP('.'!Q240,Recipes!$A:$D,4,FALSE)="",""," ["&amp;VLOOKUP('.'!Q240,Recipes!$A:$D,4,FALSE)&amp;"]"))</f>
        <v/>
      </c>
      <c r="R240" s="46" t="str">
        <f t="array" ref="R240">IF('.'!R240="","",'.'!R240&amp;IF(VLOOKUP('.'!R240,Recipes!$A:$D,4,FALSE)="",""," ["&amp;VLOOKUP('.'!R240,Recipes!$A:$D,4,FALSE)&amp;"]"))</f>
        <v/>
      </c>
      <c r="S240" s="46" t="str">
        <f t="array" ref="S240">IF('.'!S240="","",'.'!S240&amp;IF(VLOOKUP('.'!S240,Recipes!$A:$D,4,FALSE)="",""," ["&amp;VLOOKUP('.'!S240,Recipes!$A:$D,4,FALSE)&amp;"]"))</f>
        <v/>
      </c>
      <c r="T240" s="46" t="str">
        <f t="array" ref="T240">IF('.'!T240="","",'.'!T240&amp;IF(VLOOKUP('.'!T240,Recipes!$A:$D,4,FALSE)="",""," ["&amp;VLOOKUP('.'!T240,Recipes!$A:$D,4,FALSE)&amp;"]"))</f>
        <v/>
      </c>
      <c r="U240" s="46" t="str">
        <f t="array" ref="U240">IF('.'!U240="","",'.'!U240&amp;IF(VLOOKUP('.'!U240,Recipes!$A:$D,4,FALSE)="",""," ["&amp;VLOOKUP('.'!U240,Recipes!$A:$D,4,FALSE)&amp;"]"))</f>
        <v/>
      </c>
      <c r="V240" s="46" t="str">
        <f t="array" ref="V240">IF('.'!V240="","",'.'!V240&amp;IF(VLOOKUP('.'!V240,Recipes!$A:$D,4,FALSE)="",""," ["&amp;VLOOKUP('.'!V240,Recipes!$A:$D,4,FALSE)&amp;"]"))</f>
        <v/>
      </c>
      <c r="W240" s="46" t="str">
        <f t="array" ref="W240">IF('.'!W240="","",'.'!W240&amp;IF(VLOOKUP('.'!W240,Recipes!$A:$D,4,FALSE)="",""," ["&amp;VLOOKUP('.'!W240,Recipes!$A:$D,4,FALSE)&amp;"]"))</f>
        <v/>
      </c>
      <c r="X240" s="46" t="str">
        <f t="array" ref="X240">IF('.'!X240="","",'.'!X240&amp;IF(VLOOKUP('.'!X240,Recipes!$A:$D,4,FALSE)="",""," ["&amp;VLOOKUP('.'!X240,Recipes!$A:$D,4,FALSE)&amp;"]"))</f>
        <v/>
      </c>
      <c r="Y240" s="46" t="str">
        <f t="array" ref="Y240">IF('.'!Y240="","",'.'!Y240&amp;IF(VLOOKUP('.'!Y240,Recipes!$A:$D,4,FALSE)="",""," ["&amp;VLOOKUP('.'!Y240,Recipes!$A:$D,4,FALSE)&amp;"]"))</f>
        <v/>
      </c>
      <c r="Z240" s="46" t="str">
        <f t="array" ref="Z240">IF('.'!Z240="","",'.'!Z240&amp;IF(VLOOKUP('.'!Z240,Recipes!$A:$D,4,FALSE)="",""," ["&amp;VLOOKUP('.'!Z240,Recipes!$A:$D,4,FALSE)&amp;"]"))</f>
        <v/>
      </c>
      <c r="AA240" s="46" t="str">
        <f t="array" ref="AA240">IF('.'!AA240="","",'.'!AA240&amp;IF(VLOOKUP('.'!AA240,Recipes!$A:$D,4,FALSE)="",""," ["&amp;VLOOKUP('.'!AA240,Recipes!$A:$D,4,FALSE)&amp;"]"))</f>
        <v/>
      </c>
      <c r="AB240" s="46" t="str">
        <f t="array" ref="AB240">IF('.'!AB240="","",'.'!AB240&amp;IF(VLOOKUP('.'!AB240,Recipes!$A:$D,4,FALSE)="",""," ["&amp;VLOOKUP('.'!AB240,Recipes!$A:$D,4,FALSE)&amp;"]"))</f>
        <v/>
      </c>
      <c r="AC240" s="46" t="str">
        <f t="array" ref="AC240">IF('.'!AC240="","",'.'!AC240&amp;IF(VLOOKUP('.'!AC240,Recipes!$A:$D,4,FALSE)="",""," ["&amp;VLOOKUP('.'!AC240,Recipes!$A:$D,4,FALSE)&amp;"]"))</f>
        <v/>
      </c>
      <c r="AD240" s="46" t="str">
        <f t="array" ref="AD240">IF('.'!AD240="","",'.'!AD240&amp;IF(VLOOKUP('.'!AD240,Recipes!$A:$D,4,FALSE)="",""," ["&amp;VLOOKUP('.'!AD240,Recipes!$A:$D,4,FALSE)&amp;"]"))</f>
        <v/>
      </c>
      <c r="AE240" s="47"/>
      <c r="AF240" s="47"/>
      <c r="AG240" s="47"/>
      <c r="AH240" s="47"/>
      <c r="AI240" s="47"/>
      <c r="AJ240" s="47"/>
      <c r="AK240" s="47"/>
      <c r="AL240" s="47"/>
      <c r="AM240" s="47"/>
      <c r="AN240" s="47"/>
      <c r="AO240" s="47"/>
      <c r="AP240" s="47"/>
      <c r="AQ240" s="47"/>
      <c r="AR240" s="47"/>
      <c r="AS240" s="47"/>
      <c r="AT240" s="47"/>
      <c r="AU240" s="47"/>
      <c r="AV240" s="47"/>
      <c r="AW240" s="47"/>
      <c r="AX240" s="47"/>
      <c r="AY240" s="47"/>
      <c r="AZ240" s="47"/>
      <c r="BA240" s="47"/>
      <c r="BB240" s="47"/>
      <c r="BC240" s="47"/>
      <c r="BD240" s="47"/>
      <c r="BE240" s="47"/>
      <c r="BF240" s="47"/>
      <c r="BG240" s="47"/>
      <c r="BH240" s="47"/>
      <c r="BI240" s="47"/>
      <c r="BJ240" s="47"/>
      <c r="BK240" s="47"/>
      <c r="BL240" s="47"/>
      <c r="BM240" s="47"/>
      <c r="BN240" s="47"/>
      <c r="BO240" s="47"/>
      <c r="BP240" s="47"/>
      <c r="BQ240" s="47"/>
      <c r="BR240" s="47"/>
      <c r="BS240" s="47"/>
      <c r="BT240" s="47"/>
      <c r="BU240" s="47"/>
      <c r="BV240" s="47"/>
      <c r="BW240" s="47"/>
      <c r="BX240" s="47"/>
      <c r="BY240" s="47"/>
      <c r="BZ240" s="47"/>
    </row>
    <row r="241" spans="1:78" ht="13">
      <c r="A241" s="48" t="str">
        <f ca="1">'.'!A241</f>
        <v>High Tier Blank Skillbook Summoning</v>
      </c>
      <c r="B241" s="46" t="str">
        <f t="array" aca="1" ref="B241" ca="1">IF('.'!B241="","",'.'!B241&amp;IF(VLOOKUP('.'!B241,Recipes!$A:$D,4,FALSE)="",""," ["&amp;VLOOKUP('.'!B241,Recipes!$A:$D,4,FALSE)&amp;"]"))</f>
        <v>Cannibalize Skillbook [1000]</v>
      </c>
      <c r="C241" s="46" t="str">
        <f t="array" aca="1" ref="C241" ca="1">IF('.'!C241="","",'.'!C241&amp;IF(VLOOKUP('.'!C241,Recipes!$A:$D,4,FALSE)="",""," ["&amp;VLOOKUP('.'!C241,Recipes!$A:$D,4,FALSE)&amp;"]"))</f>
        <v>Door to Eternity Skillbook [400]</v>
      </c>
      <c r="D241" s="46" t="str">
        <f t="array" aca="1" ref="D241" ca="1">IF('.'!D241="","",'.'!D241&amp;IF(VLOOKUP('.'!D241,Recipes!$A:$D,4,FALSE)="",""," ["&amp;VLOOKUP('.'!D241,Recipes!$A:$D,4,FALSE)&amp;"]"))</f>
        <v>Ethereal Storm Skillbook [2340]</v>
      </c>
      <c r="E241" s="46" t="str">
        <f t="array" aca="1" ref="E241" ca="1">IF('.'!E241="","",'.'!E241&amp;IF(VLOOKUP('.'!E241,Recipes!$A:$D,4,FALSE)="",""," ["&amp;VLOOKUP('.'!E241,Recipes!$A:$D,4,FALSE)&amp;"]"))</f>
        <v>Warp Infusion Skillbook [1000]</v>
      </c>
      <c r="F241" s="46" t="str">
        <f t="array" ref="F241">IF('.'!F241="","",'.'!F241&amp;IF(VLOOKUP('.'!F241,Recipes!$A:$D,4,FALSE)="",""," ["&amp;VLOOKUP('.'!F241,Recipes!$A:$D,4,FALSE)&amp;"]"))</f>
        <v/>
      </c>
      <c r="G241" s="46" t="str">
        <f t="array" ref="G241">IF('.'!G241="","",'.'!G241&amp;IF(VLOOKUP('.'!G241,Recipes!$A:$D,4,FALSE)="",""," ["&amp;VLOOKUP('.'!G241,Recipes!$A:$D,4,FALSE)&amp;"]"))</f>
        <v/>
      </c>
      <c r="H241" s="46" t="str">
        <f t="array" ref="H241">IF('.'!H241="","",'.'!H241&amp;IF(VLOOKUP('.'!H241,Recipes!$A:$D,4,FALSE)="",""," ["&amp;VLOOKUP('.'!H241,Recipes!$A:$D,4,FALSE)&amp;"]"))</f>
        <v/>
      </c>
      <c r="I241" s="46" t="str">
        <f t="array" ref="I241">IF('.'!I241="","",'.'!I241&amp;IF(VLOOKUP('.'!I241,Recipes!$A:$D,4,FALSE)="",""," ["&amp;VLOOKUP('.'!I241,Recipes!$A:$D,4,FALSE)&amp;"]"))</f>
        <v/>
      </c>
      <c r="J241" s="46" t="str">
        <f t="array" ref="J241">IF('.'!J241="","",'.'!J241&amp;IF(VLOOKUP('.'!J241,Recipes!$A:$D,4,FALSE)="",""," ["&amp;VLOOKUP('.'!J241,Recipes!$A:$D,4,FALSE)&amp;"]"))</f>
        <v/>
      </c>
      <c r="K241" s="46" t="str">
        <f t="array" ref="K241">IF('.'!K241="","",'.'!K241&amp;IF(VLOOKUP('.'!K241,Recipes!$A:$D,4,FALSE)="",""," ["&amp;VLOOKUP('.'!K241,Recipes!$A:$D,4,FALSE)&amp;"]"))</f>
        <v/>
      </c>
      <c r="L241" s="46" t="str">
        <f t="array" ref="L241">IF('.'!L241="","",'.'!L241&amp;IF(VLOOKUP('.'!L241,Recipes!$A:$D,4,FALSE)="",""," ["&amp;VLOOKUP('.'!L241,Recipes!$A:$D,4,FALSE)&amp;"]"))</f>
        <v/>
      </c>
      <c r="M241" s="46" t="str">
        <f t="array" ref="M241">IF('.'!M241="","",'.'!M241&amp;IF(VLOOKUP('.'!M241,Recipes!$A:$D,4,FALSE)="",""," ["&amp;VLOOKUP('.'!M241,Recipes!$A:$D,4,FALSE)&amp;"]"))</f>
        <v/>
      </c>
      <c r="N241" s="46" t="str">
        <f t="array" ref="N241">IF('.'!N241="","",'.'!N241&amp;IF(VLOOKUP('.'!N241,Recipes!$A:$D,4,FALSE)="",""," ["&amp;VLOOKUP('.'!N241,Recipes!$A:$D,4,FALSE)&amp;"]"))</f>
        <v/>
      </c>
      <c r="O241" s="46" t="str">
        <f t="array" ref="O241">IF('.'!O241="","",'.'!O241&amp;IF(VLOOKUP('.'!O241,Recipes!$A:$D,4,FALSE)="",""," ["&amp;VLOOKUP('.'!O241,Recipes!$A:$D,4,FALSE)&amp;"]"))</f>
        <v/>
      </c>
      <c r="P241" s="46" t="str">
        <f t="array" ref="P241">IF('.'!P241="","",'.'!P241&amp;IF(VLOOKUP('.'!P241,Recipes!$A:$D,4,FALSE)="",""," ["&amp;VLOOKUP('.'!P241,Recipes!$A:$D,4,FALSE)&amp;"]"))</f>
        <v/>
      </c>
      <c r="Q241" s="46" t="str">
        <f t="array" ref="Q241">IF('.'!Q241="","",'.'!Q241&amp;IF(VLOOKUP('.'!Q241,Recipes!$A:$D,4,FALSE)="",""," ["&amp;VLOOKUP('.'!Q241,Recipes!$A:$D,4,FALSE)&amp;"]"))</f>
        <v/>
      </c>
      <c r="R241" s="46" t="str">
        <f t="array" ref="R241">IF('.'!R241="","",'.'!R241&amp;IF(VLOOKUP('.'!R241,Recipes!$A:$D,4,FALSE)="",""," ["&amp;VLOOKUP('.'!R241,Recipes!$A:$D,4,FALSE)&amp;"]"))</f>
        <v/>
      </c>
      <c r="S241" s="46" t="str">
        <f t="array" ref="S241">IF('.'!S241="","",'.'!S241&amp;IF(VLOOKUP('.'!S241,Recipes!$A:$D,4,FALSE)="",""," ["&amp;VLOOKUP('.'!S241,Recipes!$A:$D,4,FALSE)&amp;"]"))</f>
        <v/>
      </c>
      <c r="T241" s="46" t="str">
        <f t="array" ref="T241">IF('.'!T241="","",'.'!T241&amp;IF(VLOOKUP('.'!T241,Recipes!$A:$D,4,FALSE)="",""," ["&amp;VLOOKUP('.'!T241,Recipes!$A:$D,4,FALSE)&amp;"]"))</f>
        <v/>
      </c>
      <c r="U241" s="46" t="str">
        <f t="array" ref="U241">IF('.'!U241="","",'.'!U241&amp;IF(VLOOKUP('.'!U241,Recipes!$A:$D,4,FALSE)="",""," ["&amp;VLOOKUP('.'!U241,Recipes!$A:$D,4,FALSE)&amp;"]"))</f>
        <v/>
      </c>
      <c r="V241" s="46" t="str">
        <f t="array" ref="V241">IF('.'!V241="","",'.'!V241&amp;IF(VLOOKUP('.'!V241,Recipes!$A:$D,4,FALSE)="",""," ["&amp;VLOOKUP('.'!V241,Recipes!$A:$D,4,FALSE)&amp;"]"))</f>
        <v/>
      </c>
      <c r="W241" s="46" t="str">
        <f t="array" ref="W241">IF('.'!W241="","",'.'!W241&amp;IF(VLOOKUP('.'!W241,Recipes!$A:$D,4,FALSE)="",""," ["&amp;VLOOKUP('.'!W241,Recipes!$A:$D,4,FALSE)&amp;"]"))</f>
        <v/>
      </c>
      <c r="X241" s="46" t="str">
        <f t="array" ref="X241">IF('.'!X241="","",'.'!X241&amp;IF(VLOOKUP('.'!X241,Recipes!$A:$D,4,FALSE)="",""," ["&amp;VLOOKUP('.'!X241,Recipes!$A:$D,4,FALSE)&amp;"]"))</f>
        <v/>
      </c>
      <c r="Y241" s="46" t="str">
        <f t="array" ref="Y241">IF('.'!Y241="","",'.'!Y241&amp;IF(VLOOKUP('.'!Y241,Recipes!$A:$D,4,FALSE)="",""," ["&amp;VLOOKUP('.'!Y241,Recipes!$A:$D,4,FALSE)&amp;"]"))</f>
        <v/>
      </c>
      <c r="Z241" s="46" t="str">
        <f t="array" ref="Z241">IF('.'!Z241="","",'.'!Z241&amp;IF(VLOOKUP('.'!Z241,Recipes!$A:$D,4,FALSE)="",""," ["&amp;VLOOKUP('.'!Z241,Recipes!$A:$D,4,FALSE)&amp;"]"))</f>
        <v/>
      </c>
      <c r="AA241" s="46" t="str">
        <f t="array" ref="AA241">IF('.'!AA241="","",'.'!AA241&amp;IF(VLOOKUP('.'!AA241,Recipes!$A:$D,4,FALSE)="",""," ["&amp;VLOOKUP('.'!AA241,Recipes!$A:$D,4,FALSE)&amp;"]"))</f>
        <v/>
      </c>
      <c r="AB241" s="46" t="str">
        <f t="array" ref="AB241">IF('.'!AB241="","",'.'!AB241&amp;IF(VLOOKUP('.'!AB241,Recipes!$A:$D,4,FALSE)="",""," ["&amp;VLOOKUP('.'!AB241,Recipes!$A:$D,4,FALSE)&amp;"]"))</f>
        <v/>
      </c>
      <c r="AC241" s="46" t="str">
        <f t="array" ref="AC241">IF('.'!AC241="","",'.'!AC241&amp;IF(VLOOKUP('.'!AC241,Recipes!$A:$D,4,FALSE)="",""," ["&amp;VLOOKUP('.'!AC241,Recipes!$A:$D,4,FALSE)&amp;"]"))</f>
        <v/>
      </c>
      <c r="AD241" s="46" t="str">
        <f t="array" ref="AD241">IF('.'!AD241="","",'.'!AD241&amp;IF(VLOOKUP('.'!AD241,Recipes!$A:$D,4,FALSE)="",""," ["&amp;VLOOKUP('.'!AD241,Recipes!$A:$D,4,FALSE)&amp;"]"))</f>
        <v/>
      </c>
      <c r="AE241" s="47"/>
      <c r="AF241" s="47"/>
      <c r="AG241" s="47"/>
      <c r="AH241" s="47"/>
      <c r="AI241" s="47"/>
      <c r="AJ241" s="47"/>
      <c r="AK241" s="47"/>
      <c r="AL241" s="47"/>
      <c r="AM241" s="47"/>
      <c r="AN241" s="47"/>
      <c r="AO241" s="47"/>
      <c r="AP241" s="47"/>
      <c r="AQ241" s="47"/>
      <c r="AR241" s="47"/>
      <c r="AS241" s="47"/>
      <c r="AT241" s="47"/>
      <c r="AU241" s="47"/>
      <c r="AV241" s="47"/>
      <c r="AW241" s="47"/>
      <c r="AX241" s="47"/>
      <c r="AY241" s="47"/>
      <c r="AZ241" s="47"/>
      <c r="BA241" s="47"/>
      <c r="BB241" s="47"/>
      <c r="BC241" s="47"/>
      <c r="BD241" s="47"/>
      <c r="BE241" s="47"/>
      <c r="BF241" s="47"/>
      <c r="BG241" s="47"/>
      <c r="BH241" s="47"/>
      <c r="BI241" s="47"/>
      <c r="BJ241" s="47"/>
      <c r="BK241" s="47"/>
      <c r="BL241" s="47"/>
      <c r="BM241" s="47"/>
      <c r="BN241" s="47"/>
      <c r="BO241" s="47"/>
      <c r="BP241" s="47"/>
      <c r="BQ241" s="47"/>
      <c r="BR241" s="47"/>
      <c r="BS241" s="47"/>
      <c r="BT241" s="47"/>
      <c r="BU241" s="47"/>
      <c r="BV241" s="47"/>
      <c r="BW241" s="47"/>
      <c r="BX241" s="47"/>
      <c r="BY241" s="47"/>
      <c r="BZ241" s="47"/>
    </row>
    <row r="242" spans="1:78" ht="13">
      <c r="A242" s="48" t="str">
        <f ca="1">'.'!A242</f>
        <v>High Tier Blank Skillbook Water</v>
      </c>
      <c r="B242" s="46" t="str">
        <f t="array" aca="1" ref="B242" ca="1">IF('.'!B242="","",'.'!B242&amp;IF(VLOOKUP('.'!B242,Recipes!$A:$D,4,FALSE)="",""," ["&amp;VLOOKUP('.'!B242,Recipes!$A:$D,4,FALSE)&amp;"]"))</f>
        <v>Deep Freeze Skillbook [650]</v>
      </c>
      <c r="C242" s="46" t="str">
        <f t="array" aca="1" ref="C242" ca="1">IF('.'!C242="","",'.'!C242&amp;IF(VLOOKUP('.'!C242,Recipes!$A:$D,4,FALSE)="",""," ["&amp;VLOOKUP('.'!C242,Recipes!$A:$D,4,FALSE)&amp;"]"))</f>
        <v>Global Cooling Skillbook [100]</v>
      </c>
      <c r="D242" s="46" t="str">
        <f t="array" aca="1" ref="D242" ca="1">IF('.'!D242="","",'.'!D242&amp;IF(VLOOKUP('.'!D242,Recipes!$A:$D,4,FALSE)="",""," ["&amp;VLOOKUP('.'!D242,Recipes!$A:$D,4,FALSE)&amp;"]"))</f>
        <v>Healing Ritual Skillbook [-160]</v>
      </c>
      <c r="E242" s="46" t="str">
        <f t="array" aca="1" ref="E242" ca="1">IF('.'!E242="","",'.'!E242&amp;IF(VLOOKUP('.'!E242,Recipes!$A:$D,4,FALSE)="",""," ["&amp;VLOOKUP('.'!E242,Recipes!$A:$D,4,FALSE)&amp;"]"))</f>
        <v>Ice Breaker Skillbook [1000]</v>
      </c>
      <c r="F242" s="46" t="str">
        <f t="array" aca="1" ref="F242" ca="1">IF('.'!F242="","",'.'!F242&amp;IF(VLOOKUP('.'!F242,Recipes!$A:$D,4,FALSE)="",""," ["&amp;VLOOKUP('.'!F242,Recipes!$A:$D,4,FALSE)&amp;"]"))</f>
        <v>Steam Lance Skillbook [0]</v>
      </c>
      <c r="G242" s="46" t="str">
        <f t="array" ref="G242">IF('.'!G242="","",'.'!G242&amp;IF(VLOOKUP('.'!G242,Recipes!$A:$D,4,FALSE)="",""," ["&amp;VLOOKUP('.'!G242,Recipes!$A:$D,4,FALSE)&amp;"]"))</f>
        <v/>
      </c>
      <c r="H242" s="46" t="str">
        <f t="array" ref="H242">IF('.'!H242="","",'.'!H242&amp;IF(VLOOKUP('.'!H242,Recipes!$A:$D,4,FALSE)="",""," ["&amp;VLOOKUP('.'!H242,Recipes!$A:$D,4,FALSE)&amp;"]"))</f>
        <v/>
      </c>
      <c r="I242" s="46" t="str">
        <f t="array" ref="I242">IF('.'!I242="","",'.'!I242&amp;IF(VLOOKUP('.'!I242,Recipes!$A:$D,4,FALSE)="",""," ["&amp;VLOOKUP('.'!I242,Recipes!$A:$D,4,FALSE)&amp;"]"))</f>
        <v/>
      </c>
      <c r="J242" s="46" t="str">
        <f t="array" ref="J242">IF('.'!J242="","",'.'!J242&amp;IF(VLOOKUP('.'!J242,Recipes!$A:$D,4,FALSE)="",""," ["&amp;VLOOKUP('.'!J242,Recipes!$A:$D,4,FALSE)&amp;"]"))</f>
        <v/>
      </c>
      <c r="K242" s="46" t="str">
        <f t="array" ref="K242">IF('.'!K242="","",'.'!K242&amp;IF(VLOOKUP('.'!K242,Recipes!$A:$D,4,FALSE)="",""," ["&amp;VLOOKUP('.'!K242,Recipes!$A:$D,4,FALSE)&amp;"]"))</f>
        <v/>
      </c>
      <c r="L242" s="46" t="str">
        <f t="array" ref="L242">IF('.'!L242="","",'.'!L242&amp;IF(VLOOKUP('.'!L242,Recipes!$A:$D,4,FALSE)="",""," ["&amp;VLOOKUP('.'!L242,Recipes!$A:$D,4,FALSE)&amp;"]"))</f>
        <v/>
      </c>
      <c r="M242" s="46" t="str">
        <f t="array" ref="M242">IF('.'!M242="","",'.'!M242&amp;IF(VLOOKUP('.'!M242,Recipes!$A:$D,4,FALSE)="",""," ["&amp;VLOOKUP('.'!M242,Recipes!$A:$D,4,FALSE)&amp;"]"))</f>
        <v/>
      </c>
      <c r="N242" s="46" t="str">
        <f t="array" ref="N242">IF('.'!N242="","",'.'!N242&amp;IF(VLOOKUP('.'!N242,Recipes!$A:$D,4,FALSE)="",""," ["&amp;VLOOKUP('.'!N242,Recipes!$A:$D,4,FALSE)&amp;"]"))</f>
        <v/>
      </c>
      <c r="O242" s="46" t="str">
        <f t="array" ref="O242">IF('.'!O242="","",'.'!O242&amp;IF(VLOOKUP('.'!O242,Recipes!$A:$D,4,FALSE)="",""," ["&amp;VLOOKUP('.'!O242,Recipes!$A:$D,4,FALSE)&amp;"]"))</f>
        <v/>
      </c>
      <c r="P242" s="46" t="str">
        <f t="array" ref="P242">IF('.'!P242="","",'.'!P242&amp;IF(VLOOKUP('.'!P242,Recipes!$A:$D,4,FALSE)="",""," ["&amp;VLOOKUP('.'!P242,Recipes!$A:$D,4,FALSE)&amp;"]"))</f>
        <v/>
      </c>
      <c r="Q242" s="46" t="str">
        <f t="array" ref="Q242">IF('.'!Q242="","",'.'!Q242&amp;IF(VLOOKUP('.'!Q242,Recipes!$A:$D,4,FALSE)="",""," ["&amp;VLOOKUP('.'!Q242,Recipes!$A:$D,4,FALSE)&amp;"]"))</f>
        <v/>
      </c>
      <c r="R242" s="46" t="str">
        <f t="array" ref="R242">IF('.'!R242="","",'.'!R242&amp;IF(VLOOKUP('.'!R242,Recipes!$A:$D,4,FALSE)="",""," ["&amp;VLOOKUP('.'!R242,Recipes!$A:$D,4,FALSE)&amp;"]"))</f>
        <v/>
      </c>
      <c r="S242" s="46" t="str">
        <f t="array" ref="S242">IF('.'!S242="","",'.'!S242&amp;IF(VLOOKUP('.'!S242,Recipes!$A:$D,4,FALSE)="",""," ["&amp;VLOOKUP('.'!S242,Recipes!$A:$D,4,FALSE)&amp;"]"))</f>
        <v/>
      </c>
      <c r="T242" s="46" t="str">
        <f t="array" ref="T242">IF('.'!T242="","",'.'!T242&amp;IF(VLOOKUP('.'!T242,Recipes!$A:$D,4,FALSE)="",""," ["&amp;VLOOKUP('.'!T242,Recipes!$A:$D,4,FALSE)&amp;"]"))</f>
        <v/>
      </c>
      <c r="U242" s="46" t="str">
        <f t="array" ref="U242">IF('.'!U242="","",'.'!U242&amp;IF(VLOOKUP('.'!U242,Recipes!$A:$D,4,FALSE)="",""," ["&amp;VLOOKUP('.'!U242,Recipes!$A:$D,4,FALSE)&amp;"]"))</f>
        <v/>
      </c>
      <c r="V242" s="46" t="str">
        <f t="array" ref="V242">IF('.'!V242="","",'.'!V242&amp;IF(VLOOKUP('.'!V242,Recipes!$A:$D,4,FALSE)="",""," ["&amp;VLOOKUP('.'!V242,Recipes!$A:$D,4,FALSE)&amp;"]"))</f>
        <v/>
      </c>
      <c r="W242" s="46" t="str">
        <f t="array" ref="W242">IF('.'!W242="","",'.'!W242&amp;IF(VLOOKUP('.'!W242,Recipes!$A:$D,4,FALSE)="",""," ["&amp;VLOOKUP('.'!W242,Recipes!$A:$D,4,FALSE)&amp;"]"))</f>
        <v/>
      </c>
      <c r="X242" s="46" t="str">
        <f t="array" ref="X242">IF('.'!X242="","",'.'!X242&amp;IF(VLOOKUP('.'!X242,Recipes!$A:$D,4,FALSE)="",""," ["&amp;VLOOKUP('.'!X242,Recipes!$A:$D,4,FALSE)&amp;"]"))</f>
        <v/>
      </c>
      <c r="Y242" s="46" t="str">
        <f t="array" ref="Y242">IF('.'!Y242="","",'.'!Y242&amp;IF(VLOOKUP('.'!Y242,Recipes!$A:$D,4,FALSE)="",""," ["&amp;VLOOKUP('.'!Y242,Recipes!$A:$D,4,FALSE)&amp;"]"))</f>
        <v/>
      </c>
      <c r="Z242" s="46" t="str">
        <f t="array" ref="Z242">IF('.'!Z242="","",'.'!Z242&amp;IF(VLOOKUP('.'!Z242,Recipes!$A:$D,4,FALSE)="",""," ["&amp;VLOOKUP('.'!Z242,Recipes!$A:$D,4,FALSE)&amp;"]"))</f>
        <v/>
      </c>
      <c r="AA242" s="46" t="str">
        <f t="array" ref="AA242">IF('.'!AA242="","",'.'!AA242&amp;IF(VLOOKUP('.'!AA242,Recipes!$A:$D,4,FALSE)="",""," ["&amp;VLOOKUP('.'!AA242,Recipes!$A:$D,4,FALSE)&amp;"]"))</f>
        <v/>
      </c>
      <c r="AB242" s="46" t="str">
        <f t="array" ref="AB242">IF('.'!AB242="","",'.'!AB242&amp;IF(VLOOKUP('.'!AB242,Recipes!$A:$D,4,FALSE)="",""," ["&amp;VLOOKUP('.'!AB242,Recipes!$A:$D,4,FALSE)&amp;"]"))</f>
        <v/>
      </c>
      <c r="AC242" s="46" t="str">
        <f t="array" ref="AC242">IF('.'!AC242="","",'.'!AC242&amp;IF(VLOOKUP('.'!AC242,Recipes!$A:$D,4,FALSE)="",""," ["&amp;VLOOKUP('.'!AC242,Recipes!$A:$D,4,FALSE)&amp;"]"))</f>
        <v/>
      </c>
      <c r="AD242" s="46" t="str">
        <f t="array" ref="AD242">IF('.'!AD242="","",'.'!AD242&amp;IF(VLOOKUP('.'!AD242,Recipes!$A:$D,4,FALSE)="",""," ["&amp;VLOOKUP('.'!AD242,Recipes!$A:$D,4,FALSE)&amp;"]"))</f>
        <v/>
      </c>
      <c r="AE242" s="47"/>
      <c r="AF242" s="47"/>
      <c r="AG242" s="47"/>
      <c r="AH242" s="47"/>
      <c r="AI242" s="47"/>
      <c r="AJ242" s="47"/>
      <c r="AK242" s="47"/>
      <c r="AL242" s="47"/>
      <c r="AM242" s="47"/>
      <c r="AN242" s="47"/>
      <c r="AO242" s="47"/>
      <c r="AP242" s="47"/>
      <c r="AQ242" s="47"/>
      <c r="AR242" s="47"/>
      <c r="AS242" s="47"/>
      <c r="AT242" s="47"/>
      <c r="AU242" s="47"/>
      <c r="AV242" s="47"/>
      <c r="AW242" s="47"/>
      <c r="AX242" s="47"/>
      <c r="AY242" s="47"/>
      <c r="AZ242" s="47"/>
      <c r="BA242" s="47"/>
      <c r="BB242" s="47"/>
      <c r="BC242" s="47"/>
      <c r="BD242" s="47"/>
      <c r="BE242" s="47"/>
      <c r="BF242" s="47"/>
      <c r="BG242" s="47"/>
      <c r="BH242" s="47"/>
      <c r="BI242" s="47"/>
      <c r="BJ242" s="47"/>
      <c r="BK242" s="47"/>
      <c r="BL242" s="47"/>
      <c r="BM242" s="47"/>
      <c r="BN242" s="47"/>
      <c r="BO242" s="47"/>
      <c r="BP242" s="47"/>
      <c r="BQ242" s="47"/>
      <c r="BR242" s="47"/>
      <c r="BS242" s="47"/>
      <c r="BT242" s="47"/>
      <c r="BU242" s="47"/>
      <c r="BV242" s="47"/>
      <c r="BW242" s="47"/>
      <c r="BX242" s="47"/>
      <c r="BY242" s="47"/>
      <c r="BZ242" s="47"/>
    </row>
    <row r="243" spans="1:78" ht="13">
      <c r="A243" s="48" t="str">
        <f ca="1">'.'!A243</f>
        <v>Huge Healing Potion</v>
      </c>
      <c r="B243" s="46" t="str">
        <f t="array" aca="1" ref="B243" ca="1">IF('.'!B243="","",'.'!B243&amp;IF(VLOOKUP('.'!B243,Recipes!$A:$D,4,FALSE)="",""," ["&amp;VLOOKUP('.'!B243,Recipes!$A:$D,4,FALSE)&amp;"]"))</f>
        <v>Giant Healing Potion [-20]</v>
      </c>
      <c r="C243" s="46" t="str">
        <f t="array" aca="1" ref="C243" ca="1">IF('.'!C243="","",'.'!C243&amp;IF(VLOOKUP('.'!C243,Recipes!$A:$D,4,FALSE)="",""," ["&amp;VLOOKUP('.'!C243,Recipes!$A:$D,4,FALSE)&amp;"]"))</f>
        <v>Huge Poison Vial [-35]</v>
      </c>
      <c r="D243" s="46" t="str">
        <f t="array" ref="D243">IF('.'!D243="","",'.'!D243&amp;IF(VLOOKUP('.'!D243,Recipes!$A:$D,4,FALSE)="",""," ["&amp;VLOOKUP('.'!D243,Recipes!$A:$D,4,FALSE)&amp;"]"))</f>
        <v/>
      </c>
      <c r="E243" s="46" t="str">
        <f t="array" ref="E243">IF('.'!E243="","",'.'!E243&amp;IF(VLOOKUP('.'!E243,Recipes!$A:$D,4,FALSE)="",""," ["&amp;VLOOKUP('.'!E243,Recipes!$A:$D,4,FALSE)&amp;"]"))</f>
        <v/>
      </c>
      <c r="F243" s="46" t="str">
        <f t="array" ref="F243">IF('.'!F243="","",'.'!F243&amp;IF(VLOOKUP('.'!F243,Recipes!$A:$D,4,FALSE)="",""," ["&amp;VLOOKUP('.'!F243,Recipes!$A:$D,4,FALSE)&amp;"]"))</f>
        <v/>
      </c>
      <c r="G243" s="46" t="str">
        <f t="array" ref="G243">IF('.'!G243="","",'.'!G243&amp;IF(VLOOKUP('.'!G243,Recipes!$A:$D,4,FALSE)="",""," ["&amp;VLOOKUP('.'!G243,Recipes!$A:$D,4,FALSE)&amp;"]"))</f>
        <v/>
      </c>
      <c r="H243" s="46" t="str">
        <f t="array" ref="H243">IF('.'!H243="","",'.'!H243&amp;IF(VLOOKUP('.'!H243,Recipes!$A:$D,4,FALSE)="",""," ["&amp;VLOOKUP('.'!H243,Recipes!$A:$D,4,FALSE)&amp;"]"))</f>
        <v/>
      </c>
      <c r="I243" s="46" t="str">
        <f t="array" ref="I243">IF('.'!I243="","",'.'!I243&amp;IF(VLOOKUP('.'!I243,Recipes!$A:$D,4,FALSE)="",""," ["&amp;VLOOKUP('.'!I243,Recipes!$A:$D,4,FALSE)&amp;"]"))</f>
        <v/>
      </c>
      <c r="J243" s="46" t="str">
        <f t="array" ref="J243">IF('.'!J243="","",'.'!J243&amp;IF(VLOOKUP('.'!J243,Recipes!$A:$D,4,FALSE)="",""," ["&amp;VLOOKUP('.'!J243,Recipes!$A:$D,4,FALSE)&amp;"]"))</f>
        <v/>
      </c>
      <c r="K243" s="46" t="str">
        <f t="array" ref="K243">IF('.'!K243="","",'.'!K243&amp;IF(VLOOKUP('.'!K243,Recipes!$A:$D,4,FALSE)="",""," ["&amp;VLOOKUP('.'!K243,Recipes!$A:$D,4,FALSE)&amp;"]"))</f>
        <v/>
      </c>
      <c r="L243" s="46" t="str">
        <f t="array" ref="L243">IF('.'!L243="","",'.'!L243&amp;IF(VLOOKUP('.'!L243,Recipes!$A:$D,4,FALSE)="",""," ["&amp;VLOOKUP('.'!L243,Recipes!$A:$D,4,FALSE)&amp;"]"))</f>
        <v/>
      </c>
      <c r="M243" s="46" t="str">
        <f t="array" ref="M243">IF('.'!M243="","",'.'!M243&amp;IF(VLOOKUP('.'!M243,Recipes!$A:$D,4,FALSE)="",""," ["&amp;VLOOKUP('.'!M243,Recipes!$A:$D,4,FALSE)&amp;"]"))</f>
        <v/>
      </c>
      <c r="N243" s="46" t="str">
        <f t="array" ref="N243">IF('.'!N243="","",'.'!N243&amp;IF(VLOOKUP('.'!N243,Recipes!$A:$D,4,FALSE)="",""," ["&amp;VLOOKUP('.'!N243,Recipes!$A:$D,4,FALSE)&amp;"]"))</f>
        <v/>
      </c>
      <c r="O243" s="46" t="str">
        <f t="array" ref="O243">IF('.'!O243="","",'.'!O243&amp;IF(VLOOKUP('.'!O243,Recipes!$A:$D,4,FALSE)="",""," ["&amp;VLOOKUP('.'!O243,Recipes!$A:$D,4,FALSE)&amp;"]"))</f>
        <v/>
      </c>
      <c r="P243" s="46" t="str">
        <f t="array" ref="P243">IF('.'!P243="","",'.'!P243&amp;IF(VLOOKUP('.'!P243,Recipes!$A:$D,4,FALSE)="",""," ["&amp;VLOOKUP('.'!P243,Recipes!$A:$D,4,FALSE)&amp;"]"))</f>
        <v/>
      </c>
      <c r="Q243" s="46" t="str">
        <f t="array" ref="Q243">IF('.'!Q243="","",'.'!Q243&amp;IF(VLOOKUP('.'!Q243,Recipes!$A:$D,4,FALSE)="",""," ["&amp;VLOOKUP('.'!Q243,Recipes!$A:$D,4,FALSE)&amp;"]"))</f>
        <v/>
      </c>
      <c r="R243" s="46" t="str">
        <f t="array" ref="R243">IF('.'!R243="","",'.'!R243&amp;IF(VLOOKUP('.'!R243,Recipes!$A:$D,4,FALSE)="",""," ["&amp;VLOOKUP('.'!R243,Recipes!$A:$D,4,FALSE)&amp;"]"))</f>
        <v/>
      </c>
      <c r="S243" s="46" t="str">
        <f t="array" ref="S243">IF('.'!S243="","",'.'!S243&amp;IF(VLOOKUP('.'!S243,Recipes!$A:$D,4,FALSE)="",""," ["&amp;VLOOKUP('.'!S243,Recipes!$A:$D,4,FALSE)&amp;"]"))</f>
        <v/>
      </c>
      <c r="T243" s="46" t="str">
        <f t="array" ref="T243">IF('.'!T243="","",'.'!T243&amp;IF(VLOOKUP('.'!T243,Recipes!$A:$D,4,FALSE)="",""," ["&amp;VLOOKUP('.'!T243,Recipes!$A:$D,4,FALSE)&amp;"]"))</f>
        <v/>
      </c>
      <c r="U243" s="46" t="str">
        <f t="array" ref="U243">IF('.'!U243="","",'.'!U243&amp;IF(VLOOKUP('.'!U243,Recipes!$A:$D,4,FALSE)="",""," ["&amp;VLOOKUP('.'!U243,Recipes!$A:$D,4,FALSE)&amp;"]"))</f>
        <v/>
      </c>
      <c r="V243" s="46" t="str">
        <f t="array" ref="V243">IF('.'!V243="","",'.'!V243&amp;IF(VLOOKUP('.'!V243,Recipes!$A:$D,4,FALSE)="",""," ["&amp;VLOOKUP('.'!V243,Recipes!$A:$D,4,FALSE)&amp;"]"))</f>
        <v/>
      </c>
      <c r="W243" s="46" t="str">
        <f t="array" ref="W243">IF('.'!W243="","",'.'!W243&amp;IF(VLOOKUP('.'!W243,Recipes!$A:$D,4,FALSE)="",""," ["&amp;VLOOKUP('.'!W243,Recipes!$A:$D,4,FALSE)&amp;"]"))</f>
        <v/>
      </c>
      <c r="X243" s="46" t="str">
        <f t="array" ref="X243">IF('.'!X243="","",'.'!X243&amp;IF(VLOOKUP('.'!X243,Recipes!$A:$D,4,FALSE)="",""," ["&amp;VLOOKUP('.'!X243,Recipes!$A:$D,4,FALSE)&amp;"]"))</f>
        <v/>
      </c>
      <c r="Y243" s="46" t="str">
        <f t="array" ref="Y243">IF('.'!Y243="","",'.'!Y243&amp;IF(VLOOKUP('.'!Y243,Recipes!$A:$D,4,FALSE)="",""," ["&amp;VLOOKUP('.'!Y243,Recipes!$A:$D,4,FALSE)&amp;"]"))</f>
        <v/>
      </c>
      <c r="Z243" s="46" t="str">
        <f t="array" ref="Z243">IF('.'!Z243="","",'.'!Z243&amp;IF(VLOOKUP('.'!Z243,Recipes!$A:$D,4,FALSE)="",""," ["&amp;VLOOKUP('.'!Z243,Recipes!$A:$D,4,FALSE)&amp;"]"))</f>
        <v/>
      </c>
      <c r="AA243" s="46" t="str">
        <f t="array" ref="AA243">IF('.'!AA243="","",'.'!AA243&amp;IF(VLOOKUP('.'!AA243,Recipes!$A:$D,4,FALSE)="",""," ["&amp;VLOOKUP('.'!AA243,Recipes!$A:$D,4,FALSE)&amp;"]"))</f>
        <v/>
      </c>
      <c r="AB243" s="46" t="str">
        <f t="array" ref="AB243">IF('.'!AB243="","",'.'!AB243&amp;IF(VLOOKUP('.'!AB243,Recipes!$A:$D,4,FALSE)="",""," ["&amp;VLOOKUP('.'!AB243,Recipes!$A:$D,4,FALSE)&amp;"]"))</f>
        <v/>
      </c>
      <c r="AC243" s="46" t="str">
        <f t="array" ref="AC243">IF('.'!AC243="","",'.'!AC243&amp;IF(VLOOKUP('.'!AC243,Recipes!$A:$D,4,FALSE)="",""," ["&amp;VLOOKUP('.'!AC243,Recipes!$A:$D,4,FALSE)&amp;"]"))</f>
        <v/>
      </c>
      <c r="AD243" s="46" t="str">
        <f t="array" ref="AD243">IF('.'!AD243="","",'.'!AD243&amp;IF(VLOOKUP('.'!AD243,Recipes!$A:$D,4,FALSE)="",""," ["&amp;VLOOKUP('.'!AD243,Recipes!$A:$D,4,FALSE)&amp;"]"))</f>
        <v/>
      </c>
      <c r="AE243" s="47"/>
      <c r="AF243" s="47"/>
      <c r="AG243" s="47"/>
      <c r="AH243" s="47"/>
      <c r="AI243" s="47"/>
      <c r="AJ243" s="47"/>
      <c r="AK243" s="47"/>
      <c r="AL243" s="47"/>
      <c r="AM243" s="47"/>
      <c r="AN243" s="47"/>
      <c r="AO243" s="47"/>
      <c r="AP243" s="47"/>
      <c r="AQ243" s="47"/>
      <c r="AR243" s="47"/>
      <c r="AS243" s="47"/>
      <c r="AT243" s="47"/>
      <c r="AU243" s="47"/>
      <c r="AV243" s="47"/>
      <c r="AW243" s="47"/>
      <c r="AX243" s="47"/>
      <c r="AY243" s="47"/>
      <c r="AZ243" s="47"/>
      <c r="BA243" s="47"/>
      <c r="BB243" s="47"/>
      <c r="BC243" s="47"/>
      <c r="BD243" s="47"/>
      <c r="BE243" s="47"/>
      <c r="BF243" s="47"/>
      <c r="BG243" s="47"/>
      <c r="BH243" s="47"/>
      <c r="BI243" s="47"/>
      <c r="BJ243" s="47"/>
      <c r="BK243" s="47"/>
      <c r="BL243" s="47"/>
      <c r="BM243" s="47"/>
      <c r="BN243" s="47"/>
      <c r="BO243" s="47"/>
      <c r="BP243" s="47"/>
      <c r="BQ243" s="47"/>
      <c r="BR243" s="47"/>
      <c r="BS243" s="47"/>
      <c r="BT243" s="47"/>
      <c r="BU243" s="47"/>
      <c r="BV243" s="47"/>
      <c r="BW243" s="47"/>
      <c r="BX243" s="47"/>
      <c r="BY243" s="47"/>
      <c r="BZ243" s="47"/>
    </row>
    <row r="244" spans="1:78" ht="13">
      <c r="A244" s="48" t="str">
        <f ca="1">'.'!A244</f>
        <v>Huge Poison Vial</v>
      </c>
      <c r="B244" s="46" t="str">
        <f t="array" aca="1" ref="B244" ca="1">IF('.'!B244="","",'.'!B244&amp;IF(VLOOKUP('.'!B244,Recipes!$A:$D,4,FALSE)="",""," ["&amp;VLOOKUP('.'!B244,Recipes!$A:$D,4,FALSE)&amp;"]"))</f>
        <v>Giant Poison Bottle [-20]</v>
      </c>
      <c r="C244" s="46" t="str">
        <f t="array" ref="C244">IF('.'!C244="","",'.'!C244&amp;IF(VLOOKUP('.'!C244,Recipes!$A:$D,4,FALSE)="",""," ["&amp;VLOOKUP('.'!C244,Recipes!$A:$D,4,FALSE)&amp;"]"))</f>
        <v/>
      </c>
      <c r="D244" s="46" t="str">
        <f t="array" ref="D244">IF('.'!D244="","",'.'!D244&amp;IF(VLOOKUP('.'!D244,Recipes!$A:$D,4,FALSE)="",""," ["&amp;VLOOKUP('.'!D244,Recipes!$A:$D,4,FALSE)&amp;"]"))</f>
        <v/>
      </c>
      <c r="E244" s="46" t="str">
        <f t="array" ref="E244">IF('.'!E244="","",'.'!E244&amp;IF(VLOOKUP('.'!E244,Recipes!$A:$D,4,FALSE)="",""," ["&amp;VLOOKUP('.'!E244,Recipes!$A:$D,4,FALSE)&amp;"]"))</f>
        <v/>
      </c>
      <c r="F244" s="46" t="str">
        <f t="array" ref="F244">IF('.'!F244="","",'.'!F244&amp;IF(VLOOKUP('.'!F244,Recipes!$A:$D,4,FALSE)="",""," ["&amp;VLOOKUP('.'!F244,Recipes!$A:$D,4,FALSE)&amp;"]"))</f>
        <v/>
      </c>
      <c r="G244" s="46" t="str">
        <f t="array" ref="G244">IF('.'!G244="","",'.'!G244&amp;IF(VLOOKUP('.'!G244,Recipes!$A:$D,4,FALSE)="",""," ["&amp;VLOOKUP('.'!G244,Recipes!$A:$D,4,FALSE)&amp;"]"))</f>
        <v/>
      </c>
      <c r="H244" s="46" t="str">
        <f t="array" ref="H244">IF('.'!H244="","",'.'!H244&amp;IF(VLOOKUP('.'!H244,Recipes!$A:$D,4,FALSE)="",""," ["&amp;VLOOKUP('.'!H244,Recipes!$A:$D,4,FALSE)&amp;"]"))</f>
        <v/>
      </c>
      <c r="I244" s="46" t="str">
        <f t="array" ref="I244">IF('.'!I244="","",'.'!I244&amp;IF(VLOOKUP('.'!I244,Recipes!$A:$D,4,FALSE)="",""," ["&amp;VLOOKUP('.'!I244,Recipes!$A:$D,4,FALSE)&amp;"]"))</f>
        <v/>
      </c>
      <c r="J244" s="46" t="str">
        <f t="array" ref="J244">IF('.'!J244="","",'.'!J244&amp;IF(VLOOKUP('.'!J244,Recipes!$A:$D,4,FALSE)="",""," ["&amp;VLOOKUP('.'!J244,Recipes!$A:$D,4,FALSE)&amp;"]"))</f>
        <v/>
      </c>
      <c r="K244" s="46" t="str">
        <f t="array" ref="K244">IF('.'!K244="","",'.'!K244&amp;IF(VLOOKUP('.'!K244,Recipes!$A:$D,4,FALSE)="",""," ["&amp;VLOOKUP('.'!K244,Recipes!$A:$D,4,FALSE)&amp;"]"))</f>
        <v/>
      </c>
      <c r="L244" s="46" t="str">
        <f t="array" ref="L244">IF('.'!L244="","",'.'!L244&amp;IF(VLOOKUP('.'!L244,Recipes!$A:$D,4,FALSE)="",""," ["&amp;VLOOKUP('.'!L244,Recipes!$A:$D,4,FALSE)&amp;"]"))</f>
        <v/>
      </c>
      <c r="M244" s="46" t="str">
        <f t="array" ref="M244">IF('.'!M244="","",'.'!M244&amp;IF(VLOOKUP('.'!M244,Recipes!$A:$D,4,FALSE)="",""," ["&amp;VLOOKUP('.'!M244,Recipes!$A:$D,4,FALSE)&amp;"]"))</f>
        <v/>
      </c>
      <c r="N244" s="46" t="str">
        <f t="array" ref="N244">IF('.'!N244="","",'.'!N244&amp;IF(VLOOKUP('.'!N244,Recipes!$A:$D,4,FALSE)="",""," ["&amp;VLOOKUP('.'!N244,Recipes!$A:$D,4,FALSE)&amp;"]"))</f>
        <v/>
      </c>
      <c r="O244" s="46" t="str">
        <f t="array" ref="O244">IF('.'!O244="","",'.'!O244&amp;IF(VLOOKUP('.'!O244,Recipes!$A:$D,4,FALSE)="",""," ["&amp;VLOOKUP('.'!O244,Recipes!$A:$D,4,FALSE)&amp;"]"))</f>
        <v/>
      </c>
      <c r="P244" s="46" t="str">
        <f t="array" ref="P244">IF('.'!P244="","",'.'!P244&amp;IF(VLOOKUP('.'!P244,Recipes!$A:$D,4,FALSE)="",""," ["&amp;VLOOKUP('.'!P244,Recipes!$A:$D,4,FALSE)&amp;"]"))</f>
        <v/>
      </c>
      <c r="Q244" s="46" t="str">
        <f t="array" ref="Q244">IF('.'!Q244="","",'.'!Q244&amp;IF(VLOOKUP('.'!Q244,Recipes!$A:$D,4,FALSE)="",""," ["&amp;VLOOKUP('.'!Q244,Recipes!$A:$D,4,FALSE)&amp;"]"))</f>
        <v/>
      </c>
      <c r="R244" s="46" t="str">
        <f t="array" ref="R244">IF('.'!R244="","",'.'!R244&amp;IF(VLOOKUP('.'!R244,Recipes!$A:$D,4,FALSE)="",""," ["&amp;VLOOKUP('.'!R244,Recipes!$A:$D,4,FALSE)&amp;"]"))</f>
        <v/>
      </c>
      <c r="S244" s="46" t="str">
        <f t="array" ref="S244">IF('.'!S244="","",'.'!S244&amp;IF(VLOOKUP('.'!S244,Recipes!$A:$D,4,FALSE)="",""," ["&amp;VLOOKUP('.'!S244,Recipes!$A:$D,4,FALSE)&amp;"]"))</f>
        <v/>
      </c>
      <c r="T244" s="46" t="str">
        <f t="array" ref="T244">IF('.'!T244="","",'.'!T244&amp;IF(VLOOKUP('.'!T244,Recipes!$A:$D,4,FALSE)="",""," ["&amp;VLOOKUP('.'!T244,Recipes!$A:$D,4,FALSE)&amp;"]"))</f>
        <v/>
      </c>
      <c r="U244" s="46" t="str">
        <f t="array" ref="U244">IF('.'!U244="","",'.'!U244&amp;IF(VLOOKUP('.'!U244,Recipes!$A:$D,4,FALSE)="",""," ["&amp;VLOOKUP('.'!U244,Recipes!$A:$D,4,FALSE)&amp;"]"))</f>
        <v/>
      </c>
      <c r="V244" s="46" t="str">
        <f t="array" ref="V244">IF('.'!V244="","",'.'!V244&amp;IF(VLOOKUP('.'!V244,Recipes!$A:$D,4,FALSE)="",""," ["&amp;VLOOKUP('.'!V244,Recipes!$A:$D,4,FALSE)&amp;"]"))</f>
        <v/>
      </c>
      <c r="W244" s="46" t="str">
        <f t="array" ref="W244">IF('.'!W244="","",'.'!W244&amp;IF(VLOOKUP('.'!W244,Recipes!$A:$D,4,FALSE)="",""," ["&amp;VLOOKUP('.'!W244,Recipes!$A:$D,4,FALSE)&amp;"]"))</f>
        <v/>
      </c>
      <c r="X244" s="46" t="str">
        <f t="array" ref="X244">IF('.'!X244="","",'.'!X244&amp;IF(VLOOKUP('.'!X244,Recipes!$A:$D,4,FALSE)="",""," ["&amp;VLOOKUP('.'!X244,Recipes!$A:$D,4,FALSE)&amp;"]"))</f>
        <v/>
      </c>
      <c r="Y244" s="46" t="str">
        <f t="array" ref="Y244">IF('.'!Y244="","",'.'!Y244&amp;IF(VLOOKUP('.'!Y244,Recipes!$A:$D,4,FALSE)="",""," ["&amp;VLOOKUP('.'!Y244,Recipes!$A:$D,4,FALSE)&amp;"]"))</f>
        <v/>
      </c>
      <c r="Z244" s="46" t="str">
        <f t="array" ref="Z244">IF('.'!Z244="","",'.'!Z244&amp;IF(VLOOKUP('.'!Z244,Recipes!$A:$D,4,FALSE)="",""," ["&amp;VLOOKUP('.'!Z244,Recipes!$A:$D,4,FALSE)&amp;"]"))</f>
        <v/>
      </c>
      <c r="AA244" s="46" t="str">
        <f t="array" ref="AA244">IF('.'!AA244="","",'.'!AA244&amp;IF(VLOOKUP('.'!AA244,Recipes!$A:$D,4,FALSE)="",""," ["&amp;VLOOKUP('.'!AA244,Recipes!$A:$D,4,FALSE)&amp;"]"))</f>
        <v/>
      </c>
      <c r="AB244" s="46" t="str">
        <f t="array" ref="AB244">IF('.'!AB244="","",'.'!AB244&amp;IF(VLOOKUP('.'!AB244,Recipes!$A:$D,4,FALSE)="",""," ["&amp;VLOOKUP('.'!AB244,Recipes!$A:$D,4,FALSE)&amp;"]"))</f>
        <v/>
      </c>
      <c r="AC244" s="46" t="str">
        <f t="array" ref="AC244">IF('.'!AC244="","",'.'!AC244&amp;IF(VLOOKUP('.'!AC244,Recipes!$A:$D,4,FALSE)="",""," ["&amp;VLOOKUP('.'!AC244,Recipes!$A:$D,4,FALSE)&amp;"]"))</f>
        <v/>
      </c>
      <c r="AD244" s="46" t="str">
        <f t="array" ref="AD244">IF('.'!AD244="","",'.'!AD244&amp;IF(VLOOKUP('.'!AD244,Recipes!$A:$D,4,FALSE)="",""," ["&amp;VLOOKUP('.'!AD244,Recipes!$A:$D,4,FALSE)&amp;"]"))</f>
        <v/>
      </c>
      <c r="AE244" s="47"/>
      <c r="AF244" s="47"/>
      <c r="AG244" s="47"/>
      <c r="AH244" s="47"/>
      <c r="AI244" s="47"/>
      <c r="AJ244" s="47"/>
      <c r="AK244" s="47"/>
      <c r="AL244" s="47"/>
      <c r="AM244" s="47"/>
      <c r="AN244" s="47"/>
      <c r="AO244" s="47"/>
      <c r="AP244" s="47"/>
      <c r="AQ244" s="47"/>
      <c r="AR244" s="47"/>
      <c r="AS244" s="47"/>
      <c r="AT244" s="47"/>
      <c r="AU244" s="47"/>
      <c r="AV244" s="47"/>
      <c r="AW244" s="47"/>
      <c r="AX244" s="47"/>
      <c r="AY244" s="47"/>
      <c r="AZ244" s="47"/>
      <c r="BA244" s="47"/>
      <c r="BB244" s="47"/>
      <c r="BC244" s="47"/>
      <c r="BD244" s="47"/>
      <c r="BE244" s="47"/>
      <c r="BF244" s="47"/>
      <c r="BG244" s="47"/>
      <c r="BH244" s="47"/>
      <c r="BI244" s="47"/>
      <c r="BJ244" s="47"/>
      <c r="BK244" s="47"/>
      <c r="BL244" s="47"/>
      <c r="BM244" s="47"/>
      <c r="BN244" s="47"/>
      <c r="BO244" s="47"/>
      <c r="BP244" s="47"/>
      <c r="BQ244" s="47"/>
      <c r="BR244" s="47"/>
      <c r="BS244" s="47"/>
      <c r="BT244" s="47"/>
      <c r="BU244" s="47"/>
      <c r="BV244" s="47"/>
      <c r="BW244" s="47"/>
      <c r="BX244" s="47"/>
      <c r="BY244" s="47"/>
      <c r="BZ244" s="47"/>
    </row>
    <row r="245" spans="1:78" ht="13">
      <c r="A245" s="48" t="str">
        <f ca="1">'.'!A245</f>
        <v>Human Face</v>
      </c>
      <c r="B245" s="46" t="str">
        <f t="array" aca="1" ref="B245" ca="1">IF('.'!B245="","",'.'!B245&amp;IF(VLOOKUP('.'!B245,Recipes!$A:$D,4,FALSE)="",""," ["&amp;VLOOKUP('.'!B245,Recipes!$A:$D,4,FALSE)&amp;"]"))</f>
        <v>Human Mask of the Shapeshifter [V]</v>
      </c>
      <c r="C245" s="46" t="str">
        <f t="array" ref="C245">IF('.'!C245="","",'.'!C245&amp;IF(VLOOKUP('.'!C245,Recipes!$A:$D,4,FALSE)="",""," ["&amp;VLOOKUP('.'!C245,Recipes!$A:$D,4,FALSE)&amp;"]"))</f>
        <v/>
      </c>
      <c r="D245" s="46" t="str">
        <f t="array" ref="D245">IF('.'!D245="","",'.'!D245&amp;IF(VLOOKUP('.'!D245,Recipes!$A:$D,4,FALSE)="",""," ["&amp;VLOOKUP('.'!D245,Recipes!$A:$D,4,FALSE)&amp;"]"))</f>
        <v/>
      </c>
      <c r="E245" s="46" t="str">
        <f t="array" ref="E245">IF('.'!E245="","",'.'!E245&amp;IF(VLOOKUP('.'!E245,Recipes!$A:$D,4,FALSE)="",""," ["&amp;VLOOKUP('.'!E245,Recipes!$A:$D,4,FALSE)&amp;"]"))</f>
        <v/>
      </c>
      <c r="F245" s="46" t="str">
        <f t="array" ref="F245">IF('.'!F245="","",'.'!F245&amp;IF(VLOOKUP('.'!F245,Recipes!$A:$D,4,FALSE)="",""," ["&amp;VLOOKUP('.'!F245,Recipes!$A:$D,4,FALSE)&amp;"]"))</f>
        <v/>
      </c>
      <c r="G245" s="46" t="str">
        <f t="array" ref="G245">IF('.'!G245="","",'.'!G245&amp;IF(VLOOKUP('.'!G245,Recipes!$A:$D,4,FALSE)="",""," ["&amp;VLOOKUP('.'!G245,Recipes!$A:$D,4,FALSE)&amp;"]"))</f>
        <v/>
      </c>
      <c r="H245" s="46" t="str">
        <f t="array" ref="H245">IF('.'!H245="","",'.'!H245&amp;IF(VLOOKUP('.'!H245,Recipes!$A:$D,4,FALSE)="",""," ["&amp;VLOOKUP('.'!H245,Recipes!$A:$D,4,FALSE)&amp;"]"))</f>
        <v/>
      </c>
      <c r="I245" s="46" t="str">
        <f t="array" ref="I245">IF('.'!I245="","",'.'!I245&amp;IF(VLOOKUP('.'!I245,Recipes!$A:$D,4,FALSE)="",""," ["&amp;VLOOKUP('.'!I245,Recipes!$A:$D,4,FALSE)&amp;"]"))</f>
        <v/>
      </c>
      <c r="J245" s="46" t="str">
        <f t="array" ref="J245">IF('.'!J245="","",'.'!J245&amp;IF(VLOOKUP('.'!J245,Recipes!$A:$D,4,FALSE)="",""," ["&amp;VLOOKUP('.'!J245,Recipes!$A:$D,4,FALSE)&amp;"]"))</f>
        <v/>
      </c>
      <c r="K245" s="46" t="str">
        <f t="array" ref="K245">IF('.'!K245="","",'.'!K245&amp;IF(VLOOKUP('.'!K245,Recipes!$A:$D,4,FALSE)="",""," ["&amp;VLOOKUP('.'!K245,Recipes!$A:$D,4,FALSE)&amp;"]"))</f>
        <v/>
      </c>
      <c r="L245" s="46" t="str">
        <f t="array" ref="L245">IF('.'!L245="","",'.'!L245&amp;IF(VLOOKUP('.'!L245,Recipes!$A:$D,4,FALSE)="",""," ["&amp;VLOOKUP('.'!L245,Recipes!$A:$D,4,FALSE)&amp;"]"))</f>
        <v/>
      </c>
      <c r="M245" s="46" t="str">
        <f t="array" ref="M245">IF('.'!M245="","",'.'!M245&amp;IF(VLOOKUP('.'!M245,Recipes!$A:$D,4,FALSE)="",""," ["&amp;VLOOKUP('.'!M245,Recipes!$A:$D,4,FALSE)&amp;"]"))</f>
        <v/>
      </c>
      <c r="N245" s="46" t="str">
        <f t="array" ref="N245">IF('.'!N245="","",'.'!N245&amp;IF(VLOOKUP('.'!N245,Recipes!$A:$D,4,FALSE)="",""," ["&amp;VLOOKUP('.'!N245,Recipes!$A:$D,4,FALSE)&amp;"]"))</f>
        <v/>
      </c>
      <c r="O245" s="46" t="str">
        <f t="array" ref="O245">IF('.'!O245="","",'.'!O245&amp;IF(VLOOKUP('.'!O245,Recipes!$A:$D,4,FALSE)="",""," ["&amp;VLOOKUP('.'!O245,Recipes!$A:$D,4,FALSE)&amp;"]"))</f>
        <v/>
      </c>
      <c r="P245" s="46" t="str">
        <f t="array" ref="P245">IF('.'!P245="","",'.'!P245&amp;IF(VLOOKUP('.'!P245,Recipes!$A:$D,4,FALSE)="",""," ["&amp;VLOOKUP('.'!P245,Recipes!$A:$D,4,FALSE)&amp;"]"))</f>
        <v/>
      </c>
      <c r="Q245" s="46" t="str">
        <f t="array" ref="Q245">IF('.'!Q245="","",'.'!Q245&amp;IF(VLOOKUP('.'!Q245,Recipes!$A:$D,4,FALSE)="",""," ["&amp;VLOOKUP('.'!Q245,Recipes!$A:$D,4,FALSE)&amp;"]"))</f>
        <v/>
      </c>
      <c r="R245" s="46" t="str">
        <f t="array" ref="R245">IF('.'!R245="","",'.'!R245&amp;IF(VLOOKUP('.'!R245,Recipes!$A:$D,4,FALSE)="",""," ["&amp;VLOOKUP('.'!R245,Recipes!$A:$D,4,FALSE)&amp;"]"))</f>
        <v/>
      </c>
      <c r="S245" s="46" t="str">
        <f t="array" ref="S245">IF('.'!S245="","",'.'!S245&amp;IF(VLOOKUP('.'!S245,Recipes!$A:$D,4,FALSE)="",""," ["&amp;VLOOKUP('.'!S245,Recipes!$A:$D,4,FALSE)&amp;"]"))</f>
        <v/>
      </c>
      <c r="T245" s="46" t="str">
        <f t="array" ref="T245">IF('.'!T245="","",'.'!T245&amp;IF(VLOOKUP('.'!T245,Recipes!$A:$D,4,FALSE)="",""," ["&amp;VLOOKUP('.'!T245,Recipes!$A:$D,4,FALSE)&amp;"]"))</f>
        <v/>
      </c>
      <c r="U245" s="46" t="str">
        <f t="array" ref="U245">IF('.'!U245="","",'.'!U245&amp;IF(VLOOKUP('.'!U245,Recipes!$A:$D,4,FALSE)="",""," ["&amp;VLOOKUP('.'!U245,Recipes!$A:$D,4,FALSE)&amp;"]"))</f>
        <v/>
      </c>
      <c r="V245" s="46" t="str">
        <f t="array" ref="V245">IF('.'!V245="","",'.'!V245&amp;IF(VLOOKUP('.'!V245,Recipes!$A:$D,4,FALSE)="",""," ["&amp;VLOOKUP('.'!V245,Recipes!$A:$D,4,FALSE)&amp;"]"))</f>
        <v/>
      </c>
      <c r="W245" s="46" t="str">
        <f t="array" ref="W245">IF('.'!W245="","",'.'!W245&amp;IF(VLOOKUP('.'!W245,Recipes!$A:$D,4,FALSE)="",""," ["&amp;VLOOKUP('.'!W245,Recipes!$A:$D,4,FALSE)&amp;"]"))</f>
        <v/>
      </c>
      <c r="X245" s="46" t="str">
        <f t="array" ref="X245">IF('.'!X245="","",'.'!X245&amp;IF(VLOOKUP('.'!X245,Recipes!$A:$D,4,FALSE)="",""," ["&amp;VLOOKUP('.'!X245,Recipes!$A:$D,4,FALSE)&amp;"]"))</f>
        <v/>
      </c>
      <c r="Y245" s="46" t="str">
        <f t="array" ref="Y245">IF('.'!Y245="","",'.'!Y245&amp;IF(VLOOKUP('.'!Y245,Recipes!$A:$D,4,FALSE)="",""," ["&amp;VLOOKUP('.'!Y245,Recipes!$A:$D,4,FALSE)&amp;"]"))</f>
        <v/>
      </c>
      <c r="Z245" s="46" t="str">
        <f t="array" ref="Z245">IF('.'!Z245="","",'.'!Z245&amp;IF(VLOOKUP('.'!Z245,Recipes!$A:$D,4,FALSE)="",""," ["&amp;VLOOKUP('.'!Z245,Recipes!$A:$D,4,FALSE)&amp;"]"))</f>
        <v/>
      </c>
      <c r="AA245" s="46" t="str">
        <f t="array" ref="AA245">IF('.'!AA245="","",'.'!AA245&amp;IF(VLOOKUP('.'!AA245,Recipes!$A:$D,4,FALSE)="",""," ["&amp;VLOOKUP('.'!AA245,Recipes!$A:$D,4,FALSE)&amp;"]"))</f>
        <v/>
      </c>
      <c r="AB245" s="46" t="str">
        <f t="array" ref="AB245">IF('.'!AB245="","",'.'!AB245&amp;IF(VLOOKUP('.'!AB245,Recipes!$A:$D,4,FALSE)="",""," ["&amp;VLOOKUP('.'!AB245,Recipes!$A:$D,4,FALSE)&amp;"]"))</f>
        <v/>
      </c>
      <c r="AC245" s="46" t="str">
        <f t="array" ref="AC245">IF('.'!AC245="","",'.'!AC245&amp;IF(VLOOKUP('.'!AC245,Recipes!$A:$D,4,FALSE)="",""," ["&amp;VLOOKUP('.'!AC245,Recipes!$A:$D,4,FALSE)&amp;"]"))</f>
        <v/>
      </c>
      <c r="AD245" s="46" t="str">
        <f t="array" ref="AD245">IF('.'!AD245="","",'.'!AD245&amp;IF(VLOOKUP('.'!AD245,Recipes!$A:$D,4,FALSE)="",""," ["&amp;VLOOKUP('.'!AD245,Recipes!$A:$D,4,FALSE)&amp;"]"))</f>
        <v/>
      </c>
      <c r="AE245" s="47"/>
      <c r="AF245" s="47"/>
      <c r="AG245" s="47"/>
      <c r="AH245" s="47"/>
      <c r="AI245" s="47"/>
      <c r="AJ245" s="47"/>
      <c r="AK245" s="47"/>
      <c r="AL245" s="47"/>
      <c r="AM245" s="47"/>
      <c r="AN245" s="47"/>
      <c r="AO245" s="47"/>
      <c r="AP245" s="47"/>
      <c r="AQ245" s="47"/>
      <c r="AR245" s="47"/>
      <c r="AS245" s="47"/>
      <c r="AT245" s="47"/>
      <c r="AU245" s="47"/>
      <c r="AV245" s="47"/>
      <c r="AW245" s="47"/>
      <c r="AX245" s="47"/>
      <c r="AY245" s="47"/>
      <c r="AZ245" s="47"/>
      <c r="BA245" s="47"/>
      <c r="BB245" s="47"/>
      <c r="BC245" s="47"/>
      <c r="BD245" s="47"/>
      <c r="BE245" s="47"/>
      <c r="BF245" s="47"/>
      <c r="BG245" s="47"/>
      <c r="BH245" s="47"/>
      <c r="BI245" s="47"/>
      <c r="BJ245" s="47"/>
      <c r="BK245" s="47"/>
      <c r="BL245" s="47"/>
      <c r="BM245" s="47"/>
      <c r="BN245" s="47"/>
      <c r="BO245" s="47"/>
      <c r="BP245" s="47"/>
      <c r="BQ245" s="47"/>
      <c r="BR245" s="47"/>
      <c r="BS245" s="47"/>
      <c r="BT245" s="47"/>
      <c r="BU245" s="47"/>
      <c r="BV245" s="47"/>
      <c r="BW245" s="47"/>
      <c r="BX245" s="47"/>
      <c r="BY245" s="47"/>
      <c r="BZ245" s="47"/>
    </row>
    <row r="246" spans="1:78" ht="13">
      <c r="A246" s="48" t="str">
        <f ca="1">'.'!A246</f>
        <v>Human Mask of the Shapeshifter</v>
      </c>
      <c r="B246" s="46" t="str">
        <f t="array" aca="1" ref="B246" ca="1">IF('.'!B246="","",'.'!B246&amp;IF(VLOOKUP('.'!B246,Recipes!$A:$D,4,FALSE)="",""," ["&amp;VLOOKUP('.'!B246,Recipes!$A:$D,4,FALSE)&amp;"]"))</f>
        <v>Mask of the Shapeshifter [V]</v>
      </c>
      <c r="C246" s="46" t="str">
        <f t="array" ref="C246">IF('.'!C246="","",'.'!C246&amp;IF(VLOOKUP('.'!C246,Recipes!$A:$D,4,FALSE)="",""," ["&amp;VLOOKUP('.'!C246,Recipes!$A:$D,4,FALSE)&amp;"]"))</f>
        <v/>
      </c>
      <c r="D246" s="46" t="str">
        <f t="array" ref="D246">IF('.'!D246="","",'.'!D246&amp;IF(VLOOKUP('.'!D246,Recipes!$A:$D,4,FALSE)="",""," ["&amp;VLOOKUP('.'!D246,Recipes!$A:$D,4,FALSE)&amp;"]"))</f>
        <v/>
      </c>
      <c r="E246" s="46" t="str">
        <f t="array" ref="E246">IF('.'!E246="","",'.'!E246&amp;IF(VLOOKUP('.'!E246,Recipes!$A:$D,4,FALSE)="",""," ["&amp;VLOOKUP('.'!E246,Recipes!$A:$D,4,FALSE)&amp;"]"))</f>
        <v/>
      </c>
      <c r="F246" s="46" t="str">
        <f t="array" ref="F246">IF('.'!F246="","",'.'!F246&amp;IF(VLOOKUP('.'!F246,Recipes!$A:$D,4,FALSE)="",""," ["&amp;VLOOKUP('.'!F246,Recipes!$A:$D,4,FALSE)&amp;"]"))</f>
        <v/>
      </c>
      <c r="G246" s="46" t="str">
        <f t="array" ref="G246">IF('.'!G246="","",'.'!G246&amp;IF(VLOOKUP('.'!G246,Recipes!$A:$D,4,FALSE)="",""," ["&amp;VLOOKUP('.'!G246,Recipes!$A:$D,4,FALSE)&amp;"]"))</f>
        <v/>
      </c>
      <c r="H246" s="46" t="str">
        <f t="array" ref="H246">IF('.'!H246="","",'.'!H246&amp;IF(VLOOKUP('.'!H246,Recipes!$A:$D,4,FALSE)="",""," ["&amp;VLOOKUP('.'!H246,Recipes!$A:$D,4,FALSE)&amp;"]"))</f>
        <v/>
      </c>
      <c r="I246" s="46" t="str">
        <f t="array" ref="I246">IF('.'!I246="","",'.'!I246&amp;IF(VLOOKUP('.'!I246,Recipes!$A:$D,4,FALSE)="",""," ["&amp;VLOOKUP('.'!I246,Recipes!$A:$D,4,FALSE)&amp;"]"))</f>
        <v/>
      </c>
      <c r="J246" s="46" t="str">
        <f t="array" ref="J246">IF('.'!J246="","",'.'!J246&amp;IF(VLOOKUP('.'!J246,Recipes!$A:$D,4,FALSE)="",""," ["&amp;VLOOKUP('.'!J246,Recipes!$A:$D,4,FALSE)&amp;"]"))</f>
        <v/>
      </c>
      <c r="K246" s="46" t="str">
        <f t="array" ref="K246">IF('.'!K246="","",'.'!K246&amp;IF(VLOOKUP('.'!K246,Recipes!$A:$D,4,FALSE)="",""," ["&amp;VLOOKUP('.'!K246,Recipes!$A:$D,4,FALSE)&amp;"]"))</f>
        <v/>
      </c>
      <c r="L246" s="46" t="str">
        <f t="array" ref="L246">IF('.'!L246="","",'.'!L246&amp;IF(VLOOKUP('.'!L246,Recipes!$A:$D,4,FALSE)="",""," ["&amp;VLOOKUP('.'!L246,Recipes!$A:$D,4,FALSE)&amp;"]"))</f>
        <v/>
      </c>
      <c r="M246" s="46" t="str">
        <f t="array" ref="M246">IF('.'!M246="","",'.'!M246&amp;IF(VLOOKUP('.'!M246,Recipes!$A:$D,4,FALSE)="",""," ["&amp;VLOOKUP('.'!M246,Recipes!$A:$D,4,FALSE)&amp;"]"))</f>
        <v/>
      </c>
      <c r="N246" s="46" t="str">
        <f t="array" ref="N246">IF('.'!N246="","",'.'!N246&amp;IF(VLOOKUP('.'!N246,Recipes!$A:$D,4,FALSE)="",""," ["&amp;VLOOKUP('.'!N246,Recipes!$A:$D,4,FALSE)&amp;"]"))</f>
        <v/>
      </c>
      <c r="O246" s="46" t="str">
        <f t="array" ref="O246">IF('.'!O246="","",'.'!O246&amp;IF(VLOOKUP('.'!O246,Recipes!$A:$D,4,FALSE)="",""," ["&amp;VLOOKUP('.'!O246,Recipes!$A:$D,4,FALSE)&amp;"]"))</f>
        <v/>
      </c>
      <c r="P246" s="46" t="str">
        <f t="array" ref="P246">IF('.'!P246="","",'.'!P246&amp;IF(VLOOKUP('.'!P246,Recipes!$A:$D,4,FALSE)="",""," ["&amp;VLOOKUP('.'!P246,Recipes!$A:$D,4,FALSE)&amp;"]"))</f>
        <v/>
      </c>
      <c r="Q246" s="46" t="str">
        <f t="array" ref="Q246">IF('.'!Q246="","",'.'!Q246&amp;IF(VLOOKUP('.'!Q246,Recipes!$A:$D,4,FALSE)="",""," ["&amp;VLOOKUP('.'!Q246,Recipes!$A:$D,4,FALSE)&amp;"]"))</f>
        <v/>
      </c>
      <c r="R246" s="46" t="str">
        <f t="array" ref="R246">IF('.'!R246="","",'.'!R246&amp;IF(VLOOKUP('.'!R246,Recipes!$A:$D,4,FALSE)="",""," ["&amp;VLOOKUP('.'!R246,Recipes!$A:$D,4,FALSE)&amp;"]"))</f>
        <v/>
      </c>
      <c r="S246" s="46" t="str">
        <f t="array" ref="S246">IF('.'!S246="","",'.'!S246&amp;IF(VLOOKUP('.'!S246,Recipes!$A:$D,4,FALSE)="",""," ["&amp;VLOOKUP('.'!S246,Recipes!$A:$D,4,FALSE)&amp;"]"))</f>
        <v/>
      </c>
      <c r="T246" s="46" t="str">
        <f t="array" ref="T246">IF('.'!T246="","",'.'!T246&amp;IF(VLOOKUP('.'!T246,Recipes!$A:$D,4,FALSE)="",""," ["&amp;VLOOKUP('.'!T246,Recipes!$A:$D,4,FALSE)&amp;"]"))</f>
        <v/>
      </c>
      <c r="U246" s="46" t="str">
        <f t="array" ref="U246">IF('.'!U246="","",'.'!U246&amp;IF(VLOOKUP('.'!U246,Recipes!$A:$D,4,FALSE)="",""," ["&amp;VLOOKUP('.'!U246,Recipes!$A:$D,4,FALSE)&amp;"]"))</f>
        <v/>
      </c>
      <c r="V246" s="46" t="str">
        <f t="array" ref="V246">IF('.'!V246="","",'.'!V246&amp;IF(VLOOKUP('.'!V246,Recipes!$A:$D,4,FALSE)="",""," ["&amp;VLOOKUP('.'!V246,Recipes!$A:$D,4,FALSE)&amp;"]"))</f>
        <v/>
      </c>
      <c r="W246" s="46" t="str">
        <f t="array" ref="W246">IF('.'!W246="","",'.'!W246&amp;IF(VLOOKUP('.'!W246,Recipes!$A:$D,4,FALSE)="",""," ["&amp;VLOOKUP('.'!W246,Recipes!$A:$D,4,FALSE)&amp;"]"))</f>
        <v/>
      </c>
      <c r="X246" s="46" t="str">
        <f t="array" ref="X246">IF('.'!X246="","",'.'!X246&amp;IF(VLOOKUP('.'!X246,Recipes!$A:$D,4,FALSE)="",""," ["&amp;VLOOKUP('.'!X246,Recipes!$A:$D,4,FALSE)&amp;"]"))</f>
        <v/>
      </c>
      <c r="Y246" s="46" t="str">
        <f t="array" ref="Y246">IF('.'!Y246="","",'.'!Y246&amp;IF(VLOOKUP('.'!Y246,Recipes!$A:$D,4,FALSE)="",""," ["&amp;VLOOKUP('.'!Y246,Recipes!$A:$D,4,FALSE)&amp;"]"))</f>
        <v/>
      </c>
      <c r="Z246" s="46" t="str">
        <f t="array" ref="Z246">IF('.'!Z246="","",'.'!Z246&amp;IF(VLOOKUP('.'!Z246,Recipes!$A:$D,4,FALSE)="",""," ["&amp;VLOOKUP('.'!Z246,Recipes!$A:$D,4,FALSE)&amp;"]"))</f>
        <v/>
      </c>
      <c r="AA246" s="46" t="str">
        <f t="array" ref="AA246">IF('.'!AA246="","",'.'!AA246&amp;IF(VLOOKUP('.'!AA246,Recipes!$A:$D,4,FALSE)="",""," ["&amp;VLOOKUP('.'!AA246,Recipes!$A:$D,4,FALSE)&amp;"]"))</f>
        <v/>
      </c>
      <c r="AB246" s="46" t="str">
        <f t="array" ref="AB246">IF('.'!AB246="","",'.'!AB246&amp;IF(VLOOKUP('.'!AB246,Recipes!$A:$D,4,FALSE)="",""," ["&amp;VLOOKUP('.'!AB246,Recipes!$A:$D,4,FALSE)&amp;"]"))</f>
        <v/>
      </c>
      <c r="AC246" s="46" t="str">
        <f t="array" ref="AC246">IF('.'!AC246="","",'.'!AC246&amp;IF(VLOOKUP('.'!AC246,Recipes!$A:$D,4,FALSE)="",""," ["&amp;VLOOKUP('.'!AC246,Recipes!$A:$D,4,FALSE)&amp;"]"))</f>
        <v/>
      </c>
      <c r="AD246" s="46" t="str">
        <f t="array" ref="AD246">IF('.'!AD246="","",'.'!AD246&amp;IF(VLOOKUP('.'!AD246,Recipes!$A:$D,4,FALSE)="",""," ["&amp;VLOOKUP('.'!AD246,Recipes!$A:$D,4,FALSE)&amp;"]"))</f>
        <v/>
      </c>
      <c r="AE246" s="47"/>
      <c r="AF246" s="47"/>
      <c r="AG246" s="47"/>
      <c r="AH246" s="47"/>
      <c r="AI246" s="47"/>
      <c r="AJ246" s="47"/>
      <c r="AK246" s="47"/>
      <c r="AL246" s="47"/>
      <c r="AM246" s="47"/>
      <c r="AN246" s="47"/>
      <c r="AO246" s="47"/>
      <c r="AP246" s="47"/>
      <c r="AQ246" s="47"/>
      <c r="AR246" s="47"/>
      <c r="AS246" s="47"/>
      <c r="AT246" s="47"/>
      <c r="AU246" s="47"/>
      <c r="AV246" s="47"/>
      <c r="AW246" s="47"/>
      <c r="AX246" s="47"/>
      <c r="AY246" s="47"/>
      <c r="AZ246" s="47"/>
      <c r="BA246" s="47"/>
      <c r="BB246" s="47"/>
      <c r="BC246" s="47"/>
      <c r="BD246" s="47"/>
      <c r="BE246" s="47"/>
      <c r="BF246" s="47"/>
      <c r="BG246" s="47"/>
      <c r="BH246" s="47"/>
      <c r="BI246" s="47"/>
      <c r="BJ246" s="47"/>
      <c r="BK246" s="47"/>
      <c r="BL246" s="47"/>
      <c r="BM246" s="47"/>
      <c r="BN246" s="47"/>
      <c r="BO246" s="47"/>
      <c r="BP246" s="47"/>
      <c r="BQ246" s="47"/>
      <c r="BR246" s="47"/>
      <c r="BS246" s="47"/>
      <c r="BT246" s="47"/>
      <c r="BU246" s="47"/>
      <c r="BV246" s="47"/>
      <c r="BW246" s="47"/>
      <c r="BX246" s="47"/>
      <c r="BY246" s="47"/>
      <c r="BZ246" s="47"/>
    </row>
    <row r="247" spans="1:78" ht="13">
      <c r="A247" s="48" t="str">
        <f ca="1">'.'!A247</f>
        <v>Ice Breaker Scroll</v>
      </c>
      <c r="B247" s="46" t="str">
        <f t="array" aca="1" ref="B247" ca="1">IF('.'!B247="","",'.'!B247&amp;IF(VLOOKUP('.'!B247,Recipes!$A:$D,4,FALSE)="",""," ["&amp;VLOOKUP('.'!B247,Recipes!$A:$D,4,FALSE)&amp;"]"))</f>
        <v>Ice Breaker Skillbook [1000]</v>
      </c>
      <c r="C247" s="46" t="str">
        <f t="array" ref="C247">IF('.'!C247="","",'.'!C247&amp;IF(VLOOKUP('.'!C247,Recipes!$A:$D,4,FALSE)="",""," ["&amp;VLOOKUP('.'!C247,Recipes!$A:$D,4,FALSE)&amp;"]"))</f>
        <v/>
      </c>
      <c r="D247" s="46" t="str">
        <f t="array" ref="D247">IF('.'!D247="","",'.'!D247&amp;IF(VLOOKUP('.'!D247,Recipes!$A:$D,4,FALSE)="",""," ["&amp;VLOOKUP('.'!D247,Recipes!$A:$D,4,FALSE)&amp;"]"))</f>
        <v/>
      </c>
      <c r="E247" s="46" t="str">
        <f t="array" ref="E247">IF('.'!E247="","",'.'!E247&amp;IF(VLOOKUP('.'!E247,Recipes!$A:$D,4,FALSE)="",""," ["&amp;VLOOKUP('.'!E247,Recipes!$A:$D,4,FALSE)&amp;"]"))</f>
        <v/>
      </c>
      <c r="F247" s="46" t="str">
        <f t="array" ref="F247">IF('.'!F247="","",'.'!F247&amp;IF(VLOOKUP('.'!F247,Recipes!$A:$D,4,FALSE)="",""," ["&amp;VLOOKUP('.'!F247,Recipes!$A:$D,4,FALSE)&amp;"]"))</f>
        <v/>
      </c>
      <c r="G247" s="46" t="str">
        <f t="array" ref="G247">IF('.'!G247="","",'.'!G247&amp;IF(VLOOKUP('.'!G247,Recipes!$A:$D,4,FALSE)="",""," ["&amp;VLOOKUP('.'!G247,Recipes!$A:$D,4,FALSE)&amp;"]"))</f>
        <v/>
      </c>
      <c r="H247" s="46" t="str">
        <f t="array" ref="H247">IF('.'!H247="","",'.'!H247&amp;IF(VLOOKUP('.'!H247,Recipes!$A:$D,4,FALSE)="",""," ["&amp;VLOOKUP('.'!H247,Recipes!$A:$D,4,FALSE)&amp;"]"))</f>
        <v/>
      </c>
      <c r="I247" s="46" t="str">
        <f t="array" ref="I247">IF('.'!I247="","",'.'!I247&amp;IF(VLOOKUP('.'!I247,Recipes!$A:$D,4,FALSE)="",""," ["&amp;VLOOKUP('.'!I247,Recipes!$A:$D,4,FALSE)&amp;"]"))</f>
        <v/>
      </c>
      <c r="J247" s="46" t="str">
        <f t="array" ref="J247">IF('.'!J247="","",'.'!J247&amp;IF(VLOOKUP('.'!J247,Recipes!$A:$D,4,FALSE)="",""," ["&amp;VLOOKUP('.'!J247,Recipes!$A:$D,4,FALSE)&amp;"]"))</f>
        <v/>
      </c>
      <c r="K247" s="46" t="str">
        <f t="array" ref="K247">IF('.'!K247="","",'.'!K247&amp;IF(VLOOKUP('.'!K247,Recipes!$A:$D,4,FALSE)="",""," ["&amp;VLOOKUP('.'!K247,Recipes!$A:$D,4,FALSE)&amp;"]"))</f>
        <v/>
      </c>
      <c r="L247" s="46" t="str">
        <f t="array" ref="L247">IF('.'!L247="","",'.'!L247&amp;IF(VLOOKUP('.'!L247,Recipes!$A:$D,4,FALSE)="",""," ["&amp;VLOOKUP('.'!L247,Recipes!$A:$D,4,FALSE)&amp;"]"))</f>
        <v/>
      </c>
      <c r="M247" s="46" t="str">
        <f t="array" ref="M247">IF('.'!M247="","",'.'!M247&amp;IF(VLOOKUP('.'!M247,Recipes!$A:$D,4,FALSE)="",""," ["&amp;VLOOKUP('.'!M247,Recipes!$A:$D,4,FALSE)&amp;"]"))</f>
        <v/>
      </c>
      <c r="N247" s="46" t="str">
        <f t="array" ref="N247">IF('.'!N247="","",'.'!N247&amp;IF(VLOOKUP('.'!N247,Recipes!$A:$D,4,FALSE)="",""," ["&amp;VLOOKUP('.'!N247,Recipes!$A:$D,4,FALSE)&amp;"]"))</f>
        <v/>
      </c>
      <c r="O247" s="46" t="str">
        <f t="array" ref="O247">IF('.'!O247="","",'.'!O247&amp;IF(VLOOKUP('.'!O247,Recipes!$A:$D,4,FALSE)="",""," ["&amp;VLOOKUP('.'!O247,Recipes!$A:$D,4,FALSE)&amp;"]"))</f>
        <v/>
      </c>
      <c r="P247" s="46" t="str">
        <f t="array" ref="P247">IF('.'!P247="","",'.'!P247&amp;IF(VLOOKUP('.'!P247,Recipes!$A:$D,4,FALSE)="",""," ["&amp;VLOOKUP('.'!P247,Recipes!$A:$D,4,FALSE)&amp;"]"))</f>
        <v/>
      </c>
      <c r="Q247" s="46" t="str">
        <f t="array" ref="Q247">IF('.'!Q247="","",'.'!Q247&amp;IF(VLOOKUP('.'!Q247,Recipes!$A:$D,4,FALSE)="",""," ["&amp;VLOOKUP('.'!Q247,Recipes!$A:$D,4,FALSE)&amp;"]"))</f>
        <v/>
      </c>
      <c r="R247" s="46" t="str">
        <f t="array" ref="R247">IF('.'!R247="","",'.'!R247&amp;IF(VLOOKUP('.'!R247,Recipes!$A:$D,4,FALSE)="",""," ["&amp;VLOOKUP('.'!R247,Recipes!$A:$D,4,FALSE)&amp;"]"))</f>
        <v/>
      </c>
      <c r="S247" s="46" t="str">
        <f t="array" ref="S247">IF('.'!S247="","",'.'!S247&amp;IF(VLOOKUP('.'!S247,Recipes!$A:$D,4,FALSE)="",""," ["&amp;VLOOKUP('.'!S247,Recipes!$A:$D,4,FALSE)&amp;"]"))</f>
        <v/>
      </c>
      <c r="T247" s="46" t="str">
        <f t="array" ref="T247">IF('.'!T247="","",'.'!T247&amp;IF(VLOOKUP('.'!T247,Recipes!$A:$D,4,FALSE)="",""," ["&amp;VLOOKUP('.'!T247,Recipes!$A:$D,4,FALSE)&amp;"]"))</f>
        <v/>
      </c>
      <c r="U247" s="46" t="str">
        <f t="array" ref="U247">IF('.'!U247="","",'.'!U247&amp;IF(VLOOKUP('.'!U247,Recipes!$A:$D,4,FALSE)="",""," ["&amp;VLOOKUP('.'!U247,Recipes!$A:$D,4,FALSE)&amp;"]"))</f>
        <v/>
      </c>
      <c r="V247" s="46" t="str">
        <f t="array" ref="V247">IF('.'!V247="","",'.'!V247&amp;IF(VLOOKUP('.'!V247,Recipes!$A:$D,4,FALSE)="",""," ["&amp;VLOOKUP('.'!V247,Recipes!$A:$D,4,FALSE)&amp;"]"))</f>
        <v/>
      </c>
      <c r="W247" s="46" t="str">
        <f t="array" ref="W247">IF('.'!W247="","",'.'!W247&amp;IF(VLOOKUP('.'!W247,Recipes!$A:$D,4,FALSE)="",""," ["&amp;VLOOKUP('.'!W247,Recipes!$A:$D,4,FALSE)&amp;"]"))</f>
        <v/>
      </c>
      <c r="X247" s="46" t="str">
        <f t="array" ref="X247">IF('.'!X247="","",'.'!X247&amp;IF(VLOOKUP('.'!X247,Recipes!$A:$D,4,FALSE)="",""," ["&amp;VLOOKUP('.'!X247,Recipes!$A:$D,4,FALSE)&amp;"]"))</f>
        <v/>
      </c>
      <c r="Y247" s="46" t="str">
        <f t="array" ref="Y247">IF('.'!Y247="","",'.'!Y247&amp;IF(VLOOKUP('.'!Y247,Recipes!$A:$D,4,FALSE)="",""," ["&amp;VLOOKUP('.'!Y247,Recipes!$A:$D,4,FALSE)&amp;"]"))</f>
        <v/>
      </c>
      <c r="Z247" s="46" t="str">
        <f t="array" ref="Z247">IF('.'!Z247="","",'.'!Z247&amp;IF(VLOOKUP('.'!Z247,Recipes!$A:$D,4,FALSE)="",""," ["&amp;VLOOKUP('.'!Z247,Recipes!$A:$D,4,FALSE)&amp;"]"))</f>
        <v/>
      </c>
      <c r="AA247" s="46" t="str">
        <f t="array" ref="AA247">IF('.'!AA247="","",'.'!AA247&amp;IF(VLOOKUP('.'!AA247,Recipes!$A:$D,4,FALSE)="",""," ["&amp;VLOOKUP('.'!AA247,Recipes!$A:$D,4,FALSE)&amp;"]"))</f>
        <v/>
      </c>
      <c r="AB247" s="46" t="str">
        <f t="array" ref="AB247">IF('.'!AB247="","",'.'!AB247&amp;IF(VLOOKUP('.'!AB247,Recipes!$A:$D,4,FALSE)="",""," ["&amp;VLOOKUP('.'!AB247,Recipes!$A:$D,4,FALSE)&amp;"]"))</f>
        <v/>
      </c>
      <c r="AC247" s="46" t="str">
        <f t="array" ref="AC247">IF('.'!AC247="","",'.'!AC247&amp;IF(VLOOKUP('.'!AC247,Recipes!$A:$D,4,FALSE)="",""," ["&amp;VLOOKUP('.'!AC247,Recipes!$A:$D,4,FALSE)&amp;"]"))</f>
        <v/>
      </c>
      <c r="AD247" s="46" t="str">
        <f t="array" ref="AD247">IF('.'!AD247="","",'.'!AD247&amp;IF(VLOOKUP('.'!AD247,Recipes!$A:$D,4,FALSE)="",""," ["&amp;VLOOKUP('.'!AD247,Recipes!$A:$D,4,FALSE)&amp;"]"))</f>
        <v/>
      </c>
      <c r="AE247" s="47"/>
      <c r="AF247" s="47"/>
      <c r="AG247" s="47"/>
      <c r="AH247" s="47"/>
      <c r="AI247" s="47"/>
      <c r="AJ247" s="47"/>
      <c r="AK247" s="47"/>
      <c r="AL247" s="47"/>
      <c r="AM247" s="47"/>
      <c r="AN247" s="47"/>
      <c r="AO247" s="47"/>
      <c r="AP247" s="47"/>
      <c r="AQ247" s="47"/>
      <c r="AR247" s="47"/>
      <c r="AS247" s="47"/>
      <c r="AT247" s="47"/>
      <c r="AU247" s="47"/>
      <c r="AV247" s="47"/>
      <c r="AW247" s="47"/>
      <c r="AX247" s="47"/>
      <c r="AY247" s="47"/>
      <c r="AZ247" s="47"/>
      <c r="BA247" s="47"/>
      <c r="BB247" s="47"/>
      <c r="BC247" s="47"/>
      <c r="BD247" s="47"/>
      <c r="BE247" s="47"/>
      <c r="BF247" s="47"/>
      <c r="BG247" s="47"/>
      <c r="BH247" s="47"/>
      <c r="BI247" s="47"/>
      <c r="BJ247" s="47"/>
      <c r="BK247" s="47"/>
      <c r="BL247" s="47"/>
      <c r="BM247" s="47"/>
      <c r="BN247" s="47"/>
      <c r="BO247" s="47"/>
      <c r="BP247" s="47"/>
      <c r="BQ247" s="47"/>
      <c r="BR247" s="47"/>
      <c r="BS247" s="47"/>
      <c r="BT247" s="47"/>
      <c r="BU247" s="47"/>
      <c r="BV247" s="47"/>
      <c r="BW247" s="47"/>
      <c r="BX247" s="47"/>
      <c r="BY247" s="47"/>
      <c r="BZ247" s="47"/>
    </row>
    <row r="248" spans="1:78" ht="13">
      <c r="A248" s="48" t="str">
        <f ca="1">'.'!A248</f>
        <v>Ice Fan Scroll</v>
      </c>
      <c r="B248" s="46" t="str">
        <f t="array" aca="1" ref="B248" ca="1">IF('.'!B248="","",'.'!B248&amp;IF(VLOOKUP('.'!B248,Recipes!$A:$D,4,FALSE)="",""," ["&amp;VLOOKUP('.'!B248,Recipes!$A:$D,4,FALSE)&amp;"]"))</f>
        <v>Ice Fan Skillbook [-160]</v>
      </c>
      <c r="C248" s="46" t="str">
        <f t="array" ref="C248">IF('.'!C248="","",'.'!C248&amp;IF(VLOOKUP('.'!C248,Recipes!$A:$D,4,FALSE)="",""," ["&amp;VLOOKUP('.'!C248,Recipes!$A:$D,4,FALSE)&amp;"]"))</f>
        <v/>
      </c>
      <c r="D248" s="46" t="str">
        <f t="array" ref="D248">IF('.'!D248="","",'.'!D248&amp;IF(VLOOKUP('.'!D248,Recipes!$A:$D,4,FALSE)="",""," ["&amp;VLOOKUP('.'!D248,Recipes!$A:$D,4,FALSE)&amp;"]"))</f>
        <v/>
      </c>
      <c r="E248" s="46" t="str">
        <f t="array" ref="E248">IF('.'!E248="","",'.'!E248&amp;IF(VLOOKUP('.'!E248,Recipes!$A:$D,4,FALSE)="",""," ["&amp;VLOOKUP('.'!E248,Recipes!$A:$D,4,FALSE)&amp;"]"))</f>
        <v/>
      </c>
      <c r="F248" s="46" t="str">
        <f t="array" ref="F248">IF('.'!F248="","",'.'!F248&amp;IF(VLOOKUP('.'!F248,Recipes!$A:$D,4,FALSE)="",""," ["&amp;VLOOKUP('.'!F248,Recipes!$A:$D,4,FALSE)&amp;"]"))</f>
        <v/>
      </c>
      <c r="G248" s="46" t="str">
        <f t="array" ref="G248">IF('.'!G248="","",'.'!G248&amp;IF(VLOOKUP('.'!G248,Recipes!$A:$D,4,FALSE)="",""," ["&amp;VLOOKUP('.'!G248,Recipes!$A:$D,4,FALSE)&amp;"]"))</f>
        <v/>
      </c>
      <c r="H248" s="46" t="str">
        <f t="array" ref="H248">IF('.'!H248="","",'.'!H248&amp;IF(VLOOKUP('.'!H248,Recipes!$A:$D,4,FALSE)="",""," ["&amp;VLOOKUP('.'!H248,Recipes!$A:$D,4,FALSE)&amp;"]"))</f>
        <v/>
      </c>
      <c r="I248" s="46" t="str">
        <f t="array" ref="I248">IF('.'!I248="","",'.'!I248&amp;IF(VLOOKUP('.'!I248,Recipes!$A:$D,4,FALSE)="",""," ["&amp;VLOOKUP('.'!I248,Recipes!$A:$D,4,FALSE)&amp;"]"))</f>
        <v/>
      </c>
      <c r="J248" s="46" t="str">
        <f t="array" ref="J248">IF('.'!J248="","",'.'!J248&amp;IF(VLOOKUP('.'!J248,Recipes!$A:$D,4,FALSE)="",""," ["&amp;VLOOKUP('.'!J248,Recipes!$A:$D,4,FALSE)&amp;"]"))</f>
        <v/>
      </c>
      <c r="K248" s="46" t="str">
        <f t="array" ref="K248">IF('.'!K248="","",'.'!K248&amp;IF(VLOOKUP('.'!K248,Recipes!$A:$D,4,FALSE)="",""," ["&amp;VLOOKUP('.'!K248,Recipes!$A:$D,4,FALSE)&amp;"]"))</f>
        <v/>
      </c>
      <c r="L248" s="46" t="str">
        <f t="array" ref="L248">IF('.'!L248="","",'.'!L248&amp;IF(VLOOKUP('.'!L248,Recipes!$A:$D,4,FALSE)="",""," ["&amp;VLOOKUP('.'!L248,Recipes!$A:$D,4,FALSE)&amp;"]"))</f>
        <v/>
      </c>
      <c r="M248" s="46" t="str">
        <f t="array" ref="M248">IF('.'!M248="","",'.'!M248&amp;IF(VLOOKUP('.'!M248,Recipes!$A:$D,4,FALSE)="",""," ["&amp;VLOOKUP('.'!M248,Recipes!$A:$D,4,FALSE)&amp;"]"))</f>
        <v/>
      </c>
      <c r="N248" s="46" t="str">
        <f t="array" ref="N248">IF('.'!N248="","",'.'!N248&amp;IF(VLOOKUP('.'!N248,Recipes!$A:$D,4,FALSE)="",""," ["&amp;VLOOKUP('.'!N248,Recipes!$A:$D,4,FALSE)&amp;"]"))</f>
        <v/>
      </c>
      <c r="O248" s="46" t="str">
        <f t="array" ref="O248">IF('.'!O248="","",'.'!O248&amp;IF(VLOOKUP('.'!O248,Recipes!$A:$D,4,FALSE)="",""," ["&amp;VLOOKUP('.'!O248,Recipes!$A:$D,4,FALSE)&amp;"]"))</f>
        <v/>
      </c>
      <c r="P248" s="46" t="str">
        <f t="array" ref="P248">IF('.'!P248="","",'.'!P248&amp;IF(VLOOKUP('.'!P248,Recipes!$A:$D,4,FALSE)="",""," ["&amp;VLOOKUP('.'!P248,Recipes!$A:$D,4,FALSE)&amp;"]"))</f>
        <v/>
      </c>
      <c r="Q248" s="46" t="str">
        <f t="array" ref="Q248">IF('.'!Q248="","",'.'!Q248&amp;IF(VLOOKUP('.'!Q248,Recipes!$A:$D,4,FALSE)="",""," ["&amp;VLOOKUP('.'!Q248,Recipes!$A:$D,4,FALSE)&amp;"]"))</f>
        <v/>
      </c>
      <c r="R248" s="46" t="str">
        <f t="array" ref="R248">IF('.'!R248="","",'.'!R248&amp;IF(VLOOKUP('.'!R248,Recipes!$A:$D,4,FALSE)="",""," ["&amp;VLOOKUP('.'!R248,Recipes!$A:$D,4,FALSE)&amp;"]"))</f>
        <v/>
      </c>
      <c r="S248" s="46" t="str">
        <f t="array" ref="S248">IF('.'!S248="","",'.'!S248&amp;IF(VLOOKUP('.'!S248,Recipes!$A:$D,4,FALSE)="",""," ["&amp;VLOOKUP('.'!S248,Recipes!$A:$D,4,FALSE)&amp;"]"))</f>
        <v/>
      </c>
      <c r="T248" s="46" t="str">
        <f t="array" ref="T248">IF('.'!T248="","",'.'!T248&amp;IF(VLOOKUP('.'!T248,Recipes!$A:$D,4,FALSE)="",""," ["&amp;VLOOKUP('.'!T248,Recipes!$A:$D,4,FALSE)&amp;"]"))</f>
        <v/>
      </c>
      <c r="U248" s="46" t="str">
        <f t="array" ref="U248">IF('.'!U248="","",'.'!U248&amp;IF(VLOOKUP('.'!U248,Recipes!$A:$D,4,FALSE)="",""," ["&amp;VLOOKUP('.'!U248,Recipes!$A:$D,4,FALSE)&amp;"]"))</f>
        <v/>
      </c>
      <c r="V248" s="46" t="str">
        <f t="array" ref="V248">IF('.'!V248="","",'.'!V248&amp;IF(VLOOKUP('.'!V248,Recipes!$A:$D,4,FALSE)="",""," ["&amp;VLOOKUP('.'!V248,Recipes!$A:$D,4,FALSE)&amp;"]"))</f>
        <v/>
      </c>
      <c r="W248" s="46" t="str">
        <f t="array" ref="W248">IF('.'!W248="","",'.'!W248&amp;IF(VLOOKUP('.'!W248,Recipes!$A:$D,4,FALSE)="",""," ["&amp;VLOOKUP('.'!W248,Recipes!$A:$D,4,FALSE)&amp;"]"))</f>
        <v/>
      </c>
      <c r="X248" s="46" t="str">
        <f t="array" ref="X248">IF('.'!X248="","",'.'!X248&amp;IF(VLOOKUP('.'!X248,Recipes!$A:$D,4,FALSE)="",""," ["&amp;VLOOKUP('.'!X248,Recipes!$A:$D,4,FALSE)&amp;"]"))</f>
        <v/>
      </c>
      <c r="Y248" s="46" t="str">
        <f t="array" ref="Y248">IF('.'!Y248="","",'.'!Y248&amp;IF(VLOOKUP('.'!Y248,Recipes!$A:$D,4,FALSE)="",""," ["&amp;VLOOKUP('.'!Y248,Recipes!$A:$D,4,FALSE)&amp;"]"))</f>
        <v/>
      </c>
      <c r="Z248" s="46" t="str">
        <f t="array" ref="Z248">IF('.'!Z248="","",'.'!Z248&amp;IF(VLOOKUP('.'!Z248,Recipes!$A:$D,4,FALSE)="",""," ["&amp;VLOOKUP('.'!Z248,Recipes!$A:$D,4,FALSE)&amp;"]"))</f>
        <v/>
      </c>
      <c r="AA248" s="46" t="str">
        <f t="array" ref="AA248">IF('.'!AA248="","",'.'!AA248&amp;IF(VLOOKUP('.'!AA248,Recipes!$A:$D,4,FALSE)="",""," ["&amp;VLOOKUP('.'!AA248,Recipes!$A:$D,4,FALSE)&amp;"]"))</f>
        <v/>
      </c>
      <c r="AB248" s="46" t="str">
        <f t="array" ref="AB248">IF('.'!AB248="","",'.'!AB248&amp;IF(VLOOKUP('.'!AB248,Recipes!$A:$D,4,FALSE)="",""," ["&amp;VLOOKUP('.'!AB248,Recipes!$A:$D,4,FALSE)&amp;"]"))</f>
        <v/>
      </c>
      <c r="AC248" s="46" t="str">
        <f t="array" ref="AC248">IF('.'!AC248="","",'.'!AC248&amp;IF(VLOOKUP('.'!AC248,Recipes!$A:$D,4,FALSE)="",""," ["&amp;VLOOKUP('.'!AC248,Recipes!$A:$D,4,FALSE)&amp;"]"))</f>
        <v/>
      </c>
      <c r="AD248" s="46" t="str">
        <f t="array" ref="AD248">IF('.'!AD248="","",'.'!AD248&amp;IF(VLOOKUP('.'!AD248,Recipes!$A:$D,4,FALSE)="",""," ["&amp;VLOOKUP('.'!AD248,Recipes!$A:$D,4,FALSE)&amp;"]"))</f>
        <v/>
      </c>
      <c r="AE248" s="47"/>
      <c r="AF248" s="47"/>
      <c r="AG248" s="47"/>
      <c r="AH248" s="47"/>
      <c r="AI248" s="47"/>
      <c r="AJ248" s="47"/>
      <c r="AK248" s="47"/>
      <c r="AL248" s="47"/>
      <c r="AM248" s="47"/>
      <c r="AN248" s="47"/>
      <c r="AO248" s="47"/>
      <c r="AP248" s="47"/>
      <c r="AQ248" s="47"/>
      <c r="AR248" s="47"/>
      <c r="AS248" s="47"/>
      <c r="AT248" s="47"/>
      <c r="AU248" s="47"/>
      <c r="AV248" s="47"/>
      <c r="AW248" s="47"/>
      <c r="AX248" s="47"/>
      <c r="AY248" s="47"/>
      <c r="AZ248" s="47"/>
      <c r="BA248" s="47"/>
      <c r="BB248" s="47"/>
      <c r="BC248" s="47"/>
      <c r="BD248" s="47"/>
      <c r="BE248" s="47"/>
      <c r="BF248" s="47"/>
      <c r="BG248" s="47"/>
      <c r="BH248" s="47"/>
      <c r="BI248" s="47"/>
      <c r="BJ248" s="47"/>
      <c r="BK248" s="47"/>
      <c r="BL248" s="47"/>
      <c r="BM248" s="47"/>
      <c r="BN248" s="47"/>
      <c r="BO248" s="47"/>
      <c r="BP248" s="47"/>
      <c r="BQ248" s="47"/>
      <c r="BR248" s="47"/>
      <c r="BS248" s="47"/>
      <c r="BT248" s="47"/>
      <c r="BU248" s="47"/>
      <c r="BV248" s="47"/>
      <c r="BW248" s="47"/>
      <c r="BX248" s="47"/>
      <c r="BY248" s="47"/>
      <c r="BZ248" s="47"/>
    </row>
    <row r="249" spans="1:78" ht="13">
      <c r="A249" s="48" t="str">
        <f ca="1">'.'!A249</f>
        <v>Ignition Scroll</v>
      </c>
      <c r="B249" s="46" t="str">
        <f t="array" aca="1" ref="B249" ca="1">IF('.'!B249="","",'.'!B249&amp;IF(VLOOKUP('.'!B249,Recipes!$A:$D,4,FALSE)="",""," ["&amp;VLOOKUP('.'!B249,Recipes!$A:$D,4,FALSE)&amp;"]"))</f>
        <v>Ignition Skillbook [-190]</v>
      </c>
      <c r="C249" s="46" t="str">
        <f t="array" ref="C249">IF('.'!C249="","",'.'!C249&amp;IF(VLOOKUP('.'!C249,Recipes!$A:$D,4,FALSE)="",""," ["&amp;VLOOKUP('.'!C249,Recipes!$A:$D,4,FALSE)&amp;"]"))</f>
        <v/>
      </c>
      <c r="D249" s="46" t="str">
        <f t="array" ref="D249">IF('.'!D249="","",'.'!D249&amp;IF(VLOOKUP('.'!D249,Recipes!$A:$D,4,FALSE)="",""," ["&amp;VLOOKUP('.'!D249,Recipes!$A:$D,4,FALSE)&amp;"]"))</f>
        <v/>
      </c>
      <c r="E249" s="46" t="str">
        <f t="array" ref="E249">IF('.'!E249="","",'.'!E249&amp;IF(VLOOKUP('.'!E249,Recipes!$A:$D,4,FALSE)="",""," ["&amp;VLOOKUP('.'!E249,Recipes!$A:$D,4,FALSE)&amp;"]"))</f>
        <v/>
      </c>
      <c r="F249" s="46" t="str">
        <f t="array" ref="F249">IF('.'!F249="","",'.'!F249&amp;IF(VLOOKUP('.'!F249,Recipes!$A:$D,4,FALSE)="",""," ["&amp;VLOOKUP('.'!F249,Recipes!$A:$D,4,FALSE)&amp;"]"))</f>
        <v/>
      </c>
      <c r="G249" s="46" t="str">
        <f t="array" ref="G249">IF('.'!G249="","",'.'!G249&amp;IF(VLOOKUP('.'!G249,Recipes!$A:$D,4,FALSE)="",""," ["&amp;VLOOKUP('.'!G249,Recipes!$A:$D,4,FALSE)&amp;"]"))</f>
        <v/>
      </c>
      <c r="H249" s="46" t="str">
        <f t="array" ref="H249">IF('.'!H249="","",'.'!H249&amp;IF(VLOOKUP('.'!H249,Recipes!$A:$D,4,FALSE)="",""," ["&amp;VLOOKUP('.'!H249,Recipes!$A:$D,4,FALSE)&amp;"]"))</f>
        <v/>
      </c>
      <c r="I249" s="46" t="str">
        <f t="array" ref="I249">IF('.'!I249="","",'.'!I249&amp;IF(VLOOKUP('.'!I249,Recipes!$A:$D,4,FALSE)="",""," ["&amp;VLOOKUP('.'!I249,Recipes!$A:$D,4,FALSE)&amp;"]"))</f>
        <v/>
      </c>
      <c r="J249" s="46" t="str">
        <f t="array" ref="J249">IF('.'!J249="","",'.'!J249&amp;IF(VLOOKUP('.'!J249,Recipes!$A:$D,4,FALSE)="",""," ["&amp;VLOOKUP('.'!J249,Recipes!$A:$D,4,FALSE)&amp;"]"))</f>
        <v/>
      </c>
      <c r="K249" s="46" t="str">
        <f t="array" ref="K249">IF('.'!K249="","",'.'!K249&amp;IF(VLOOKUP('.'!K249,Recipes!$A:$D,4,FALSE)="",""," ["&amp;VLOOKUP('.'!K249,Recipes!$A:$D,4,FALSE)&amp;"]"))</f>
        <v/>
      </c>
      <c r="L249" s="46" t="str">
        <f t="array" ref="L249">IF('.'!L249="","",'.'!L249&amp;IF(VLOOKUP('.'!L249,Recipes!$A:$D,4,FALSE)="",""," ["&amp;VLOOKUP('.'!L249,Recipes!$A:$D,4,FALSE)&amp;"]"))</f>
        <v/>
      </c>
      <c r="M249" s="46" t="str">
        <f t="array" ref="M249">IF('.'!M249="","",'.'!M249&amp;IF(VLOOKUP('.'!M249,Recipes!$A:$D,4,FALSE)="",""," ["&amp;VLOOKUP('.'!M249,Recipes!$A:$D,4,FALSE)&amp;"]"))</f>
        <v/>
      </c>
      <c r="N249" s="46" t="str">
        <f t="array" ref="N249">IF('.'!N249="","",'.'!N249&amp;IF(VLOOKUP('.'!N249,Recipes!$A:$D,4,FALSE)="",""," ["&amp;VLOOKUP('.'!N249,Recipes!$A:$D,4,FALSE)&amp;"]"))</f>
        <v/>
      </c>
      <c r="O249" s="46" t="str">
        <f t="array" ref="O249">IF('.'!O249="","",'.'!O249&amp;IF(VLOOKUP('.'!O249,Recipes!$A:$D,4,FALSE)="",""," ["&amp;VLOOKUP('.'!O249,Recipes!$A:$D,4,FALSE)&amp;"]"))</f>
        <v/>
      </c>
      <c r="P249" s="46" t="str">
        <f t="array" ref="P249">IF('.'!P249="","",'.'!P249&amp;IF(VLOOKUP('.'!P249,Recipes!$A:$D,4,FALSE)="",""," ["&amp;VLOOKUP('.'!P249,Recipes!$A:$D,4,FALSE)&amp;"]"))</f>
        <v/>
      </c>
      <c r="Q249" s="46" t="str">
        <f t="array" ref="Q249">IF('.'!Q249="","",'.'!Q249&amp;IF(VLOOKUP('.'!Q249,Recipes!$A:$D,4,FALSE)="",""," ["&amp;VLOOKUP('.'!Q249,Recipes!$A:$D,4,FALSE)&amp;"]"))</f>
        <v/>
      </c>
      <c r="R249" s="46" t="str">
        <f t="array" ref="R249">IF('.'!R249="","",'.'!R249&amp;IF(VLOOKUP('.'!R249,Recipes!$A:$D,4,FALSE)="",""," ["&amp;VLOOKUP('.'!R249,Recipes!$A:$D,4,FALSE)&amp;"]"))</f>
        <v/>
      </c>
      <c r="S249" s="46" t="str">
        <f t="array" ref="S249">IF('.'!S249="","",'.'!S249&amp;IF(VLOOKUP('.'!S249,Recipes!$A:$D,4,FALSE)="",""," ["&amp;VLOOKUP('.'!S249,Recipes!$A:$D,4,FALSE)&amp;"]"))</f>
        <v/>
      </c>
      <c r="T249" s="46" t="str">
        <f t="array" ref="T249">IF('.'!T249="","",'.'!T249&amp;IF(VLOOKUP('.'!T249,Recipes!$A:$D,4,FALSE)="",""," ["&amp;VLOOKUP('.'!T249,Recipes!$A:$D,4,FALSE)&amp;"]"))</f>
        <v/>
      </c>
      <c r="U249" s="46" t="str">
        <f t="array" ref="U249">IF('.'!U249="","",'.'!U249&amp;IF(VLOOKUP('.'!U249,Recipes!$A:$D,4,FALSE)="",""," ["&amp;VLOOKUP('.'!U249,Recipes!$A:$D,4,FALSE)&amp;"]"))</f>
        <v/>
      </c>
      <c r="V249" s="46" t="str">
        <f t="array" ref="V249">IF('.'!V249="","",'.'!V249&amp;IF(VLOOKUP('.'!V249,Recipes!$A:$D,4,FALSE)="",""," ["&amp;VLOOKUP('.'!V249,Recipes!$A:$D,4,FALSE)&amp;"]"))</f>
        <v/>
      </c>
      <c r="W249" s="46" t="str">
        <f t="array" ref="W249">IF('.'!W249="","",'.'!W249&amp;IF(VLOOKUP('.'!W249,Recipes!$A:$D,4,FALSE)="",""," ["&amp;VLOOKUP('.'!W249,Recipes!$A:$D,4,FALSE)&amp;"]"))</f>
        <v/>
      </c>
      <c r="X249" s="46" t="str">
        <f t="array" ref="X249">IF('.'!X249="","",'.'!X249&amp;IF(VLOOKUP('.'!X249,Recipes!$A:$D,4,FALSE)="",""," ["&amp;VLOOKUP('.'!X249,Recipes!$A:$D,4,FALSE)&amp;"]"))</f>
        <v/>
      </c>
      <c r="Y249" s="46" t="str">
        <f t="array" ref="Y249">IF('.'!Y249="","",'.'!Y249&amp;IF(VLOOKUP('.'!Y249,Recipes!$A:$D,4,FALSE)="",""," ["&amp;VLOOKUP('.'!Y249,Recipes!$A:$D,4,FALSE)&amp;"]"))</f>
        <v/>
      </c>
      <c r="Z249" s="46" t="str">
        <f t="array" ref="Z249">IF('.'!Z249="","",'.'!Z249&amp;IF(VLOOKUP('.'!Z249,Recipes!$A:$D,4,FALSE)="",""," ["&amp;VLOOKUP('.'!Z249,Recipes!$A:$D,4,FALSE)&amp;"]"))</f>
        <v/>
      </c>
      <c r="AA249" s="46" t="str">
        <f t="array" ref="AA249">IF('.'!AA249="","",'.'!AA249&amp;IF(VLOOKUP('.'!AA249,Recipes!$A:$D,4,FALSE)="",""," ["&amp;VLOOKUP('.'!AA249,Recipes!$A:$D,4,FALSE)&amp;"]"))</f>
        <v/>
      </c>
      <c r="AB249" s="46" t="str">
        <f t="array" ref="AB249">IF('.'!AB249="","",'.'!AB249&amp;IF(VLOOKUP('.'!AB249,Recipes!$A:$D,4,FALSE)="",""," ["&amp;VLOOKUP('.'!AB249,Recipes!$A:$D,4,FALSE)&amp;"]"))</f>
        <v/>
      </c>
      <c r="AC249" s="46" t="str">
        <f t="array" ref="AC249">IF('.'!AC249="","",'.'!AC249&amp;IF(VLOOKUP('.'!AC249,Recipes!$A:$D,4,FALSE)="",""," ["&amp;VLOOKUP('.'!AC249,Recipes!$A:$D,4,FALSE)&amp;"]"))</f>
        <v/>
      </c>
      <c r="AD249" s="46" t="str">
        <f t="array" ref="AD249">IF('.'!AD249="","",'.'!AD249&amp;IF(VLOOKUP('.'!AD249,Recipes!$A:$D,4,FALSE)="",""," ["&amp;VLOOKUP('.'!AD249,Recipes!$A:$D,4,FALSE)&amp;"]"))</f>
        <v/>
      </c>
      <c r="AE249" s="47"/>
      <c r="AF249" s="47"/>
      <c r="AG249" s="47"/>
      <c r="AH249" s="47"/>
      <c r="AI249" s="47"/>
      <c r="AJ249" s="47"/>
      <c r="AK249" s="47"/>
      <c r="AL249" s="47"/>
      <c r="AM249" s="47"/>
      <c r="AN249" s="47"/>
      <c r="AO249" s="47"/>
      <c r="AP249" s="47"/>
      <c r="AQ249" s="47"/>
      <c r="AR249" s="47"/>
      <c r="AS249" s="47"/>
      <c r="AT249" s="47"/>
      <c r="AU249" s="47"/>
      <c r="AV249" s="47"/>
      <c r="AW249" s="47"/>
      <c r="AX249" s="47"/>
      <c r="AY249" s="47"/>
      <c r="AZ249" s="47"/>
      <c r="BA249" s="47"/>
      <c r="BB249" s="47"/>
      <c r="BC249" s="47"/>
      <c r="BD249" s="47"/>
      <c r="BE249" s="47"/>
      <c r="BF249" s="47"/>
      <c r="BG249" s="47"/>
      <c r="BH249" s="47"/>
      <c r="BI249" s="47"/>
      <c r="BJ249" s="47"/>
      <c r="BK249" s="47"/>
      <c r="BL249" s="47"/>
      <c r="BM249" s="47"/>
      <c r="BN249" s="47"/>
      <c r="BO249" s="47"/>
      <c r="BP249" s="47"/>
      <c r="BQ249" s="47"/>
      <c r="BR249" s="47"/>
      <c r="BS249" s="47"/>
      <c r="BT249" s="47"/>
      <c r="BU249" s="47"/>
      <c r="BV249" s="47"/>
      <c r="BW249" s="47"/>
      <c r="BX249" s="47"/>
      <c r="BY249" s="47"/>
      <c r="BZ249" s="47"/>
    </row>
    <row r="250" spans="1:78" ht="13">
      <c r="A250" s="48" t="str">
        <f ca="1">'.'!A250</f>
        <v>Impalement Scroll</v>
      </c>
      <c r="B250" s="46" t="str">
        <f t="array" aca="1" ref="B250" ca="1">IF('.'!B250="","",'.'!B250&amp;IF(VLOOKUP('.'!B250,Recipes!$A:$D,4,FALSE)="",""," ["&amp;VLOOKUP('.'!B250,Recipes!$A:$D,4,FALSE)&amp;"]"))</f>
        <v>Impalement Skillbook [-160]</v>
      </c>
      <c r="C250" s="46" t="str">
        <f t="array" ref="C250">IF('.'!C250="","",'.'!C250&amp;IF(VLOOKUP('.'!C250,Recipes!$A:$D,4,FALSE)="",""," ["&amp;VLOOKUP('.'!C250,Recipes!$A:$D,4,FALSE)&amp;"]"))</f>
        <v/>
      </c>
      <c r="D250" s="46" t="str">
        <f t="array" ref="D250">IF('.'!D250="","",'.'!D250&amp;IF(VLOOKUP('.'!D250,Recipes!$A:$D,4,FALSE)="",""," ["&amp;VLOOKUP('.'!D250,Recipes!$A:$D,4,FALSE)&amp;"]"))</f>
        <v/>
      </c>
      <c r="E250" s="46" t="str">
        <f t="array" ref="E250">IF('.'!E250="","",'.'!E250&amp;IF(VLOOKUP('.'!E250,Recipes!$A:$D,4,FALSE)="",""," ["&amp;VLOOKUP('.'!E250,Recipes!$A:$D,4,FALSE)&amp;"]"))</f>
        <v/>
      </c>
      <c r="F250" s="46" t="str">
        <f t="array" ref="F250">IF('.'!F250="","",'.'!F250&amp;IF(VLOOKUP('.'!F250,Recipes!$A:$D,4,FALSE)="",""," ["&amp;VLOOKUP('.'!F250,Recipes!$A:$D,4,FALSE)&amp;"]"))</f>
        <v/>
      </c>
      <c r="G250" s="46" t="str">
        <f t="array" ref="G250">IF('.'!G250="","",'.'!G250&amp;IF(VLOOKUP('.'!G250,Recipes!$A:$D,4,FALSE)="",""," ["&amp;VLOOKUP('.'!G250,Recipes!$A:$D,4,FALSE)&amp;"]"))</f>
        <v/>
      </c>
      <c r="H250" s="46" t="str">
        <f t="array" ref="H250">IF('.'!H250="","",'.'!H250&amp;IF(VLOOKUP('.'!H250,Recipes!$A:$D,4,FALSE)="",""," ["&amp;VLOOKUP('.'!H250,Recipes!$A:$D,4,FALSE)&amp;"]"))</f>
        <v/>
      </c>
      <c r="I250" s="46" t="str">
        <f t="array" ref="I250">IF('.'!I250="","",'.'!I250&amp;IF(VLOOKUP('.'!I250,Recipes!$A:$D,4,FALSE)="",""," ["&amp;VLOOKUP('.'!I250,Recipes!$A:$D,4,FALSE)&amp;"]"))</f>
        <v/>
      </c>
      <c r="J250" s="46" t="str">
        <f t="array" ref="J250">IF('.'!J250="","",'.'!J250&amp;IF(VLOOKUP('.'!J250,Recipes!$A:$D,4,FALSE)="",""," ["&amp;VLOOKUP('.'!J250,Recipes!$A:$D,4,FALSE)&amp;"]"))</f>
        <v/>
      </c>
      <c r="K250" s="46" t="str">
        <f t="array" ref="K250">IF('.'!K250="","",'.'!K250&amp;IF(VLOOKUP('.'!K250,Recipes!$A:$D,4,FALSE)="",""," ["&amp;VLOOKUP('.'!K250,Recipes!$A:$D,4,FALSE)&amp;"]"))</f>
        <v/>
      </c>
      <c r="L250" s="46" t="str">
        <f t="array" ref="L250">IF('.'!L250="","",'.'!L250&amp;IF(VLOOKUP('.'!L250,Recipes!$A:$D,4,FALSE)="",""," ["&amp;VLOOKUP('.'!L250,Recipes!$A:$D,4,FALSE)&amp;"]"))</f>
        <v/>
      </c>
      <c r="M250" s="46" t="str">
        <f t="array" ref="M250">IF('.'!M250="","",'.'!M250&amp;IF(VLOOKUP('.'!M250,Recipes!$A:$D,4,FALSE)="",""," ["&amp;VLOOKUP('.'!M250,Recipes!$A:$D,4,FALSE)&amp;"]"))</f>
        <v/>
      </c>
      <c r="N250" s="46" t="str">
        <f t="array" ref="N250">IF('.'!N250="","",'.'!N250&amp;IF(VLOOKUP('.'!N250,Recipes!$A:$D,4,FALSE)="",""," ["&amp;VLOOKUP('.'!N250,Recipes!$A:$D,4,FALSE)&amp;"]"))</f>
        <v/>
      </c>
      <c r="O250" s="46" t="str">
        <f t="array" ref="O250">IF('.'!O250="","",'.'!O250&amp;IF(VLOOKUP('.'!O250,Recipes!$A:$D,4,FALSE)="",""," ["&amp;VLOOKUP('.'!O250,Recipes!$A:$D,4,FALSE)&amp;"]"))</f>
        <v/>
      </c>
      <c r="P250" s="46" t="str">
        <f t="array" ref="P250">IF('.'!P250="","",'.'!P250&amp;IF(VLOOKUP('.'!P250,Recipes!$A:$D,4,FALSE)="",""," ["&amp;VLOOKUP('.'!P250,Recipes!$A:$D,4,FALSE)&amp;"]"))</f>
        <v/>
      </c>
      <c r="Q250" s="46" t="str">
        <f t="array" ref="Q250">IF('.'!Q250="","",'.'!Q250&amp;IF(VLOOKUP('.'!Q250,Recipes!$A:$D,4,FALSE)="",""," ["&amp;VLOOKUP('.'!Q250,Recipes!$A:$D,4,FALSE)&amp;"]"))</f>
        <v/>
      </c>
      <c r="R250" s="46" t="str">
        <f t="array" ref="R250">IF('.'!R250="","",'.'!R250&amp;IF(VLOOKUP('.'!R250,Recipes!$A:$D,4,FALSE)="",""," ["&amp;VLOOKUP('.'!R250,Recipes!$A:$D,4,FALSE)&amp;"]"))</f>
        <v/>
      </c>
      <c r="S250" s="46" t="str">
        <f t="array" ref="S250">IF('.'!S250="","",'.'!S250&amp;IF(VLOOKUP('.'!S250,Recipes!$A:$D,4,FALSE)="",""," ["&amp;VLOOKUP('.'!S250,Recipes!$A:$D,4,FALSE)&amp;"]"))</f>
        <v/>
      </c>
      <c r="T250" s="46" t="str">
        <f t="array" ref="T250">IF('.'!T250="","",'.'!T250&amp;IF(VLOOKUP('.'!T250,Recipes!$A:$D,4,FALSE)="",""," ["&amp;VLOOKUP('.'!T250,Recipes!$A:$D,4,FALSE)&amp;"]"))</f>
        <v/>
      </c>
      <c r="U250" s="46" t="str">
        <f t="array" ref="U250">IF('.'!U250="","",'.'!U250&amp;IF(VLOOKUP('.'!U250,Recipes!$A:$D,4,FALSE)="",""," ["&amp;VLOOKUP('.'!U250,Recipes!$A:$D,4,FALSE)&amp;"]"))</f>
        <v/>
      </c>
      <c r="V250" s="46" t="str">
        <f t="array" ref="V250">IF('.'!V250="","",'.'!V250&amp;IF(VLOOKUP('.'!V250,Recipes!$A:$D,4,FALSE)="",""," ["&amp;VLOOKUP('.'!V250,Recipes!$A:$D,4,FALSE)&amp;"]"))</f>
        <v/>
      </c>
      <c r="W250" s="46" t="str">
        <f t="array" ref="W250">IF('.'!W250="","",'.'!W250&amp;IF(VLOOKUP('.'!W250,Recipes!$A:$D,4,FALSE)="",""," ["&amp;VLOOKUP('.'!W250,Recipes!$A:$D,4,FALSE)&amp;"]"))</f>
        <v/>
      </c>
      <c r="X250" s="46" t="str">
        <f t="array" ref="X250">IF('.'!X250="","",'.'!X250&amp;IF(VLOOKUP('.'!X250,Recipes!$A:$D,4,FALSE)="",""," ["&amp;VLOOKUP('.'!X250,Recipes!$A:$D,4,FALSE)&amp;"]"))</f>
        <v/>
      </c>
      <c r="Y250" s="46" t="str">
        <f t="array" ref="Y250">IF('.'!Y250="","",'.'!Y250&amp;IF(VLOOKUP('.'!Y250,Recipes!$A:$D,4,FALSE)="",""," ["&amp;VLOOKUP('.'!Y250,Recipes!$A:$D,4,FALSE)&amp;"]"))</f>
        <v/>
      </c>
      <c r="Z250" s="46" t="str">
        <f t="array" ref="Z250">IF('.'!Z250="","",'.'!Z250&amp;IF(VLOOKUP('.'!Z250,Recipes!$A:$D,4,FALSE)="",""," ["&amp;VLOOKUP('.'!Z250,Recipes!$A:$D,4,FALSE)&amp;"]"))</f>
        <v/>
      </c>
      <c r="AA250" s="46" t="str">
        <f t="array" ref="AA250">IF('.'!AA250="","",'.'!AA250&amp;IF(VLOOKUP('.'!AA250,Recipes!$A:$D,4,FALSE)="",""," ["&amp;VLOOKUP('.'!AA250,Recipes!$A:$D,4,FALSE)&amp;"]"))</f>
        <v/>
      </c>
      <c r="AB250" s="46" t="str">
        <f t="array" ref="AB250">IF('.'!AB250="","",'.'!AB250&amp;IF(VLOOKUP('.'!AB250,Recipes!$A:$D,4,FALSE)="",""," ["&amp;VLOOKUP('.'!AB250,Recipes!$A:$D,4,FALSE)&amp;"]"))</f>
        <v/>
      </c>
      <c r="AC250" s="46" t="str">
        <f t="array" ref="AC250">IF('.'!AC250="","",'.'!AC250&amp;IF(VLOOKUP('.'!AC250,Recipes!$A:$D,4,FALSE)="",""," ["&amp;VLOOKUP('.'!AC250,Recipes!$A:$D,4,FALSE)&amp;"]"))</f>
        <v/>
      </c>
      <c r="AD250" s="46" t="str">
        <f t="array" ref="AD250">IF('.'!AD250="","",'.'!AD250&amp;IF(VLOOKUP('.'!AD250,Recipes!$A:$D,4,FALSE)="",""," ["&amp;VLOOKUP('.'!AD250,Recipes!$A:$D,4,FALSE)&amp;"]"))</f>
        <v/>
      </c>
      <c r="AE250" s="47"/>
      <c r="AF250" s="47"/>
      <c r="AG250" s="47"/>
      <c r="AH250" s="47"/>
      <c r="AI250" s="47"/>
      <c r="AJ250" s="47"/>
      <c r="AK250" s="47"/>
      <c r="AL250" s="47"/>
      <c r="AM250" s="47"/>
      <c r="AN250" s="47"/>
      <c r="AO250" s="47"/>
      <c r="AP250" s="47"/>
      <c r="AQ250" s="47"/>
      <c r="AR250" s="47"/>
      <c r="AS250" s="47"/>
      <c r="AT250" s="47"/>
      <c r="AU250" s="47"/>
      <c r="AV250" s="47"/>
      <c r="AW250" s="47"/>
      <c r="AX250" s="47"/>
      <c r="AY250" s="47"/>
      <c r="AZ250" s="47"/>
      <c r="BA250" s="47"/>
      <c r="BB250" s="47"/>
      <c r="BC250" s="47"/>
      <c r="BD250" s="47"/>
      <c r="BE250" s="47"/>
      <c r="BF250" s="47"/>
      <c r="BG250" s="47"/>
      <c r="BH250" s="47"/>
      <c r="BI250" s="47"/>
      <c r="BJ250" s="47"/>
      <c r="BK250" s="47"/>
      <c r="BL250" s="47"/>
      <c r="BM250" s="47"/>
      <c r="BN250" s="47"/>
      <c r="BO250" s="47"/>
      <c r="BP250" s="47"/>
      <c r="BQ250" s="47"/>
      <c r="BR250" s="47"/>
      <c r="BS250" s="47"/>
      <c r="BT250" s="47"/>
      <c r="BU250" s="47"/>
      <c r="BV250" s="47"/>
      <c r="BW250" s="47"/>
      <c r="BX250" s="47"/>
      <c r="BY250" s="47"/>
      <c r="BZ250" s="47"/>
    </row>
    <row r="251" spans="1:78" ht="13">
      <c r="A251" s="48" t="str">
        <f ca="1">'.'!A251</f>
        <v>Infect Scroll</v>
      </c>
      <c r="B251" s="46" t="str">
        <f t="array" aca="1" ref="B251" ca="1">IF('.'!B251="","",'.'!B251&amp;IF(VLOOKUP('.'!B251,Recipes!$A:$D,4,FALSE)="",""," ["&amp;VLOOKUP('.'!B251,Recipes!$A:$D,4,FALSE)&amp;"]"))</f>
        <v>Infect Skillbook [-160]</v>
      </c>
      <c r="C251" s="46" t="str">
        <f t="array" ref="C251">IF('.'!C251="","",'.'!C251&amp;IF(VLOOKUP('.'!C251,Recipes!$A:$D,4,FALSE)="",""," ["&amp;VLOOKUP('.'!C251,Recipes!$A:$D,4,FALSE)&amp;"]"))</f>
        <v/>
      </c>
      <c r="D251" s="46" t="str">
        <f t="array" ref="D251">IF('.'!D251="","",'.'!D251&amp;IF(VLOOKUP('.'!D251,Recipes!$A:$D,4,FALSE)="",""," ["&amp;VLOOKUP('.'!D251,Recipes!$A:$D,4,FALSE)&amp;"]"))</f>
        <v/>
      </c>
      <c r="E251" s="46" t="str">
        <f t="array" ref="E251">IF('.'!E251="","",'.'!E251&amp;IF(VLOOKUP('.'!E251,Recipes!$A:$D,4,FALSE)="",""," ["&amp;VLOOKUP('.'!E251,Recipes!$A:$D,4,FALSE)&amp;"]"))</f>
        <v/>
      </c>
      <c r="F251" s="46" t="str">
        <f t="array" ref="F251">IF('.'!F251="","",'.'!F251&amp;IF(VLOOKUP('.'!F251,Recipes!$A:$D,4,FALSE)="",""," ["&amp;VLOOKUP('.'!F251,Recipes!$A:$D,4,FALSE)&amp;"]"))</f>
        <v/>
      </c>
      <c r="G251" s="46" t="str">
        <f t="array" ref="G251">IF('.'!G251="","",'.'!G251&amp;IF(VLOOKUP('.'!G251,Recipes!$A:$D,4,FALSE)="",""," ["&amp;VLOOKUP('.'!G251,Recipes!$A:$D,4,FALSE)&amp;"]"))</f>
        <v/>
      </c>
      <c r="H251" s="46" t="str">
        <f t="array" ref="H251">IF('.'!H251="","",'.'!H251&amp;IF(VLOOKUP('.'!H251,Recipes!$A:$D,4,FALSE)="",""," ["&amp;VLOOKUP('.'!H251,Recipes!$A:$D,4,FALSE)&amp;"]"))</f>
        <v/>
      </c>
      <c r="I251" s="46" t="str">
        <f t="array" ref="I251">IF('.'!I251="","",'.'!I251&amp;IF(VLOOKUP('.'!I251,Recipes!$A:$D,4,FALSE)="",""," ["&amp;VLOOKUP('.'!I251,Recipes!$A:$D,4,FALSE)&amp;"]"))</f>
        <v/>
      </c>
      <c r="J251" s="46" t="str">
        <f t="array" ref="J251">IF('.'!J251="","",'.'!J251&amp;IF(VLOOKUP('.'!J251,Recipes!$A:$D,4,FALSE)="",""," ["&amp;VLOOKUP('.'!J251,Recipes!$A:$D,4,FALSE)&amp;"]"))</f>
        <v/>
      </c>
      <c r="K251" s="46" t="str">
        <f t="array" ref="K251">IF('.'!K251="","",'.'!K251&amp;IF(VLOOKUP('.'!K251,Recipes!$A:$D,4,FALSE)="",""," ["&amp;VLOOKUP('.'!K251,Recipes!$A:$D,4,FALSE)&amp;"]"))</f>
        <v/>
      </c>
      <c r="L251" s="46" t="str">
        <f t="array" ref="L251">IF('.'!L251="","",'.'!L251&amp;IF(VLOOKUP('.'!L251,Recipes!$A:$D,4,FALSE)="",""," ["&amp;VLOOKUP('.'!L251,Recipes!$A:$D,4,FALSE)&amp;"]"))</f>
        <v/>
      </c>
      <c r="M251" s="46" t="str">
        <f t="array" ref="M251">IF('.'!M251="","",'.'!M251&amp;IF(VLOOKUP('.'!M251,Recipes!$A:$D,4,FALSE)="",""," ["&amp;VLOOKUP('.'!M251,Recipes!$A:$D,4,FALSE)&amp;"]"))</f>
        <v/>
      </c>
      <c r="N251" s="46" t="str">
        <f t="array" ref="N251">IF('.'!N251="","",'.'!N251&amp;IF(VLOOKUP('.'!N251,Recipes!$A:$D,4,FALSE)="",""," ["&amp;VLOOKUP('.'!N251,Recipes!$A:$D,4,FALSE)&amp;"]"))</f>
        <v/>
      </c>
      <c r="O251" s="46" t="str">
        <f t="array" ref="O251">IF('.'!O251="","",'.'!O251&amp;IF(VLOOKUP('.'!O251,Recipes!$A:$D,4,FALSE)="",""," ["&amp;VLOOKUP('.'!O251,Recipes!$A:$D,4,FALSE)&amp;"]"))</f>
        <v/>
      </c>
      <c r="P251" s="46" t="str">
        <f t="array" ref="P251">IF('.'!P251="","",'.'!P251&amp;IF(VLOOKUP('.'!P251,Recipes!$A:$D,4,FALSE)="",""," ["&amp;VLOOKUP('.'!P251,Recipes!$A:$D,4,FALSE)&amp;"]"))</f>
        <v/>
      </c>
      <c r="Q251" s="46" t="str">
        <f t="array" ref="Q251">IF('.'!Q251="","",'.'!Q251&amp;IF(VLOOKUP('.'!Q251,Recipes!$A:$D,4,FALSE)="",""," ["&amp;VLOOKUP('.'!Q251,Recipes!$A:$D,4,FALSE)&amp;"]"))</f>
        <v/>
      </c>
      <c r="R251" s="46" t="str">
        <f t="array" ref="R251">IF('.'!R251="","",'.'!R251&amp;IF(VLOOKUP('.'!R251,Recipes!$A:$D,4,FALSE)="",""," ["&amp;VLOOKUP('.'!R251,Recipes!$A:$D,4,FALSE)&amp;"]"))</f>
        <v/>
      </c>
      <c r="S251" s="46" t="str">
        <f t="array" ref="S251">IF('.'!S251="","",'.'!S251&amp;IF(VLOOKUP('.'!S251,Recipes!$A:$D,4,FALSE)="",""," ["&amp;VLOOKUP('.'!S251,Recipes!$A:$D,4,FALSE)&amp;"]"))</f>
        <v/>
      </c>
      <c r="T251" s="46" t="str">
        <f t="array" ref="T251">IF('.'!T251="","",'.'!T251&amp;IF(VLOOKUP('.'!T251,Recipes!$A:$D,4,FALSE)="",""," ["&amp;VLOOKUP('.'!T251,Recipes!$A:$D,4,FALSE)&amp;"]"))</f>
        <v/>
      </c>
      <c r="U251" s="46" t="str">
        <f t="array" ref="U251">IF('.'!U251="","",'.'!U251&amp;IF(VLOOKUP('.'!U251,Recipes!$A:$D,4,FALSE)="",""," ["&amp;VLOOKUP('.'!U251,Recipes!$A:$D,4,FALSE)&amp;"]"))</f>
        <v/>
      </c>
      <c r="V251" s="46" t="str">
        <f t="array" ref="V251">IF('.'!V251="","",'.'!V251&amp;IF(VLOOKUP('.'!V251,Recipes!$A:$D,4,FALSE)="",""," ["&amp;VLOOKUP('.'!V251,Recipes!$A:$D,4,FALSE)&amp;"]"))</f>
        <v/>
      </c>
      <c r="W251" s="46" t="str">
        <f t="array" ref="W251">IF('.'!W251="","",'.'!W251&amp;IF(VLOOKUP('.'!W251,Recipes!$A:$D,4,FALSE)="",""," ["&amp;VLOOKUP('.'!W251,Recipes!$A:$D,4,FALSE)&amp;"]"))</f>
        <v/>
      </c>
      <c r="X251" s="46" t="str">
        <f t="array" ref="X251">IF('.'!X251="","",'.'!X251&amp;IF(VLOOKUP('.'!X251,Recipes!$A:$D,4,FALSE)="",""," ["&amp;VLOOKUP('.'!X251,Recipes!$A:$D,4,FALSE)&amp;"]"))</f>
        <v/>
      </c>
      <c r="Y251" s="46" t="str">
        <f t="array" ref="Y251">IF('.'!Y251="","",'.'!Y251&amp;IF(VLOOKUP('.'!Y251,Recipes!$A:$D,4,FALSE)="",""," ["&amp;VLOOKUP('.'!Y251,Recipes!$A:$D,4,FALSE)&amp;"]"))</f>
        <v/>
      </c>
      <c r="Z251" s="46" t="str">
        <f t="array" ref="Z251">IF('.'!Z251="","",'.'!Z251&amp;IF(VLOOKUP('.'!Z251,Recipes!$A:$D,4,FALSE)="",""," ["&amp;VLOOKUP('.'!Z251,Recipes!$A:$D,4,FALSE)&amp;"]"))</f>
        <v/>
      </c>
      <c r="AA251" s="46" t="str">
        <f t="array" ref="AA251">IF('.'!AA251="","",'.'!AA251&amp;IF(VLOOKUP('.'!AA251,Recipes!$A:$D,4,FALSE)="",""," ["&amp;VLOOKUP('.'!AA251,Recipes!$A:$D,4,FALSE)&amp;"]"))</f>
        <v/>
      </c>
      <c r="AB251" s="46" t="str">
        <f t="array" ref="AB251">IF('.'!AB251="","",'.'!AB251&amp;IF(VLOOKUP('.'!AB251,Recipes!$A:$D,4,FALSE)="",""," ["&amp;VLOOKUP('.'!AB251,Recipes!$A:$D,4,FALSE)&amp;"]"))</f>
        <v/>
      </c>
      <c r="AC251" s="46" t="str">
        <f t="array" ref="AC251">IF('.'!AC251="","",'.'!AC251&amp;IF(VLOOKUP('.'!AC251,Recipes!$A:$D,4,FALSE)="",""," ["&amp;VLOOKUP('.'!AC251,Recipes!$A:$D,4,FALSE)&amp;"]"))</f>
        <v/>
      </c>
      <c r="AD251" s="46" t="str">
        <f t="array" ref="AD251">IF('.'!AD251="","",'.'!AD251&amp;IF(VLOOKUP('.'!AD251,Recipes!$A:$D,4,FALSE)="",""," ["&amp;VLOOKUP('.'!AD251,Recipes!$A:$D,4,FALSE)&amp;"]"))</f>
        <v/>
      </c>
      <c r="AE251" s="47"/>
      <c r="AF251" s="47"/>
      <c r="AG251" s="47"/>
      <c r="AH251" s="47"/>
      <c r="AI251" s="47"/>
      <c r="AJ251" s="47"/>
      <c r="AK251" s="47"/>
      <c r="AL251" s="47"/>
      <c r="AM251" s="47"/>
      <c r="AN251" s="47"/>
      <c r="AO251" s="47"/>
      <c r="AP251" s="47"/>
      <c r="AQ251" s="47"/>
      <c r="AR251" s="47"/>
      <c r="AS251" s="47"/>
      <c r="AT251" s="47"/>
      <c r="AU251" s="47"/>
      <c r="AV251" s="47"/>
      <c r="AW251" s="47"/>
      <c r="AX251" s="47"/>
      <c r="AY251" s="47"/>
      <c r="AZ251" s="47"/>
      <c r="BA251" s="47"/>
      <c r="BB251" s="47"/>
      <c r="BC251" s="47"/>
      <c r="BD251" s="47"/>
      <c r="BE251" s="47"/>
      <c r="BF251" s="47"/>
      <c r="BG251" s="47"/>
      <c r="BH251" s="47"/>
      <c r="BI251" s="47"/>
      <c r="BJ251" s="47"/>
      <c r="BK251" s="47"/>
      <c r="BL251" s="47"/>
      <c r="BM251" s="47"/>
      <c r="BN251" s="47"/>
      <c r="BO251" s="47"/>
      <c r="BP251" s="47"/>
      <c r="BQ251" s="47"/>
      <c r="BR251" s="47"/>
      <c r="BS251" s="47"/>
      <c r="BT251" s="47"/>
      <c r="BU251" s="47"/>
      <c r="BV251" s="47"/>
      <c r="BW251" s="47"/>
      <c r="BX251" s="47"/>
      <c r="BY251" s="47"/>
      <c r="BZ251" s="47"/>
    </row>
    <row r="252" spans="1:78" ht="13">
      <c r="A252" s="48" t="str">
        <f ca="1">'.'!A252</f>
        <v>Intestines</v>
      </c>
      <c r="B252" s="46" t="str">
        <f t="array" aca="1" ref="B252" ca="1">IF('.'!B252="","",'.'!B252&amp;IF(VLOOKUP('.'!B252,Recipes!$A:$D,4,FALSE)="",""," ["&amp;VLOOKUP('.'!B252,Recipes!$A:$D,4,FALSE)&amp;"]"))</f>
        <v>Chemical Warfare Grenade [799]</v>
      </c>
      <c r="C252" s="46" t="str">
        <f t="array" aca="1" ref="C252" ca="1">IF('.'!C252="","",'.'!C252&amp;IF(VLOOKUP('.'!C252,Recipes!$A:$D,4,FALSE)="",""," ["&amp;VLOOKUP('.'!C252,Recipes!$A:$D,4,FALSE)&amp;"]"))</f>
        <v>Water Balloon [9]</v>
      </c>
      <c r="D252" s="46" t="str">
        <f t="array" aca="1" ref="D252" ca="1">IF('.'!D252="","",'.'!D252&amp;IF(VLOOKUP('.'!D252,Recipes!$A:$D,4,FALSE)="",""," ["&amp;VLOOKUP('.'!D252,Recipes!$A:$D,4,FALSE)&amp;"]"))</f>
        <v>Contamination Scroll [14]</v>
      </c>
      <c r="E252" s="46" t="str">
        <f t="array" aca="1" ref="E252" ca="1">IF('.'!E252="","",'.'!E252&amp;IF(VLOOKUP('.'!E252,Recipes!$A:$D,4,FALSE)="",""," ["&amp;VLOOKUP('.'!E252,Recipes!$A:$D,4,FALSE)&amp;"]"))</f>
        <v>Infect Scroll [54]</v>
      </c>
      <c r="F252" s="46" t="str">
        <f t="array" ref="F252">IF('.'!F252="","",'.'!F252&amp;IF(VLOOKUP('.'!F252,Recipes!$A:$D,4,FALSE)="",""," ["&amp;VLOOKUP('.'!F252,Recipes!$A:$D,4,FALSE)&amp;"]"))</f>
        <v/>
      </c>
      <c r="G252" s="46" t="str">
        <f t="array" ref="G252">IF('.'!G252="","",'.'!G252&amp;IF(VLOOKUP('.'!G252,Recipes!$A:$D,4,FALSE)="",""," ["&amp;VLOOKUP('.'!G252,Recipes!$A:$D,4,FALSE)&amp;"]"))</f>
        <v/>
      </c>
      <c r="H252" s="46" t="str">
        <f t="array" ref="H252">IF('.'!H252="","",'.'!H252&amp;IF(VLOOKUP('.'!H252,Recipes!$A:$D,4,FALSE)="",""," ["&amp;VLOOKUP('.'!H252,Recipes!$A:$D,4,FALSE)&amp;"]"))</f>
        <v/>
      </c>
      <c r="I252" s="46" t="str">
        <f t="array" ref="I252">IF('.'!I252="","",'.'!I252&amp;IF(VLOOKUP('.'!I252,Recipes!$A:$D,4,FALSE)="",""," ["&amp;VLOOKUP('.'!I252,Recipes!$A:$D,4,FALSE)&amp;"]"))</f>
        <v/>
      </c>
      <c r="J252" s="46" t="str">
        <f t="array" ref="J252">IF('.'!J252="","",'.'!J252&amp;IF(VLOOKUP('.'!J252,Recipes!$A:$D,4,FALSE)="",""," ["&amp;VLOOKUP('.'!J252,Recipes!$A:$D,4,FALSE)&amp;"]"))</f>
        <v/>
      </c>
      <c r="K252" s="46" t="str">
        <f t="array" ref="K252">IF('.'!K252="","",'.'!K252&amp;IF(VLOOKUP('.'!K252,Recipes!$A:$D,4,FALSE)="",""," ["&amp;VLOOKUP('.'!K252,Recipes!$A:$D,4,FALSE)&amp;"]"))</f>
        <v/>
      </c>
      <c r="L252" s="46" t="str">
        <f t="array" ref="L252">IF('.'!L252="","",'.'!L252&amp;IF(VLOOKUP('.'!L252,Recipes!$A:$D,4,FALSE)="",""," ["&amp;VLOOKUP('.'!L252,Recipes!$A:$D,4,FALSE)&amp;"]"))</f>
        <v/>
      </c>
      <c r="M252" s="46" t="str">
        <f t="array" ref="M252">IF('.'!M252="","",'.'!M252&amp;IF(VLOOKUP('.'!M252,Recipes!$A:$D,4,FALSE)="",""," ["&amp;VLOOKUP('.'!M252,Recipes!$A:$D,4,FALSE)&amp;"]"))</f>
        <v/>
      </c>
      <c r="N252" s="46" t="str">
        <f t="array" ref="N252">IF('.'!N252="","",'.'!N252&amp;IF(VLOOKUP('.'!N252,Recipes!$A:$D,4,FALSE)="",""," ["&amp;VLOOKUP('.'!N252,Recipes!$A:$D,4,FALSE)&amp;"]"))</f>
        <v/>
      </c>
      <c r="O252" s="46" t="str">
        <f t="array" ref="O252">IF('.'!O252="","",'.'!O252&amp;IF(VLOOKUP('.'!O252,Recipes!$A:$D,4,FALSE)="",""," ["&amp;VLOOKUP('.'!O252,Recipes!$A:$D,4,FALSE)&amp;"]"))</f>
        <v/>
      </c>
      <c r="P252" s="46" t="str">
        <f t="array" ref="P252">IF('.'!P252="","",'.'!P252&amp;IF(VLOOKUP('.'!P252,Recipes!$A:$D,4,FALSE)="",""," ["&amp;VLOOKUP('.'!P252,Recipes!$A:$D,4,FALSE)&amp;"]"))</f>
        <v/>
      </c>
      <c r="Q252" s="46" t="str">
        <f t="array" ref="Q252">IF('.'!Q252="","",'.'!Q252&amp;IF(VLOOKUP('.'!Q252,Recipes!$A:$D,4,FALSE)="",""," ["&amp;VLOOKUP('.'!Q252,Recipes!$A:$D,4,FALSE)&amp;"]"))</f>
        <v/>
      </c>
      <c r="R252" s="46" t="str">
        <f t="array" ref="R252">IF('.'!R252="","",'.'!R252&amp;IF(VLOOKUP('.'!R252,Recipes!$A:$D,4,FALSE)="",""," ["&amp;VLOOKUP('.'!R252,Recipes!$A:$D,4,FALSE)&amp;"]"))</f>
        <v/>
      </c>
      <c r="S252" s="46" t="str">
        <f t="array" ref="S252">IF('.'!S252="","",'.'!S252&amp;IF(VLOOKUP('.'!S252,Recipes!$A:$D,4,FALSE)="",""," ["&amp;VLOOKUP('.'!S252,Recipes!$A:$D,4,FALSE)&amp;"]"))</f>
        <v/>
      </c>
      <c r="T252" s="46" t="str">
        <f t="array" ref="T252">IF('.'!T252="","",'.'!T252&amp;IF(VLOOKUP('.'!T252,Recipes!$A:$D,4,FALSE)="",""," ["&amp;VLOOKUP('.'!T252,Recipes!$A:$D,4,FALSE)&amp;"]"))</f>
        <v/>
      </c>
      <c r="U252" s="46" t="str">
        <f t="array" ref="U252">IF('.'!U252="","",'.'!U252&amp;IF(VLOOKUP('.'!U252,Recipes!$A:$D,4,FALSE)="",""," ["&amp;VLOOKUP('.'!U252,Recipes!$A:$D,4,FALSE)&amp;"]"))</f>
        <v/>
      </c>
      <c r="V252" s="46" t="str">
        <f t="array" ref="V252">IF('.'!V252="","",'.'!V252&amp;IF(VLOOKUP('.'!V252,Recipes!$A:$D,4,FALSE)="",""," ["&amp;VLOOKUP('.'!V252,Recipes!$A:$D,4,FALSE)&amp;"]"))</f>
        <v/>
      </c>
      <c r="W252" s="46" t="str">
        <f t="array" ref="W252">IF('.'!W252="","",'.'!W252&amp;IF(VLOOKUP('.'!W252,Recipes!$A:$D,4,FALSE)="",""," ["&amp;VLOOKUP('.'!W252,Recipes!$A:$D,4,FALSE)&amp;"]"))</f>
        <v/>
      </c>
      <c r="X252" s="46" t="str">
        <f t="array" ref="X252">IF('.'!X252="","",'.'!X252&amp;IF(VLOOKUP('.'!X252,Recipes!$A:$D,4,FALSE)="",""," ["&amp;VLOOKUP('.'!X252,Recipes!$A:$D,4,FALSE)&amp;"]"))</f>
        <v/>
      </c>
      <c r="Y252" s="46" t="str">
        <f t="array" ref="Y252">IF('.'!Y252="","",'.'!Y252&amp;IF(VLOOKUP('.'!Y252,Recipes!$A:$D,4,FALSE)="",""," ["&amp;VLOOKUP('.'!Y252,Recipes!$A:$D,4,FALSE)&amp;"]"))</f>
        <v/>
      </c>
      <c r="Z252" s="46" t="str">
        <f t="array" ref="Z252">IF('.'!Z252="","",'.'!Z252&amp;IF(VLOOKUP('.'!Z252,Recipes!$A:$D,4,FALSE)="",""," ["&amp;VLOOKUP('.'!Z252,Recipes!$A:$D,4,FALSE)&amp;"]"))</f>
        <v/>
      </c>
      <c r="AA252" s="46" t="str">
        <f t="array" ref="AA252">IF('.'!AA252="","",'.'!AA252&amp;IF(VLOOKUP('.'!AA252,Recipes!$A:$D,4,FALSE)="",""," ["&amp;VLOOKUP('.'!AA252,Recipes!$A:$D,4,FALSE)&amp;"]"))</f>
        <v/>
      </c>
      <c r="AB252" s="46" t="str">
        <f t="array" ref="AB252">IF('.'!AB252="","",'.'!AB252&amp;IF(VLOOKUP('.'!AB252,Recipes!$A:$D,4,FALSE)="",""," ["&amp;VLOOKUP('.'!AB252,Recipes!$A:$D,4,FALSE)&amp;"]"))</f>
        <v/>
      </c>
      <c r="AC252" s="46" t="str">
        <f t="array" ref="AC252">IF('.'!AC252="","",'.'!AC252&amp;IF(VLOOKUP('.'!AC252,Recipes!$A:$D,4,FALSE)="",""," ["&amp;VLOOKUP('.'!AC252,Recipes!$A:$D,4,FALSE)&amp;"]"))</f>
        <v/>
      </c>
      <c r="AD252" s="46" t="str">
        <f t="array" ref="AD252">IF('.'!AD252="","",'.'!AD252&amp;IF(VLOOKUP('.'!AD252,Recipes!$A:$D,4,FALSE)="",""," ["&amp;VLOOKUP('.'!AD252,Recipes!$A:$D,4,FALSE)&amp;"]"))</f>
        <v/>
      </c>
      <c r="AE252" s="47"/>
      <c r="AF252" s="47"/>
      <c r="AG252" s="47"/>
      <c r="AH252" s="47"/>
      <c r="AI252" s="47"/>
      <c r="AJ252" s="47"/>
      <c r="AK252" s="47"/>
      <c r="AL252" s="47"/>
      <c r="AM252" s="47"/>
      <c r="AN252" s="47"/>
      <c r="AO252" s="47"/>
      <c r="AP252" s="47"/>
      <c r="AQ252" s="47"/>
      <c r="AR252" s="47"/>
      <c r="AS252" s="47"/>
      <c r="AT252" s="47"/>
      <c r="AU252" s="47"/>
      <c r="AV252" s="47"/>
      <c r="AW252" s="47"/>
      <c r="AX252" s="47"/>
      <c r="AY252" s="47"/>
      <c r="AZ252" s="47"/>
      <c r="BA252" s="47"/>
      <c r="BB252" s="47"/>
      <c r="BC252" s="47"/>
      <c r="BD252" s="47"/>
      <c r="BE252" s="47"/>
      <c r="BF252" s="47"/>
      <c r="BG252" s="47"/>
      <c r="BH252" s="47"/>
      <c r="BI252" s="47"/>
      <c r="BJ252" s="47"/>
      <c r="BK252" s="47"/>
      <c r="BL252" s="47"/>
      <c r="BM252" s="47"/>
      <c r="BN252" s="47"/>
      <c r="BO252" s="47"/>
      <c r="BP252" s="47"/>
      <c r="BQ252" s="47"/>
      <c r="BR252" s="47"/>
      <c r="BS252" s="47"/>
      <c r="BT252" s="47"/>
      <c r="BU252" s="47"/>
      <c r="BV252" s="47"/>
      <c r="BW252" s="47"/>
      <c r="BX252" s="47"/>
      <c r="BY252" s="47"/>
      <c r="BZ252" s="47"/>
    </row>
    <row r="253" spans="1:78" ht="13">
      <c r="A253" s="48" t="str">
        <f ca="1">'.'!A253</f>
        <v>Jar of Honey</v>
      </c>
      <c r="B253" s="46" t="str">
        <f t="array" aca="1" ref="B253" ca="1">IF('.'!B253="","",'.'!B253&amp;IF(VLOOKUP('.'!B253,Recipes!$A:$D,4,FALSE)="",""," ["&amp;VLOOKUP('.'!B253,Recipes!$A:$D,4,FALSE)&amp;"]"))</f>
        <v>Charming Arrow [19]</v>
      </c>
      <c r="C253" s="46" t="str">
        <f t="array" aca="1" ref="C253" ca="1">IF('.'!C253="","",'.'!C253&amp;IF(VLOOKUP('.'!C253,Recipes!$A:$D,4,FALSE)="",""," ["&amp;VLOOKUP('.'!C253,Recipes!$A:$D,4,FALSE)&amp;"]"))</f>
        <v>Charming Arrowhead [123]</v>
      </c>
      <c r="D253" s="46" t="e">
        <f t="array" aca="1" ref="D253" ca="1">IF('.'!D253="","",'.'!D253&amp;IF(VLOOKUP('.'!D253,Recipes!$A:$D,4,FALSE)="",""," ["&amp;VLOOKUP('.'!D253,Recipes!$A:$D,4,FALSE)&amp;"]"))</f>
        <v>#VALUE!</v>
      </c>
      <c r="E253" s="46" t="str">
        <f t="array" aca="1" ref="E253" ca="1">IF('.'!E253="","",'.'!E253&amp;IF(VLOOKUP('.'!E253,Recipes!$A:$D,4,FALSE)="",""," ["&amp;VLOOKUP('.'!E253,Recipes!$A:$D,4,FALSE)&amp;"]"))</f>
        <v>Love Grenade [-20]</v>
      </c>
      <c r="F253" s="46" t="str">
        <f t="array" aca="1" ref="F253" ca="1">IF('.'!F253="","",'.'!F253&amp;IF(VLOOKUP('.'!F253,Recipes!$A:$D,4,FALSE)="",""," ["&amp;VLOOKUP('.'!F253,Recipes!$A:$D,4,FALSE)&amp;"]"))</f>
        <v>Charm Scroll [-297]</v>
      </c>
      <c r="G253" s="46" t="str">
        <f t="array" ref="G253">IF('.'!G253="","",'.'!G253&amp;IF(VLOOKUP('.'!G253,Recipes!$A:$D,4,FALSE)="",""," ["&amp;VLOOKUP('.'!G253,Recipes!$A:$D,4,FALSE)&amp;"]"))</f>
        <v/>
      </c>
      <c r="H253" s="46" t="str">
        <f t="array" ref="H253">IF('.'!H253="","",'.'!H253&amp;IF(VLOOKUP('.'!H253,Recipes!$A:$D,4,FALSE)="",""," ["&amp;VLOOKUP('.'!H253,Recipes!$A:$D,4,FALSE)&amp;"]"))</f>
        <v/>
      </c>
      <c r="I253" s="46" t="str">
        <f t="array" ref="I253">IF('.'!I253="","",'.'!I253&amp;IF(VLOOKUP('.'!I253,Recipes!$A:$D,4,FALSE)="",""," ["&amp;VLOOKUP('.'!I253,Recipes!$A:$D,4,FALSE)&amp;"]"))</f>
        <v/>
      </c>
      <c r="J253" s="46" t="str">
        <f t="array" ref="J253">IF('.'!J253="","",'.'!J253&amp;IF(VLOOKUP('.'!J253,Recipes!$A:$D,4,FALSE)="",""," ["&amp;VLOOKUP('.'!J253,Recipes!$A:$D,4,FALSE)&amp;"]"))</f>
        <v/>
      </c>
      <c r="K253" s="46" t="str">
        <f t="array" ref="K253">IF('.'!K253="","",'.'!K253&amp;IF(VLOOKUP('.'!K253,Recipes!$A:$D,4,FALSE)="",""," ["&amp;VLOOKUP('.'!K253,Recipes!$A:$D,4,FALSE)&amp;"]"))</f>
        <v/>
      </c>
      <c r="L253" s="46" t="str">
        <f t="array" ref="L253">IF('.'!L253="","",'.'!L253&amp;IF(VLOOKUP('.'!L253,Recipes!$A:$D,4,FALSE)="",""," ["&amp;VLOOKUP('.'!L253,Recipes!$A:$D,4,FALSE)&amp;"]"))</f>
        <v/>
      </c>
      <c r="M253" s="46" t="str">
        <f t="array" ref="M253">IF('.'!M253="","",'.'!M253&amp;IF(VLOOKUP('.'!M253,Recipes!$A:$D,4,FALSE)="",""," ["&amp;VLOOKUP('.'!M253,Recipes!$A:$D,4,FALSE)&amp;"]"))</f>
        <v/>
      </c>
      <c r="N253" s="46" t="str">
        <f t="array" ref="N253">IF('.'!N253="","",'.'!N253&amp;IF(VLOOKUP('.'!N253,Recipes!$A:$D,4,FALSE)="",""," ["&amp;VLOOKUP('.'!N253,Recipes!$A:$D,4,FALSE)&amp;"]"))</f>
        <v/>
      </c>
      <c r="O253" s="46" t="str">
        <f t="array" ref="O253">IF('.'!O253="","",'.'!O253&amp;IF(VLOOKUP('.'!O253,Recipes!$A:$D,4,FALSE)="",""," ["&amp;VLOOKUP('.'!O253,Recipes!$A:$D,4,FALSE)&amp;"]"))</f>
        <v/>
      </c>
      <c r="P253" s="46" t="str">
        <f t="array" ref="P253">IF('.'!P253="","",'.'!P253&amp;IF(VLOOKUP('.'!P253,Recipes!$A:$D,4,FALSE)="",""," ["&amp;VLOOKUP('.'!P253,Recipes!$A:$D,4,FALSE)&amp;"]"))</f>
        <v/>
      </c>
      <c r="Q253" s="46" t="str">
        <f t="array" ref="Q253">IF('.'!Q253="","",'.'!Q253&amp;IF(VLOOKUP('.'!Q253,Recipes!$A:$D,4,FALSE)="",""," ["&amp;VLOOKUP('.'!Q253,Recipes!$A:$D,4,FALSE)&amp;"]"))</f>
        <v/>
      </c>
      <c r="R253" s="46" t="str">
        <f t="array" ref="R253">IF('.'!R253="","",'.'!R253&amp;IF(VLOOKUP('.'!R253,Recipes!$A:$D,4,FALSE)="",""," ["&amp;VLOOKUP('.'!R253,Recipes!$A:$D,4,FALSE)&amp;"]"))</f>
        <v/>
      </c>
      <c r="S253" s="46" t="str">
        <f t="array" ref="S253">IF('.'!S253="","",'.'!S253&amp;IF(VLOOKUP('.'!S253,Recipes!$A:$D,4,FALSE)="",""," ["&amp;VLOOKUP('.'!S253,Recipes!$A:$D,4,FALSE)&amp;"]"))</f>
        <v/>
      </c>
      <c r="T253" s="46" t="str">
        <f t="array" ref="T253">IF('.'!T253="","",'.'!T253&amp;IF(VLOOKUP('.'!T253,Recipes!$A:$D,4,FALSE)="",""," ["&amp;VLOOKUP('.'!T253,Recipes!$A:$D,4,FALSE)&amp;"]"))</f>
        <v/>
      </c>
      <c r="U253" s="46" t="str">
        <f t="array" ref="U253">IF('.'!U253="","",'.'!U253&amp;IF(VLOOKUP('.'!U253,Recipes!$A:$D,4,FALSE)="",""," ["&amp;VLOOKUP('.'!U253,Recipes!$A:$D,4,FALSE)&amp;"]"))</f>
        <v/>
      </c>
      <c r="V253" s="46" t="str">
        <f t="array" ref="V253">IF('.'!V253="","",'.'!V253&amp;IF(VLOOKUP('.'!V253,Recipes!$A:$D,4,FALSE)="",""," ["&amp;VLOOKUP('.'!V253,Recipes!$A:$D,4,FALSE)&amp;"]"))</f>
        <v/>
      </c>
      <c r="W253" s="46" t="str">
        <f t="array" ref="W253">IF('.'!W253="","",'.'!W253&amp;IF(VLOOKUP('.'!W253,Recipes!$A:$D,4,FALSE)="",""," ["&amp;VLOOKUP('.'!W253,Recipes!$A:$D,4,FALSE)&amp;"]"))</f>
        <v/>
      </c>
      <c r="X253" s="46" t="str">
        <f t="array" ref="X253">IF('.'!X253="","",'.'!X253&amp;IF(VLOOKUP('.'!X253,Recipes!$A:$D,4,FALSE)="",""," ["&amp;VLOOKUP('.'!X253,Recipes!$A:$D,4,FALSE)&amp;"]"))</f>
        <v/>
      </c>
      <c r="Y253" s="46" t="str">
        <f t="array" ref="Y253">IF('.'!Y253="","",'.'!Y253&amp;IF(VLOOKUP('.'!Y253,Recipes!$A:$D,4,FALSE)="",""," ["&amp;VLOOKUP('.'!Y253,Recipes!$A:$D,4,FALSE)&amp;"]"))</f>
        <v/>
      </c>
      <c r="Z253" s="46" t="str">
        <f t="array" ref="Z253">IF('.'!Z253="","",'.'!Z253&amp;IF(VLOOKUP('.'!Z253,Recipes!$A:$D,4,FALSE)="",""," ["&amp;VLOOKUP('.'!Z253,Recipes!$A:$D,4,FALSE)&amp;"]"))</f>
        <v/>
      </c>
      <c r="AA253" s="46" t="str">
        <f t="array" ref="AA253">IF('.'!AA253="","",'.'!AA253&amp;IF(VLOOKUP('.'!AA253,Recipes!$A:$D,4,FALSE)="",""," ["&amp;VLOOKUP('.'!AA253,Recipes!$A:$D,4,FALSE)&amp;"]"))</f>
        <v/>
      </c>
      <c r="AB253" s="46" t="str">
        <f t="array" ref="AB253">IF('.'!AB253="","",'.'!AB253&amp;IF(VLOOKUP('.'!AB253,Recipes!$A:$D,4,FALSE)="",""," ["&amp;VLOOKUP('.'!AB253,Recipes!$A:$D,4,FALSE)&amp;"]"))</f>
        <v/>
      </c>
      <c r="AC253" s="46" t="str">
        <f t="array" ref="AC253">IF('.'!AC253="","",'.'!AC253&amp;IF(VLOOKUP('.'!AC253,Recipes!$A:$D,4,FALSE)="",""," ["&amp;VLOOKUP('.'!AC253,Recipes!$A:$D,4,FALSE)&amp;"]"))</f>
        <v/>
      </c>
      <c r="AD253" s="46" t="str">
        <f t="array" ref="AD253">IF('.'!AD253="","",'.'!AD253&amp;IF(VLOOKUP('.'!AD253,Recipes!$A:$D,4,FALSE)="",""," ["&amp;VLOOKUP('.'!AD253,Recipes!$A:$D,4,FALSE)&amp;"]"))</f>
        <v/>
      </c>
      <c r="AE253" s="47"/>
      <c r="AF253" s="47"/>
      <c r="AG253" s="47"/>
      <c r="AH253" s="47"/>
      <c r="AI253" s="47"/>
      <c r="AJ253" s="47"/>
      <c r="AK253" s="47"/>
      <c r="AL253" s="47"/>
      <c r="AM253" s="47"/>
      <c r="AN253" s="47"/>
      <c r="AO253" s="47"/>
      <c r="AP253" s="47"/>
      <c r="AQ253" s="47"/>
      <c r="AR253" s="47"/>
      <c r="AS253" s="47"/>
      <c r="AT253" s="47"/>
      <c r="AU253" s="47"/>
      <c r="AV253" s="47"/>
      <c r="AW253" s="47"/>
      <c r="AX253" s="47"/>
      <c r="AY253" s="47"/>
      <c r="AZ253" s="47"/>
      <c r="BA253" s="47"/>
      <c r="BB253" s="47"/>
      <c r="BC253" s="47"/>
      <c r="BD253" s="47"/>
      <c r="BE253" s="47"/>
      <c r="BF253" s="47"/>
      <c r="BG253" s="47"/>
      <c r="BH253" s="47"/>
      <c r="BI253" s="47"/>
      <c r="BJ253" s="47"/>
      <c r="BK253" s="47"/>
      <c r="BL253" s="47"/>
      <c r="BM253" s="47"/>
      <c r="BN253" s="47"/>
      <c r="BO253" s="47"/>
      <c r="BP253" s="47"/>
      <c r="BQ253" s="47"/>
      <c r="BR253" s="47"/>
      <c r="BS253" s="47"/>
      <c r="BT253" s="47"/>
      <c r="BU253" s="47"/>
      <c r="BV253" s="47"/>
      <c r="BW253" s="47"/>
      <c r="BX253" s="47"/>
      <c r="BY253" s="47"/>
      <c r="BZ253" s="47"/>
    </row>
    <row r="254" spans="1:78" ht="13">
      <c r="A254" s="48" t="str">
        <f ca="1">'.'!A254</f>
        <v>Jar of Mind Maggots</v>
      </c>
      <c r="B254" s="46" t="str">
        <f t="array" aca="1" ref="B254" ca="1">IF('.'!B254="","",'.'!B254&amp;IF(VLOOKUP('.'!B254,Recipes!$A:$D,4,FALSE)="",""," ["&amp;VLOOKUP('.'!B254,Recipes!$A:$D,4,FALSE)&amp;"]"))</f>
        <v>Mind Maggot Grenade [50]</v>
      </c>
      <c r="C254" s="46" t="str">
        <f t="array" ref="C254">IF('.'!C254="","",'.'!C254&amp;IF(VLOOKUP('.'!C254,Recipes!$A:$D,4,FALSE)="",""," ["&amp;VLOOKUP('.'!C254,Recipes!$A:$D,4,FALSE)&amp;"]"))</f>
        <v/>
      </c>
      <c r="D254" s="46" t="str">
        <f t="array" ref="D254">IF('.'!D254="","",'.'!D254&amp;IF(VLOOKUP('.'!D254,Recipes!$A:$D,4,FALSE)="",""," ["&amp;VLOOKUP('.'!D254,Recipes!$A:$D,4,FALSE)&amp;"]"))</f>
        <v/>
      </c>
      <c r="E254" s="46" t="str">
        <f t="array" ref="E254">IF('.'!E254="","",'.'!E254&amp;IF(VLOOKUP('.'!E254,Recipes!$A:$D,4,FALSE)="",""," ["&amp;VLOOKUP('.'!E254,Recipes!$A:$D,4,FALSE)&amp;"]"))</f>
        <v/>
      </c>
      <c r="F254" s="46" t="str">
        <f t="array" ref="F254">IF('.'!F254="","",'.'!F254&amp;IF(VLOOKUP('.'!F254,Recipes!$A:$D,4,FALSE)="",""," ["&amp;VLOOKUP('.'!F254,Recipes!$A:$D,4,FALSE)&amp;"]"))</f>
        <v/>
      </c>
      <c r="G254" s="46" t="str">
        <f t="array" ref="G254">IF('.'!G254="","",'.'!G254&amp;IF(VLOOKUP('.'!G254,Recipes!$A:$D,4,FALSE)="",""," ["&amp;VLOOKUP('.'!G254,Recipes!$A:$D,4,FALSE)&amp;"]"))</f>
        <v/>
      </c>
      <c r="H254" s="46" t="str">
        <f t="array" ref="H254">IF('.'!H254="","",'.'!H254&amp;IF(VLOOKUP('.'!H254,Recipes!$A:$D,4,FALSE)="",""," ["&amp;VLOOKUP('.'!H254,Recipes!$A:$D,4,FALSE)&amp;"]"))</f>
        <v/>
      </c>
      <c r="I254" s="46" t="str">
        <f t="array" ref="I254">IF('.'!I254="","",'.'!I254&amp;IF(VLOOKUP('.'!I254,Recipes!$A:$D,4,FALSE)="",""," ["&amp;VLOOKUP('.'!I254,Recipes!$A:$D,4,FALSE)&amp;"]"))</f>
        <v/>
      </c>
      <c r="J254" s="46" t="str">
        <f t="array" ref="J254">IF('.'!J254="","",'.'!J254&amp;IF(VLOOKUP('.'!J254,Recipes!$A:$D,4,FALSE)="",""," ["&amp;VLOOKUP('.'!J254,Recipes!$A:$D,4,FALSE)&amp;"]"))</f>
        <v/>
      </c>
      <c r="K254" s="46" t="str">
        <f t="array" ref="K254">IF('.'!K254="","",'.'!K254&amp;IF(VLOOKUP('.'!K254,Recipes!$A:$D,4,FALSE)="",""," ["&amp;VLOOKUP('.'!K254,Recipes!$A:$D,4,FALSE)&amp;"]"))</f>
        <v/>
      </c>
      <c r="L254" s="46" t="str">
        <f t="array" ref="L254">IF('.'!L254="","",'.'!L254&amp;IF(VLOOKUP('.'!L254,Recipes!$A:$D,4,FALSE)="",""," ["&amp;VLOOKUP('.'!L254,Recipes!$A:$D,4,FALSE)&amp;"]"))</f>
        <v/>
      </c>
      <c r="M254" s="46" t="str">
        <f t="array" ref="M254">IF('.'!M254="","",'.'!M254&amp;IF(VLOOKUP('.'!M254,Recipes!$A:$D,4,FALSE)="",""," ["&amp;VLOOKUP('.'!M254,Recipes!$A:$D,4,FALSE)&amp;"]"))</f>
        <v/>
      </c>
      <c r="N254" s="46" t="str">
        <f t="array" ref="N254">IF('.'!N254="","",'.'!N254&amp;IF(VLOOKUP('.'!N254,Recipes!$A:$D,4,FALSE)="",""," ["&amp;VLOOKUP('.'!N254,Recipes!$A:$D,4,FALSE)&amp;"]"))</f>
        <v/>
      </c>
      <c r="O254" s="46" t="str">
        <f t="array" ref="O254">IF('.'!O254="","",'.'!O254&amp;IF(VLOOKUP('.'!O254,Recipes!$A:$D,4,FALSE)="",""," ["&amp;VLOOKUP('.'!O254,Recipes!$A:$D,4,FALSE)&amp;"]"))</f>
        <v/>
      </c>
      <c r="P254" s="46" t="str">
        <f t="array" ref="P254">IF('.'!P254="","",'.'!P254&amp;IF(VLOOKUP('.'!P254,Recipes!$A:$D,4,FALSE)="",""," ["&amp;VLOOKUP('.'!P254,Recipes!$A:$D,4,FALSE)&amp;"]"))</f>
        <v/>
      </c>
      <c r="Q254" s="46" t="str">
        <f t="array" ref="Q254">IF('.'!Q254="","",'.'!Q254&amp;IF(VLOOKUP('.'!Q254,Recipes!$A:$D,4,FALSE)="",""," ["&amp;VLOOKUP('.'!Q254,Recipes!$A:$D,4,FALSE)&amp;"]"))</f>
        <v/>
      </c>
      <c r="R254" s="46" t="str">
        <f t="array" ref="R254">IF('.'!R254="","",'.'!R254&amp;IF(VLOOKUP('.'!R254,Recipes!$A:$D,4,FALSE)="",""," ["&amp;VLOOKUP('.'!R254,Recipes!$A:$D,4,FALSE)&amp;"]"))</f>
        <v/>
      </c>
      <c r="S254" s="46" t="str">
        <f t="array" ref="S254">IF('.'!S254="","",'.'!S254&amp;IF(VLOOKUP('.'!S254,Recipes!$A:$D,4,FALSE)="",""," ["&amp;VLOOKUP('.'!S254,Recipes!$A:$D,4,FALSE)&amp;"]"))</f>
        <v/>
      </c>
      <c r="T254" s="46" t="str">
        <f t="array" ref="T254">IF('.'!T254="","",'.'!T254&amp;IF(VLOOKUP('.'!T254,Recipes!$A:$D,4,FALSE)="",""," ["&amp;VLOOKUP('.'!T254,Recipes!$A:$D,4,FALSE)&amp;"]"))</f>
        <v/>
      </c>
      <c r="U254" s="46" t="str">
        <f t="array" ref="U254">IF('.'!U254="","",'.'!U254&amp;IF(VLOOKUP('.'!U254,Recipes!$A:$D,4,FALSE)="",""," ["&amp;VLOOKUP('.'!U254,Recipes!$A:$D,4,FALSE)&amp;"]"))</f>
        <v/>
      </c>
      <c r="V254" s="46" t="str">
        <f t="array" ref="V254">IF('.'!V254="","",'.'!V254&amp;IF(VLOOKUP('.'!V254,Recipes!$A:$D,4,FALSE)="",""," ["&amp;VLOOKUP('.'!V254,Recipes!$A:$D,4,FALSE)&amp;"]"))</f>
        <v/>
      </c>
      <c r="W254" s="46" t="str">
        <f t="array" ref="W254">IF('.'!W254="","",'.'!W254&amp;IF(VLOOKUP('.'!W254,Recipes!$A:$D,4,FALSE)="",""," ["&amp;VLOOKUP('.'!W254,Recipes!$A:$D,4,FALSE)&amp;"]"))</f>
        <v/>
      </c>
      <c r="X254" s="46" t="str">
        <f t="array" ref="X254">IF('.'!X254="","",'.'!X254&amp;IF(VLOOKUP('.'!X254,Recipes!$A:$D,4,FALSE)="",""," ["&amp;VLOOKUP('.'!X254,Recipes!$A:$D,4,FALSE)&amp;"]"))</f>
        <v/>
      </c>
      <c r="Y254" s="46" t="str">
        <f t="array" ref="Y254">IF('.'!Y254="","",'.'!Y254&amp;IF(VLOOKUP('.'!Y254,Recipes!$A:$D,4,FALSE)="",""," ["&amp;VLOOKUP('.'!Y254,Recipes!$A:$D,4,FALSE)&amp;"]"))</f>
        <v/>
      </c>
      <c r="Z254" s="46" t="str">
        <f t="array" ref="Z254">IF('.'!Z254="","",'.'!Z254&amp;IF(VLOOKUP('.'!Z254,Recipes!$A:$D,4,FALSE)="",""," ["&amp;VLOOKUP('.'!Z254,Recipes!$A:$D,4,FALSE)&amp;"]"))</f>
        <v/>
      </c>
      <c r="AA254" s="46" t="str">
        <f t="array" ref="AA254">IF('.'!AA254="","",'.'!AA254&amp;IF(VLOOKUP('.'!AA254,Recipes!$A:$D,4,FALSE)="",""," ["&amp;VLOOKUP('.'!AA254,Recipes!$A:$D,4,FALSE)&amp;"]"))</f>
        <v/>
      </c>
      <c r="AB254" s="46" t="str">
        <f t="array" ref="AB254">IF('.'!AB254="","",'.'!AB254&amp;IF(VLOOKUP('.'!AB254,Recipes!$A:$D,4,FALSE)="",""," ["&amp;VLOOKUP('.'!AB254,Recipes!$A:$D,4,FALSE)&amp;"]"))</f>
        <v/>
      </c>
      <c r="AC254" s="46" t="str">
        <f t="array" ref="AC254">IF('.'!AC254="","",'.'!AC254&amp;IF(VLOOKUP('.'!AC254,Recipes!$A:$D,4,FALSE)="",""," ["&amp;VLOOKUP('.'!AC254,Recipes!$A:$D,4,FALSE)&amp;"]"))</f>
        <v/>
      </c>
      <c r="AD254" s="46" t="str">
        <f t="array" ref="AD254">IF('.'!AD254="","",'.'!AD254&amp;IF(VLOOKUP('.'!AD254,Recipes!$A:$D,4,FALSE)="",""," ["&amp;VLOOKUP('.'!AD254,Recipes!$A:$D,4,FALSE)&amp;"]"))</f>
        <v/>
      </c>
      <c r="AE254" s="47"/>
      <c r="AF254" s="47"/>
      <c r="AG254" s="47"/>
      <c r="AH254" s="47"/>
      <c r="AI254" s="47"/>
      <c r="AJ254" s="47"/>
      <c r="AK254" s="47"/>
      <c r="AL254" s="47"/>
      <c r="AM254" s="47"/>
      <c r="AN254" s="47"/>
      <c r="AO254" s="47"/>
      <c r="AP254" s="47"/>
      <c r="AQ254" s="47"/>
      <c r="AR254" s="47"/>
      <c r="AS254" s="47"/>
      <c r="AT254" s="47"/>
      <c r="AU254" s="47"/>
      <c r="AV254" s="47"/>
      <c r="AW254" s="47"/>
      <c r="AX254" s="47"/>
      <c r="AY254" s="47"/>
      <c r="AZ254" s="47"/>
      <c r="BA254" s="47"/>
      <c r="BB254" s="47"/>
      <c r="BC254" s="47"/>
      <c r="BD254" s="47"/>
      <c r="BE254" s="47"/>
      <c r="BF254" s="47"/>
      <c r="BG254" s="47"/>
      <c r="BH254" s="47"/>
      <c r="BI254" s="47"/>
      <c r="BJ254" s="47"/>
      <c r="BK254" s="47"/>
      <c r="BL254" s="47"/>
      <c r="BM254" s="47"/>
      <c r="BN254" s="47"/>
      <c r="BO254" s="47"/>
      <c r="BP254" s="47"/>
      <c r="BQ254" s="47"/>
      <c r="BR254" s="47"/>
      <c r="BS254" s="47"/>
      <c r="BT254" s="47"/>
      <c r="BU254" s="47"/>
      <c r="BV254" s="47"/>
      <c r="BW254" s="47"/>
      <c r="BX254" s="47"/>
      <c r="BY254" s="47"/>
      <c r="BZ254" s="47"/>
    </row>
    <row r="255" spans="1:78" ht="13">
      <c r="A255" s="48" t="str">
        <f ca="1">'.'!A255</f>
        <v>Jellyroom</v>
      </c>
      <c r="B255" s="46" t="str">
        <f t="array" aca="1" ref="B255" ca="1">IF('.'!B255="","",'.'!B255&amp;IF(VLOOKUP('.'!B255,Recipes!$A:$D,4,FALSE)="",""," ["&amp;VLOOKUP('.'!B255,Recipes!$A:$D,4,FALSE)&amp;"]"))</f>
        <v>Razze Dazzle Grenade [-20]</v>
      </c>
      <c r="C255" s="46" t="str">
        <f t="array" aca="1" ref="C255" ca="1">IF('.'!C255="","",'.'!C255&amp;IF(VLOOKUP('.'!C255,Recipes!$A:$D,4,FALSE)="",""," ["&amp;VLOOKUP('.'!C255,Recipes!$A:$D,4,FALSE)&amp;"]"))</f>
        <v>Superconductor Scroll [-75]</v>
      </c>
      <c r="D255" s="46" t="str">
        <f t="array" aca="1" ref="D255" ca="1">IF('.'!D255="","",'.'!D255&amp;IF(VLOOKUP('.'!D255,Recipes!$A:$D,4,FALSE)="",""," ["&amp;VLOOKUP('.'!D255,Recipes!$A:$D,4,FALSE)&amp;"]"))</f>
        <v>Small Air Resistance Potion [-70]</v>
      </c>
      <c r="E255" s="46" t="str">
        <f t="array" ref="E255">IF('.'!E255="","",'.'!E255&amp;IF(VLOOKUP('.'!E255,Recipes!$A:$D,4,FALSE)="",""," ["&amp;VLOOKUP('.'!E255,Recipes!$A:$D,4,FALSE)&amp;"]"))</f>
        <v/>
      </c>
      <c r="F255" s="46" t="str">
        <f t="array" ref="F255">IF('.'!F255="","",'.'!F255&amp;IF(VLOOKUP('.'!F255,Recipes!$A:$D,4,FALSE)="",""," ["&amp;VLOOKUP('.'!F255,Recipes!$A:$D,4,FALSE)&amp;"]"))</f>
        <v/>
      </c>
      <c r="G255" s="46" t="str">
        <f t="array" ref="G255">IF('.'!G255="","",'.'!G255&amp;IF(VLOOKUP('.'!G255,Recipes!$A:$D,4,FALSE)="",""," ["&amp;VLOOKUP('.'!G255,Recipes!$A:$D,4,FALSE)&amp;"]"))</f>
        <v/>
      </c>
      <c r="H255" s="46" t="str">
        <f t="array" ref="H255">IF('.'!H255="","",'.'!H255&amp;IF(VLOOKUP('.'!H255,Recipes!$A:$D,4,FALSE)="",""," ["&amp;VLOOKUP('.'!H255,Recipes!$A:$D,4,FALSE)&amp;"]"))</f>
        <v/>
      </c>
      <c r="I255" s="46" t="str">
        <f t="array" ref="I255">IF('.'!I255="","",'.'!I255&amp;IF(VLOOKUP('.'!I255,Recipes!$A:$D,4,FALSE)="",""," ["&amp;VLOOKUP('.'!I255,Recipes!$A:$D,4,FALSE)&amp;"]"))</f>
        <v/>
      </c>
      <c r="J255" s="46" t="str">
        <f t="array" ref="J255">IF('.'!J255="","",'.'!J255&amp;IF(VLOOKUP('.'!J255,Recipes!$A:$D,4,FALSE)="",""," ["&amp;VLOOKUP('.'!J255,Recipes!$A:$D,4,FALSE)&amp;"]"))</f>
        <v/>
      </c>
      <c r="K255" s="46" t="str">
        <f t="array" ref="K255">IF('.'!K255="","",'.'!K255&amp;IF(VLOOKUP('.'!K255,Recipes!$A:$D,4,FALSE)="",""," ["&amp;VLOOKUP('.'!K255,Recipes!$A:$D,4,FALSE)&amp;"]"))</f>
        <v/>
      </c>
      <c r="L255" s="46" t="str">
        <f t="array" ref="L255">IF('.'!L255="","",'.'!L255&amp;IF(VLOOKUP('.'!L255,Recipes!$A:$D,4,FALSE)="",""," ["&amp;VLOOKUP('.'!L255,Recipes!$A:$D,4,FALSE)&amp;"]"))</f>
        <v/>
      </c>
      <c r="M255" s="46" t="str">
        <f t="array" ref="M255">IF('.'!M255="","",'.'!M255&amp;IF(VLOOKUP('.'!M255,Recipes!$A:$D,4,FALSE)="",""," ["&amp;VLOOKUP('.'!M255,Recipes!$A:$D,4,FALSE)&amp;"]"))</f>
        <v/>
      </c>
      <c r="N255" s="46" t="str">
        <f t="array" ref="N255">IF('.'!N255="","",'.'!N255&amp;IF(VLOOKUP('.'!N255,Recipes!$A:$D,4,FALSE)="",""," ["&amp;VLOOKUP('.'!N255,Recipes!$A:$D,4,FALSE)&amp;"]"))</f>
        <v/>
      </c>
      <c r="O255" s="46" t="str">
        <f t="array" ref="O255">IF('.'!O255="","",'.'!O255&amp;IF(VLOOKUP('.'!O255,Recipes!$A:$D,4,FALSE)="",""," ["&amp;VLOOKUP('.'!O255,Recipes!$A:$D,4,FALSE)&amp;"]"))</f>
        <v/>
      </c>
      <c r="P255" s="46" t="str">
        <f t="array" ref="P255">IF('.'!P255="","",'.'!P255&amp;IF(VLOOKUP('.'!P255,Recipes!$A:$D,4,FALSE)="",""," ["&amp;VLOOKUP('.'!P255,Recipes!$A:$D,4,FALSE)&amp;"]"))</f>
        <v/>
      </c>
      <c r="Q255" s="46" t="str">
        <f t="array" ref="Q255">IF('.'!Q255="","",'.'!Q255&amp;IF(VLOOKUP('.'!Q255,Recipes!$A:$D,4,FALSE)="",""," ["&amp;VLOOKUP('.'!Q255,Recipes!$A:$D,4,FALSE)&amp;"]"))</f>
        <v/>
      </c>
      <c r="R255" s="46" t="str">
        <f t="array" ref="R255">IF('.'!R255="","",'.'!R255&amp;IF(VLOOKUP('.'!R255,Recipes!$A:$D,4,FALSE)="",""," ["&amp;VLOOKUP('.'!R255,Recipes!$A:$D,4,FALSE)&amp;"]"))</f>
        <v/>
      </c>
      <c r="S255" s="46" t="str">
        <f t="array" ref="S255">IF('.'!S255="","",'.'!S255&amp;IF(VLOOKUP('.'!S255,Recipes!$A:$D,4,FALSE)="",""," ["&amp;VLOOKUP('.'!S255,Recipes!$A:$D,4,FALSE)&amp;"]"))</f>
        <v/>
      </c>
      <c r="T255" s="46" t="str">
        <f t="array" ref="T255">IF('.'!T255="","",'.'!T255&amp;IF(VLOOKUP('.'!T255,Recipes!$A:$D,4,FALSE)="",""," ["&amp;VLOOKUP('.'!T255,Recipes!$A:$D,4,FALSE)&amp;"]"))</f>
        <v/>
      </c>
      <c r="U255" s="46" t="str">
        <f t="array" ref="U255">IF('.'!U255="","",'.'!U255&amp;IF(VLOOKUP('.'!U255,Recipes!$A:$D,4,FALSE)="",""," ["&amp;VLOOKUP('.'!U255,Recipes!$A:$D,4,FALSE)&amp;"]"))</f>
        <v/>
      </c>
      <c r="V255" s="46" t="str">
        <f t="array" ref="V255">IF('.'!V255="","",'.'!V255&amp;IF(VLOOKUP('.'!V255,Recipes!$A:$D,4,FALSE)="",""," ["&amp;VLOOKUP('.'!V255,Recipes!$A:$D,4,FALSE)&amp;"]"))</f>
        <v/>
      </c>
      <c r="W255" s="46" t="str">
        <f t="array" ref="W255">IF('.'!W255="","",'.'!W255&amp;IF(VLOOKUP('.'!W255,Recipes!$A:$D,4,FALSE)="",""," ["&amp;VLOOKUP('.'!W255,Recipes!$A:$D,4,FALSE)&amp;"]"))</f>
        <v/>
      </c>
      <c r="X255" s="46" t="str">
        <f t="array" ref="X255">IF('.'!X255="","",'.'!X255&amp;IF(VLOOKUP('.'!X255,Recipes!$A:$D,4,FALSE)="",""," ["&amp;VLOOKUP('.'!X255,Recipes!$A:$D,4,FALSE)&amp;"]"))</f>
        <v/>
      </c>
      <c r="Y255" s="46" t="str">
        <f t="array" ref="Y255">IF('.'!Y255="","",'.'!Y255&amp;IF(VLOOKUP('.'!Y255,Recipes!$A:$D,4,FALSE)="",""," ["&amp;VLOOKUP('.'!Y255,Recipes!$A:$D,4,FALSE)&amp;"]"))</f>
        <v/>
      </c>
      <c r="Z255" s="46" t="str">
        <f t="array" ref="Z255">IF('.'!Z255="","",'.'!Z255&amp;IF(VLOOKUP('.'!Z255,Recipes!$A:$D,4,FALSE)="",""," ["&amp;VLOOKUP('.'!Z255,Recipes!$A:$D,4,FALSE)&amp;"]"))</f>
        <v/>
      </c>
      <c r="AA255" s="46" t="str">
        <f t="array" ref="AA255">IF('.'!AA255="","",'.'!AA255&amp;IF(VLOOKUP('.'!AA255,Recipes!$A:$D,4,FALSE)="",""," ["&amp;VLOOKUP('.'!AA255,Recipes!$A:$D,4,FALSE)&amp;"]"))</f>
        <v/>
      </c>
      <c r="AB255" s="46" t="str">
        <f t="array" ref="AB255">IF('.'!AB255="","",'.'!AB255&amp;IF(VLOOKUP('.'!AB255,Recipes!$A:$D,4,FALSE)="",""," ["&amp;VLOOKUP('.'!AB255,Recipes!$A:$D,4,FALSE)&amp;"]"))</f>
        <v/>
      </c>
      <c r="AC255" s="46" t="str">
        <f t="array" ref="AC255">IF('.'!AC255="","",'.'!AC255&amp;IF(VLOOKUP('.'!AC255,Recipes!$A:$D,4,FALSE)="",""," ["&amp;VLOOKUP('.'!AC255,Recipes!$A:$D,4,FALSE)&amp;"]"))</f>
        <v/>
      </c>
      <c r="AD255" s="46" t="str">
        <f t="array" ref="AD255">IF('.'!AD255="","",'.'!AD255&amp;IF(VLOOKUP('.'!AD255,Recipes!$A:$D,4,FALSE)="",""," ["&amp;VLOOKUP('.'!AD255,Recipes!$A:$D,4,FALSE)&amp;"]"))</f>
        <v/>
      </c>
      <c r="AE255" s="47"/>
      <c r="AF255" s="47"/>
      <c r="AG255" s="47"/>
      <c r="AH255" s="47"/>
      <c r="AI255" s="47"/>
      <c r="AJ255" s="47"/>
      <c r="AK255" s="47"/>
      <c r="AL255" s="47"/>
      <c r="AM255" s="47"/>
      <c r="AN255" s="47"/>
      <c r="AO255" s="47"/>
      <c r="AP255" s="47"/>
      <c r="AQ255" s="47"/>
      <c r="AR255" s="47"/>
      <c r="AS255" s="47"/>
      <c r="AT255" s="47"/>
      <c r="AU255" s="47"/>
      <c r="AV255" s="47"/>
      <c r="AW255" s="47"/>
      <c r="AX255" s="47"/>
      <c r="AY255" s="47"/>
      <c r="AZ255" s="47"/>
      <c r="BA255" s="47"/>
      <c r="BB255" s="47"/>
      <c r="BC255" s="47"/>
      <c r="BD255" s="47"/>
      <c r="BE255" s="47"/>
      <c r="BF255" s="47"/>
      <c r="BG255" s="47"/>
      <c r="BH255" s="47"/>
      <c r="BI255" s="47"/>
      <c r="BJ255" s="47"/>
      <c r="BK255" s="47"/>
      <c r="BL255" s="47"/>
      <c r="BM255" s="47"/>
      <c r="BN255" s="47"/>
      <c r="BO255" s="47"/>
      <c r="BP255" s="47"/>
      <c r="BQ255" s="47"/>
      <c r="BR255" s="47"/>
      <c r="BS255" s="47"/>
      <c r="BT255" s="47"/>
      <c r="BU255" s="47"/>
      <c r="BV255" s="47"/>
      <c r="BW255" s="47"/>
      <c r="BX255" s="47"/>
      <c r="BY255" s="47"/>
      <c r="BZ255" s="47"/>
    </row>
    <row r="256" spans="1:78" ht="13">
      <c r="A256" s="48" t="str">
        <f ca="1">'.'!A256</f>
        <v>Key</v>
      </c>
      <c r="B256" s="46" t="str">
        <f t="array" aca="1" ref="B256" ca="1">IF('.'!B256="","",'.'!B256&amp;IF(VLOOKUP('.'!B256,Recipes!$A:$D,4,FALSE)="",""," ["&amp;VLOOKUP('.'!B256,Recipes!$A:$D,4,FALSE)&amp;"]"))</f>
        <v>Lockpick [12]</v>
      </c>
      <c r="C256" s="46" t="str">
        <f t="array" ref="C256">IF('.'!C256="","",'.'!C256&amp;IF(VLOOKUP('.'!C256,Recipes!$A:$D,4,FALSE)="",""," ["&amp;VLOOKUP('.'!C256,Recipes!$A:$D,4,FALSE)&amp;"]"))</f>
        <v/>
      </c>
      <c r="D256" s="46" t="str">
        <f t="array" ref="D256">IF('.'!D256="","",'.'!D256&amp;IF(VLOOKUP('.'!D256,Recipes!$A:$D,4,FALSE)="",""," ["&amp;VLOOKUP('.'!D256,Recipes!$A:$D,4,FALSE)&amp;"]"))</f>
        <v/>
      </c>
      <c r="E256" s="46" t="str">
        <f t="array" ref="E256">IF('.'!E256="","",'.'!E256&amp;IF(VLOOKUP('.'!E256,Recipes!$A:$D,4,FALSE)="",""," ["&amp;VLOOKUP('.'!E256,Recipes!$A:$D,4,FALSE)&amp;"]"))</f>
        <v/>
      </c>
      <c r="F256" s="46" t="str">
        <f t="array" ref="F256">IF('.'!F256="","",'.'!F256&amp;IF(VLOOKUP('.'!F256,Recipes!$A:$D,4,FALSE)="",""," ["&amp;VLOOKUP('.'!F256,Recipes!$A:$D,4,FALSE)&amp;"]"))</f>
        <v/>
      </c>
      <c r="G256" s="46" t="str">
        <f t="array" ref="G256">IF('.'!G256="","",'.'!G256&amp;IF(VLOOKUP('.'!G256,Recipes!$A:$D,4,FALSE)="",""," ["&amp;VLOOKUP('.'!G256,Recipes!$A:$D,4,FALSE)&amp;"]"))</f>
        <v/>
      </c>
      <c r="H256" s="46" t="str">
        <f t="array" ref="H256">IF('.'!H256="","",'.'!H256&amp;IF(VLOOKUP('.'!H256,Recipes!$A:$D,4,FALSE)="",""," ["&amp;VLOOKUP('.'!H256,Recipes!$A:$D,4,FALSE)&amp;"]"))</f>
        <v/>
      </c>
      <c r="I256" s="46" t="str">
        <f t="array" ref="I256">IF('.'!I256="","",'.'!I256&amp;IF(VLOOKUP('.'!I256,Recipes!$A:$D,4,FALSE)="",""," ["&amp;VLOOKUP('.'!I256,Recipes!$A:$D,4,FALSE)&amp;"]"))</f>
        <v/>
      </c>
      <c r="J256" s="46" t="str">
        <f t="array" ref="J256">IF('.'!J256="","",'.'!J256&amp;IF(VLOOKUP('.'!J256,Recipes!$A:$D,4,FALSE)="",""," ["&amp;VLOOKUP('.'!J256,Recipes!$A:$D,4,FALSE)&amp;"]"))</f>
        <v/>
      </c>
      <c r="K256" s="46" t="str">
        <f t="array" ref="K256">IF('.'!K256="","",'.'!K256&amp;IF(VLOOKUP('.'!K256,Recipes!$A:$D,4,FALSE)="",""," ["&amp;VLOOKUP('.'!K256,Recipes!$A:$D,4,FALSE)&amp;"]"))</f>
        <v/>
      </c>
      <c r="L256" s="46" t="str">
        <f t="array" ref="L256">IF('.'!L256="","",'.'!L256&amp;IF(VLOOKUP('.'!L256,Recipes!$A:$D,4,FALSE)="",""," ["&amp;VLOOKUP('.'!L256,Recipes!$A:$D,4,FALSE)&amp;"]"))</f>
        <v/>
      </c>
      <c r="M256" s="46" t="str">
        <f t="array" ref="M256">IF('.'!M256="","",'.'!M256&amp;IF(VLOOKUP('.'!M256,Recipes!$A:$D,4,FALSE)="",""," ["&amp;VLOOKUP('.'!M256,Recipes!$A:$D,4,FALSE)&amp;"]"))</f>
        <v/>
      </c>
      <c r="N256" s="46" t="str">
        <f t="array" ref="N256">IF('.'!N256="","",'.'!N256&amp;IF(VLOOKUP('.'!N256,Recipes!$A:$D,4,FALSE)="",""," ["&amp;VLOOKUP('.'!N256,Recipes!$A:$D,4,FALSE)&amp;"]"))</f>
        <v/>
      </c>
      <c r="O256" s="46" t="str">
        <f t="array" ref="O256">IF('.'!O256="","",'.'!O256&amp;IF(VLOOKUP('.'!O256,Recipes!$A:$D,4,FALSE)="",""," ["&amp;VLOOKUP('.'!O256,Recipes!$A:$D,4,FALSE)&amp;"]"))</f>
        <v/>
      </c>
      <c r="P256" s="46" t="str">
        <f t="array" ref="P256">IF('.'!P256="","",'.'!P256&amp;IF(VLOOKUP('.'!P256,Recipes!$A:$D,4,FALSE)="",""," ["&amp;VLOOKUP('.'!P256,Recipes!$A:$D,4,FALSE)&amp;"]"))</f>
        <v/>
      </c>
      <c r="Q256" s="46" t="str">
        <f t="array" ref="Q256">IF('.'!Q256="","",'.'!Q256&amp;IF(VLOOKUP('.'!Q256,Recipes!$A:$D,4,FALSE)="",""," ["&amp;VLOOKUP('.'!Q256,Recipes!$A:$D,4,FALSE)&amp;"]"))</f>
        <v/>
      </c>
      <c r="R256" s="46" t="str">
        <f t="array" ref="R256">IF('.'!R256="","",'.'!R256&amp;IF(VLOOKUP('.'!R256,Recipes!$A:$D,4,FALSE)="",""," ["&amp;VLOOKUP('.'!R256,Recipes!$A:$D,4,FALSE)&amp;"]"))</f>
        <v/>
      </c>
      <c r="S256" s="46" t="str">
        <f t="array" ref="S256">IF('.'!S256="","",'.'!S256&amp;IF(VLOOKUP('.'!S256,Recipes!$A:$D,4,FALSE)="",""," ["&amp;VLOOKUP('.'!S256,Recipes!$A:$D,4,FALSE)&amp;"]"))</f>
        <v/>
      </c>
      <c r="T256" s="46" t="str">
        <f t="array" ref="T256">IF('.'!T256="","",'.'!T256&amp;IF(VLOOKUP('.'!T256,Recipes!$A:$D,4,FALSE)="",""," ["&amp;VLOOKUP('.'!T256,Recipes!$A:$D,4,FALSE)&amp;"]"))</f>
        <v/>
      </c>
      <c r="U256" s="46" t="str">
        <f t="array" ref="U256">IF('.'!U256="","",'.'!U256&amp;IF(VLOOKUP('.'!U256,Recipes!$A:$D,4,FALSE)="",""," ["&amp;VLOOKUP('.'!U256,Recipes!$A:$D,4,FALSE)&amp;"]"))</f>
        <v/>
      </c>
      <c r="V256" s="46" t="str">
        <f t="array" ref="V256">IF('.'!V256="","",'.'!V256&amp;IF(VLOOKUP('.'!V256,Recipes!$A:$D,4,FALSE)="",""," ["&amp;VLOOKUP('.'!V256,Recipes!$A:$D,4,FALSE)&amp;"]"))</f>
        <v/>
      </c>
      <c r="W256" s="46" t="str">
        <f t="array" ref="W256">IF('.'!W256="","",'.'!W256&amp;IF(VLOOKUP('.'!W256,Recipes!$A:$D,4,FALSE)="",""," ["&amp;VLOOKUP('.'!W256,Recipes!$A:$D,4,FALSE)&amp;"]"))</f>
        <v/>
      </c>
      <c r="X256" s="46" t="str">
        <f t="array" ref="X256">IF('.'!X256="","",'.'!X256&amp;IF(VLOOKUP('.'!X256,Recipes!$A:$D,4,FALSE)="",""," ["&amp;VLOOKUP('.'!X256,Recipes!$A:$D,4,FALSE)&amp;"]"))</f>
        <v/>
      </c>
      <c r="Y256" s="46" t="str">
        <f t="array" ref="Y256">IF('.'!Y256="","",'.'!Y256&amp;IF(VLOOKUP('.'!Y256,Recipes!$A:$D,4,FALSE)="",""," ["&amp;VLOOKUP('.'!Y256,Recipes!$A:$D,4,FALSE)&amp;"]"))</f>
        <v/>
      </c>
      <c r="Z256" s="46" t="str">
        <f t="array" ref="Z256">IF('.'!Z256="","",'.'!Z256&amp;IF(VLOOKUP('.'!Z256,Recipes!$A:$D,4,FALSE)="",""," ["&amp;VLOOKUP('.'!Z256,Recipes!$A:$D,4,FALSE)&amp;"]"))</f>
        <v/>
      </c>
      <c r="AA256" s="46" t="str">
        <f t="array" ref="AA256">IF('.'!AA256="","",'.'!AA256&amp;IF(VLOOKUP('.'!AA256,Recipes!$A:$D,4,FALSE)="",""," ["&amp;VLOOKUP('.'!AA256,Recipes!$A:$D,4,FALSE)&amp;"]"))</f>
        <v/>
      </c>
      <c r="AB256" s="46" t="str">
        <f t="array" ref="AB256">IF('.'!AB256="","",'.'!AB256&amp;IF(VLOOKUP('.'!AB256,Recipes!$A:$D,4,FALSE)="",""," ["&amp;VLOOKUP('.'!AB256,Recipes!$A:$D,4,FALSE)&amp;"]"))</f>
        <v/>
      </c>
      <c r="AC256" s="46" t="str">
        <f t="array" ref="AC256">IF('.'!AC256="","",'.'!AC256&amp;IF(VLOOKUP('.'!AC256,Recipes!$A:$D,4,FALSE)="",""," ["&amp;VLOOKUP('.'!AC256,Recipes!$A:$D,4,FALSE)&amp;"]"))</f>
        <v/>
      </c>
      <c r="AD256" s="46" t="str">
        <f t="array" ref="AD256">IF('.'!AD256="","",'.'!AD256&amp;IF(VLOOKUP('.'!AD256,Recipes!$A:$D,4,FALSE)="",""," ["&amp;VLOOKUP('.'!AD256,Recipes!$A:$D,4,FALSE)&amp;"]"))</f>
        <v/>
      </c>
      <c r="AE256" s="47"/>
      <c r="AF256" s="47"/>
      <c r="AG256" s="47"/>
      <c r="AH256" s="47"/>
      <c r="AI256" s="47"/>
      <c r="AJ256" s="47"/>
      <c r="AK256" s="47"/>
      <c r="AL256" s="47"/>
      <c r="AM256" s="47"/>
      <c r="AN256" s="47"/>
      <c r="AO256" s="47"/>
      <c r="AP256" s="47"/>
      <c r="AQ256" s="47"/>
      <c r="AR256" s="47"/>
      <c r="AS256" s="47"/>
      <c r="AT256" s="47"/>
      <c r="AU256" s="47"/>
      <c r="AV256" s="47"/>
      <c r="AW256" s="47"/>
      <c r="AX256" s="47"/>
      <c r="AY256" s="47"/>
      <c r="AZ256" s="47"/>
      <c r="BA256" s="47"/>
      <c r="BB256" s="47"/>
      <c r="BC256" s="47"/>
      <c r="BD256" s="47"/>
      <c r="BE256" s="47"/>
      <c r="BF256" s="47"/>
      <c r="BG256" s="47"/>
      <c r="BH256" s="47"/>
      <c r="BI256" s="47"/>
      <c r="BJ256" s="47"/>
      <c r="BK256" s="47"/>
      <c r="BL256" s="47"/>
      <c r="BM256" s="47"/>
      <c r="BN256" s="47"/>
      <c r="BO256" s="47"/>
      <c r="BP256" s="47"/>
      <c r="BQ256" s="47"/>
      <c r="BR256" s="47"/>
      <c r="BS256" s="47"/>
      <c r="BT256" s="47"/>
      <c r="BU256" s="47"/>
      <c r="BV256" s="47"/>
      <c r="BW256" s="47"/>
      <c r="BX256" s="47"/>
      <c r="BY256" s="47"/>
      <c r="BZ256" s="47"/>
    </row>
    <row r="257" spans="1:78" ht="13">
      <c r="A257" s="48" t="str">
        <f ca="1">'.'!A257</f>
        <v>Knife</v>
      </c>
      <c r="B257" s="46" t="str">
        <f t="array" aca="1" ref="B257" ca="1">IF('.'!B257="","",'.'!B257&amp;IF(VLOOKUP('.'!B257,Recipes!$A:$D,4,FALSE)="",""," ["&amp;VLOOKUP('.'!B257,Recipes!$A:$D,4,FALSE)&amp;"]"))</f>
        <v>Cold Fries [2]</v>
      </c>
      <c r="C257" s="46" t="str">
        <f t="array" aca="1" ref="C257" ca="1">IF('.'!C257="","",'.'!C257&amp;IF(VLOOKUP('.'!C257,Recipes!$A:$D,4,FALSE)="",""," ["&amp;VLOOKUP('.'!C257,Recipes!$A:$D,4,FALSE)&amp;"]"))</f>
        <v>Knife on a Stick [V]</v>
      </c>
      <c r="D257" s="46" t="str">
        <f t="array" aca="1" ref="D257" ca="1">IF('.'!D257="","",'.'!D257&amp;IF(VLOOKUP('.'!D257,Recipes!$A:$D,4,FALSE)="",""," ["&amp;VLOOKUP('.'!D257,Recipes!$A:$D,4,FALSE)&amp;"]"))</f>
        <v>Primitive Harpoon [V]</v>
      </c>
      <c r="E257" s="46" t="str">
        <f t="array" ref="E257">IF('.'!E257="","",'.'!E257&amp;IF(VLOOKUP('.'!E257,Recipes!$A:$D,4,FALSE)="",""," ["&amp;VLOOKUP('.'!E257,Recipes!$A:$D,4,FALSE)&amp;"]"))</f>
        <v/>
      </c>
      <c r="F257" s="46" t="str">
        <f t="array" ref="F257">IF('.'!F257="","",'.'!F257&amp;IF(VLOOKUP('.'!F257,Recipes!$A:$D,4,FALSE)="",""," ["&amp;VLOOKUP('.'!F257,Recipes!$A:$D,4,FALSE)&amp;"]"))</f>
        <v/>
      </c>
      <c r="G257" s="46" t="str">
        <f t="array" ref="G257">IF('.'!G257="","",'.'!G257&amp;IF(VLOOKUP('.'!G257,Recipes!$A:$D,4,FALSE)="",""," ["&amp;VLOOKUP('.'!G257,Recipes!$A:$D,4,FALSE)&amp;"]"))</f>
        <v/>
      </c>
      <c r="H257" s="46" t="str">
        <f t="array" ref="H257">IF('.'!H257="","",'.'!H257&amp;IF(VLOOKUP('.'!H257,Recipes!$A:$D,4,FALSE)="",""," ["&amp;VLOOKUP('.'!H257,Recipes!$A:$D,4,FALSE)&amp;"]"))</f>
        <v/>
      </c>
      <c r="I257" s="46" t="str">
        <f t="array" ref="I257">IF('.'!I257="","",'.'!I257&amp;IF(VLOOKUP('.'!I257,Recipes!$A:$D,4,FALSE)="",""," ["&amp;VLOOKUP('.'!I257,Recipes!$A:$D,4,FALSE)&amp;"]"))</f>
        <v/>
      </c>
      <c r="J257" s="46" t="str">
        <f t="array" ref="J257">IF('.'!J257="","",'.'!J257&amp;IF(VLOOKUP('.'!J257,Recipes!$A:$D,4,FALSE)="",""," ["&amp;VLOOKUP('.'!J257,Recipes!$A:$D,4,FALSE)&amp;"]"))</f>
        <v/>
      </c>
      <c r="K257" s="46" t="str">
        <f t="array" ref="K257">IF('.'!K257="","",'.'!K257&amp;IF(VLOOKUP('.'!K257,Recipes!$A:$D,4,FALSE)="",""," ["&amp;VLOOKUP('.'!K257,Recipes!$A:$D,4,FALSE)&amp;"]"))</f>
        <v/>
      </c>
      <c r="L257" s="46" t="str">
        <f t="array" ref="L257">IF('.'!L257="","",'.'!L257&amp;IF(VLOOKUP('.'!L257,Recipes!$A:$D,4,FALSE)="",""," ["&amp;VLOOKUP('.'!L257,Recipes!$A:$D,4,FALSE)&amp;"]"))</f>
        <v/>
      </c>
      <c r="M257" s="46" t="str">
        <f t="array" ref="M257">IF('.'!M257="","",'.'!M257&amp;IF(VLOOKUP('.'!M257,Recipes!$A:$D,4,FALSE)="",""," ["&amp;VLOOKUP('.'!M257,Recipes!$A:$D,4,FALSE)&amp;"]"))</f>
        <v/>
      </c>
      <c r="N257" s="46" t="str">
        <f t="array" ref="N257">IF('.'!N257="","",'.'!N257&amp;IF(VLOOKUP('.'!N257,Recipes!$A:$D,4,FALSE)="",""," ["&amp;VLOOKUP('.'!N257,Recipes!$A:$D,4,FALSE)&amp;"]"))</f>
        <v/>
      </c>
      <c r="O257" s="46" t="str">
        <f t="array" ref="O257">IF('.'!O257="","",'.'!O257&amp;IF(VLOOKUP('.'!O257,Recipes!$A:$D,4,FALSE)="",""," ["&amp;VLOOKUP('.'!O257,Recipes!$A:$D,4,FALSE)&amp;"]"))</f>
        <v/>
      </c>
      <c r="P257" s="46" t="str">
        <f t="array" ref="P257">IF('.'!P257="","",'.'!P257&amp;IF(VLOOKUP('.'!P257,Recipes!$A:$D,4,FALSE)="",""," ["&amp;VLOOKUP('.'!P257,Recipes!$A:$D,4,FALSE)&amp;"]"))</f>
        <v/>
      </c>
      <c r="Q257" s="46" t="str">
        <f t="array" ref="Q257">IF('.'!Q257="","",'.'!Q257&amp;IF(VLOOKUP('.'!Q257,Recipes!$A:$D,4,FALSE)="",""," ["&amp;VLOOKUP('.'!Q257,Recipes!$A:$D,4,FALSE)&amp;"]"))</f>
        <v/>
      </c>
      <c r="R257" s="46" t="str">
        <f t="array" ref="R257">IF('.'!R257="","",'.'!R257&amp;IF(VLOOKUP('.'!R257,Recipes!$A:$D,4,FALSE)="",""," ["&amp;VLOOKUP('.'!R257,Recipes!$A:$D,4,FALSE)&amp;"]"))</f>
        <v/>
      </c>
      <c r="S257" s="46" t="str">
        <f t="array" ref="S257">IF('.'!S257="","",'.'!S257&amp;IF(VLOOKUP('.'!S257,Recipes!$A:$D,4,FALSE)="",""," ["&amp;VLOOKUP('.'!S257,Recipes!$A:$D,4,FALSE)&amp;"]"))</f>
        <v/>
      </c>
      <c r="T257" s="46" t="str">
        <f t="array" ref="T257">IF('.'!T257="","",'.'!T257&amp;IF(VLOOKUP('.'!T257,Recipes!$A:$D,4,FALSE)="",""," ["&amp;VLOOKUP('.'!T257,Recipes!$A:$D,4,FALSE)&amp;"]"))</f>
        <v/>
      </c>
      <c r="U257" s="46" t="str">
        <f t="array" ref="U257">IF('.'!U257="","",'.'!U257&amp;IF(VLOOKUP('.'!U257,Recipes!$A:$D,4,FALSE)="",""," ["&amp;VLOOKUP('.'!U257,Recipes!$A:$D,4,FALSE)&amp;"]"))</f>
        <v/>
      </c>
      <c r="V257" s="46" t="str">
        <f t="array" ref="V257">IF('.'!V257="","",'.'!V257&amp;IF(VLOOKUP('.'!V257,Recipes!$A:$D,4,FALSE)="",""," ["&amp;VLOOKUP('.'!V257,Recipes!$A:$D,4,FALSE)&amp;"]"))</f>
        <v/>
      </c>
      <c r="W257" s="46" t="str">
        <f t="array" ref="W257">IF('.'!W257="","",'.'!W257&amp;IF(VLOOKUP('.'!W257,Recipes!$A:$D,4,FALSE)="",""," ["&amp;VLOOKUP('.'!W257,Recipes!$A:$D,4,FALSE)&amp;"]"))</f>
        <v/>
      </c>
      <c r="X257" s="46" t="str">
        <f t="array" ref="X257">IF('.'!X257="","",'.'!X257&amp;IF(VLOOKUP('.'!X257,Recipes!$A:$D,4,FALSE)="",""," ["&amp;VLOOKUP('.'!X257,Recipes!$A:$D,4,FALSE)&amp;"]"))</f>
        <v/>
      </c>
      <c r="Y257" s="46" t="str">
        <f t="array" ref="Y257">IF('.'!Y257="","",'.'!Y257&amp;IF(VLOOKUP('.'!Y257,Recipes!$A:$D,4,FALSE)="",""," ["&amp;VLOOKUP('.'!Y257,Recipes!$A:$D,4,FALSE)&amp;"]"))</f>
        <v/>
      </c>
      <c r="Z257" s="46" t="str">
        <f t="array" ref="Z257">IF('.'!Z257="","",'.'!Z257&amp;IF(VLOOKUP('.'!Z257,Recipes!$A:$D,4,FALSE)="",""," ["&amp;VLOOKUP('.'!Z257,Recipes!$A:$D,4,FALSE)&amp;"]"))</f>
        <v/>
      </c>
      <c r="AA257" s="46" t="str">
        <f t="array" ref="AA257">IF('.'!AA257="","",'.'!AA257&amp;IF(VLOOKUP('.'!AA257,Recipes!$A:$D,4,FALSE)="",""," ["&amp;VLOOKUP('.'!AA257,Recipes!$A:$D,4,FALSE)&amp;"]"))</f>
        <v/>
      </c>
      <c r="AB257" s="46" t="str">
        <f t="array" ref="AB257">IF('.'!AB257="","",'.'!AB257&amp;IF(VLOOKUP('.'!AB257,Recipes!$A:$D,4,FALSE)="",""," ["&amp;VLOOKUP('.'!AB257,Recipes!$A:$D,4,FALSE)&amp;"]"))</f>
        <v/>
      </c>
      <c r="AC257" s="46" t="str">
        <f t="array" ref="AC257">IF('.'!AC257="","",'.'!AC257&amp;IF(VLOOKUP('.'!AC257,Recipes!$A:$D,4,FALSE)="",""," ["&amp;VLOOKUP('.'!AC257,Recipes!$A:$D,4,FALSE)&amp;"]"))</f>
        <v/>
      </c>
      <c r="AD257" s="46" t="str">
        <f t="array" ref="AD257">IF('.'!AD257="","",'.'!AD257&amp;IF(VLOOKUP('.'!AD257,Recipes!$A:$D,4,FALSE)="",""," ["&amp;VLOOKUP('.'!AD257,Recipes!$A:$D,4,FALSE)&amp;"]"))</f>
        <v/>
      </c>
      <c r="AE257" s="47"/>
      <c r="AF257" s="47"/>
      <c r="AG257" s="47"/>
      <c r="AH257" s="47"/>
      <c r="AI257" s="47"/>
      <c r="AJ257" s="47"/>
      <c r="AK257" s="47"/>
      <c r="AL257" s="47"/>
      <c r="AM257" s="47"/>
      <c r="AN257" s="47"/>
      <c r="AO257" s="47"/>
      <c r="AP257" s="47"/>
      <c r="AQ257" s="47"/>
      <c r="AR257" s="47"/>
      <c r="AS257" s="47"/>
      <c r="AT257" s="47"/>
      <c r="AU257" s="47"/>
      <c r="AV257" s="47"/>
      <c r="AW257" s="47"/>
      <c r="AX257" s="47"/>
      <c r="AY257" s="47"/>
      <c r="AZ257" s="47"/>
      <c r="BA257" s="47"/>
      <c r="BB257" s="47"/>
      <c r="BC257" s="47"/>
      <c r="BD257" s="47"/>
      <c r="BE257" s="47"/>
      <c r="BF257" s="47"/>
      <c r="BG257" s="47"/>
      <c r="BH257" s="47"/>
      <c r="BI257" s="47"/>
      <c r="BJ257" s="47"/>
      <c r="BK257" s="47"/>
      <c r="BL257" s="47"/>
      <c r="BM257" s="47"/>
      <c r="BN257" s="47"/>
      <c r="BO257" s="47"/>
      <c r="BP257" s="47"/>
      <c r="BQ257" s="47"/>
      <c r="BR257" s="47"/>
      <c r="BS257" s="47"/>
      <c r="BT257" s="47"/>
      <c r="BU257" s="47"/>
      <c r="BV257" s="47"/>
      <c r="BW257" s="47"/>
      <c r="BX257" s="47"/>
      <c r="BY257" s="47"/>
      <c r="BZ257" s="47"/>
    </row>
    <row r="258" spans="1:78" ht="13">
      <c r="A258" s="48" t="str">
        <f ca="1">'.'!A258</f>
        <v>Knockdown Arrowhead</v>
      </c>
      <c r="B258" s="46" t="str">
        <f t="array" aca="1" ref="B258" ca="1">IF('.'!B258="","",'.'!B258&amp;IF(VLOOKUP('.'!B258,Recipes!$A:$D,4,FALSE)="",""," ["&amp;VLOOKUP('.'!B258,Recipes!$A:$D,4,FALSE)&amp;"]"))</f>
        <v>Knockdown Arrow [9]</v>
      </c>
      <c r="C258" s="46" t="str">
        <f t="array" ref="C258">IF('.'!C258="","",'.'!C258&amp;IF(VLOOKUP('.'!C258,Recipes!$A:$D,4,FALSE)="",""," ["&amp;VLOOKUP('.'!C258,Recipes!$A:$D,4,FALSE)&amp;"]"))</f>
        <v/>
      </c>
      <c r="D258" s="46" t="str">
        <f t="array" ref="D258">IF('.'!D258="","",'.'!D258&amp;IF(VLOOKUP('.'!D258,Recipes!$A:$D,4,FALSE)="",""," ["&amp;VLOOKUP('.'!D258,Recipes!$A:$D,4,FALSE)&amp;"]"))</f>
        <v/>
      </c>
      <c r="E258" s="46" t="str">
        <f t="array" ref="E258">IF('.'!E258="","",'.'!E258&amp;IF(VLOOKUP('.'!E258,Recipes!$A:$D,4,FALSE)="",""," ["&amp;VLOOKUP('.'!E258,Recipes!$A:$D,4,FALSE)&amp;"]"))</f>
        <v/>
      </c>
      <c r="F258" s="46" t="str">
        <f t="array" ref="F258">IF('.'!F258="","",'.'!F258&amp;IF(VLOOKUP('.'!F258,Recipes!$A:$D,4,FALSE)="",""," ["&amp;VLOOKUP('.'!F258,Recipes!$A:$D,4,FALSE)&amp;"]"))</f>
        <v/>
      </c>
      <c r="G258" s="46" t="str">
        <f t="array" ref="G258">IF('.'!G258="","",'.'!G258&amp;IF(VLOOKUP('.'!G258,Recipes!$A:$D,4,FALSE)="",""," ["&amp;VLOOKUP('.'!G258,Recipes!$A:$D,4,FALSE)&amp;"]"))</f>
        <v/>
      </c>
      <c r="H258" s="46" t="str">
        <f t="array" ref="H258">IF('.'!H258="","",'.'!H258&amp;IF(VLOOKUP('.'!H258,Recipes!$A:$D,4,FALSE)="",""," ["&amp;VLOOKUP('.'!H258,Recipes!$A:$D,4,FALSE)&amp;"]"))</f>
        <v/>
      </c>
      <c r="I258" s="46" t="str">
        <f t="array" ref="I258">IF('.'!I258="","",'.'!I258&amp;IF(VLOOKUP('.'!I258,Recipes!$A:$D,4,FALSE)="",""," ["&amp;VLOOKUP('.'!I258,Recipes!$A:$D,4,FALSE)&amp;"]"))</f>
        <v/>
      </c>
      <c r="J258" s="46" t="str">
        <f t="array" ref="J258">IF('.'!J258="","",'.'!J258&amp;IF(VLOOKUP('.'!J258,Recipes!$A:$D,4,FALSE)="",""," ["&amp;VLOOKUP('.'!J258,Recipes!$A:$D,4,FALSE)&amp;"]"))</f>
        <v/>
      </c>
      <c r="K258" s="46" t="str">
        <f t="array" ref="K258">IF('.'!K258="","",'.'!K258&amp;IF(VLOOKUP('.'!K258,Recipes!$A:$D,4,FALSE)="",""," ["&amp;VLOOKUP('.'!K258,Recipes!$A:$D,4,FALSE)&amp;"]"))</f>
        <v/>
      </c>
      <c r="L258" s="46" t="str">
        <f t="array" ref="L258">IF('.'!L258="","",'.'!L258&amp;IF(VLOOKUP('.'!L258,Recipes!$A:$D,4,FALSE)="",""," ["&amp;VLOOKUP('.'!L258,Recipes!$A:$D,4,FALSE)&amp;"]"))</f>
        <v/>
      </c>
      <c r="M258" s="46" t="str">
        <f t="array" ref="M258">IF('.'!M258="","",'.'!M258&amp;IF(VLOOKUP('.'!M258,Recipes!$A:$D,4,FALSE)="",""," ["&amp;VLOOKUP('.'!M258,Recipes!$A:$D,4,FALSE)&amp;"]"))</f>
        <v/>
      </c>
      <c r="N258" s="46" t="str">
        <f t="array" ref="N258">IF('.'!N258="","",'.'!N258&amp;IF(VLOOKUP('.'!N258,Recipes!$A:$D,4,FALSE)="",""," ["&amp;VLOOKUP('.'!N258,Recipes!$A:$D,4,FALSE)&amp;"]"))</f>
        <v/>
      </c>
      <c r="O258" s="46" t="str">
        <f t="array" ref="O258">IF('.'!O258="","",'.'!O258&amp;IF(VLOOKUP('.'!O258,Recipes!$A:$D,4,FALSE)="",""," ["&amp;VLOOKUP('.'!O258,Recipes!$A:$D,4,FALSE)&amp;"]"))</f>
        <v/>
      </c>
      <c r="P258" s="46" t="str">
        <f t="array" ref="P258">IF('.'!P258="","",'.'!P258&amp;IF(VLOOKUP('.'!P258,Recipes!$A:$D,4,FALSE)="",""," ["&amp;VLOOKUP('.'!P258,Recipes!$A:$D,4,FALSE)&amp;"]"))</f>
        <v/>
      </c>
      <c r="Q258" s="46" t="str">
        <f t="array" ref="Q258">IF('.'!Q258="","",'.'!Q258&amp;IF(VLOOKUP('.'!Q258,Recipes!$A:$D,4,FALSE)="",""," ["&amp;VLOOKUP('.'!Q258,Recipes!$A:$D,4,FALSE)&amp;"]"))</f>
        <v/>
      </c>
      <c r="R258" s="46" t="str">
        <f t="array" ref="R258">IF('.'!R258="","",'.'!R258&amp;IF(VLOOKUP('.'!R258,Recipes!$A:$D,4,FALSE)="",""," ["&amp;VLOOKUP('.'!R258,Recipes!$A:$D,4,FALSE)&amp;"]"))</f>
        <v/>
      </c>
      <c r="S258" s="46" t="str">
        <f t="array" ref="S258">IF('.'!S258="","",'.'!S258&amp;IF(VLOOKUP('.'!S258,Recipes!$A:$D,4,FALSE)="",""," ["&amp;VLOOKUP('.'!S258,Recipes!$A:$D,4,FALSE)&amp;"]"))</f>
        <v/>
      </c>
      <c r="T258" s="46" t="str">
        <f t="array" ref="T258">IF('.'!T258="","",'.'!T258&amp;IF(VLOOKUP('.'!T258,Recipes!$A:$D,4,FALSE)="",""," ["&amp;VLOOKUP('.'!T258,Recipes!$A:$D,4,FALSE)&amp;"]"))</f>
        <v/>
      </c>
      <c r="U258" s="46" t="str">
        <f t="array" ref="U258">IF('.'!U258="","",'.'!U258&amp;IF(VLOOKUP('.'!U258,Recipes!$A:$D,4,FALSE)="",""," ["&amp;VLOOKUP('.'!U258,Recipes!$A:$D,4,FALSE)&amp;"]"))</f>
        <v/>
      </c>
      <c r="V258" s="46" t="str">
        <f t="array" ref="V258">IF('.'!V258="","",'.'!V258&amp;IF(VLOOKUP('.'!V258,Recipes!$A:$D,4,FALSE)="",""," ["&amp;VLOOKUP('.'!V258,Recipes!$A:$D,4,FALSE)&amp;"]"))</f>
        <v/>
      </c>
      <c r="W258" s="46" t="str">
        <f t="array" ref="W258">IF('.'!W258="","",'.'!W258&amp;IF(VLOOKUP('.'!W258,Recipes!$A:$D,4,FALSE)="",""," ["&amp;VLOOKUP('.'!W258,Recipes!$A:$D,4,FALSE)&amp;"]"))</f>
        <v/>
      </c>
      <c r="X258" s="46" t="str">
        <f t="array" ref="X258">IF('.'!X258="","",'.'!X258&amp;IF(VLOOKUP('.'!X258,Recipes!$A:$D,4,FALSE)="",""," ["&amp;VLOOKUP('.'!X258,Recipes!$A:$D,4,FALSE)&amp;"]"))</f>
        <v/>
      </c>
      <c r="Y258" s="46" t="str">
        <f t="array" ref="Y258">IF('.'!Y258="","",'.'!Y258&amp;IF(VLOOKUP('.'!Y258,Recipes!$A:$D,4,FALSE)="",""," ["&amp;VLOOKUP('.'!Y258,Recipes!$A:$D,4,FALSE)&amp;"]"))</f>
        <v/>
      </c>
      <c r="Z258" s="46" t="str">
        <f t="array" ref="Z258">IF('.'!Z258="","",'.'!Z258&amp;IF(VLOOKUP('.'!Z258,Recipes!$A:$D,4,FALSE)="",""," ["&amp;VLOOKUP('.'!Z258,Recipes!$A:$D,4,FALSE)&amp;"]"))</f>
        <v/>
      </c>
      <c r="AA258" s="46" t="str">
        <f t="array" ref="AA258">IF('.'!AA258="","",'.'!AA258&amp;IF(VLOOKUP('.'!AA258,Recipes!$A:$D,4,FALSE)="",""," ["&amp;VLOOKUP('.'!AA258,Recipes!$A:$D,4,FALSE)&amp;"]"))</f>
        <v/>
      </c>
      <c r="AB258" s="46" t="str">
        <f t="array" ref="AB258">IF('.'!AB258="","",'.'!AB258&amp;IF(VLOOKUP('.'!AB258,Recipes!$A:$D,4,FALSE)="",""," ["&amp;VLOOKUP('.'!AB258,Recipes!$A:$D,4,FALSE)&amp;"]"))</f>
        <v/>
      </c>
      <c r="AC258" s="46" t="str">
        <f t="array" ref="AC258">IF('.'!AC258="","",'.'!AC258&amp;IF(VLOOKUP('.'!AC258,Recipes!$A:$D,4,FALSE)="",""," ["&amp;VLOOKUP('.'!AC258,Recipes!$A:$D,4,FALSE)&amp;"]"))</f>
        <v/>
      </c>
      <c r="AD258" s="46" t="str">
        <f t="array" ref="AD258">IF('.'!AD258="","",'.'!AD258&amp;IF(VLOOKUP('.'!AD258,Recipes!$A:$D,4,FALSE)="",""," ["&amp;VLOOKUP('.'!AD258,Recipes!$A:$D,4,FALSE)&amp;"]"))</f>
        <v/>
      </c>
      <c r="AE258" s="47"/>
      <c r="AF258" s="47"/>
      <c r="AG258" s="47"/>
      <c r="AH258" s="47"/>
      <c r="AI258" s="47"/>
      <c r="AJ258" s="47"/>
      <c r="AK258" s="47"/>
      <c r="AL258" s="47"/>
      <c r="AM258" s="47"/>
      <c r="AN258" s="47"/>
      <c r="AO258" s="47"/>
      <c r="AP258" s="47"/>
      <c r="AQ258" s="47"/>
      <c r="AR258" s="47"/>
      <c r="AS258" s="47"/>
      <c r="AT258" s="47"/>
      <c r="AU258" s="47"/>
      <c r="AV258" s="47"/>
      <c r="AW258" s="47"/>
      <c r="AX258" s="47"/>
      <c r="AY258" s="47"/>
      <c r="AZ258" s="47"/>
      <c r="BA258" s="47"/>
      <c r="BB258" s="47"/>
      <c r="BC258" s="47"/>
      <c r="BD258" s="47"/>
      <c r="BE258" s="47"/>
      <c r="BF258" s="47"/>
      <c r="BG258" s="47"/>
      <c r="BH258" s="47"/>
      <c r="BI258" s="47"/>
      <c r="BJ258" s="47"/>
      <c r="BK258" s="47"/>
      <c r="BL258" s="47"/>
      <c r="BM258" s="47"/>
      <c r="BN258" s="47"/>
      <c r="BO258" s="47"/>
      <c r="BP258" s="47"/>
      <c r="BQ258" s="47"/>
      <c r="BR258" s="47"/>
      <c r="BS258" s="47"/>
      <c r="BT258" s="47"/>
      <c r="BU258" s="47"/>
      <c r="BV258" s="47"/>
      <c r="BW258" s="47"/>
      <c r="BX258" s="47"/>
      <c r="BY258" s="47"/>
      <c r="BZ258" s="47"/>
    </row>
    <row r="259" spans="1:78" ht="13">
      <c r="A259" s="48" t="str">
        <f ca="1">'.'!A259</f>
        <v>Large Air Resistance Potion</v>
      </c>
      <c r="B259" s="46" t="str">
        <f t="array" aca="1" ref="B259" ca="1">IF('.'!B259="","",'.'!B259&amp;IF(VLOOKUP('.'!B259,Recipes!$A:$D,4,FALSE)="",""," ["&amp;VLOOKUP('.'!B259,Recipes!$A:$D,4,FALSE)&amp;"]"))</f>
        <v>Huge Air Resistance Potion [150]</v>
      </c>
      <c r="C259" s="46" t="str">
        <f t="array" ref="C259">IF('.'!C259="","",'.'!C259&amp;IF(VLOOKUP('.'!C259,Recipes!$A:$D,4,FALSE)="",""," ["&amp;VLOOKUP('.'!C259,Recipes!$A:$D,4,FALSE)&amp;"]"))</f>
        <v/>
      </c>
      <c r="D259" s="46" t="str">
        <f t="array" ref="D259">IF('.'!D259="","",'.'!D259&amp;IF(VLOOKUP('.'!D259,Recipes!$A:$D,4,FALSE)="",""," ["&amp;VLOOKUP('.'!D259,Recipes!$A:$D,4,FALSE)&amp;"]"))</f>
        <v/>
      </c>
      <c r="E259" s="46" t="str">
        <f t="array" ref="E259">IF('.'!E259="","",'.'!E259&amp;IF(VLOOKUP('.'!E259,Recipes!$A:$D,4,FALSE)="",""," ["&amp;VLOOKUP('.'!E259,Recipes!$A:$D,4,FALSE)&amp;"]"))</f>
        <v/>
      </c>
      <c r="F259" s="46" t="str">
        <f t="array" ref="F259">IF('.'!F259="","",'.'!F259&amp;IF(VLOOKUP('.'!F259,Recipes!$A:$D,4,FALSE)="",""," ["&amp;VLOOKUP('.'!F259,Recipes!$A:$D,4,FALSE)&amp;"]"))</f>
        <v/>
      </c>
      <c r="G259" s="46" t="str">
        <f t="array" ref="G259">IF('.'!G259="","",'.'!G259&amp;IF(VLOOKUP('.'!G259,Recipes!$A:$D,4,FALSE)="",""," ["&amp;VLOOKUP('.'!G259,Recipes!$A:$D,4,FALSE)&amp;"]"))</f>
        <v/>
      </c>
      <c r="H259" s="46" t="str">
        <f t="array" ref="H259">IF('.'!H259="","",'.'!H259&amp;IF(VLOOKUP('.'!H259,Recipes!$A:$D,4,FALSE)="",""," ["&amp;VLOOKUP('.'!H259,Recipes!$A:$D,4,FALSE)&amp;"]"))</f>
        <v/>
      </c>
      <c r="I259" s="46" t="str">
        <f t="array" ref="I259">IF('.'!I259="","",'.'!I259&amp;IF(VLOOKUP('.'!I259,Recipes!$A:$D,4,FALSE)="",""," ["&amp;VLOOKUP('.'!I259,Recipes!$A:$D,4,FALSE)&amp;"]"))</f>
        <v/>
      </c>
      <c r="J259" s="46" t="str">
        <f t="array" ref="J259">IF('.'!J259="","",'.'!J259&amp;IF(VLOOKUP('.'!J259,Recipes!$A:$D,4,FALSE)="",""," ["&amp;VLOOKUP('.'!J259,Recipes!$A:$D,4,FALSE)&amp;"]"))</f>
        <v/>
      </c>
      <c r="K259" s="46" t="str">
        <f t="array" ref="K259">IF('.'!K259="","",'.'!K259&amp;IF(VLOOKUP('.'!K259,Recipes!$A:$D,4,FALSE)="",""," ["&amp;VLOOKUP('.'!K259,Recipes!$A:$D,4,FALSE)&amp;"]"))</f>
        <v/>
      </c>
      <c r="L259" s="46" t="str">
        <f t="array" ref="L259">IF('.'!L259="","",'.'!L259&amp;IF(VLOOKUP('.'!L259,Recipes!$A:$D,4,FALSE)="",""," ["&amp;VLOOKUP('.'!L259,Recipes!$A:$D,4,FALSE)&amp;"]"))</f>
        <v/>
      </c>
      <c r="M259" s="46" t="str">
        <f t="array" ref="M259">IF('.'!M259="","",'.'!M259&amp;IF(VLOOKUP('.'!M259,Recipes!$A:$D,4,FALSE)="",""," ["&amp;VLOOKUP('.'!M259,Recipes!$A:$D,4,FALSE)&amp;"]"))</f>
        <v/>
      </c>
      <c r="N259" s="46" t="str">
        <f t="array" ref="N259">IF('.'!N259="","",'.'!N259&amp;IF(VLOOKUP('.'!N259,Recipes!$A:$D,4,FALSE)="",""," ["&amp;VLOOKUP('.'!N259,Recipes!$A:$D,4,FALSE)&amp;"]"))</f>
        <v/>
      </c>
      <c r="O259" s="46" t="str">
        <f t="array" ref="O259">IF('.'!O259="","",'.'!O259&amp;IF(VLOOKUP('.'!O259,Recipes!$A:$D,4,FALSE)="",""," ["&amp;VLOOKUP('.'!O259,Recipes!$A:$D,4,FALSE)&amp;"]"))</f>
        <v/>
      </c>
      <c r="P259" s="46" t="str">
        <f t="array" ref="P259">IF('.'!P259="","",'.'!P259&amp;IF(VLOOKUP('.'!P259,Recipes!$A:$D,4,FALSE)="",""," ["&amp;VLOOKUP('.'!P259,Recipes!$A:$D,4,FALSE)&amp;"]"))</f>
        <v/>
      </c>
      <c r="Q259" s="46" t="str">
        <f t="array" ref="Q259">IF('.'!Q259="","",'.'!Q259&amp;IF(VLOOKUP('.'!Q259,Recipes!$A:$D,4,FALSE)="",""," ["&amp;VLOOKUP('.'!Q259,Recipes!$A:$D,4,FALSE)&amp;"]"))</f>
        <v/>
      </c>
      <c r="R259" s="46" t="str">
        <f t="array" ref="R259">IF('.'!R259="","",'.'!R259&amp;IF(VLOOKUP('.'!R259,Recipes!$A:$D,4,FALSE)="",""," ["&amp;VLOOKUP('.'!R259,Recipes!$A:$D,4,FALSE)&amp;"]"))</f>
        <v/>
      </c>
      <c r="S259" s="46" t="str">
        <f t="array" ref="S259">IF('.'!S259="","",'.'!S259&amp;IF(VLOOKUP('.'!S259,Recipes!$A:$D,4,FALSE)="",""," ["&amp;VLOOKUP('.'!S259,Recipes!$A:$D,4,FALSE)&amp;"]"))</f>
        <v/>
      </c>
      <c r="T259" s="46" t="str">
        <f t="array" ref="T259">IF('.'!T259="","",'.'!T259&amp;IF(VLOOKUP('.'!T259,Recipes!$A:$D,4,FALSE)="",""," ["&amp;VLOOKUP('.'!T259,Recipes!$A:$D,4,FALSE)&amp;"]"))</f>
        <v/>
      </c>
      <c r="U259" s="46" t="str">
        <f t="array" ref="U259">IF('.'!U259="","",'.'!U259&amp;IF(VLOOKUP('.'!U259,Recipes!$A:$D,4,FALSE)="",""," ["&amp;VLOOKUP('.'!U259,Recipes!$A:$D,4,FALSE)&amp;"]"))</f>
        <v/>
      </c>
      <c r="V259" s="46" t="str">
        <f t="array" ref="V259">IF('.'!V259="","",'.'!V259&amp;IF(VLOOKUP('.'!V259,Recipes!$A:$D,4,FALSE)="",""," ["&amp;VLOOKUP('.'!V259,Recipes!$A:$D,4,FALSE)&amp;"]"))</f>
        <v/>
      </c>
      <c r="W259" s="46" t="str">
        <f t="array" ref="W259">IF('.'!W259="","",'.'!W259&amp;IF(VLOOKUP('.'!W259,Recipes!$A:$D,4,FALSE)="",""," ["&amp;VLOOKUP('.'!W259,Recipes!$A:$D,4,FALSE)&amp;"]"))</f>
        <v/>
      </c>
      <c r="X259" s="46" t="str">
        <f t="array" ref="X259">IF('.'!X259="","",'.'!X259&amp;IF(VLOOKUP('.'!X259,Recipes!$A:$D,4,FALSE)="",""," ["&amp;VLOOKUP('.'!X259,Recipes!$A:$D,4,FALSE)&amp;"]"))</f>
        <v/>
      </c>
      <c r="Y259" s="46" t="str">
        <f t="array" ref="Y259">IF('.'!Y259="","",'.'!Y259&amp;IF(VLOOKUP('.'!Y259,Recipes!$A:$D,4,FALSE)="",""," ["&amp;VLOOKUP('.'!Y259,Recipes!$A:$D,4,FALSE)&amp;"]"))</f>
        <v/>
      </c>
      <c r="Z259" s="46" t="str">
        <f t="array" ref="Z259">IF('.'!Z259="","",'.'!Z259&amp;IF(VLOOKUP('.'!Z259,Recipes!$A:$D,4,FALSE)="",""," ["&amp;VLOOKUP('.'!Z259,Recipes!$A:$D,4,FALSE)&amp;"]"))</f>
        <v/>
      </c>
      <c r="AA259" s="46" t="str">
        <f t="array" ref="AA259">IF('.'!AA259="","",'.'!AA259&amp;IF(VLOOKUP('.'!AA259,Recipes!$A:$D,4,FALSE)="",""," ["&amp;VLOOKUP('.'!AA259,Recipes!$A:$D,4,FALSE)&amp;"]"))</f>
        <v/>
      </c>
      <c r="AB259" s="46" t="str">
        <f t="array" ref="AB259">IF('.'!AB259="","",'.'!AB259&amp;IF(VLOOKUP('.'!AB259,Recipes!$A:$D,4,FALSE)="",""," ["&amp;VLOOKUP('.'!AB259,Recipes!$A:$D,4,FALSE)&amp;"]"))</f>
        <v/>
      </c>
      <c r="AC259" s="46" t="str">
        <f t="array" ref="AC259">IF('.'!AC259="","",'.'!AC259&amp;IF(VLOOKUP('.'!AC259,Recipes!$A:$D,4,FALSE)="",""," ["&amp;VLOOKUP('.'!AC259,Recipes!$A:$D,4,FALSE)&amp;"]"))</f>
        <v/>
      </c>
      <c r="AD259" s="46" t="str">
        <f t="array" ref="AD259">IF('.'!AD259="","",'.'!AD259&amp;IF(VLOOKUP('.'!AD259,Recipes!$A:$D,4,FALSE)="",""," ["&amp;VLOOKUP('.'!AD259,Recipes!$A:$D,4,FALSE)&amp;"]"))</f>
        <v/>
      </c>
      <c r="AE259" s="47"/>
      <c r="AF259" s="47"/>
      <c r="AG259" s="47"/>
      <c r="AH259" s="47"/>
      <c r="AI259" s="47"/>
      <c r="AJ259" s="47"/>
      <c r="AK259" s="47"/>
      <c r="AL259" s="47"/>
      <c r="AM259" s="47"/>
      <c r="AN259" s="47"/>
      <c r="AO259" s="47"/>
      <c r="AP259" s="47"/>
      <c r="AQ259" s="47"/>
      <c r="AR259" s="47"/>
      <c r="AS259" s="47"/>
      <c r="AT259" s="47"/>
      <c r="AU259" s="47"/>
      <c r="AV259" s="47"/>
      <c r="AW259" s="47"/>
      <c r="AX259" s="47"/>
      <c r="AY259" s="47"/>
      <c r="AZ259" s="47"/>
      <c r="BA259" s="47"/>
      <c r="BB259" s="47"/>
      <c r="BC259" s="47"/>
      <c r="BD259" s="47"/>
      <c r="BE259" s="47"/>
      <c r="BF259" s="47"/>
      <c r="BG259" s="47"/>
      <c r="BH259" s="47"/>
      <c r="BI259" s="47"/>
      <c r="BJ259" s="47"/>
      <c r="BK259" s="47"/>
      <c r="BL259" s="47"/>
      <c r="BM259" s="47"/>
      <c r="BN259" s="47"/>
      <c r="BO259" s="47"/>
      <c r="BP259" s="47"/>
      <c r="BQ259" s="47"/>
      <c r="BR259" s="47"/>
      <c r="BS259" s="47"/>
      <c r="BT259" s="47"/>
      <c r="BU259" s="47"/>
      <c r="BV259" s="47"/>
      <c r="BW259" s="47"/>
      <c r="BX259" s="47"/>
      <c r="BY259" s="47"/>
      <c r="BZ259" s="47"/>
    </row>
    <row r="260" spans="1:78" ht="13">
      <c r="A260" s="48" t="str">
        <f ca="1">'.'!A260</f>
        <v>Large Earth Resistance Potion</v>
      </c>
      <c r="B260" s="46" t="str">
        <f t="array" aca="1" ref="B260" ca="1">IF('.'!B260="","",'.'!B260&amp;IF(VLOOKUP('.'!B260,Recipes!$A:$D,4,FALSE)="",""," ["&amp;VLOOKUP('.'!B260,Recipes!$A:$D,4,FALSE)&amp;"]"))</f>
        <v>Huge Earth Resistance Potion [150]</v>
      </c>
      <c r="C260" s="46" t="str">
        <f t="array" ref="C260">IF('.'!C260="","",'.'!C260&amp;IF(VLOOKUP('.'!C260,Recipes!$A:$D,4,FALSE)="",""," ["&amp;VLOOKUP('.'!C260,Recipes!$A:$D,4,FALSE)&amp;"]"))</f>
        <v/>
      </c>
      <c r="D260" s="46" t="str">
        <f t="array" ref="D260">IF('.'!D260="","",'.'!D260&amp;IF(VLOOKUP('.'!D260,Recipes!$A:$D,4,FALSE)="",""," ["&amp;VLOOKUP('.'!D260,Recipes!$A:$D,4,FALSE)&amp;"]"))</f>
        <v/>
      </c>
      <c r="E260" s="46" t="str">
        <f t="array" ref="E260">IF('.'!E260="","",'.'!E260&amp;IF(VLOOKUP('.'!E260,Recipes!$A:$D,4,FALSE)="",""," ["&amp;VLOOKUP('.'!E260,Recipes!$A:$D,4,FALSE)&amp;"]"))</f>
        <v/>
      </c>
      <c r="F260" s="46" t="str">
        <f t="array" ref="F260">IF('.'!F260="","",'.'!F260&amp;IF(VLOOKUP('.'!F260,Recipes!$A:$D,4,FALSE)="",""," ["&amp;VLOOKUP('.'!F260,Recipes!$A:$D,4,FALSE)&amp;"]"))</f>
        <v/>
      </c>
      <c r="G260" s="46" t="str">
        <f t="array" ref="G260">IF('.'!G260="","",'.'!G260&amp;IF(VLOOKUP('.'!G260,Recipes!$A:$D,4,FALSE)="",""," ["&amp;VLOOKUP('.'!G260,Recipes!$A:$D,4,FALSE)&amp;"]"))</f>
        <v/>
      </c>
      <c r="H260" s="46" t="str">
        <f t="array" ref="H260">IF('.'!H260="","",'.'!H260&amp;IF(VLOOKUP('.'!H260,Recipes!$A:$D,4,FALSE)="",""," ["&amp;VLOOKUP('.'!H260,Recipes!$A:$D,4,FALSE)&amp;"]"))</f>
        <v/>
      </c>
      <c r="I260" s="46" t="str">
        <f t="array" ref="I260">IF('.'!I260="","",'.'!I260&amp;IF(VLOOKUP('.'!I260,Recipes!$A:$D,4,FALSE)="",""," ["&amp;VLOOKUP('.'!I260,Recipes!$A:$D,4,FALSE)&amp;"]"))</f>
        <v/>
      </c>
      <c r="J260" s="46" t="str">
        <f t="array" ref="J260">IF('.'!J260="","",'.'!J260&amp;IF(VLOOKUP('.'!J260,Recipes!$A:$D,4,FALSE)="",""," ["&amp;VLOOKUP('.'!J260,Recipes!$A:$D,4,FALSE)&amp;"]"))</f>
        <v/>
      </c>
      <c r="K260" s="46" t="str">
        <f t="array" ref="K260">IF('.'!K260="","",'.'!K260&amp;IF(VLOOKUP('.'!K260,Recipes!$A:$D,4,FALSE)="",""," ["&amp;VLOOKUP('.'!K260,Recipes!$A:$D,4,FALSE)&amp;"]"))</f>
        <v/>
      </c>
      <c r="L260" s="46" t="str">
        <f t="array" ref="L260">IF('.'!L260="","",'.'!L260&amp;IF(VLOOKUP('.'!L260,Recipes!$A:$D,4,FALSE)="",""," ["&amp;VLOOKUP('.'!L260,Recipes!$A:$D,4,FALSE)&amp;"]"))</f>
        <v/>
      </c>
      <c r="M260" s="46" t="str">
        <f t="array" ref="M260">IF('.'!M260="","",'.'!M260&amp;IF(VLOOKUP('.'!M260,Recipes!$A:$D,4,FALSE)="",""," ["&amp;VLOOKUP('.'!M260,Recipes!$A:$D,4,FALSE)&amp;"]"))</f>
        <v/>
      </c>
      <c r="N260" s="46" t="str">
        <f t="array" ref="N260">IF('.'!N260="","",'.'!N260&amp;IF(VLOOKUP('.'!N260,Recipes!$A:$D,4,FALSE)="",""," ["&amp;VLOOKUP('.'!N260,Recipes!$A:$D,4,FALSE)&amp;"]"))</f>
        <v/>
      </c>
      <c r="O260" s="46" t="str">
        <f t="array" ref="O260">IF('.'!O260="","",'.'!O260&amp;IF(VLOOKUP('.'!O260,Recipes!$A:$D,4,FALSE)="",""," ["&amp;VLOOKUP('.'!O260,Recipes!$A:$D,4,FALSE)&amp;"]"))</f>
        <v/>
      </c>
      <c r="P260" s="46" t="str">
        <f t="array" ref="P260">IF('.'!P260="","",'.'!P260&amp;IF(VLOOKUP('.'!P260,Recipes!$A:$D,4,FALSE)="",""," ["&amp;VLOOKUP('.'!P260,Recipes!$A:$D,4,FALSE)&amp;"]"))</f>
        <v/>
      </c>
      <c r="Q260" s="46" t="str">
        <f t="array" ref="Q260">IF('.'!Q260="","",'.'!Q260&amp;IF(VLOOKUP('.'!Q260,Recipes!$A:$D,4,FALSE)="",""," ["&amp;VLOOKUP('.'!Q260,Recipes!$A:$D,4,FALSE)&amp;"]"))</f>
        <v/>
      </c>
      <c r="R260" s="46" t="str">
        <f t="array" ref="R260">IF('.'!R260="","",'.'!R260&amp;IF(VLOOKUP('.'!R260,Recipes!$A:$D,4,FALSE)="",""," ["&amp;VLOOKUP('.'!R260,Recipes!$A:$D,4,FALSE)&amp;"]"))</f>
        <v/>
      </c>
      <c r="S260" s="46" t="str">
        <f t="array" ref="S260">IF('.'!S260="","",'.'!S260&amp;IF(VLOOKUP('.'!S260,Recipes!$A:$D,4,FALSE)="",""," ["&amp;VLOOKUP('.'!S260,Recipes!$A:$D,4,FALSE)&amp;"]"))</f>
        <v/>
      </c>
      <c r="T260" s="46" t="str">
        <f t="array" ref="T260">IF('.'!T260="","",'.'!T260&amp;IF(VLOOKUP('.'!T260,Recipes!$A:$D,4,FALSE)="",""," ["&amp;VLOOKUP('.'!T260,Recipes!$A:$D,4,FALSE)&amp;"]"))</f>
        <v/>
      </c>
      <c r="U260" s="46" t="str">
        <f t="array" ref="U260">IF('.'!U260="","",'.'!U260&amp;IF(VLOOKUP('.'!U260,Recipes!$A:$D,4,FALSE)="",""," ["&amp;VLOOKUP('.'!U260,Recipes!$A:$D,4,FALSE)&amp;"]"))</f>
        <v/>
      </c>
      <c r="V260" s="46" t="str">
        <f t="array" ref="V260">IF('.'!V260="","",'.'!V260&amp;IF(VLOOKUP('.'!V260,Recipes!$A:$D,4,FALSE)="",""," ["&amp;VLOOKUP('.'!V260,Recipes!$A:$D,4,FALSE)&amp;"]"))</f>
        <v/>
      </c>
      <c r="W260" s="46" t="str">
        <f t="array" ref="W260">IF('.'!W260="","",'.'!W260&amp;IF(VLOOKUP('.'!W260,Recipes!$A:$D,4,FALSE)="",""," ["&amp;VLOOKUP('.'!W260,Recipes!$A:$D,4,FALSE)&amp;"]"))</f>
        <v/>
      </c>
      <c r="X260" s="46" t="str">
        <f t="array" ref="X260">IF('.'!X260="","",'.'!X260&amp;IF(VLOOKUP('.'!X260,Recipes!$A:$D,4,FALSE)="",""," ["&amp;VLOOKUP('.'!X260,Recipes!$A:$D,4,FALSE)&amp;"]"))</f>
        <v/>
      </c>
      <c r="Y260" s="46" t="str">
        <f t="array" ref="Y260">IF('.'!Y260="","",'.'!Y260&amp;IF(VLOOKUP('.'!Y260,Recipes!$A:$D,4,FALSE)="",""," ["&amp;VLOOKUP('.'!Y260,Recipes!$A:$D,4,FALSE)&amp;"]"))</f>
        <v/>
      </c>
      <c r="Z260" s="46" t="str">
        <f t="array" ref="Z260">IF('.'!Z260="","",'.'!Z260&amp;IF(VLOOKUP('.'!Z260,Recipes!$A:$D,4,FALSE)="",""," ["&amp;VLOOKUP('.'!Z260,Recipes!$A:$D,4,FALSE)&amp;"]"))</f>
        <v/>
      </c>
      <c r="AA260" s="46" t="str">
        <f t="array" ref="AA260">IF('.'!AA260="","",'.'!AA260&amp;IF(VLOOKUP('.'!AA260,Recipes!$A:$D,4,FALSE)="",""," ["&amp;VLOOKUP('.'!AA260,Recipes!$A:$D,4,FALSE)&amp;"]"))</f>
        <v/>
      </c>
      <c r="AB260" s="46" t="str">
        <f t="array" ref="AB260">IF('.'!AB260="","",'.'!AB260&amp;IF(VLOOKUP('.'!AB260,Recipes!$A:$D,4,FALSE)="",""," ["&amp;VLOOKUP('.'!AB260,Recipes!$A:$D,4,FALSE)&amp;"]"))</f>
        <v/>
      </c>
      <c r="AC260" s="46" t="str">
        <f t="array" ref="AC260">IF('.'!AC260="","",'.'!AC260&amp;IF(VLOOKUP('.'!AC260,Recipes!$A:$D,4,FALSE)="",""," ["&amp;VLOOKUP('.'!AC260,Recipes!$A:$D,4,FALSE)&amp;"]"))</f>
        <v/>
      </c>
      <c r="AD260" s="46" t="str">
        <f t="array" ref="AD260">IF('.'!AD260="","",'.'!AD260&amp;IF(VLOOKUP('.'!AD260,Recipes!$A:$D,4,FALSE)="",""," ["&amp;VLOOKUP('.'!AD260,Recipes!$A:$D,4,FALSE)&amp;"]"))</f>
        <v/>
      </c>
      <c r="AE260" s="47"/>
      <c r="AF260" s="47"/>
      <c r="AG260" s="47"/>
      <c r="AH260" s="47"/>
      <c r="AI260" s="47"/>
      <c r="AJ260" s="47"/>
      <c r="AK260" s="47"/>
      <c r="AL260" s="47"/>
      <c r="AM260" s="47"/>
      <c r="AN260" s="47"/>
      <c r="AO260" s="47"/>
      <c r="AP260" s="47"/>
      <c r="AQ260" s="47"/>
      <c r="AR260" s="47"/>
      <c r="AS260" s="47"/>
      <c r="AT260" s="47"/>
      <c r="AU260" s="47"/>
      <c r="AV260" s="47"/>
      <c r="AW260" s="47"/>
      <c r="AX260" s="47"/>
      <c r="AY260" s="47"/>
      <c r="AZ260" s="47"/>
      <c r="BA260" s="47"/>
      <c r="BB260" s="47"/>
      <c r="BC260" s="47"/>
      <c r="BD260" s="47"/>
      <c r="BE260" s="47"/>
      <c r="BF260" s="47"/>
      <c r="BG260" s="47"/>
      <c r="BH260" s="47"/>
      <c r="BI260" s="47"/>
      <c r="BJ260" s="47"/>
      <c r="BK260" s="47"/>
      <c r="BL260" s="47"/>
      <c r="BM260" s="47"/>
      <c r="BN260" s="47"/>
      <c r="BO260" s="47"/>
      <c r="BP260" s="47"/>
      <c r="BQ260" s="47"/>
      <c r="BR260" s="47"/>
      <c r="BS260" s="47"/>
      <c r="BT260" s="47"/>
      <c r="BU260" s="47"/>
      <c r="BV260" s="47"/>
      <c r="BW260" s="47"/>
      <c r="BX260" s="47"/>
      <c r="BY260" s="47"/>
      <c r="BZ260" s="47"/>
    </row>
    <row r="261" spans="1:78" ht="13">
      <c r="A261" s="48" t="str">
        <f ca="1">'.'!A261</f>
        <v>Large Fire Resistance Potion</v>
      </c>
      <c r="B261" s="46" t="str">
        <f t="array" aca="1" ref="B261" ca="1">IF('.'!B261="","",'.'!B261&amp;IF(VLOOKUP('.'!B261,Recipes!$A:$D,4,FALSE)="",""," ["&amp;VLOOKUP('.'!B261,Recipes!$A:$D,4,FALSE)&amp;"]"))</f>
        <v>Huge Fire Resistance Potion [150]</v>
      </c>
      <c r="C261" s="46" t="str">
        <f t="array" ref="C261">IF('.'!C261="","",'.'!C261&amp;IF(VLOOKUP('.'!C261,Recipes!$A:$D,4,FALSE)="",""," ["&amp;VLOOKUP('.'!C261,Recipes!$A:$D,4,FALSE)&amp;"]"))</f>
        <v/>
      </c>
      <c r="D261" s="46" t="str">
        <f t="array" ref="D261">IF('.'!D261="","",'.'!D261&amp;IF(VLOOKUP('.'!D261,Recipes!$A:$D,4,FALSE)="",""," ["&amp;VLOOKUP('.'!D261,Recipes!$A:$D,4,FALSE)&amp;"]"))</f>
        <v/>
      </c>
      <c r="E261" s="46" t="str">
        <f t="array" ref="E261">IF('.'!E261="","",'.'!E261&amp;IF(VLOOKUP('.'!E261,Recipes!$A:$D,4,FALSE)="",""," ["&amp;VLOOKUP('.'!E261,Recipes!$A:$D,4,FALSE)&amp;"]"))</f>
        <v/>
      </c>
      <c r="F261" s="46" t="str">
        <f t="array" ref="F261">IF('.'!F261="","",'.'!F261&amp;IF(VLOOKUP('.'!F261,Recipes!$A:$D,4,FALSE)="",""," ["&amp;VLOOKUP('.'!F261,Recipes!$A:$D,4,FALSE)&amp;"]"))</f>
        <v/>
      </c>
      <c r="G261" s="46" t="str">
        <f t="array" ref="G261">IF('.'!G261="","",'.'!G261&amp;IF(VLOOKUP('.'!G261,Recipes!$A:$D,4,FALSE)="",""," ["&amp;VLOOKUP('.'!G261,Recipes!$A:$D,4,FALSE)&amp;"]"))</f>
        <v/>
      </c>
      <c r="H261" s="46" t="str">
        <f t="array" ref="H261">IF('.'!H261="","",'.'!H261&amp;IF(VLOOKUP('.'!H261,Recipes!$A:$D,4,FALSE)="",""," ["&amp;VLOOKUP('.'!H261,Recipes!$A:$D,4,FALSE)&amp;"]"))</f>
        <v/>
      </c>
      <c r="I261" s="46" t="str">
        <f t="array" ref="I261">IF('.'!I261="","",'.'!I261&amp;IF(VLOOKUP('.'!I261,Recipes!$A:$D,4,FALSE)="",""," ["&amp;VLOOKUP('.'!I261,Recipes!$A:$D,4,FALSE)&amp;"]"))</f>
        <v/>
      </c>
      <c r="J261" s="46" t="str">
        <f t="array" ref="J261">IF('.'!J261="","",'.'!J261&amp;IF(VLOOKUP('.'!J261,Recipes!$A:$D,4,FALSE)="",""," ["&amp;VLOOKUP('.'!J261,Recipes!$A:$D,4,FALSE)&amp;"]"))</f>
        <v/>
      </c>
      <c r="K261" s="46" t="str">
        <f t="array" ref="K261">IF('.'!K261="","",'.'!K261&amp;IF(VLOOKUP('.'!K261,Recipes!$A:$D,4,FALSE)="",""," ["&amp;VLOOKUP('.'!K261,Recipes!$A:$D,4,FALSE)&amp;"]"))</f>
        <v/>
      </c>
      <c r="L261" s="46" t="str">
        <f t="array" ref="L261">IF('.'!L261="","",'.'!L261&amp;IF(VLOOKUP('.'!L261,Recipes!$A:$D,4,FALSE)="",""," ["&amp;VLOOKUP('.'!L261,Recipes!$A:$D,4,FALSE)&amp;"]"))</f>
        <v/>
      </c>
      <c r="M261" s="46" t="str">
        <f t="array" ref="M261">IF('.'!M261="","",'.'!M261&amp;IF(VLOOKUP('.'!M261,Recipes!$A:$D,4,FALSE)="",""," ["&amp;VLOOKUP('.'!M261,Recipes!$A:$D,4,FALSE)&amp;"]"))</f>
        <v/>
      </c>
      <c r="N261" s="46" t="str">
        <f t="array" ref="N261">IF('.'!N261="","",'.'!N261&amp;IF(VLOOKUP('.'!N261,Recipes!$A:$D,4,FALSE)="",""," ["&amp;VLOOKUP('.'!N261,Recipes!$A:$D,4,FALSE)&amp;"]"))</f>
        <v/>
      </c>
      <c r="O261" s="46" t="str">
        <f t="array" ref="O261">IF('.'!O261="","",'.'!O261&amp;IF(VLOOKUP('.'!O261,Recipes!$A:$D,4,FALSE)="",""," ["&amp;VLOOKUP('.'!O261,Recipes!$A:$D,4,FALSE)&amp;"]"))</f>
        <v/>
      </c>
      <c r="P261" s="46" t="str">
        <f t="array" ref="P261">IF('.'!P261="","",'.'!P261&amp;IF(VLOOKUP('.'!P261,Recipes!$A:$D,4,FALSE)="",""," ["&amp;VLOOKUP('.'!P261,Recipes!$A:$D,4,FALSE)&amp;"]"))</f>
        <v/>
      </c>
      <c r="Q261" s="46" t="str">
        <f t="array" ref="Q261">IF('.'!Q261="","",'.'!Q261&amp;IF(VLOOKUP('.'!Q261,Recipes!$A:$D,4,FALSE)="",""," ["&amp;VLOOKUP('.'!Q261,Recipes!$A:$D,4,FALSE)&amp;"]"))</f>
        <v/>
      </c>
      <c r="R261" s="46" t="str">
        <f t="array" ref="R261">IF('.'!R261="","",'.'!R261&amp;IF(VLOOKUP('.'!R261,Recipes!$A:$D,4,FALSE)="",""," ["&amp;VLOOKUP('.'!R261,Recipes!$A:$D,4,FALSE)&amp;"]"))</f>
        <v/>
      </c>
      <c r="S261" s="46" t="str">
        <f t="array" ref="S261">IF('.'!S261="","",'.'!S261&amp;IF(VLOOKUP('.'!S261,Recipes!$A:$D,4,FALSE)="",""," ["&amp;VLOOKUP('.'!S261,Recipes!$A:$D,4,FALSE)&amp;"]"))</f>
        <v/>
      </c>
      <c r="T261" s="46" t="str">
        <f t="array" ref="T261">IF('.'!T261="","",'.'!T261&amp;IF(VLOOKUP('.'!T261,Recipes!$A:$D,4,FALSE)="",""," ["&amp;VLOOKUP('.'!T261,Recipes!$A:$D,4,FALSE)&amp;"]"))</f>
        <v/>
      </c>
      <c r="U261" s="46" t="str">
        <f t="array" ref="U261">IF('.'!U261="","",'.'!U261&amp;IF(VLOOKUP('.'!U261,Recipes!$A:$D,4,FALSE)="",""," ["&amp;VLOOKUP('.'!U261,Recipes!$A:$D,4,FALSE)&amp;"]"))</f>
        <v/>
      </c>
      <c r="V261" s="46" t="str">
        <f t="array" ref="V261">IF('.'!V261="","",'.'!V261&amp;IF(VLOOKUP('.'!V261,Recipes!$A:$D,4,FALSE)="",""," ["&amp;VLOOKUP('.'!V261,Recipes!$A:$D,4,FALSE)&amp;"]"))</f>
        <v/>
      </c>
      <c r="W261" s="46" t="str">
        <f t="array" ref="W261">IF('.'!W261="","",'.'!W261&amp;IF(VLOOKUP('.'!W261,Recipes!$A:$D,4,FALSE)="",""," ["&amp;VLOOKUP('.'!W261,Recipes!$A:$D,4,FALSE)&amp;"]"))</f>
        <v/>
      </c>
      <c r="X261" s="46" t="str">
        <f t="array" ref="X261">IF('.'!X261="","",'.'!X261&amp;IF(VLOOKUP('.'!X261,Recipes!$A:$D,4,FALSE)="",""," ["&amp;VLOOKUP('.'!X261,Recipes!$A:$D,4,FALSE)&amp;"]"))</f>
        <v/>
      </c>
      <c r="Y261" s="46" t="str">
        <f t="array" ref="Y261">IF('.'!Y261="","",'.'!Y261&amp;IF(VLOOKUP('.'!Y261,Recipes!$A:$D,4,FALSE)="",""," ["&amp;VLOOKUP('.'!Y261,Recipes!$A:$D,4,FALSE)&amp;"]"))</f>
        <v/>
      </c>
      <c r="Z261" s="46" t="str">
        <f t="array" ref="Z261">IF('.'!Z261="","",'.'!Z261&amp;IF(VLOOKUP('.'!Z261,Recipes!$A:$D,4,FALSE)="",""," ["&amp;VLOOKUP('.'!Z261,Recipes!$A:$D,4,FALSE)&amp;"]"))</f>
        <v/>
      </c>
      <c r="AA261" s="46" t="str">
        <f t="array" ref="AA261">IF('.'!AA261="","",'.'!AA261&amp;IF(VLOOKUP('.'!AA261,Recipes!$A:$D,4,FALSE)="",""," ["&amp;VLOOKUP('.'!AA261,Recipes!$A:$D,4,FALSE)&amp;"]"))</f>
        <v/>
      </c>
      <c r="AB261" s="46" t="str">
        <f t="array" ref="AB261">IF('.'!AB261="","",'.'!AB261&amp;IF(VLOOKUP('.'!AB261,Recipes!$A:$D,4,FALSE)="",""," ["&amp;VLOOKUP('.'!AB261,Recipes!$A:$D,4,FALSE)&amp;"]"))</f>
        <v/>
      </c>
      <c r="AC261" s="46" t="str">
        <f t="array" ref="AC261">IF('.'!AC261="","",'.'!AC261&amp;IF(VLOOKUP('.'!AC261,Recipes!$A:$D,4,FALSE)="",""," ["&amp;VLOOKUP('.'!AC261,Recipes!$A:$D,4,FALSE)&amp;"]"))</f>
        <v/>
      </c>
      <c r="AD261" s="46" t="str">
        <f t="array" ref="AD261">IF('.'!AD261="","",'.'!AD261&amp;IF(VLOOKUP('.'!AD261,Recipes!$A:$D,4,FALSE)="",""," ["&amp;VLOOKUP('.'!AD261,Recipes!$A:$D,4,FALSE)&amp;"]"))</f>
        <v/>
      </c>
      <c r="AE261" s="47"/>
      <c r="AF261" s="47"/>
      <c r="AG261" s="47"/>
      <c r="AH261" s="47"/>
      <c r="AI261" s="47"/>
      <c r="AJ261" s="47"/>
      <c r="AK261" s="47"/>
      <c r="AL261" s="47"/>
      <c r="AM261" s="47"/>
      <c r="AN261" s="47"/>
      <c r="AO261" s="47"/>
      <c r="AP261" s="47"/>
      <c r="AQ261" s="47"/>
      <c r="AR261" s="47"/>
      <c r="AS261" s="47"/>
      <c r="AT261" s="47"/>
      <c r="AU261" s="47"/>
      <c r="AV261" s="47"/>
      <c r="AW261" s="47"/>
      <c r="AX261" s="47"/>
      <c r="AY261" s="47"/>
      <c r="AZ261" s="47"/>
      <c r="BA261" s="47"/>
      <c r="BB261" s="47"/>
      <c r="BC261" s="47"/>
      <c r="BD261" s="47"/>
      <c r="BE261" s="47"/>
      <c r="BF261" s="47"/>
      <c r="BG261" s="47"/>
      <c r="BH261" s="47"/>
      <c r="BI261" s="47"/>
      <c r="BJ261" s="47"/>
      <c r="BK261" s="47"/>
      <c r="BL261" s="47"/>
      <c r="BM261" s="47"/>
      <c r="BN261" s="47"/>
      <c r="BO261" s="47"/>
      <c r="BP261" s="47"/>
      <c r="BQ261" s="47"/>
      <c r="BR261" s="47"/>
      <c r="BS261" s="47"/>
      <c r="BT261" s="47"/>
      <c r="BU261" s="47"/>
      <c r="BV261" s="47"/>
      <c r="BW261" s="47"/>
      <c r="BX261" s="47"/>
      <c r="BY261" s="47"/>
      <c r="BZ261" s="47"/>
    </row>
    <row r="262" spans="1:78" ht="13">
      <c r="A262" s="48" t="str">
        <f ca="1">'.'!A262</f>
        <v>Large Flame Rune</v>
      </c>
      <c r="B262" s="46" t="str">
        <f t="array" aca="1" ref="B262" ca="1">IF('.'!B262="","",'.'!B262&amp;IF(VLOOKUP('.'!B262,Recipes!$A:$D,4,FALSE)="",""," ["&amp;VLOOKUP('.'!B262,Recipes!$A:$D,4,FALSE)&amp;"]"))</f>
        <v>Giant Flame Rune [-1290]</v>
      </c>
      <c r="C262" s="46" t="str">
        <f t="array" aca="1" ref="C262" ca="1">IF('.'!C262="","",'.'!C262&amp;IF(VLOOKUP('.'!C262,Recipes!$A:$D,4,FALSE)="",""," ["&amp;VLOOKUP('.'!C262,Recipes!$A:$D,4,FALSE)&amp;"]"))</f>
        <v>Large Flame Rune of Power [0]</v>
      </c>
      <c r="D262" s="46" t="str">
        <f t="array" aca="1" ref="D262" ca="1">IF('.'!D262="","",'.'!D262&amp;IF(VLOOKUP('.'!D262,Recipes!$A:$D,4,FALSE)="",""," ["&amp;VLOOKUP('.'!D262,Recipes!$A:$D,4,FALSE)&amp;"]"))</f>
        <v>Mystical Large Flame Rune [0]</v>
      </c>
      <c r="E262" s="46" t="str">
        <f t="array" ref="E262">IF('.'!E262="","",'.'!E262&amp;IF(VLOOKUP('.'!E262,Recipes!$A:$D,4,FALSE)="",""," ["&amp;VLOOKUP('.'!E262,Recipes!$A:$D,4,FALSE)&amp;"]"))</f>
        <v/>
      </c>
      <c r="F262" s="46" t="str">
        <f t="array" ref="F262">IF('.'!F262="","",'.'!F262&amp;IF(VLOOKUP('.'!F262,Recipes!$A:$D,4,FALSE)="",""," ["&amp;VLOOKUP('.'!F262,Recipes!$A:$D,4,FALSE)&amp;"]"))</f>
        <v/>
      </c>
      <c r="G262" s="46" t="str">
        <f t="array" ref="G262">IF('.'!G262="","",'.'!G262&amp;IF(VLOOKUP('.'!G262,Recipes!$A:$D,4,FALSE)="",""," ["&amp;VLOOKUP('.'!G262,Recipes!$A:$D,4,FALSE)&amp;"]"))</f>
        <v/>
      </c>
      <c r="H262" s="46" t="str">
        <f t="array" ref="H262">IF('.'!H262="","",'.'!H262&amp;IF(VLOOKUP('.'!H262,Recipes!$A:$D,4,FALSE)="",""," ["&amp;VLOOKUP('.'!H262,Recipes!$A:$D,4,FALSE)&amp;"]"))</f>
        <v/>
      </c>
      <c r="I262" s="46" t="str">
        <f t="array" ref="I262">IF('.'!I262="","",'.'!I262&amp;IF(VLOOKUP('.'!I262,Recipes!$A:$D,4,FALSE)="",""," ["&amp;VLOOKUP('.'!I262,Recipes!$A:$D,4,FALSE)&amp;"]"))</f>
        <v/>
      </c>
      <c r="J262" s="46" t="str">
        <f t="array" ref="J262">IF('.'!J262="","",'.'!J262&amp;IF(VLOOKUP('.'!J262,Recipes!$A:$D,4,FALSE)="",""," ["&amp;VLOOKUP('.'!J262,Recipes!$A:$D,4,FALSE)&amp;"]"))</f>
        <v/>
      </c>
      <c r="K262" s="46" t="str">
        <f t="array" ref="K262">IF('.'!K262="","",'.'!K262&amp;IF(VLOOKUP('.'!K262,Recipes!$A:$D,4,FALSE)="",""," ["&amp;VLOOKUP('.'!K262,Recipes!$A:$D,4,FALSE)&amp;"]"))</f>
        <v/>
      </c>
      <c r="L262" s="46" t="str">
        <f t="array" ref="L262">IF('.'!L262="","",'.'!L262&amp;IF(VLOOKUP('.'!L262,Recipes!$A:$D,4,FALSE)="",""," ["&amp;VLOOKUP('.'!L262,Recipes!$A:$D,4,FALSE)&amp;"]"))</f>
        <v/>
      </c>
      <c r="M262" s="46" t="str">
        <f t="array" ref="M262">IF('.'!M262="","",'.'!M262&amp;IF(VLOOKUP('.'!M262,Recipes!$A:$D,4,FALSE)="",""," ["&amp;VLOOKUP('.'!M262,Recipes!$A:$D,4,FALSE)&amp;"]"))</f>
        <v/>
      </c>
      <c r="N262" s="46" t="str">
        <f t="array" ref="N262">IF('.'!N262="","",'.'!N262&amp;IF(VLOOKUP('.'!N262,Recipes!$A:$D,4,FALSE)="",""," ["&amp;VLOOKUP('.'!N262,Recipes!$A:$D,4,FALSE)&amp;"]"))</f>
        <v/>
      </c>
      <c r="O262" s="46" t="str">
        <f t="array" ref="O262">IF('.'!O262="","",'.'!O262&amp;IF(VLOOKUP('.'!O262,Recipes!$A:$D,4,FALSE)="",""," ["&amp;VLOOKUP('.'!O262,Recipes!$A:$D,4,FALSE)&amp;"]"))</f>
        <v/>
      </c>
      <c r="P262" s="46" t="str">
        <f t="array" ref="P262">IF('.'!P262="","",'.'!P262&amp;IF(VLOOKUP('.'!P262,Recipes!$A:$D,4,FALSE)="",""," ["&amp;VLOOKUP('.'!P262,Recipes!$A:$D,4,FALSE)&amp;"]"))</f>
        <v/>
      </c>
      <c r="Q262" s="46" t="str">
        <f t="array" ref="Q262">IF('.'!Q262="","",'.'!Q262&amp;IF(VLOOKUP('.'!Q262,Recipes!$A:$D,4,FALSE)="",""," ["&amp;VLOOKUP('.'!Q262,Recipes!$A:$D,4,FALSE)&amp;"]"))</f>
        <v/>
      </c>
      <c r="R262" s="46" t="str">
        <f t="array" ref="R262">IF('.'!R262="","",'.'!R262&amp;IF(VLOOKUP('.'!R262,Recipes!$A:$D,4,FALSE)="",""," ["&amp;VLOOKUP('.'!R262,Recipes!$A:$D,4,FALSE)&amp;"]"))</f>
        <v/>
      </c>
      <c r="S262" s="46" t="str">
        <f t="array" ref="S262">IF('.'!S262="","",'.'!S262&amp;IF(VLOOKUP('.'!S262,Recipes!$A:$D,4,FALSE)="",""," ["&amp;VLOOKUP('.'!S262,Recipes!$A:$D,4,FALSE)&amp;"]"))</f>
        <v/>
      </c>
      <c r="T262" s="46" t="str">
        <f t="array" ref="T262">IF('.'!T262="","",'.'!T262&amp;IF(VLOOKUP('.'!T262,Recipes!$A:$D,4,FALSE)="",""," ["&amp;VLOOKUP('.'!T262,Recipes!$A:$D,4,FALSE)&amp;"]"))</f>
        <v/>
      </c>
      <c r="U262" s="46" t="str">
        <f t="array" ref="U262">IF('.'!U262="","",'.'!U262&amp;IF(VLOOKUP('.'!U262,Recipes!$A:$D,4,FALSE)="",""," ["&amp;VLOOKUP('.'!U262,Recipes!$A:$D,4,FALSE)&amp;"]"))</f>
        <v/>
      </c>
      <c r="V262" s="46" t="str">
        <f t="array" ref="V262">IF('.'!V262="","",'.'!V262&amp;IF(VLOOKUP('.'!V262,Recipes!$A:$D,4,FALSE)="",""," ["&amp;VLOOKUP('.'!V262,Recipes!$A:$D,4,FALSE)&amp;"]"))</f>
        <v/>
      </c>
      <c r="W262" s="46" t="str">
        <f t="array" ref="W262">IF('.'!W262="","",'.'!W262&amp;IF(VLOOKUP('.'!W262,Recipes!$A:$D,4,FALSE)="",""," ["&amp;VLOOKUP('.'!W262,Recipes!$A:$D,4,FALSE)&amp;"]"))</f>
        <v/>
      </c>
      <c r="X262" s="46" t="str">
        <f t="array" ref="X262">IF('.'!X262="","",'.'!X262&amp;IF(VLOOKUP('.'!X262,Recipes!$A:$D,4,FALSE)="",""," ["&amp;VLOOKUP('.'!X262,Recipes!$A:$D,4,FALSE)&amp;"]"))</f>
        <v/>
      </c>
      <c r="Y262" s="46" t="str">
        <f t="array" ref="Y262">IF('.'!Y262="","",'.'!Y262&amp;IF(VLOOKUP('.'!Y262,Recipes!$A:$D,4,FALSE)="",""," ["&amp;VLOOKUP('.'!Y262,Recipes!$A:$D,4,FALSE)&amp;"]"))</f>
        <v/>
      </c>
      <c r="Z262" s="46" t="str">
        <f t="array" ref="Z262">IF('.'!Z262="","",'.'!Z262&amp;IF(VLOOKUP('.'!Z262,Recipes!$A:$D,4,FALSE)="",""," ["&amp;VLOOKUP('.'!Z262,Recipes!$A:$D,4,FALSE)&amp;"]"))</f>
        <v/>
      </c>
      <c r="AA262" s="46" t="str">
        <f t="array" ref="AA262">IF('.'!AA262="","",'.'!AA262&amp;IF(VLOOKUP('.'!AA262,Recipes!$A:$D,4,FALSE)="",""," ["&amp;VLOOKUP('.'!AA262,Recipes!$A:$D,4,FALSE)&amp;"]"))</f>
        <v/>
      </c>
      <c r="AB262" s="46" t="str">
        <f t="array" ref="AB262">IF('.'!AB262="","",'.'!AB262&amp;IF(VLOOKUP('.'!AB262,Recipes!$A:$D,4,FALSE)="",""," ["&amp;VLOOKUP('.'!AB262,Recipes!$A:$D,4,FALSE)&amp;"]"))</f>
        <v/>
      </c>
      <c r="AC262" s="46" t="str">
        <f t="array" ref="AC262">IF('.'!AC262="","",'.'!AC262&amp;IF(VLOOKUP('.'!AC262,Recipes!$A:$D,4,FALSE)="",""," ["&amp;VLOOKUP('.'!AC262,Recipes!$A:$D,4,FALSE)&amp;"]"))</f>
        <v/>
      </c>
      <c r="AD262" s="46" t="str">
        <f t="array" ref="AD262">IF('.'!AD262="","",'.'!AD262&amp;IF(VLOOKUP('.'!AD262,Recipes!$A:$D,4,FALSE)="",""," ["&amp;VLOOKUP('.'!AD262,Recipes!$A:$D,4,FALSE)&amp;"]"))</f>
        <v/>
      </c>
      <c r="AE262" s="47"/>
      <c r="AF262" s="47"/>
      <c r="AG262" s="47"/>
      <c r="AH262" s="47"/>
      <c r="AI262" s="47"/>
      <c r="AJ262" s="47"/>
      <c r="AK262" s="47"/>
      <c r="AL262" s="47"/>
      <c r="AM262" s="47"/>
      <c r="AN262" s="47"/>
      <c r="AO262" s="47"/>
      <c r="AP262" s="47"/>
      <c r="AQ262" s="47"/>
      <c r="AR262" s="47"/>
      <c r="AS262" s="47"/>
      <c r="AT262" s="47"/>
      <c r="AU262" s="47"/>
      <c r="AV262" s="47"/>
      <c r="AW262" s="47"/>
      <c r="AX262" s="47"/>
      <c r="AY262" s="47"/>
      <c r="AZ262" s="47"/>
      <c r="BA262" s="47"/>
      <c r="BB262" s="47"/>
      <c r="BC262" s="47"/>
      <c r="BD262" s="47"/>
      <c r="BE262" s="47"/>
      <c r="BF262" s="47"/>
      <c r="BG262" s="47"/>
      <c r="BH262" s="47"/>
      <c r="BI262" s="47"/>
      <c r="BJ262" s="47"/>
      <c r="BK262" s="47"/>
      <c r="BL262" s="47"/>
      <c r="BM262" s="47"/>
      <c r="BN262" s="47"/>
      <c r="BO262" s="47"/>
      <c r="BP262" s="47"/>
      <c r="BQ262" s="47"/>
      <c r="BR262" s="47"/>
      <c r="BS262" s="47"/>
      <c r="BT262" s="47"/>
      <c r="BU262" s="47"/>
      <c r="BV262" s="47"/>
      <c r="BW262" s="47"/>
      <c r="BX262" s="47"/>
      <c r="BY262" s="47"/>
      <c r="BZ262" s="47"/>
    </row>
    <row r="263" spans="1:78" ht="13">
      <c r="A263" s="48" t="str">
        <f ca="1">'.'!A263</f>
        <v>Large Frost Rune</v>
      </c>
      <c r="B263" s="46" t="str">
        <f t="array" aca="1" ref="B263" ca="1">IF('.'!B263="","",'.'!B263&amp;IF(VLOOKUP('.'!B263,Recipes!$A:$D,4,FALSE)="",""," ["&amp;VLOOKUP('.'!B263,Recipes!$A:$D,4,FALSE)&amp;"]"))</f>
        <v>Giant Frost Rune [-1290]</v>
      </c>
      <c r="C263" s="46" t="str">
        <f t="array" aca="1" ref="C263" ca="1">IF('.'!C263="","",'.'!C263&amp;IF(VLOOKUP('.'!C263,Recipes!$A:$D,4,FALSE)="",""," ["&amp;VLOOKUP('.'!C263,Recipes!$A:$D,4,FALSE)&amp;"]"))</f>
        <v>Large Frost Rune of Power [0]</v>
      </c>
      <c r="D263" s="46" t="str">
        <f t="array" aca="1" ref="D263" ca="1">IF('.'!D263="","",'.'!D263&amp;IF(VLOOKUP('.'!D263,Recipes!$A:$D,4,FALSE)="",""," ["&amp;VLOOKUP('.'!D263,Recipes!$A:$D,4,FALSE)&amp;"]"))</f>
        <v>Mystical Large Frost Rune [0]</v>
      </c>
      <c r="E263" s="46" t="str">
        <f t="array" ref="E263">IF('.'!E263="","",'.'!E263&amp;IF(VLOOKUP('.'!E263,Recipes!$A:$D,4,FALSE)="",""," ["&amp;VLOOKUP('.'!E263,Recipes!$A:$D,4,FALSE)&amp;"]"))</f>
        <v/>
      </c>
      <c r="F263" s="46" t="str">
        <f t="array" ref="F263">IF('.'!F263="","",'.'!F263&amp;IF(VLOOKUP('.'!F263,Recipes!$A:$D,4,FALSE)="",""," ["&amp;VLOOKUP('.'!F263,Recipes!$A:$D,4,FALSE)&amp;"]"))</f>
        <v/>
      </c>
      <c r="G263" s="46" t="str">
        <f t="array" ref="G263">IF('.'!G263="","",'.'!G263&amp;IF(VLOOKUP('.'!G263,Recipes!$A:$D,4,FALSE)="",""," ["&amp;VLOOKUP('.'!G263,Recipes!$A:$D,4,FALSE)&amp;"]"))</f>
        <v/>
      </c>
      <c r="H263" s="46" t="str">
        <f t="array" ref="H263">IF('.'!H263="","",'.'!H263&amp;IF(VLOOKUP('.'!H263,Recipes!$A:$D,4,FALSE)="",""," ["&amp;VLOOKUP('.'!H263,Recipes!$A:$D,4,FALSE)&amp;"]"))</f>
        <v/>
      </c>
      <c r="I263" s="46" t="str">
        <f t="array" ref="I263">IF('.'!I263="","",'.'!I263&amp;IF(VLOOKUP('.'!I263,Recipes!$A:$D,4,FALSE)="",""," ["&amp;VLOOKUP('.'!I263,Recipes!$A:$D,4,FALSE)&amp;"]"))</f>
        <v/>
      </c>
      <c r="J263" s="46" t="str">
        <f t="array" ref="J263">IF('.'!J263="","",'.'!J263&amp;IF(VLOOKUP('.'!J263,Recipes!$A:$D,4,FALSE)="",""," ["&amp;VLOOKUP('.'!J263,Recipes!$A:$D,4,FALSE)&amp;"]"))</f>
        <v/>
      </c>
      <c r="K263" s="46" t="str">
        <f t="array" ref="K263">IF('.'!K263="","",'.'!K263&amp;IF(VLOOKUP('.'!K263,Recipes!$A:$D,4,FALSE)="",""," ["&amp;VLOOKUP('.'!K263,Recipes!$A:$D,4,FALSE)&amp;"]"))</f>
        <v/>
      </c>
      <c r="L263" s="46" t="str">
        <f t="array" ref="L263">IF('.'!L263="","",'.'!L263&amp;IF(VLOOKUP('.'!L263,Recipes!$A:$D,4,FALSE)="",""," ["&amp;VLOOKUP('.'!L263,Recipes!$A:$D,4,FALSE)&amp;"]"))</f>
        <v/>
      </c>
      <c r="M263" s="46" t="str">
        <f t="array" ref="M263">IF('.'!M263="","",'.'!M263&amp;IF(VLOOKUP('.'!M263,Recipes!$A:$D,4,FALSE)="",""," ["&amp;VLOOKUP('.'!M263,Recipes!$A:$D,4,FALSE)&amp;"]"))</f>
        <v/>
      </c>
      <c r="N263" s="46" t="str">
        <f t="array" ref="N263">IF('.'!N263="","",'.'!N263&amp;IF(VLOOKUP('.'!N263,Recipes!$A:$D,4,FALSE)="",""," ["&amp;VLOOKUP('.'!N263,Recipes!$A:$D,4,FALSE)&amp;"]"))</f>
        <v/>
      </c>
      <c r="O263" s="46" t="str">
        <f t="array" ref="O263">IF('.'!O263="","",'.'!O263&amp;IF(VLOOKUP('.'!O263,Recipes!$A:$D,4,FALSE)="",""," ["&amp;VLOOKUP('.'!O263,Recipes!$A:$D,4,FALSE)&amp;"]"))</f>
        <v/>
      </c>
      <c r="P263" s="46" t="str">
        <f t="array" ref="P263">IF('.'!P263="","",'.'!P263&amp;IF(VLOOKUP('.'!P263,Recipes!$A:$D,4,FALSE)="",""," ["&amp;VLOOKUP('.'!P263,Recipes!$A:$D,4,FALSE)&amp;"]"))</f>
        <v/>
      </c>
      <c r="Q263" s="46" t="str">
        <f t="array" ref="Q263">IF('.'!Q263="","",'.'!Q263&amp;IF(VLOOKUP('.'!Q263,Recipes!$A:$D,4,FALSE)="",""," ["&amp;VLOOKUP('.'!Q263,Recipes!$A:$D,4,FALSE)&amp;"]"))</f>
        <v/>
      </c>
      <c r="R263" s="46" t="str">
        <f t="array" ref="R263">IF('.'!R263="","",'.'!R263&amp;IF(VLOOKUP('.'!R263,Recipes!$A:$D,4,FALSE)="",""," ["&amp;VLOOKUP('.'!R263,Recipes!$A:$D,4,FALSE)&amp;"]"))</f>
        <v/>
      </c>
      <c r="S263" s="46" t="str">
        <f t="array" ref="S263">IF('.'!S263="","",'.'!S263&amp;IF(VLOOKUP('.'!S263,Recipes!$A:$D,4,FALSE)="",""," ["&amp;VLOOKUP('.'!S263,Recipes!$A:$D,4,FALSE)&amp;"]"))</f>
        <v/>
      </c>
      <c r="T263" s="46" t="str">
        <f t="array" ref="T263">IF('.'!T263="","",'.'!T263&amp;IF(VLOOKUP('.'!T263,Recipes!$A:$D,4,FALSE)="",""," ["&amp;VLOOKUP('.'!T263,Recipes!$A:$D,4,FALSE)&amp;"]"))</f>
        <v/>
      </c>
      <c r="U263" s="46" t="str">
        <f t="array" ref="U263">IF('.'!U263="","",'.'!U263&amp;IF(VLOOKUP('.'!U263,Recipes!$A:$D,4,FALSE)="",""," ["&amp;VLOOKUP('.'!U263,Recipes!$A:$D,4,FALSE)&amp;"]"))</f>
        <v/>
      </c>
      <c r="V263" s="46" t="str">
        <f t="array" ref="V263">IF('.'!V263="","",'.'!V263&amp;IF(VLOOKUP('.'!V263,Recipes!$A:$D,4,FALSE)="",""," ["&amp;VLOOKUP('.'!V263,Recipes!$A:$D,4,FALSE)&amp;"]"))</f>
        <v/>
      </c>
      <c r="W263" s="46" t="str">
        <f t="array" ref="W263">IF('.'!W263="","",'.'!W263&amp;IF(VLOOKUP('.'!W263,Recipes!$A:$D,4,FALSE)="",""," ["&amp;VLOOKUP('.'!W263,Recipes!$A:$D,4,FALSE)&amp;"]"))</f>
        <v/>
      </c>
      <c r="X263" s="46" t="str">
        <f t="array" ref="X263">IF('.'!X263="","",'.'!X263&amp;IF(VLOOKUP('.'!X263,Recipes!$A:$D,4,FALSE)="",""," ["&amp;VLOOKUP('.'!X263,Recipes!$A:$D,4,FALSE)&amp;"]"))</f>
        <v/>
      </c>
      <c r="Y263" s="46" t="str">
        <f t="array" ref="Y263">IF('.'!Y263="","",'.'!Y263&amp;IF(VLOOKUP('.'!Y263,Recipes!$A:$D,4,FALSE)="",""," ["&amp;VLOOKUP('.'!Y263,Recipes!$A:$D,4,FALSE)&amp;"]"))</f>
        <v/>
      </c>
      <c r="Z263" s="46" t="str">
        <f t="array" ref="Z263">IF('.'!Z263="","",'.'!Z263&amp;IF(VLOOKUP('.'!Z263,Recipes!$A:$D,4,FALSE)="",""," ["&amp;VLOOKUP('.'!Z263,Recipes!$A:$D,4,FALSE)&amp;"]"))</f>
        <v/>
      </c>
      <c r="AA263" s="46" t="str">
        <f t="array" ref="AA263">IF('.'!AA263="","",'.'!AA263&amp;IF(VLOOKUP('.'!AA263,Recipes!$A:$D,4,FALSE)="",""," ["&amp;VLOOKUP('.'!AA263,Recipes!$A:$D,4,FALSE)&amp;"]"))</f>
        <v/>
      </c>
      <c r="AB263" s="46" t="str">
        <f t="array" ref="AB263">IF('.'!AB263="","",'.'!AB263&amp;IF(VLOOKUP('.'!AB263,Recipes!$A:$D,4,FALSE)="",""," ["&amp;VLOOKUP('.'!AB263,Recipes!$A:$D,4,FALSE)&amp;"]"))</f>
        <v/>
      </c>
      <c r="AC263" s="46" t="str">
        <f t="array" ref="AC263">IF('.'!AC263="","",'.'!AC263&amp;IF(VLOOKUP('.'!AC263,Recipes!$A:$D,4,FALSE)="",""," ["&amp;VLOOKUP('.'!AC263,Recipes!$A:$D,4,FALSE)&amp;"]"))</f>
        <v/>
      </c>
      <c r="AD263" s="46" t="str">
        <f t="array" ref="AD263">IF('.'!AD263="","",'.'!AD263&amp;IF(VLOOKUP('.'!AD263,Recipes!$A:$D,4,FALSE)="",""," ["&amp;VLOOKUP('.'!AD263,Recipes!$A:$D,4,FALSE)&amp;"]"))</f>
        <v/>
      </c>
      <c r="AE263" s="47"/>
      <c r="AF263" s="47"/>
      <c r="AG263" s="47"/>
      <c r="AH263" s="47"/>
      <c r="AI263" s="47"/>
      <c r="AJ263" s="47"/>
      <c r="AK263" s="47"/>
      <c r="AL263" s="47"/>
      <c r="AM263" s="47"/>
      <c r="AN263" s="47"/>
      <c r="AO263" s="47"/>
      <c r="AP263" s="47"/>
      <c r="AQ263" s="47"/>
      <c r="AR263" s="47"/>
      <c r="AS263" s="47"/>
      <c r="AT263" s="47"/>
      <c r="AU263" s="47"/>
      <c r="AV263" s="47"/>
      <c r="AW263" s="47"/>
      <c r="AX263" s="47"/>
      <c r="AY263" s="47"/>
      <c r="AZ263" s="47"/>
      <c r="BA263" s="47"/>
      <c r="BB263" s="47"/>
      <c r="BC263" s="47"/>
      <c r="BD263" s="47"/>
      <c r="BE263" s="47"/>
      <c r="BF263" s="47"/>
      <c r="BG263" s="47"/>
      <c r="BH263" s="47"/>
      <c r="BI263" s="47"/>
      <c r="BJ263" s="47"/>
      <c r="BK263" s="47"/>
      <c r="BL263" s="47"/>
      <c r="BM263" s="47"/>
      <c r="BN263" s="47"/>
      <c r="BO263" s="47"/>
      <c r="BP263" s="47"/>
      <c r="BQ263" s="47"/>
      <c r="BR263" s="47"/>
      <c r="BS263" s="47"/>
      <c r="BT263" s="47"/>
      <c r="BU263" s="47"/>
      <c r="BV263" s="47"/>
      <c r="BW263" s="47"/>
      <c r="BX263" s="47"/>
      <c r="BY263" s="47"/>
      <c r="BZ263" s="47"/>
    </row>
    <row r="264" spans="1:78" ht="13">
      <c r="A264" s="48" t="str">
        <f ca="1">'.'!A264</f>
        <v>Large Masterwork Rune</v>
      </c>
      <c r="B264" s="46" t="str">
        <f t="array" aca="1" ref="B264" ca="1">IF('.'!B264="","",'.'!B264&amp;IF(VLOOKUP('.'!B264,Recipes!$A:$D,4,FALSE)="",""," ["&amp;VLOOKUP('.'!B264,Recipes!$A:$D,4,FALSE)&amp;"]"))</f>
        <v>Giant Masterwork Rune [-1290]</v>
      </c>
      <c r="C264" s="46" t="str">
        <f t="array" aca="1" ref="C264" ca="1">IF('.'!C264="","",'.'!C264&amp;IF(VLOOKUP('.'!C264,Recipes!$A:$D,4,FALSE)="",""," ["&amp;VLOOKUP('.'!C264,Recipes!$A:$D,4,FALSE)&amp;"]"))</f>
        <v>Large Masterwork Rune of Power [0]</v>
      </c>
      <c r="D264" s="46" t="str">
        <f t="array" aca="1" ref="D264" ca="1">IF('.'!D264="","",'.'!D264&amp;IF(VLOOKUP('.'!D264,Recipes!$A:$D,4,FALSE)="",""," ["&amp;VLOOKUP('.'!D264,Recipes!$A:$D,4,FALSE)&amp;"]"))</f>
        <v>Mystical Large Masterwork Rune [0]</v>
      </c>
      <c r="E264" s="46" t="str">
        <f t="array" ref="E264">IF('.'!E264="","",'.'!E264&amp;IF(VLOOKUP('.'!E264,Recipes!$A:$D,4,FALSE)="",""," ["&amp;VLOOKUP('.'!E264,Recipes!$A:$D,4,FALSE)&amp;"]"))</f>
        <v/>
      </c>
      <c r="F264" s="46" t="str">
        <f t="array" ref="F264">IF('.'!F264="","",'.'!F264&amp;IF(VLOOKUP('.'!F264,Recipes!$A:$D,4,FALSE)="",""," ["&amp;VLOOKUP('.'!F264,Recipes!$A:$D,4,FALSE)&amp;"]"))</f>
        <v/>
      </c>
      <c r="G264" s="46" t="str">
        <f t="array" ref="G264">IF('.'!G264="","",'.'!G264&amp;IF(VLOOKUP('.'!G264,Recipes!$A:$D,4,FALSE)="",""," ["&amp;VLOOKUP('.'!G264,Recipes!$A:$D,4,FALSE)&amp;"]"))</f>
        <v/>
      </c>
      <c r="H264" s="46" t="str">
        <f t="array" ref="H264">IF('.'!H264="","",'.'!H264&amp;IF(VLOOKUP('.'!H264,Recipes!$A:$D,4,FALSE)="",""," ["&amp;VLOOKUP('.'!H264,Recipes!$A:$D,4,FALSE)&amp;"]"))</f>
        <v/>
      </c>
      <c r="I264" s="46" t="str">
        <f t="array" ref="I264">IF('.'!I264="","",'.'!I264&amp;IF(VLOOKUP('.'!I264,Recipes!$A:$D,4,FALSE)="",""," ["&amp;VLOOKUP('.'!I264,Recipes!$A:$D,4,FALSE)&amp;"]"))</f>
        <v/>
      </c>
      <c r="J264" s="46" t="str">
        <f t="array" ref="J264">IF('.'!J264="","",'.'!J264&amp;IF(VLOOKUP('.'!J264,Recipes!$A:$D,4,FALSE)="",""," ["&amp;VLOOKUP('.'!J264,Recipes!$A:$D,4,FALSE)&amp;"]"))</f>
        <v/>
      </c>
      <c r="K264" s="46" t="str">
        <f t="array" ref="K264">IF('.'!K264="","",'.'!K264&amp;IF(VLOOKUP('.'!K264,Recipes!$A:$D,4,FALSE)="",""," ["&amp;VLOOKUP('.'!K264,Recipes!$A:$D,4,FALSE)&amp;"]"))</f>
        <v/>
      </c>
      <c r="L264" s="46" t="str">
        <f t="array" ref="L264">IF('.'!L264="","",'.'!L264&amp;IF(VLOOKUP('.'!L264,Recipes!$A:$D,4,FALSE)="",""," ["&amp;VLOOKUP('.'!L264,Recipes!$A:$D,4,FALSE)&amp;"]"))</f>
        <v/>
      </c>
      <c r="M264" s="46" t="str">
        <f t="array" ref="M264">IF('.'!M264="","",'.'!M264&amp;IF(VLOOKUP('.'!M264,Recipes!$A:$D,4,FALSE)="",""," ["&amp;VLOOKUP('.'!M264,Recipes!$A:$D,4,FALSE)&amp;"]"))</f>
        <v/>
      </c>
      <c r="N264" s="46" t="str">
        <f t="array" ref="N264">IF('.'!N264="","",'.'!N264&amp;IF(VLOOKUP('.'!N264,Recipes!$A:$D,4,FALSE)="",""," ["&amp;VLOOKUP('.'!N264,Recipes!$A:$D,4,FALSE)&amp;"]"))</f>
        <v/>
      </c>
      <c r="O264" s="46" t="str">
        <f t="array" ref="O264">IF('.'!O264="","",'.'!O264&amp;IF(VLOOKUP('.'!O264,Recipes!$A:$D,4,FALSE)="",""," ["&amp;VLOOKUP('.'!O264,Recipes!$A:$D,4,FALSE)&amp;"]"))</f>
        <v/>
      </c>
      <c r="P264" s="46" t="str">
        <f t="array" ref="P264">IF('.'!P264="","",'.'!P264&amp;IF(VLOOKUP('.'!P264,Recipes!$A:$D,4,FALSE)="",""," ["&amp;VLOOKUP('.'!P264,Recipes!$A:$D,4,FALSE)&amp;"]"))</f>
        <v/>
      </c>
      <c r="Q264" s="46" t="str">
        <f t="array" ref="Q264">IF('.'!Q264="","",'.'!Q264&amp;IF(VLOOKUP('.'!Q264,Recipes!$A:$D,4,FALSE)="",""," ["&amp;VLOOKUP('.'!Q264,Recipes!$A:$D,4,FALSE)&amp;"]"))</f>
        <v/>
      </c>
      <c r="R264" s="46" t="str">
        <f t="array" ref="R264">IF('.'!R264="","",'.'!R264&amp;IF(VLOOKUP('.'!R264,Recipes!$A:$D,4,FALSE)="",""," ["&amp;VLOOKUP('.'!R264,Recipes!$A:$D,4,FALSE)&amp;"]"))</f>
        <v/>
      </c>
      <c r="S264" s="46" t="str">
        <f t="array" ref="S264">IF('.'!S264="","",'.'!S264&amp;IF(VLOOKUP('.'!S264,Recipes!$A:$D,4,FALSE)="",""," ["&amp;VLOOKUP('.'!S264,Recipes!$A:$D,4,FALSE)&amp;"]"))</f>
        <v/>
      </c>
      <c r="T264" s="46" t="str">
        <f t="array" ref="T264">IF('.'!T264="","",'.'!T264&amp;IF(VLOOKUP('.'!T264,Recipes!$A:$D,4,FALSE)="",""," ["&amp;VLOOKUP('.'!T264,Recipes!$A:$D,4,FALSE)&amp;"]"))</f>
        <v/>
      </c>
      <c r="U264" s="46" t="str">
        <f t="array" ref="U264">IF('.'!U264="","",'.'!U264&amp;IF(VLOOKUP('.'!U264,Recipes!$A:$D,4,FALSE)="",""," ["&amp;VLOOKUP('.'!U264,Recipes!$A:$D,4,FALSE)&amp;"]"))</f>
        <v/>
      </c>
      <c r="V264" s="46" t="str">
        <f t="array" ref="V264">IF('.'!V264="","",'.'!V264&amp;IF(VLOOKUP('.'!V264,Recipes!$A:$D,4,FALSE)="",""," ["&amp;VLOOKUP('.'!V264,Recipes!$A:$D,4,FALSE)&amp;"]"))</f>
        <v/>
      </c>
      <c r="W264" s="46" t="str">
        <f t="array" ref="W264">IF('.'!W264="","",'.'!W264&amp;IF(VLOOKUP('.'!W264,Recipes!$A:$D,4,FALSE)="",""," ["&amp;VLOOKUP('.'!W264,Recipes!$A:$D,4,FALSE)&amp;"]"))</f>
        <v/>
      </c>
      <c r="X264" s="46" t="str">
        <f t="array" ref="X264">IF('.'!X264="","",'.'!X264&amp;IF(VLOOKUP('.'!X264,Recipes!$A:$D,4,FALSE)="",""," ["&amp;VLOOKUP('.'!X264,Recipes!$A:$D,4,FALSE)&amp;"]"))</f>
        <v/>
      </c>
      <c r="Y264" s="46" t="str">
        <f t="array" ref="Y264">IF('.'!Y264="","",'.'!Y264&amp;IF(VLOOKUP('.'!Y264,Recipes!$A:$D,4,FALSE)="",""," ["&amp;VLOOKUP('.'!Y264,Recipes!$A:$D,4,FALSE)&amp;"]"))</f>
        <v/>
      </c>
      <c r="Z264" s="46" t="str">
        <f t="array" ref="Z264">IF('.'!Z264="","",'.'!Z264&amp;IF(VLOOKUP('.'!Z264,Recipes!$A:$D,4,FALSE)="",""," ["&amp;VLOOKUP('.'!Z264,Recipes!$A:$D,4,FALSE)&amp;"]"))</f>
        <v/>
      </c>
      <c r="AA264" s="46" t="str">
        <f t="array" ref="AA264">IF('.'!AA264="","",'.'!AA264&amp;IF(VLOOKUP('.'!AA264,Recipes!$A:$D,4,FALSE)="",""," ["&amp;VLOOKUP('.'!AA264,Recipes!$A:$D,4,FALSE)&amp;"]"))</f>
        <v/>
      </c>
      <c r="AB264" s="46" t="str">
        <f t="array" ref="AB264">IF('.'!AB264="","",'.'!AB264&amp;IF(VLOOKUP('.'!AB264,Recipes!$A:$D,4,FALSE)="",""," ["&amp;VLOOKUP('.'!AB264,Recipes!$A:$D,4,FALSE)&amp;"]"))</f>
        <v/>
      </c>
      <c r="AC264" s="46" t="str">
        <f t="array" ref="AC264">IF('.'!AC264="","",'.'!AC264&amp;IF(VLOOKUP('.'!AC264,Recipes!$A:$D,4,FALSE)="",""," ["&amp;VLOOKUP('.'!AC264,Recipes!$A:$D,4,FALSE)&amp;"]"))</f>
        <v/>
      </c>
      <c r="AD264" s="46" t="str">
        <f t="array" ref="AD264">IF('.'!AD264="","",'.'!AD264&amp;IF(VLOOKUP('.'!AD264,Recipes!$A:$D,4,FALSE)="",""," ["&amp;VLOOKUP('.'!AD264,Recipes!$A:$D,4,FALSE)&amp;"]"))</f>
        <v/>
      </c>
      <c r="AE264" s="47"/>
      <c r="AF264" s="47"/>
      <c r="AG264" s="47"/>
      <c r="AH264" s="47"/>
      <c r="AI264" s="47"/>
      <c r="AJ264" s="47"/>
      <c r="AK264" s="47"/>
      <c r="AL264" s="47"/>
      <c r="AM264" s="47"/>
      <c r="AN264" s="47"/>
      <c r="AO264" s="47"/>
      <c r="AP264" s="47"/>
      <c r="AQ264" s="47"/>
      <c r="AR264" s="47"/>
      <c r="AS264" s="47"/>
      <c r="AT264" s="47"/>
      <c r="AU264" s="47"/>
      <c r="AV264" s="47"/>
      <c r="AW264" s="47"/>
      <c r="AX264" s="47"/>
      <c r="AY264" s="47"/>
      <c r="AZ264" s="47"/>
      <c r="BA264" s="47"/>
      <c r="BB264" s="47"/>
      <c r="BC264" s="47"/>
      <c r="BD264" s="47"/>
      <c r="BE264" s="47"/>
      <c r="BF264" s="47"/>
      <c r="BG264" s="47"/>
      <c r="BH264" s="47"/>
      <c r="BI264" s="47"/>
      <c r="BJ264" s="47"/>
      <c r="BK264" s="47"/>
      <c r="BL264" s="47"/>
      <c r="BM264" s="47"/>
      <c r="BN264" s="47"/>
      <c r="BO264" s="47"/>
      <c r="BP264" s="47"/>
      <c r="BQ264" s="47"/>
      <c r="BR264" s="47"/>
      <c r="BS264" s="47"/>
      <c r="BT264" s="47"/>
      <c r="BU264" s="47"/>
      <c r="BV264" s="47"/>
      <c r="BW264" s="47"/>
      <c r="BX264" s="47"/>
      <c r="BY264" s="47"/>
      <c r="BZ264" s="47"/>
    </row>
    <row r="265" spans="1:78" ht="13">
      <c r="A265" s="48" t="str">
        <f ca="1">'.'!A265</f>
        <v>Large Poison Bottle</v>
      </c>
      <c r="B265" s="46" t="str">
        <f t="array" aca="1" ref="B265" ca="1">IF('.'!B265="","",'.'!B265&amp;IF(VLOOKUP('.'!B265,Recipes!$A:$D,4,FALSE)="",""," ["&amp;VLOOKUP('.'!B265,Recipes!$A:$D,4,FALSE)&amp;"]"))</f>
        <v>Healing Potion [Poisoned] [-80]</v>
      </c>
      <c r="C265" s="46" t="str">
        <f t="array" aca="1" ref="C265" ca="1">IF('.'!C265="","",'.'!C265&amp;IF(VLOOKUP('.'!C265,Recipes!$A:$D,4,FALSE)="",""," ["&amp;VLOOKUP('.'!C265,Recipes!$A:$D,4,FALSE)&amp;"]"))</f>
        <v>Huge Poison Vial [-35]</v>
      </c>
      <c r="D265" s="46" t="str">
        <f t="array" ref="D265">IF('.'!D265="","",'.'!D265&amp;IF(VLOOKUP('.'!D265,Recipes!$A:$D,4,FALSE)="",""," ["&amp;VLOOKUP('.'!D265,Recipes!$A:$D,4,FALSE)&amp;"]"))</f>
        <v/>
      </c>
      <c r="E265" s="46" t="str">
        <f t="array" ref="E265">IF('.'!E265="","",'.'!E265&amp;IF(VLOOKUP('.'!E265,Recipes!$A:$D,4,FALSE)="",""," ["&amp;VLOOKUP('.'!E265,Recipes!$A:$D,4,FALSE)&amp;"]"))</f>
        <v/>
      </c>
      <c r="F265" s="46" t="str">
        <f t="array" ref="F265">IF('.'!F265="","",'.'!F265&amp;IF(VLOOKUP('.'!F265,Recipes!$A:$D,4,FALSE)="",""," ["&amp;VLOOKUP('.'!F265,Recipes!$A:$D,4,FALSE)&amp;"]"))</f>
        <v/>
      </c>
      <c r="G265" s="46" t="str">
        <f t="array" ref="G265">IF('.'!G265="","",'.'!G265&amp;IF(VLOOKUP('.'!G265,Recipes!$A:$D,4,FALSE)="",""," ["&amp;VLOOKUP('.'!G265,Recipes!$A:$D,4,FALSE)&amp;"]"))</f>
        <v/>
      </c>
      <c r="H265" s="46" t="str">
        <f t="array" ref="H265">IF('.'!H265="","",'.'!H265&amp;IF(VLOOKUP('.'!H265,Recipes!$A:$D,4,FALSE)="",""," ["&amp;VLOOKUP('.'!H265,Recipes!$A:$D,4,FALSE)&amp;"]"))</f>
        <v/>
      </c>
      <c r="I265" s="46" t="str">
        <f t="array" ref="I265">IF('.'!I265="","",'.'!I265&amp;IF(VLOOKUP('.'!I265,Recipes!$A:$D,4,FALSE)="",""," ["&amp;VLOOKUP('.'!I265,Recipes!$A:$D,4,FALSE)&amp;"]"))</f>
        <v/>
      </c>
      <c r="J265" s="46" t="str">
        <f t="array" ref="J265">IF('.'!J265="","",'.'!J265&amp;IF(VLOOKUP('.'!J265,Recipes!$A:$D,4,FALSE)="",""," ["&amp;VLOOKUP('.'!J265,Recipes!$A:$D,4,FALSE)&amp;"]"))</f>
        <v/>
      </c>
      <c r="K265" s="46" t="str">
        <f t="array" ref="K265">IF('.'!K265="","",'.'!K265&amp;IF(VLOOKUP('.'!K265,Recipes!$A:$D,4,FALSE)="",""," ["&amp;VLOOKUP('.'!K265,Recipes!$A:$D,4,FALSE)&amp;"]"))</f>
        <v/>
      </c>
      <c r="L265" s="46" t="str">
        <f t="array" ref="L265">IF('.'!L265="","",'.'!L265&amp;IF(VLOOKUP('.'!L265,Recipes!$A:$D,4,FALSE)="",""," ["&amp;VLOOKUP('.'!L265,Recipes!$A:$D,4,FALSE)&amp;"]"))</f>
        <v/>
      </c>
      <c r="M265" s="46" t="str">
        <f t="array" ref="M265">IF('.'!M265="","",'.'!M265&amp;IF(VLOOKUP('.'!M265,Recipes!$A:$D,4,FALSE)="",""," ["&amp;VLOOKUP('.'!M265,Recipes!$A:$D,4,FALSE)&amp;"]"))</f>
        <v/>
      </c>
      <c r="N265" s="46" t="str">
        <f t="array" ref="N265">IF('.'!N265="","",'.'!N265&amp;IF(VLOOKUP('.'!N265,Recipes!$A:$D,4,FALSE)="",""," ["&amp;VLOOKUP('.'!N265,Recipes!$A:$D,4,FALSE)&amp;"]"))</f>
        <v/>
      </c>
      <c r="O265" s="46" t="str">
        <f t="array" ref="O265">IF('.'!O265="","",'.'!O265&amp;IF(VLOOKUP('.'!O265,Recipes!$A:$D,4,FALSE)="",""," ["&amp;VLOOKUP('.'!O265,Recipes!$A:$D,4,FALSE)&amp;"]"))</f>
        <v/>
      </c>
      <c r="P265" s="46" t="str">
        <f t="array" ref="P265">IF('.'!P265="","",'.'!P265&amp;IF(VLOOKUP('.'!P265,Recipes!$A:$D,4,FALSE)="",""," ["&amp;VLOOKUP('.'!P265,Recipes!$A:$D,4,FALSE)&amp;"]"))</f>
        <v/>
      </c>
      <c r="Q265" s="46" t="str">
        <f t="array" ref="Q265">IF('.'!Q265="","",'.'!Q265&amp;IF(VLOOKUP('.'!Q265,Recipes!$A:$D,4,FALSE)="",""," ["&amp;VLOOKUP('.'!Q265,Recipes!$A:$D,4,FALSE)&amp;"]"))</f>
        <v/>
      </c>
      <c r="R265" s="46" t="str">
        <f t="array" ref="R265">IF('.'!R265="","",'.'!R265&amp;IF(VLOOKUP('.'!R265,Recipes!$A:$D,4,FALSE)="",""," ["&amp;VLOOKUP('.'!R265,Recipes!$A:$D,4,FALSE)&amp;"]"))</f>
        <v/>
      </c>
      <c r="S265" s="46" t="str">
        <f t="array" ref="S265">IF('.'!S265="","",'.'!S265&amp;IF(VLOOKUP('.'!S265,Recipes!$A:$D,4,FALSE)="",""," ["&amp;VLOOKUP('.'!S265,Recipes!$A:$D,4,FALSE)&amp;"]"))</f>
        <v/>
      </c>
      <c r="T265" s="46" t="str">
        <f t="array" ref="T265">IF('.'!T265="","",'.'!T265&amp;IF(VLOOKUP('.'!T265,Recipes!$A:$D,4,FALSE)="",""," ["&amp;VLOOKUP('.'!T265,Recipes!$A:$D,4,FALSE)&amp;"]"))</f>
        <v/>
      </c>
      <c r="U265" s="46" t="str">
        <f t="array" ref="U265">IF('.'!U265="","",'.'!U265&amp;IF(VLOOKUP('.'!U265,Recipes!$A:$D,4,FALSE)="",""," ["&amp;VLOOKUP('.'!U265,Recipes!$A:$D,4,FALSE)&amp;"]"))</f>
        <v/>
      </c>
      <c r="V265" s="46" t="str">
        <f t="array" ref="V265">IF('.'!V265="","",'.'!V265&amp;IF(VLOOKUP('.'!V265,Recipes!$A:$D,4,FALSE)="",""," ["&amp;VLOOKUP('.'!V265,Recipes!$A:$D,4,FALSE)&amp;"]"))</f>
        <v/>
      </c>
      <c r="W265" s="46" t="str">
        <f t="array" ref="W265">IF('.'!W265="","",'.'!W265&amp;IF(VLOOKUP('.'!W265,Recipes!$A:$D,4,FALSE)="",""," ["&amp;VLOOKUP('.'!W265,Recipes!$A:$D,4,FALSE)&amp;"]"))</f>
        <v/>
      </c>
      <c r="X265" s="46" t="str">
        <f t="array" ref="X265">IF('.'!X265="","",'.'!X265&amp;IF(VLOOKUP('.'!X265,Recipes!$A:$D,4,FALSE)="",""," ["&amp;VLOOKUP('.'!X265,Recipes!$A:$D,4,FALSE)&amp;"]"))</f>
        <v/>
      </c>
      <c r="Y265" s="46" t="str">
        <f t="array" ref="Y265">IF('.'!Y265="","",'.'!Y265&amp;IF(VLOOKUP('.'!Y265,Recipes!$A:$D,4,FALSE)="",""," ["&amp;VLOOKUP('.'!Y265,Recipes!$A:$D,4,FALSE)&amp;"]"))</f>
        <v/>
      </c>
      <c r="Z265" s="46" t="str">
        <f t="array" ref="Z265">IF('.'!Z265="","",'.'!Z265&amp;IF(VLOOKUP('.'!Z265,Recipes!$A:$D,4,FALSE)="",""," ["&amp;VLOOKUP('.'!Z265,Recipes!$A:$D,4,FALSE)&amp;"]"))</f>
        <v/>
      </c>
      <c r="AA265" s="46" t="str">
        <f t="array" ref="AA265">IF('.'!AA265="","",'.'!AA265&amp;IF(VLOOKUP('.'!AA265,Recipes!$A:$D,4,FALSE)="",""," ["&amp;VLOOKUP('.'!AA265,Recipes!$A:$D,4,FALSE)&amp;"]"))</f>
        <v/>
      </c>
      <c r="AB265" s="46" t="str">
        <f t="array" ref="AB265">IF('.'!AB265="","",'.'!AB265&amp;IF(VLOOKUP('.'!AB265,Recipes!$A:$D,4,FALSE)="",""," ["&amp;VLOOKUP('.'!AB265,Recipes!$A:$D,4,FALSE)&amp;"]"))</f>
        <v/>
      </c>
      <c r="AC265" s="46" t="str">
        <f t="array" ref="AC265">IF('.'!AC265="","",'.'!AC265&amp;IF(VLOOKUP('.'!AC265,Recipes!$A:$D,4,FALSE)="",""," ["&amp;VLOOKUP('.'!AC265,Recipes!$A:$D,4,FALSE)&amp;"]"))</f>
        <v/>
      </c>
      <c r="AD265" s="46" t="str">
        <f t="array" ref="AD265">IF('.'!AD265="","",'.'!AD265&amp;IF(VLOOKUP('.'!AD265,Recipes!$A:$D,4,FALSE)="",""," ["&amp;VLOOKUP('.'!AD265,Recipes!$A:$D,4,FALSE)&amp;"]"))</f>
        <v/>
      </c>
      <c r="AE265" s="47"/>
      <c r="AF265" s="47"/>
      <c r="AG265" s="47"/>
      <c r="AH265" s="47"/>
      <c r="AI265" s="47"/>
      <c r="AJ265" s="47"/>
      <c r="AK265" s="47"/>
      <c r="AL265" s="47"/>
      <c r="AM265" s="47"/>
      <c r="AN265" s="47"/>
      <c r="AO265" s="47"/>
      <c r="AP265" s="47"/>
      <c r="AQ265" s="47"/>
      <c r="AR265" s="47"/>
      <c r="AS265" s="47"/>
      <c r="AT265" s="47"/>
      <c r="AU265" s="47"/>
      <c r="AV265" s="47"/>
      <c r="AW265" s="47"/>
      <c r="AX265" s="47"/>
      <c r="AY265" s="47"/>
      <c r="AZ265" s="47"/>
      <c r="BA265" s="47"/>
      <c r="BB265" s="47"/>
      <c r="BC265" s="47"/>
      <c r="BD265" s="47"/>
      <c r="BE265" s="47"/>
      <c r="BF265" s="47"/>
      <c r="BG265" s="47"/>
      <c r="BH265" s="47"/>
      <c r="BI265" s="47"/>
      <c r="BJ265" s="47"/>
      <c r="BK265" s="47"/>
      <c r="BL265" s="47"/>
      <c r="BM265" s="47"/>
      <c r="BN265" s="47"/>
      <c r="BO265" s="47"/>
      <c r="BP265" s="47"/>
      <c r="BQ265" s="47"/>
      <c r="BR265" s="47"/>
      <c r="BS265" s="47"/>
      <c r="BT265" s="47"/>
      <c r="BU265" s="47"/>
      <c r="BV265" s="47"/>
      <c r="BW265" s="47"/>
      <c r="BX265" s="47"/>
      <c r="BY265" s="47"/>
      <c r="BZ265" s="47"/>
    </row>
    <row r="266" spans="1:78" ht="13">
      <c r="A266" s="48" t="str">
        <f ca="1">'.'!A266</f>
        <v>Large Rock Rune</v>
      </c>
      <c r="B266" s="46" t="str">
        <f t="array" aca="1" ref="B266" ca="1">IF('.'!B266="","",'.'!B266&amp;IF(VLOOKUP('.'!B266,Recipes!$A:$D,4,FALSE)="",""," ["&amp;VLOOKUP('.'!B266,Recipes!$A:$D,4,FALSE)&amp;"]"))</f>
        <v>Giant Rock Rune [-1290]</v>
      </c>
      <c r="C266" s="46" t="str">
        <f t="array" aca="1" ref="C266" ca="1">IF('.'!C266="","",'.'!C266&amp;IF(VLOOKUP('.'!C266,Recipes!$A:$D,4,FALSE)="",""," ["&amp;VLOOKUP('.'!C266,Recipes!$A:$D,4,FALSE)&amp;"]"))</f>
        <v>Large Rock Rune of Power [0]</v>
      </c>
      <c r="D266" s="46" t="str">
        <f t="array" aca="1" ref="D266" ca="1">IF('.'!D266="","",'.'!D266&amp;IF(VLOOKUP('.'!D266,Recipes!$A:$D,4,FALSE)="",""," ["&amp;VLOOKUP('.'!D266,Recipes!$A:$D,4,FALSE)&amp;"]"))</f>
        <v>Mystical Large Rock Rune [0]</v>
      </c>
      <c r="E266" s="46" t="str">
        <f t="array" ref="E266">IF('.'!E266="","",'.'!E266&amp;IF(VLOOKUP('.'!E266,Recipes!$A:$D,4,FALSE)="",""," ["&amp;VLOOKUP('.'!E266,Recipes!$A:$D,4,FALSE)&amp;"]"))</f>
        <v/>
      </c>
      <c r="F266" s="46" t="str">
        <f t="array" ref="F266">IF('.'!F266="","",'.'!F266&amp;IF(VLOOKUP('.'!F266,Recipes!$A:$D,4,FALSE)="",""," ["&amp;VLOOKUP('.'!F266,Recipes!$A:$D,4,FALSE)&amp;"]"))</f>
        <v/>
      </c>
      <c r="G266" s="46" t="str">
        <f t="array" ref="G266">IF('.'!G266="","",'.'!G266&amp;IF(VLOOKUP('.'!G266,Recipes!$A:$D,4,FALSE)="",""," ["&amp;VLOOKUP('.'!G266,Recipes!$A:$D,4,FALSE)&amp;"]"))</f>
        <v/>
      </c>
      <c r="H266" s="46" t="str">
        <f t="array" ref="H266">IF('.'!H266="","",'.'!H266&amp;IF(VLOOKUP('.'!H266,Recipes!$A:$D,4,FALSE)="",""," ["&amp;VLOOKUP('.'!H266,Recipes!$A:$D,4,FALSE)&amp;"]"))</f>
        <v/>
      </c>
      <c r="I266" s="46" t="str">
        <f t="array" ref="I266">IF('.'!I266="","",'.'!I266&amp;IF(VLOOKUP('.'!I266,Recipes!$A:$D,4,FALSE)="",""," ["&amp;VLOOKUP('.'!I266,Recipes!$A:$D,4,FALSE)&amp;"]"))</f>
        <v/>
      </c>
      <c r="J266" s="46" t="str">
        <f t="array" ref="J266">IF('.'!J266="","",'.'!J266&amp;IF(VLOOKUP('.'!J266,Recipes!$A:$D,4,FALSE)="",""," ["&amp;VLOOKUP('.'!J266,Recipes!$A:$D,4,FALSE)&amp;"]"))</f>
        <v/>
      </c>
      <c r="K266" s="46" t="str">
        <f t="array" ref="K266">IF('.'!K266="","",'.'!K266&amp;IF(VLOOKUP('.'!K266,Recipes!$A:$D,4,FALSE)="",""," ["&amp;VLOOKUP('.'!K266,Recipes!$A:$D,4,FALSE)&amp;"]"))</f>
        <v/>
      </c>
      <c r="L266" s="46" t="str">
        <f t="array" ref="L266">IF('.'!L266="","",'.'!L266&amp;IF(VLOOKUP('.'!L266,Recipes!$A:$D,4,FALSE)="",""," ["&amp;VLOOKUP('.'!L266,Recipes!$A:$D,4,FALSE)&amp;"]"))</f>
        <v/>
      </c>
      <c r="M266" s="46" t="str">
        <f t="array" ref="M266">IF('.'!M266="","",'.'!M266&amp;IF(VLOOKUP('.'!M266,Recipes!$A:$D,4,FALSE)="",""," ["&amp;VLOOKUP('.'!M266,Recipes!$A:$D,4,FALSE)&amp;"]"))</f>
        <v/>
      </c>
      <c r="N266" s="46" t="str">
        <f t="array" ref="N266">IF('.'!N266="","",'.'!N266&amp;IF(VLOOKUP('.'!N266,Recipes!$A:$D,4,FALSE)="",""," ["&amp;VLOOKUP('.'!N266,Recipes!$A:$D,4,FALSE)&amp;"]"))</f>
        <v/>
      </c>
      <c r="O266" s="46" t="str">
        <f t="array" ref="O266">IF('.'!O266="","",'.'!O266&amp;IF(VLOOKUP('.'!O266,Recipes!$A:$D,4,FALSE)="",""," ["&amp;VLOOKUP('.'!O266,Recipes!$A:$D,4,FALSE)&amp;"]"))</f>
        <v/>
      </c>
      <c r="P266" s="46" t="str">
        <f t="array" ref="P266">IF('.'!P266="","",'.'!P266&amp;IF(VLOOKUP('.'!P266,Recipes!$A:$D,4,FALSE)="",""," ["&amp;VLOOKUP('.'!P266,Recipes!$A:$D,4,FALSE)&amp;"]"))</f>
        <v/>
      </c>
      <c r="Q266" s="46" t="str">
        <f t="array" ref="Q266">IF('.'!Q266="","",'.'!Q266&amp;IF(VLOOKUP('.'!Q266,Recipes!$A:$D,4,FALSE)="",""," ["&amp;VLOOKUP('.'!Q266,Recipes!$A:$D,4,FALSE)&amp;"]"))</f>
        <v/>
      </c>
      <c r="R266" s="46" t="str">
        <f t="array" ref="R266">IF('.'!R266="","",'.'!R266&amp;IF(VLOOKUP('.'!R266,Recipes!$A:$D,4,FALSE)="",""," ["&amp;VLOOKUP('.'!R266,Recipes!$A:$D,4,FALSE)&amp;"]"))</f>
        <v/>
      </c>
      <c r="S266" s="46" t="str">
        <f t="array" ref="S266">IF('.'!S266="","",'.'!S266&amp;IF(VLOOKUP('.'!S266,Recipes!$A:$D,4,FALSE)="",""," ["&amp;VLOOKUP('.'!S266,Recipes!$A:$D,4,FALSE)&amp;"]"))</f>
        <v/>
      </c>
      <c r="T266" s="46" t="str">
        <f t="array" ref="T266">IF('.'!T266="","",'.'!T266&amp;IF(VLOOKUP('.'!T266,Recipes!$A:$D,4,FALSE)="",""," ["&amp;VLOOKUP('.'!T266,Recipes!$A:$D,4,FALSE)&amp;"]"))</f>
        <v/>
      </c>
      <c r="U266" s="46" t="str">
        <f t="array" ref="U266">IF('.'!U266="","",'.'!U266&amp;IF(VLOOKUP('.'!U266,Recipes!$A:$D,4,FALSE)="",""," ["&amp;VLOOKUP('.'!U266,Recipes!$A:$D,4,FALSE)&amp;"]"))</f>
        <v/>
      </c>
      <c r="V266" s="46" t="str">
        <f t="array" ref="V266">IF('.'!V266="","",'.'!V266&amp;IF(VLOOKUP('.'!V266,Recipes!$A:$D,4,FALSE)="",""," ["&amp;VLOOKUP('.'!V266,Recipes!$A:$D,4,FALSE)&amp;"]"))</f>
        <v/>
      </c>
      <c r="W266" s="46" t="str">
        <f t="array" ref="W266">IF('.'!W266="","",'.'!W266&amp;IF(VLOOKUP('.'!W266,Recipes!$A:$D,4,FALSE)="",""," ["&amp;VLOOKUP('.'!W266,Recipes!$A:$D,4,FALSE)&amp;"]"))</f>
        <v/>
      </c>
      <c r="X266" s="46" t="str">
        <f t="array" ref="X266">IF('.'!X266="","",'.'!X266&amp;IF(VLOOKUP('.'!X266,Recipes!$A:$D,4,FALSE)="",""," ["&amp;VLOOKUP('.'!X266,Recipes!$A:$D,4,FALSE)&amp;"]"))</f>
        <v/>
      </c>
      <c r="Y266" s="46" t="str">
        <f t="array" ref="Y266">IF('.'!Y266="","",'.'!Y266&amp;IF(VLOOKUP('.'!Y266,Recipes!$A:$D,4,FALSE)="",""," ["&amp;VLOOKUP('.'!Y266,Recipes!$A:$D,4,FALSE)&amp;"]"))</f>
        <v/>
      </c>
      <c r="Z266" s="46" t="str">
        <f t="array" ref="Z266">IF('.'!Z266="","",'.'!Z266&amp;IF(VLOOKUP('.'!Z266,Recipes!$A:$D,4,FALSE)="",""," ["&amp;VLOOKUP('.'!Z266,Recipes!$A:$D,4,FALSE)&amp;"]"))</f>
        <v/>
      </c>
      <c r="AA266" s="46" t="str">
        <f t="array" ref="AA266">IF('.'!AA266="","",'.'!AA266&amp;IF(VLOOKUP('.'!AA266,Recipes!$A:$D,4,FALSE)="",""," ["&amp;VLOOKUP('.'!AA266,Recipes!$A:$D,4,FALSE)&amp;"]"))</f>
        <v/>
      </c>
      <c r="AB266" s="46" t="str">
        <f t="array" ref="AB266">IF('.'!AB266="","",'.'!AB266&amp;IF(VLOOKUP('.'!AB266,Recipes!$A:$D,4,FALSE)="",""," ["&amp;VLOOKUP('.'!AB266,Recipes!$A:$D,4,FALSE)&amp;"]"))</f>
        <v/>
      </c>
      <c r="AC266" s="46" t="str">
        <f t="array" ref="AC266">IF('.'!AC266="","",'.'!AC266&amp;IF(VLOOKUP('.'!AC266,Recipes!$A:$D,4,FALSE)="",""," ["&amp;VLOOKUP('.'!AC266,Recipes!$A:$D,4,FALSE)&amp;"]"))</f>
        <v/>
      </c>
      <c r="AD266" s="46" t="str">
        <f t="array" ref="AD266">IF('.'!AD266="","",'.'!AD266&amp;IF(VLOOKUP('.'!AD266,Recipes!$A:$D,4,FALSE)="",""," ["&amp;VLOOKUP('.'!AD266,Recipes!$A:$D,4,FALSE)&amp;"]"))</f>
        <v/>
      </c>
      <c r="AE266" s="47"/>
      <c r="AF266" s="47"/>
      <c r="AG266" s="47"/>
      <c r="AH266" s="47"/>
      <c r="AI266" s="47"/>
      <c r="AJ266" s="47"/>
      <c r="AK266" s="47"/>
      <c r="AL266" s="47"/>
      <c r="AM266" s="47"/>
      <c r="AN266" s="47"/>
      <c r="AO266" s="47"/>
      <c r="AP266" s="47"/>
      <c r="AQ266" s="47"/>
      <c r="AR266" s="47"/>
      <c r="AS266" s="47"/>
      <c r="AT266" s="47"/>
      <c r="AU266" s="47"/>
      <c r="AV266" s="47"/>
      <c r="AW266" s="47"/>
      <c r="AX266" s="47"/>
      <c r="AY266" s="47"/>
      <c r="AZ266" s="47"/>
      <c r="BA266" s="47"/>
      <c r="BB266" s="47"/>
      <c r="BC266" s="47"/>
      <c r="BD266" s="47"/>
      <c r="BE266" s="47"/>
      <c r="BF266" s="47"/>
      <c r="BG266" s="47"/>
      <c r="BH266" s="47"/>
      <c r="BI266" s="47"/>
      <c r="BJ266" s="47"/>
      <c r="BK266" s="47"/>
      <c r="BL266" s="47"/>
      <c r="BM266" s="47"/>
      <c r="BN266" s="47"/>
      <c r="BO266" s="47"/>
      <c r="BP266" s="47"/>
      <c r="BQ266" s="47"/>
      <c r="BR266" s="47"/>
      <c r="BS266" s="47"/>
      <c r="BT266" s="47"/>
      <c r="BU266" s="47"/>
      <c r="BV266" s="47"/>
      <c r="BW266" s="47"/>
      <c r="BX266" s="47"/>
      <c r="BY266" s="47"/>
      <c r="BZ266" s="47"/>
    </row>
    <row r="267" spans="1:78" ht="13">
      <c r="A267" s="48" t="str">
        <f ca="1">'.'!A267</f>
        <v>Large Thunder Rune</v>
      </c>
      <c r="B267" s="46" t="str">
        <f t="array" aca="1" ref="B267" ca="1">IF('.'!B267="","",'.'!B267&amp;IF(VLOOKUP('.'!B267,Recipes!$A:$D,4,FALSE)="",""," ["&amp;VLOOKUP('.'!B267,Recipes!$A:$D,4,FALSE)&amp;"]"))</f>
        <v>Giant Thunder Rune [-1290]</v>
      </c>
      <c r="C267" s="46" t="str">
        <f t="array" aca="1" ref="C267" ca="1">IF('.'!C267="","",'.'!C267&amp;IF(VLOOKUP('.'!C267,Recipes!$A:$D,4,FALSE)="",""," ["&amp;VLOOKUP('.'!C267,Recipes!$A:$D,4,FALSE)&amp;"]"))</f>
        <v>Large Thunder Rune of Power [0]</v>
      </c>
      <c r="D267" s="46" t="str">
        <f t="array" aca="1" ref="D267" ca="1">IF('.'!D267="","",'.'!D267&amp;IF(VLOOKUP('.'!D267,Recipes!$A:$D,4,FALSE)="",""," ["&amp;VLOOKUP('.'!D267,Recipes!$A:$D,4,FALSE)&amp;"]"))</f>
        <v>Mystical Large Thunder Rune [0]</v>
      </c>
      <c r="E267" s="46" t="str">
        <f t="array" ref="E267">IF('.'!E267="","",'.'!E267&amp;IF(VLOOKUP('.'!E267,Recipes!$A:$D,4,FALSE)="",""," ["&amp;VLOOKUP('.'!E267,Recipes!$A:$D,4,FALSE)&amp;"]"))</f>
        <v/>
      </c>
      <c r="F267" s="46" t="str">
        <f t="array" ref="F267">IF('.'!F267="","",'.'!F267&amp;IF(VLOOKUP('.'!F267,Recipes!$A:$D,4,FALSE)="",""," ["&amp;VLOOKUP('.'!F267,Recipes!$A:$D,4,FALSE)&amp;"]"))</f>
        <v/>
      </c>
      <c r="G267" s="46" t="str">
        <f t="array" ref="G267">IF('.'!G267="","",'.'!G267&amp;IF(VLOOKUP('.'!G267,Recipes!$A:$D,4,FALSE)="",""," ["&amp;VLOOKUP('.'!G267,Recipes!$A:$D,4,FALSE)&amp;"]"))</f>
        <v/>
      </c>
      <c r="H267" s="46" t="str">
        <f t="array" ref="H267">IF('.'!H267="","",'.'!H267&amp;IF(VLOOKUP('.'!H267,Recipes!$A:$D,4,FALSE)="",""," ["&amp;VLOOKUP('.'!H267,Recipes!$A:$D,4,FALSE)&amp;"]"))</f>
        <v/>
      </c>
      <c r="I267" s="46" t="str">
        <f t="array" ref="I267">IF('.'!I267="","",'.'!I267&amp;IF(VLOOKUP('.'!I267,Recipes!$A:$D,4,FALSE)="",""," ["&amp;VLOOKUP('.'!I267,Recipes!$A:$D,4,FALSE)&amp;"]"))</f>
        <v/>
      </c>
      <c r="J267" s="46" t="str">
        <f t="array" ref="J267">IF('.'!J267="","",'.'!J267&amp;IF(VLOOKUP('.'!J267,Recipes!$A:$D,4,FALSE)="",""," ["&amp;VLOOKUP('.'!J267,Recipes!$A:$D,4,FALSE)&amp;"]"))</f>
        <v/>
      </c>
      <c r="K267" s="46" t="str">
        <f t="array" ref="K267">IF('.'!K267="","",'.'!K267&amp;IF(VLOOKUP('.'!K267,Recipes!$A:$D,4,FALSE)="",""," ["&amp;VLOOKUP('.'!K267,Recipes!$A:$D,4,FALSE)&amp;"]"))</f>
        <v/>
      </c>
      <c r="L267" s="46" t="str">
        <f t="array" ref="L267">IF('.'!L267="","",'.'!L267&amp;IF(VLOOKUP('.'!L267,Recipes!$A:$D,4,FALSE)="",""," ["&amp;VLOOKUP('.'!L267,Recipes!$A:$D,4,FALSE)&amp;"]"))</f>
        <v/>
      </c>
      <c r="M267" s="46" t="str">
        <f t="array" ref="M267">IF('.'!M267="","",'.'!M267&amp;IF(VLOOKUP('.'!M267,Recipes!$A:$D,4,FALSE)="",""," ["&amp;VLOOKUP('.'!M267,Recipes!$A:$D,4,FALSE)&amp;"]"))</f>
        <v/>
      </c>
      <c r="N267" s="46" t="str">
        <f t="array" ref="N267">IF('.'!N267="","",'.'!N267&amp;IF(VLOOKUP('.'!N267,Recipes!$A:$D,4,FALSE)="",""," ["&amp;VLOOKUP('.'!N267,Recipes!$A:$D,4,FALSE)&amp;"]"))</f>
        <v/>
      </c>
      <c r="O267" s="46" t="str">
        <f t="array" ref="O267">IF('.'!O267="","",'.'!O267&amp;IF(VLOOKUP('.'!O267,Recipes!$A:$D,4,FALSE)="",""," ["&amp;VLOOKUP('.'!O267,Recipes!$A:$D,4,FALSE)&amp;"]"))</f>
        <v/>
      </c>
      <c r="P267" s="46" t="str">
        <f t="array" ref="P267">IF('.'!P267="","",'.'!P267&amp;IF(VLOOKUP('.'!P267,Recipes!$A:$D,4,FALSE)="",""," ["&amp;VLOOKUP('.'!P267,Recipes!$A:$D,4,FALSE)&amp;"]"))</f>
        <v/>
      </c>
      <c r="Q267" s="46" t="str">
        <f t="array" ref="Q267">IF('.'!Q267="","",'.'!Q267&amp;IF(VLOOKUP('.'!Q267,Recipes!$A:$D,4,FALSE)="",""," ["&amp;VLOOKUP('.'!Q267,Recipes!$A:$D,4,FALSE)&amp;"]"))</f>
        <v/>
      </c>
      <c r="R267" s="46" t="str">
        <f t="array" ref="R267">IF('.'!R267="","",'.'!R267&amp;IF(VLOOKUP('.'!R267,Recipes!$A:$D,4,FALSE)="",""," ["&amp;VLOOKUP('.'!R267,Recipes!$A:$D,4,FALSE)&amp;"]"))</f>
        <v/>
      </c>
      <c r="S267" s="46" t="str">
        <f t="array" ref="S267">IF('.'!S267="","",'.'!S267&amp;IF(VLOOKUP('.'!S267,Recipes!$A:$D,4,FALSE)="",""," ["&amp;VLOOKUP('.'!S267,Recipes!$A:$D,4,FALSE)&amp;"]"))</f>
        <v/>
      </c>
      <c r="T267" s="46" t="str">
        <f t="array" ref="T267">IF('.'!T267="","",'.'!T267&amp;IF(VLOOKUP('.'!T267,Recipes!$A:$D,4,FALSE)="",""," ["&amp;VLOOKUP('.'!T267,Recipes!$A:$D,4,FALSE)&amp;"]"))</f>
        <v/>
      </c>
      <c r="U267" s="46" t="str">
        <f t="array" ref="U267">IF('.'!U267="","",'.'!U267&amp;IF(VLOOKUP('.'!U267,Recipes!$A:$D,4,FALSE)="",""," ["&amp;VLOOKUP('.'!U267,Recipes!$A:$D,4,FALSE)&amp;"]"))</f>
        <v/>
      </c>
      <c r="V267" s="46" t="str">
        <f t="array" ref="V267">IF('.'!V267="","",'.'!V267&amp;IF(VLOOKUP('.'!V267,Recipes!$A:$D,4,FALSE)="",""," ["&amp;VLOOKUP('.'!V267,Recipes!$A:$D,4,FALSE)&amp;"]"))</f>
        <v/>
      </c>
      <c r="W267" s="46" t="str">
        <f t="array" ref="W267">IF('.'!W267="","",'.'!W267&amp;IF(VLOOKUP('.'!W267,Recipes!$A:$D,4,FALSE)="",""," ["&amp;VLOOKUP('.'!W267,Recipes!$A:$D,4,FALSE)&amp;"]"))</f>
        <v/>
      </c>
      <c r="X267" s="46" t="str">
        <f t="array" ref="X267">IF('.'!X267="","",'.'!X267&amp;IF(VLOOKUP('.'!X267,Recipes!$A:$D,4,FALSE)="",""," ["&amp;VLOOKUP('.'!X267,Recipes!$A:$D,4,FALSE)&amp;"]"))</f>
        <v/>
      </c>
      <c r="Y267" s="46" t="str">
        <f t="array" ref="Y267">IF('.'!Y267="","",'.'!Y267&amp;IF(VLOOKUP('.'!Y267,Recipes!$A:$D,4,FALSE)="",""," ["&amp;VLOOKUP('.'!Y267,Recipes!$A:$D,4,FALSE)&amp;"]"))</f>
        <v/>
      </c>
      <c r="Z267" s="46" t="str">
        <f t="array" ref="Z267">IF('.'!Z267="","",'.'!Z267&amp;IF(VLOOKUP('.'!Z267,Recipes!$A:$D,4,FALSE)="",""," ["&amp;VLOOKUP('.'!Z267,Recipes!$A:$D,4,FALSE)&amp;"]"))</f>
        <v/>
      </c>
      <c r="AA267" s="46" t="str">
        <f t="array" ref="AA267">IF('.'!AA267="","",'.'!AA267&amp;IF(VLOOKUP('.'!AA267,Recipes!$A:$D,4,FALSE)="",""," ["&amp;VLOOKUP('.'!AA267,Recipes!$A:$D,4,FALSE)&amp;"]"))</f>
        <v/>
      </c>
      <c r="AB267" s="46" t="str">
        <f t="array" ref="AB267">IF('.'!AB267="","",'.'!AB267&amp;IF(VLOOKUP('.'!AB267,Recipes!$A:$D,4,FALSE)="",""," ["&amp;VLOOKUP('.'!AB267,Recipes!$A:$D,4,FALSE)&amp;"]"))</f>
        <v/>
      </c>
      <c r="AC267" s="46" t="str">
        <f t="array" ref="AC267">IF('.'!AC267="","",'.'!AC267&amp;IF(VLOOKUP('.'!AC267,Recipes!$A:$D,4,FALSE)="",""," ["&amp;VLOOKUP('.'!AC267,Recipes!$A:$D,4,FALSE)&amp;"]"))</f>
        <v/>
      </c>
      <c r="AD267" s="46" t="str">
        <f t="array" ref="AD267">IF('.'!AD267="","",'.'!AD267&amp;IF(VLOOKUP('.'!AD267,Recipes!$A:$D,4,FALSE)="",""," ["&amp;VLOOKUP('.'!AD267,Recipes!$A:$D,4,FALSE)&amp;"]"))</f>
        <v/>
      </c>
      <c r="AE267" s="47"/>
      <c r="AF267" s="47"/>
      <c r="AG267" s="47"/>
      <c r="AH267" s="47"/>
      <c r="AI267" s="47"/>
      <c r="AJ267" s="47"/>
      <c r="AK267" s="47"/>
      <c r="AL267" s="47"/>
      <c r="AM267" s="47"/>
      <c r="AN267" s="47"/>
      <c r="AO267" s="47"/>
      <c r="AP267" s="47"/>
      <c r="AQ267" s="47"/>
      <c r="AR267" s="47"/>
      <c r="AS267" s="47"/>
      <c r="AT267" s="47"/>
      <c r="AU267" s="47"/>
      <c r="AV267" s="47"/>
      <c r="AW267" s="47"/>
      <c r="AX267" s="47"/>
      <c r="AY267" s="47"/>
      <c r="AZ267" s="47"/>
      <c r="BA267" s="47"/>
      <c r="BB267" s="47"/>
      <c r="BC267" s="47"/>
      <c r="BD267" s="47"/>
      <c r="BE267" s="47"/>
      <c r="BF267" s="47"/>
      <c r="BG267" s="47"/>
      <c r="BH267" s="47"/>
      <c r="BI267" s="47"/>
      <c r="BJ267" s="47"/>
      <c r="BK267" s="47"/>
      <c r="BL267" s="47"/>
      <c r="BM267" s="47"/>
      <c r="BN267" s="47"/>
      <c r="BO267" s="47"/>
      <c r="BP267" s="47"/>
      <c r="BQ267" s="47"/>
      <c r="BR267" s="47"/>
      <c r="BS267" s="47"/>
      <c r="BT267" s="47"/>
      <c r="BU267" s="47"/>
      <c r="BV267" s="47"/>
      <c r="BW267" s="47"/>
      <c r="BX267" s="47"/>
      <c r="BY267" s="47"/>
      <c r="BZ267" s="47"/>
    </row>
    <row r="268" spans="1:78" ht="13">
      <c r="A268" s="48" t="str">
        <f ca="1">'.'!A268</f>
        <v>Large Tusk</v>
      </c>
      <c r="B268" s="46" t="str">
        <f t="array" aca="1" ref="B268" ca="1">IF('.'!B268="","",'.'!B268&amp;IF(VLOOKUP('.'!B268,Recipes!$A:$D,4,FALSE)="",""," ["&amp;VLOOKUP('.'!B268,Recipes!$A:$D,4,FALSE)&amp;"]"))</f>
        <v>Epidemic of Fire Scroll [-1265]</v>
      </c>
      <c r="C268" s="46" t="str">
        <f t="array" ref="C268">IF('.'!C268="","",'.'!C268&amp;IF(VLOOKUP('.'!C268,Recipes!$A:$D,4,FALSE)="",""," ["&amp;VLOOKUP('.'!C268,Recipes!$A:$D,4,FALSE)&amp;"]"))</f>
        <v/>
      </c>
      <c r="D268" s="46" t="str">
        <f t="array" ref="D268">IF('.'!D268="","",'.'!D268&amp;IF(VLOOKUP('.'!D268,Recipes!$A:$D,4,FALSE)="",""," ["&amp;VLOOKUP('.'!D268,Recipes!$A:$D,4,FALSE)&amp;"]"))</f>
        <v/>
      </c>
      <c r="E268" s="46" t="str">
        <f t="array" ref="E268">IF('.'!E268="","",'.'!E268&amp;IF(VLOOKUP('.'!E268,Recipes!$A:$D,4,FALSE)="",""," ["&amp;VLOOKUP('.'!E268,Recipes!$A:$D,4,FALSE)&amp;"]"))</f>
        <v/>
      </c>
      <c r="F268" s="46" t="str">
        <f t="array" ref="F268">IF('.'!F268="","",'.'!F268&amp;IF(VLOOKUP('.'!F268,Recipes!$A:$D,4,FALSE)="",""," ["&amp;VLOOKUP('.'!F268,Recipes!$A:$D,4,FALSE)&amp;"]"))</f>
        <v/>
      </c>
      <c r="G268" s="46" t="str">
        <f t="array" ref="G268">IF('.'!G268="","",'.'!G268&amp;IF(VLOOKUP('.'!G268,Recipes!$A:$D,4,FALSE)="",""," ["&amp;VLOOKUP('.'!G268,Recipes!$A:$D,4,FALSE)&amp;"]"))</f>
        <v/>
      </c>
      <c r="H268" s="46" t="str">
        <f t="array" ref="H268">IF('.'!H268="","",'.'!H268&amp;IF(VLOOKUP('.'!H268,Recipes!$A:$D,4,FALSE)="",""," ["&amp;VLOOKUP('.'!H268,Recipes!$A:$D,4,FALSE)&amp;"]"))</f>
        <v/>
      </c>
      <c r="I268" s="46" t="str">
        <f t="array" ref="I268">IF('.'!I268="","",'.'!I268&amp;IF(VLOOKUP('.'!I268,Recipes!$A:$D,4,FALSE)="",""," ["&amp;VLOOKUP('.'!I268,Recipes!$A:$D,4,FALSE)&amp;"]"))</f>
        <v/>
      </c>
      <c r="J268" s="46" t="str">
        <f t="array" ref="J268">IF('.'!J268="","",'.'!J268&amp;IF(VLOOKUP('.'!J268,Recipes!$A:$D,4,FALSE)="",""," ["&amp;VLOOKUP('.'!J268,Recipes!$A:$D,4,FALSE)&amp;"]"))</f>
        <v/>
      </c>
      <c r="K268" s="46" t="str">
        <f t="array" ref="K268">IF('.'!K268="","",'.'!K268&amp;IF(VLOOKUP('.'!K268,Recipes!$A:$D,4,FALSE)="",""," ["&amp;VLOOKUP('.'!K268,Recipes!$A:$D,4,FALSE)&amp;"]"))</f>
        <v/>
      </c>
      <c r="L268" s="46" t="str">
        <f t="array" ref="L268">IF('.'!L268="","",'.'!L268&amp;IF(VLOOKUP('.'!L268,Recipes!$A:$D,4,FALSE)="",""," ["&amp;VLOOKUP('.'!L268,Recipes!$A:$D,4,FALSE)&amp;"]"))</f>
        <v/>
      </c>
      <c r="M268" s="46" t="str">
        <f t="array" ref="M268">IF('.'!M268="","",'.'!M268&amp;IF(VLOOKUP('.'!M268,Recipes!$A:$D,4,FALSE)="",""," ["&amp;VLOOKUP('.'!M268,Recipes!$A:$D,4,FALSE)&amp;"]"))</f>
        <v/>
      </c>
      <c r="N268" s="46" t="str">
        <f t="array" ref="N268">IF('.'!N268="","",'.'!N268&amp;IF(VLOOKUP('.'!N268,Recipes!$A:$D,4,FALSE)="",""," ["&amp;VLOOKUP('.'!N268,Recipes!$A:$D,4,FALSE)&amp;"]"))</f>
        <v/>
      </c>
      <c r="O268" s="46" t="str">
        <f t="array" ref="O268">IF('.'!O268="","",'.'!O268&amp;IF(VLOOKUP('.'!O268,Recipes!$A:$D,4,FALSE)="",""," ["&amp;VLOOKUP('.'!O268,Recipes!$A:$D,4,FALSE)&amp;"]"))</f>
        <v/>
      </c>
      <c r="P268" s="46" t="str">
        <f t="array" ref="P268">IF('.'!P268="","",'.'!P268&amp;IF(VLOOKUP('.'!P268,Recipes!$A:$D,4,FALSE)="",""," ["&amp;VLOOKUP('.'!P268,Recipes!$A:$D,4,FALSE)&amp;"]"))</f>
        <v/>
      </c>
      <c r="Q268" s="46" t="str">
        <f t="array" ref="Q268">IF('.'!Q268="","",'.'!Q268&amp;IF(VLOOKUP('.'!Q268,Recipes!$A:$D,4,FALSE)="",""," ["&amp;VLOOKUP('.'!Q268,Recipes!$A:$D,4,FALSE)&amp;"]"))</f>
        <v/>
      </c>
      <c r="R268" s="46" t="str">
        <f t="array" ref="R268">IF('.'!R268="","",'.'!R268&amp;IF(VLOOKUP('.'!R268,Recipes!$A:$D,4,FALSE)="",""," ["&amp;VLOOKUP('.'!R268,Recipes!$A:$D,4,FALSE)&amp;"]"))</f>
        <v/>
      </c>
      <c r="S268" s="46" t="str">
        <f t="array" ref="S268">IF('.'!S268="","",'.'!S268&amp;IF(VLOOKUP('.'!S268,Recipes!$A:$D,4,FALSE)="",""," ["&amp;VLOOKUP('.'!S268,Recipes!$A:$D,4,FALSE)&amp;"]"))</f>
        <v/>
      </c>
      <c r="T268" s="46" t="str">
        <f t="array" ref="T268">IF('.'!T268="","",'.'!T268&amp;IF(VLOOKUP('.'!T268,Recipes!$A:$D,4,FALSE)="",""," ["&amp;VLOOKUP('.'!T268,Recipes!$A:$D,4,FALSE)&amp;"]"))</f>
        <v/>
      </c>
      <c r="U268" s="46" t="str">
        <f t="array" ref="U268">IF('.'!U268="","",'.'!U268&amp;IF(VLOOKUP('.'!U268,Recipes!$A:$D,4,FALSE)="",""," ["&amp;VLOOKUP('.'!U268,Recipes!$A:$D,4,FALSE)&amp;"]"))</f>
        <v/>
      </c>
      <c r="V268" s="46" t="str">
        <f t="array" ref="V268">IF('.'!V268="","",'.'!V268&amp;IF(VLOOKUP('.'!V268,Recipes!$A:$D,4,FALSE)="",""," ["&amp;VLOOKUP('.'!V268,Recipes!$A:$D,4,FALSE)&amp;"]"))</f>
        <v/>
      </c>
      <c r="W268" s="46" t="str">
        <f t="array" ref="W268">IF('.'!W268="","",'.'!W268&amp;IF(VLOOKUP('.'!W268,Recipes!$A:$D,4,FALSE)="",""," ["&amp;VLOOKUP('.'!W268,Recipes!$A:$D,4,FALSE)&amp;"]"))</f>
        <v/>
      </c>
      <c r="X268" s="46" t="str">
        <f t="array" ref="X268">IF('.'!X268="","",'.'!X268&amp;IF(VLOOKUP('.'!X268,Recipes!$A:$D,4,FALSE)="",""," ["&amp;VLOOKUP('.'!X268,Recipes!$A:$D,4,FALSE)&amp;"]"))</f>
        <v/>
      </c>
      <c r="Y268" s="46" t="str">
        <f t="array" ref="Y268">IF('.'!Y268="","",'.'!Y268&amp;IF(VLOOKUP('.'!Y268,Recipes!$A:$D,4,FALSE)="",""," ["&amp;VLOOKUP('.'!Y268,Recipes!$A:$D,4,FALSE)&amp;"]"))</f>
        <v/>
      </c>
      <c r="Z268" s="46" t="str">
        <f t="array" ref="Z268">IF('.'!Z268="","",'.'!Z268&amp;IF(VLOOKUP('.'!Z268,Recipes!$A:$D,4,FALSE)="",""," ["&amp;VLOOKUP('.'!Z268,Recipes!$A:$D,4,FALSE)&amp;"]"))</f>
        <v/>
      </c>
      <c r="AA268" s="46" t="str">
        <f t="array" ref="AA268">IF('.'!AA268="","",'.'!AA268&amp;IF(VLOOKUP('.'!AA268,Recipes!$A:$D,4,FALSE)="",""," ["&amp;VLOOKUP('.'!AA268,Recipes!$A:$D,4,FALSE)&amp;"]"))</f>
        <v/>
      </c>
      <c r="AB268" s="46" t="str">
        <f t="array" ref="AB268">IF('.'!AB268="","",'.'!AB268&amp;IF(VLOOKUP('.'!AB268,Recipes!$A:$D,4,FALSE)="",""," ["&amp;VLOOKUP('.'!AB268,Recipes!$A:$D,4,FALSE)&amp;"]"))</f>
        <v/>
      </c>
      <c r="AC268" s="46" t="str">
        <f t="array" ref="AC268">IF('.'!AC268="","",'.'!AC268&amp;IF(VLOOKUP('.'!AC268,Recipes!$A:$D,4,FALSE)="",""," ["&amp;VLOOKUP('.'!AC268,Recipes!$A:$D,4,FALSE)&amp;"]"))</f>
        <v/>
      </c>
      <c r="AD268" s="46" t="str">
        <f t="array" ref="AD268">IF('.'!AD268="","",'.'!AD268&amp;IF(VLOOKUP('.'!AD268,Recipes!$A:$D,4,FALSE)="",""," ["&amp;VLOOKUP('.'!AD268,Recipes!$A:$D,4,FALSE)&amp;"]"))</f>
        <v/>
      </c>
      <c r="AE268" s="47"/>
      <c r="AF268" s="47"/>
      <c r="AG268" s="47"/>
      <c r="AH268" s="47"/>
      <c r="AI268" s="47"/>
      <c r="AJ268" s="47"/>
      <c r="AK268" s="47"/>
      <c r="AL268" s="47"/>
      <c r="AM268" s="47"/>
      <c r="AN268" s="47"/>
      <c r="AO268" s="47"/>
      <c r="AP268" s="47"/>
      <c r="AQ268" s="47"/>
      <c r="AR268" s="47"/>
      <c r="AS268" s="47"/>
      <c r="AT268" s="47"/>
      <c r="AU268" s="47"/>
      <c r="AV268" s="47"/>
      <c r="AW268" s="47"/>
      <c r="AX268" s="47"/>
      <c r="AY268" s="47"/>
      <c r="AZ268" s="47"/>
      <c r="BA268" s="47"/>
      <c r="BB268" s="47"/>
      <c r="BC268" s="47"/>
      <c r="BD268" s="47"/>
      <c r="BE268" s="47"/>
      <c r="BF268" s="47"/>
      <c r="BG268" s="47"/>
      <c r="BH268" s="47"/>
      <c r="BI268" s="47"/>
      <c r="BJ268" s="47"/>
      <c r="BK268" s="47"/>
      <c r="BL268" s="47"/>
      <c r="BM268" s="47"/>
      <c r="BN268" s="47"/>
      <c r="BO268" s="47"/>
      <c r="BP268" s="47"/>
      <c r="BQ268" s="47"/>
      <c r="BR268" s="47"/>
      <c r="BS268" s="47"/>
      <c r="BT268" s="47"/>
      <c r="BU268" s="47"/>
      <c r="BV268" s="47"/>
      <c r="BW268" s="47"/>
      <c r="BX268" s="47"/>
      <c r="BY268" s="47"/>
      <c r="BZ268" s="47"/>
    </row>
    <row r="269" spans="1:78" ht="13">
      <c r="A269" s="48" t="str">
        <f ca="1">'.'!A269</f>
        <v>Large Venom Rune</v>
      </c>
      <c r="B269" s="46" t="str">
        <f t="array" aca="1" ref="B269" ca="1">IF('.'!B269="","",'.'!B269&amp;IF(VLOOKUP('.'!B269,Recipes!$A:$D,4,FALSE)="",""," ["&amp;VLOOKUP('.'!B269,Recipes!$A:$D,4,FALSE)&amp;"]"))</f>
        <v>Giant Venom Rune [-1290]</v>
      </c>
      <c r="C269" s="46" t="str">
        <f t="array" aca="1" ref="C269" ca="1">IF('.'!C269="","",'.'!C269&amp;IF(VLOOKUP('.'!C269,Recipes!$A:$D,4,FALSE)="",""," ["&amp;VLOOKUP('.'!C269,Recipes!$A:$D,4,FALSE)&amp;"]"))</f>
        <v>Large Venom Rune of Power [0]</v>
      </c>
      <c r="D269" s="46" t="str">
        <f t="array" aca="1" ref="D269" ca="1">IF('.'!D269="","",'.'!D269&amp;IF(VLOOKUP('.'!D269,Recipes!$A:$D,4,FALSE)="",""," ["&amp;VLOOKUP('.'!D269,Recipes!$A:$D,4,FALSE)&amp;"]"))</f>
        <v>Mystical Large Venom Rune [0]</v>
      </c>
      <c r="E269" s="46" t="str">
        <f t="array" ref="E269">IF('.'!E269="","",'.'!E269&amp;IF(VLOOKUP('.'!E269,Recipes!$A:$D,4,FALSE)="",""," ["&amp;VLOOKUP('.'!E269,Recipes!$A:$D,4,FALSE)&amp;"]"))</f>
        <v/>
      </c>
      <c r="F269" s="46" t="str">
        <f t="array" ref="F269">IF('.'!F269="","",'.'!F269&amp;IF(VLOOKUP('.'!F269,Recipes!$A:$D,4,FALSE)="",""," ["&amp;VLOOKUP('.'!F269,Recipes!$A:$D,4,FALSE)&amp;"]"))</f>
        <v/>
      </c>
      <c r="G269" s="46" t="str">
        <f t="array" ref="G269">IF('.'!G269="","",'.'!G269&amp;IF(VLOOKUP('.'!G269,Recipes!$A:$D,4,FALSE)="",""," ["&amp;VLOOKUP('.'!G269,Recipes!$A:$D,4,FALSE)&amp;"]"))</f>
        <v/>
      </c>
      <c r="H269" s="46" t="str">
        <f t="array" ref="H269">IF('.'!H269="","",'.'!H269&amp;IF(VLOOKUP('.'!H269,Recipes!$A:$D,4,FALSE)="",""," ["&amp;VLOOKUP('.'!H269,Recipes!$A:$D,4,FALSE)&amp;"]"))</f>
        <v/>
      </c>
      <c r="I269" s="46" t="str">
        <f t="array" ref="I269">IF('.'!I269="","",'.'!I269&amp;IF(VLOOKUP('.'!I269,Recipes!$A:$D,4,FALSE)="",""," ["&amp;VLOOKUP('.'!I269,Recipes!$A:$D,4,FALSE)&amp;"]"))</f>
        <v/>
      </c>
      <c r="J269" s="46" t="str">
        <f t="array" ref="J269">IF('.'!J269="","",'.'!J269&amp;IF(VLOOKUP('.'!J269,Recipes!$A:$D,4,FALSE)="",""," ["&amp;VLOOKUP('.'!J269,Recipes!$A:$D,4,FALSE)&amp;"]"))</f>
        <v/>
      </c>
      <c r="K269" s="46" t="str">
        <f t="array" ref="K269">IF('.'!K269="","",'.'!K269&amp;IF(VLOOKUP('.'!K269,Recipes!$A:$D,4,FALSE)="",""," ["&amp;VLOOKUP('.'!K269,Recipes!$A:$D,4,FALSE)&amp;"]"))</f>
        <v/>
      </c>
      <c r="L269" s="46" t="str">
        <f t="array" ref="L269">IF('.'!L269="","",'.'!L269&amp;IF(VLOOKUP('.'!L269,Recipes!$A:$D,4,FALSE)="",""," ["&amp;VLOOKUP('.'!L269,Recipes!$A:$D,4,FALSE)&amp;"]"))</f>
        <v/>
      </c>
      <c r="M269" s="46" t="str">
        <f t="array" ref="M269">IF('.'!M269="","",'.'!M269&amp;IF(VLOOKUP('.'!M269,Recipes!$A:$D,4,FALSE)="",""," ["&amp;VLOOKUP('.'!M269,Recipes!$A:$D,4,FALSE)&amp;"]"))</f>
        <v/>
      </c>
      <c r="N269" s="46" t="str">
        <f t="array" ref="N269">IF('.'!N269="","",'.'!N269&amp;IF(VLOOKUP('.'!N269,Recipes!$A:$D,4,FALSE)="",""," ["&amp;VLOOKUP('.'!N269,Recipes!$A:$D,4,FALSE)&amp;"]"))</f>
        <v/>
      </c>
      <c r="O269" s="46" t="str">
        <f t="array" ref="O269">IF('.'!O269="","",'.'!O269&amp;IF(VLOOKUP('.'!O269,Recipes!$A:$D,4,FALSE)="",""," ["&amp;VLOOKUP('.'!O269,Recipes!$A:$D,4,FALSE)&amp;"]"))</f>
        <v/>
      </c>
      <c r="P269" s="46" t="str">
        <f t="array" ref="P269">IF('.'!P269="","",'.'!P269&amp;IF(VLOOKUP('.'!P269,Recipes!$A:$D,4,FALSE)="",""," ["&amp;VLOOKUP('.'!P269,Recipes!$A:$D,4,FALSE)&amp;"]"))</f>
        <v/>
      </c>
      <c r="Q269" s="46" t="str">
        <f t="array" ref="Q269">IF('.'!Q269="","",'.'!Q269&amp;IF(VLOOKUP('.'!Q269,Recipes!$A:$D,4,FALSE)="",""," ["&amp;VLOOKUP('.'!Q269,Recipes!$A:$D,4,FALSE)&amp;"]"))</f>
        <v/>
      </c>
      <c r="R269" s="46" t="str">
        <f t="array" ref="R269">IF('.'!R269="","",'.'!R269&amp;IF(VLOOKUP('.'!R269,Recipes!$A:$D,4,FALSE)="",""," ["&amp;VLOOKUP('.'!R269,Recipes!$A:$D,4,FALSE)&amp;"]"))</f>
        <v/>
      </c>
      <c r="S269" s="46" t="str">
        <f t="array" ref="S269">IF('.'!S269="","",'.'!S269&amp;IF(VLOOKUP('.'!S269,Recipes!$A:$D,4,FALSE)="",""," ["&amp;VLOOKUP('.'!S269,Recipes!$A:$D,4,FALSE)&amp;"]"))</f>
        <v/>
      </c>
      <c r="T269" s="46" t="str">
        <f t="array" ref="T269">IF('.'!T269="","",'.'!T269&amp;IF(VLOOKUP('.'!T269,Recipes!$A:$D,4,FALSE)="",""," ["&amp;VLOOKUP('.'!T269,Recipes!$A:$D,4,FALSE)&amp;"]"))</f>
        <v/>
      </c>
      <c r="U269" s="46" t="str">
        <f t="array" ref="U269">IF('.'!U269="","",'.'!U269&amp;IF(VLOOKUP('.'!U269,Recipes!$A:$D,4,FALSE)="",""," ["&amp;VLOOKUP('.'!U269,Recipes!$A:$D,4,FALSE)&amp;"]"))</f>
        <v/>
      </c>
      <c r="V269" s="46" t="str">
        <f t="array" ref="V269">IF('.'!V269="","",'.'!V269&amp;IF(VLOOKUP('.'!V269,Recipes!$A:$D,4,FALSE)="",""," ["&amp;VLOOKUP('.'!V269,Recipes!$A:$D,4,FALSE)&amp;"]"))</f>
        <v/>
      </c>
      <c r="W269" s="46" t="str">
        <f t="array" ref="W269">IF('.'!W269="","",'.'!W269&amp;IF(VLOOKUP('.'!W269,Recipes!$A:$D,4,FALSE)="",""," ["&amp;VLOOKUP('.'!W269,Recipes!$A:$D,4,FALSE)&amp;"]"))</f>
        <v/>
      </c>
      <c r="X269" s="46" t="str">
        <f t="array" ref="X269">IF('.'!X269="","",'.'!X269&amp;IF(VLOOKUP('.'!X269,Recipes!$A:$D,4,FALSE)="",""," ["&amp;VLOOKUP('.'!X269,Recipes!$A:$D,4,FALSE)&amp;"]"))</f>
        <v/>
      </c>
      <c r="Y269" s="46" t="str">
        <f t="array" ref="Y269">IF('.'!Y269="","",'.'!Y269&amp;IF(VLOOKUP('.'!Y269,Recipes!$A:$D,4,FALSE)="",""," ["&amp;VLOOKUP('.'!Y269,Recipes!$A:$D,4,FALSE)&amp;"]"))</f>
        <v/>
      </c>
      <c r="Z269" s="46" t="str">
        <f t="array" ref="Z269">IF('.'!Z269="","",'.'!Z269&amp;IF(VLOOKUP('.'!Z269,Recipes!$A:$D,4,FALSE)="",""," ["&amp;VLOOKUP('.'!Z269,Recipes!$A:$D,4,FALSE)&amp;"]"))</f>
        <v/>
      </c>
      <c r="AA269" s="46" t="str">
        <f t="array" ref="AA269">IF('.'!AA269="","",'.'!AA269&amp;IF(VLOOKUP('.'!AA269,Recipes!$A:$D,4,FALSE)="",""," ["&amp;VLOOKUP('.'!AA269,Recipes!$A:$D,4,FALSE)&amp;"]"))</f>
        <v/>
      </c>
      <c r="AB269" s="46" t="str">
        <f t="array" ref="AB269">IF('.'!AB269="","",'.'!AB269&amp;IF(VLOOKUP('.'!AB269,Recipes!$A:$D,4,FALSE)="",""," ["&amp;VLOOKUP('.'!AB269,Recipes!$A:$D,4,FALSE)&amp;"]"))</f>
        <v/>
      </c>
      <c r="AC269" s="46" t="str">
        <f t="array" ref="AC269">IF('.'!AC269="","",'.'!AC269&amp;IF(VLOOKUP('.'!AC269,Recipes!$A:$D,4,FALSE)="",""," ["&amp;VLOOKUP('.'!AC269,Recipes!$A:$D,4,FALSE)&amp;"]"))</f>
        <v/>
      </c>
      <c r="AD269" s="46" t="str">
        <f t="array" ref="AD269">IF('.'!AD269="","",'.'!AD269&amp;IF(VLOOKUP('.'!AD269,Recipes!$A:$D,4,FALSE)="",""," ["&amp;VLOOKUP('.'!AD269,Recipes!$A:$D,4,FALSE)&amp;"]"))</f>
        <v/>
      </c>
      <c r="AE269" s="47"/>
      <c r="AF269" s="47"/>
      <c r="AG269" s="47"/>
      <c r="AH269" s="47"/>
      <c r="AI269" s="47"/>
      <c r="AJ269" s="47"/>
      <c r="AK269" s="47"/>
      <c r="AL269" s="47"/>
      <c r="AM269" s="47"/>
      <c r="AN269" s="47"/>
      <c r="AO269" s="47"/>
      <c r="AP269" s="47"/>
      <c r="AQ269" s="47"/>
      <c r="AR269" s="47"/>
      <c r="AS269" s="47"/>
      <c r="AT269" s="47"/>
      <c r="AU269" s="47"/>
      <c r="AV269" s="47"/>
      <c r="AW269" s="47"/>
      <c r="AX269" s="47"/>
      <c r="AY269" s="47"/>
      <c r="AZ269" s="47"/>
      <c r="BA269" s="47"/>
      <c r="BB269" s="47"/>
      <c r="BC269" s="47"/>
      <c r="BD269" s="47"/>
      <c r="BE269" s="47"/>
      <c r="BF269" s="47"/>
      <c r="BG269" s="47"/>
      <c r="BH269" s="47"/>
      <c r="BI269" s="47"/>
      <c r="BJ269" s="47"/>
      <c r="BK269" s="47"/>
      <c r="BL269" s="47"/>
      <c r="BM269" s="47"/>
      <c r="BN269" s="47"/>
      <c r="BO269" s="47"/>
      <c r="BP269" s="47"/>
      <c r="BQ269" s="47"/>
      <c r="BR269" s="47"/>
      <c r="BS269" s="47"/>
      <c r="BT269" s="47"/>
      <c r="BU269" s="47"/>
      <c r="BV269" s="47"/>
      <c r="BW269" s="47"/>
      <c r="BX269" s="47"/>
      <c r="BY269" s="47"/>
      <c r="BZ269" s="47"/>
    </row>
    <row r="270" spans="1:78" ht="13">
      <c r="A270" s="48" t="str">
        <f ca="1">'.'!A270</f>
        <v>Large Water Resistance Potion</v>
      </c>
      <c r="B270" s="46" t="str">
        <f t="array" aca="1" ref="B270" ca="1">IF('.'!B270="","",'.'!B270&amp;IF(VLOOKUP('.'!B270,Recipes!$A:$D,4,FALSE)="",""," ["&amp;VLOOKUP('.'!B270,Recipes!$A:$D,4,FALSE)&amp;"]"))</f>
        <v>Huge Water Resistance Potion [150]</v>
      </c>
      <c r="C270" s="46" t="str">
        <f t="array" ref="C270">IF('.'!C270="","",'.'!C270&amp;IF(VLOOKUP('.'!C270,Recipes!$A:$D,4,FALSE)="",""," ["&amp;VLOOKUP('.'!C270,Recipes!$A:$D,4,FALSE)&amp;"]"))</f>
        <v/>
      </c>
      <c r="D270" s="46" t="str">
        <f t="array" ref="D270">IF('.'!D270="","",'.'!D270&amp;IF(VLOOKUP('.'!D270,Recipes!$A:$D,4,FALSE)="",""," ["&amp;VLOOKUP('.'!D270,Recipes!$A:$D,4,FALSE)&amp;"]"))</f>
        <v/>
      </c>
      <c r="E270" s="46" t="str">
        <f t="array" ref="E270">IF('.'!E270="","",'.'!E270&amp;IF(VLOOKUP('.'!E270,Recipes!$A:$D,4,FALSE)="",""," ["&amp;VLOOKUP('.'!E270,Recipes!$A:$D,4,FALSE)&amp;"]"))</f>
        <v/>
      </c>
      <c r="F270" s="46" t="str">
        <f t="array" ref="F270">IF('.'!F270="","",'.'!F270&amp;IF(VLOOKUP('.'!F270,Recipes!$A:$D,4,FALSE)="",""," ["&amp;VLOOKUP('.'!F270,Recipes!$A:$D,4,FALSE)&amp;"]"))</f>
        <v/>
      </c>
      <c r="G270" s="46" t="str">
        <f t="array" ref="G270">IF('.'!G270="","",'.'!G270&amp;IF(VLOOKUP('.'!G270,Recipes!$A:$D,4,FALSE)="",""," ["&amp;VLOOKUP('.'!G270,Recipes!$A:$D,4,FALSE)&amp;"]"))</f>
        <v/>
      </c>
      <c r="H270" s="46" t="str">
        <f t="array" ref="H270">IF('.'!H270="","",'.'!H270&amp;IF(VLOOKUP('.'!H270,Recipes!$A:$D,4,FALSE)="",""," ["&amp;VLOOKUP('.'!H270,Recipes!$A:$D,4,FALSE)&amp;"]"))</f>
        <v/>
      </c>
      <c r="I270" s="46" t="str">
        <f t="array" ref="I270">IF('.'!I270="","",'.'!I270&amp;IF(VLOOKUP('.'!I270,Recipes!$A:$D,4,FALSE)="",""," ["&amp;VLOOKUP('.'!I270,Recipes!$A:$D,4,FALSE)&amp;"]"))</f>
        <v/>
      </c>
      <c r="J270" s="46" t="str">
        <f t="array" ref="J270">IF('.'!J270="","",'.'!J270&amp;IF(VLOOKUP('.'!J270,Recipes!$A:$D,4,FALSE)="",""," ["&amp;VLOOKUP('.'!J270,Recipes!$A:$D,4,FALSE)&amp;"]"))</f>
        <v/>
      </c>
      <c r="K270" s="46" t="str">
        <f t="array" ref="K270">IF('.'!K270="","",'.'!K270&amp;IF(VLOOKUP('.'!K270,Recipes!$A:$D,4,FALSE)="",""," ["&amp;VLOOKUP('.'!K270,Recipes!$A:$D,4,FALSE)&amp;"]"))</f>
        <v/>
      </c>
      <c r="L270" s="46" t="str">
        <f t="array" ref="L270">IF('.'!L270="","",'.'!L270&amp;IF(VLOOKUP('.'!L270,Recipes!$A:$D,4,FALSE)="",""," ["&amp;VLOOKUP('.'!L270,Recipes!$A:$D,4,FALSE)&amp;"]"))</f>
        <v/>
      </c>
      <c r="M270" s="46" t="str">
        <f t="array" ref="M270">IF('.'!M270="","",'.'!M270&amp;IF(VLOOKUP('.'!M270,Recipes!$A:$D,4,FALSE)="",""," ["&amp;VLOOKUP('.'!M270,Recipes!$A:$D,4,FALSE)&amp;"]"))</f>
        <v/>
      </c>
      <c r="N270" s="46" t="str">
        <f t="array" ref="N270">IF('.'!N270="","",'.'!N270&amp;IF(VLOOKUP('.'!N270,Recipes!$A:$D,4,FALSE)="",""," ["&amp;VLOOKUP('.'!N270,Recipes!$A:$D,4,FALSE)&amp;"]"))</f>
        <v/>
      </c>
      <c r="O270" s="46" t="str">
        <f t="array" ref="O270">IF('.'!O270="","",'.'!O270&amp;IF(VLOOKUP('.'!O270,Recipes!$A:$D,4,FALSE)="",""," ["&amp;VLOOKUP('.'!O270,Recipes!$A:$D,4,FALSE)&amp;"]"))</f>
        <v/>
      </c>
      <c r="P270" s="46" t="str">
        <f t="array" ref="P270">IF('.'!P270="","",'.'!P270&amp;IF(VLOOKUP('.'!P270,Recipes!$A:$D,4,FALSE)="",""," ["&amp;VLOOKUP('.'!P270,Recipes!$A:$D,4,FALSE)&amp;"]"))</f>
        <v/>
      </c>
      <c r="Q270" s="46" t="str">
        <f t="array" ref="Q270">IF('.'!Q270="","",'.'!Q270&amp;IF(VLOOKUP('.'!Q270,Recipes!$A:$D,4,FALSE)="",""," ["&amp;VLOOKUP('.'!Q270,Recipes!$A:$D,4,FALSE)&amp;"]"))</f>
        <v/>
      </c>
      <c r="R270" s="46" t="str">
        <f t="array" ref="R270">IF('.'!R270="","",'.'!R270&amp;IF(VLOOKUP('.'!R270,Recipes!$A:$D,4,FALSE)="",""," ["&amp;VLOOKUP('.'!R270,Recipes!$A:$D,4,FALSE)&amp;"]"))</f>
        <v/>
      </c>
      <c r="S270" s="46" t="str">
        <f t="array" ref="S270">IF('.'!S270="","",'.'!S270&amp;IF(VLOOKUP('.'!S270,Recipes!$A:$D,4,FALSE)="",""," ["&amp;VLOOKUP('.'!S270,Recipes!$A:$D,4,FALSE)&amp;"]"))</f>
        <v/>
      </c>
      <c r="T270" s="46" t="str">
        <f t="array" ref="T270">IF('.'!T270="","",'.'!T270&amp;IF(VLOOKUP('.'!T270,Recipes!$A:$D,4,FALSE)="",""," ["&amp;VLOOKUP('.'!T270,Recipes!$A:$D,4,FALSE)&amp;"]"))</f>
        <v/>
      </c>
      <c r="U270" s="46" t="str">
        <f t="array" ref="U270">IF('.'!U270="","",'.'!U270&amp;IF(VLOOKUP('.'!U270,Recipes!$A:$D,4,FALSE)="",""," ["&amp;VLOOKUP('.'!U270,Recipes!$A:$D,4,FALSE)&amp;"]"))</f>
        <v/>
      </c>
      <c r="V270" s="46" t="str">
        <f t="array" ref="V270">IF('.'!V270="","",'.'!V270&amp;IF(VLOOKUP('.'!V270,Recipes!$A:$D,4,FALSE)="",""," ["&amp;VLOOKUP('.'!V270,Recipes!$A:$D,4,FALSE)&amp;"]"))</f>
        <v/>
      </c>
      <c r="W270" s="46" t="str">
        <f t="array" ref="W270">IF('.'!W270="","",'.'!W270&amp;IF(VLOOKUP('.'!W270,Recipes!$A:$D,4,FALSE)="",""," ["&amp;VLOOKUP('.'!W270,Recipes!$A:$D,4,FALSE)&amp;"]"))</f>
        <v/>
      </c>
      <c r="X270" s="46" t="str">
        <f t="array" ref="X270">IF('.'!X270="","",'.'!X270&amp;IF(VLOOKUP('.'!X270,Recipes!$A:$D,4,FALSE)="",""," ["&amp;VLOOKUP('.'!X270,Recipes!$A:$D,4,FALSE)&amp;"]"))</f>
        <v/>
      </c>
      <c r="Y270" s="46" t="str">
        <f t="array" ref="Y270">IF('.'!Y270="","",'.'!Y270&amp;IF(VLOOKUP('.'!Y270,Recipes!$A:$D,4,FALSE)="",""," ["&amp;VLOOKUP('.'!Y270,Recipes!$A:$D,4,FALSE)&amp;"]"))</f>
        <v/>
      </c>
      <c r="Z270" s="46" t="str">
        <f t="array" ref="Z270">IF('.'!Z270="","",'.'!Z270&amp;IF(VLOOKUP('.'!Z270,Recipes!$A:$D,4,FALSE)="",""," ["&amp;VLOOKUP('.'!Z270,Recipes!$A:$D,4,FALSE)&amp;"]"))</f>
        <v/>
      </c>
      <c r="AA270" s="46" t="str">
        <f t="array" ref="AA270">IF('.'!AA270="","",'.'!AA270&amp;IF(VLOOKUP('.'!AA270,Recipes!$A:$D,4,FALSE)="",""," ["&amp;VLOOKUP('.'!AA270,Recipes!$A:$D,4,FALSE)&amp;"]"))</f>
        <v/>
      </c>
      <c r="AB270" s="46" t="str">
        <f t="array" ref="AB270">IF('.'!AB270="","",'.'!AB270&amp;IF(VLOOKUP('.'!AB270,Recipes!$A:$D,4,FALSE)="",""," ["&amp;VLOOKUP('.'!AB270,Recipes!$A:$D,4,FALSE)&amp;"]"))</f>
        <v/>
      </c>
      <c r="AC270" s="46" t="str">
        <f t="array" ref="AC270">IF('.'!AC270="","",'.'!AC270&amp;IF(VLOOKUP('.'!AC270,Recipes!$A:$D,4,FALSE)="",""," ["&amp;VLOOKUP('.'!AC270,Recipes!$A:$D,4,FALSE)&amp;"]"))</f>
        <v/>
      </c>
      <c r="AD270" s="46" t="str">
        <f t="array" ref="AD270">IF('.'!AD270="","",'.'!AD270&amp;IF(VLOOKUP('.'!AD270,Recipes!$A:$D,4,FALSE)="",""," ["&amp;VLOOKUP('.'!AD270,Recipes!$A:$D,4,FALSE)&amp;"]"))</f>
        <v/>
      </c>
      <c r="AE270" s="47"/>
      <c r="AF270" s="47"/>
      <c r="AG270" s="47"/>
      <c r="AH270" s="47"/>
      <c r="AI270" s="47"/>
      <c r="AJ270" s="47"/>
      <c r="AK270" s="47"/>
      <c r="AL270" s="47"/>
      <c r="AM270" s="47"/>
      <c r="AN270" s="47"/>
      <c r="AO270" s="47"/>
      <c r="AP270" s="47"/>
      <c r="AQ270" s="47"/>
      <c r="AR270" s="47"/>
      <c r="AS270" s="47"/>
      <c r="AT270" s="47"/>
      <c r="AU270" s="47"/>
      <c r="AV270" s="47"/>
      <c r="AW270" s="47"/>
      <c r="AX270" s="47"/>
      <c r="AY270" s="47"/>
      <c r="AZ270" s="47"/>
      <c r="BA270" s="47"/>
      <c r="BB270" s="47"/>
      <c r="BC270" s="47"/>
      <c r="BD270" s="47"/>
      <c r="BE270" s="47"/>
      <c r="BF270" s="47"/>
      <c r="BG270" s="47"/>
      <c r="BH270" s="47"/>
      <c r="BI270" s="47"/>
      <c r="BJ270" s="47"/>
      <c r="BK270" s="47"/>
      <c r="BL270" s="47"/>
      <c r="BM270" s="47"/>
      <c r="BN270" s="47"/>
      <c r="BO270" s="47"/>
      <c r="BP270" s="47"/>
      <c r="BQ270" s="47"/>
      <c r="BR270" s="47"/>
      <c r="BS270" s="47"/>
      <c r="BT270" s="47"/>
      <c r="BU270" s="47"/>
      <c r="BV270" s="47"/>
      <c r="BW270" s="47"/>
      <c r="BX270" s="47"/>
      <c r="BY270" s="47"/>
      <c r="BZ270" s="47"/>
    </row>
    <row r="271" spans="1:78" ht="13">
      <c r="A271" s="48" t="str">
        <f ca="1">'.'!A271</f>
        <v>Laser Ray Scroll</v>
      </c>
      <c r="B271" s="46" t="str">
        <f t="array" aca="1" ref="B271" ca="1">IF('.'!B271="","",'.'!B271&amp;IF(VLOOKUP('.'!B271,Recipes!$A:$D,4,FALSE)="",""," ["&amp;VLOOKUP('.'!B271,Recipes!$A:$D,4,FALSE)&amp;"]"))</f>
        <v>Laser Ray Skillbook [-10]</v>
      </c>
      <c r="C271" s="46" t="str">
        <f t="array" ref="C271">IF('.'!C271="","",'.'!C271&amp;IF(VLOOKUP('.'!C271,Recipes!$A:$D,4,FALSE)="",""," ["&amp;VLOOKUP('.'!C271,Recipes!$A:$D,4,FALSE)&amp;"]"))</f>
        <v/>
      </c>
      <c r="D271" s="46" t="str">
        <f t="array" ref="D271">IF('.'!D271="","",'.'!D271&amp;IF(VLOOKUP('.'!D271,Recipes!$A:$D,4,FALSE)="",""," ["&amp;VLOOKUP('.'!D271,Recipes!$A:$D,4,FALSE)&amp;"]"))</f>
        <v/>
      </c>
      <c r="E271" s="46" t="str">
        <f t="array" ref="E271">IF('.'!E271="","",'.'!E271&amp;IF(VLOOKUP('.'!E271,Recipes!$A:$D,4,FALSE)="",""," ["&amp;VLOOKUP('.'!E271,Recipes!$A:$D,4,FALSE)&amp;"]"))</f>
        <v/>
      </c>
      <c r="F271" s="46" t="str">
        <f t="array" ref="F271">IF('.'!F271="","",'.'!F271&amp;IF(VLOOKUP('.'!F271,Recipes!$A:$D,4,FALSE)="",""," ["&amp;VLOOKUP('.'!F271,Recipes!$A:$D,4,FALSE)&amp;"]"))</f>
        <v/>
      </c>
      <c r="G271" s="46" t="str">
        <f t="array" ref="G271">IF('.'!G271="","",'.'!G271&amp;IF(VLOOKUP('.'!G271,Recipes!$A:$D,4,FALSE)="",""," ["&amp;VLOOKUP('.'!G271,Recipes!$A:$D,4,FALSE)&amp;"]"))</f>
        <v/>
      </c>
      <c r="H271" s="46" t="str">
        <f t="array" ref="H271">IF('.'!H271="","",'.'!H271&amp;IF(VLOOKUP('.'!H271,Recipes!$A:$D,4,FALSE)="",""," ["&amp;VLOOKUP('.'!H271,Recipes!$A:$D,4,FALSE)&amp;"]"))</f>
        <v/>
      </c>
      <c r="I271" s="46" t="str">
        <f t="array" ref="I271">IF('.'!I271="","",'.'!I271&amp;IF(VLOOKUP('.'!I271,Recipes!$A:$D,4,FALSE)="",""," ["&amp;VLOOKUP('.'!I271,Recipes!$A:$D,4,FALSE)&amp;"]"))</f>
        <v/>
      </c>
      <c r="J271" s="46" t="str">
        <f t="array" ref="J271">IF('.'!J271="","",'.'!J271&amp;IF(VLOOKUP('.'!J271,Recipes!$A:$D,4,FALSE)="",""," ["&amp;VLOOKUP('.'!J271,Recipes!$A:$D,4,FALSE)&amp;"]"))</f>
        <v/>
      </c>
      <c r="K271" s="46" t="str">
        <f t="array" ref="K271">IF('.'!K271="","",'.'!K271&amp;IF(VLOOKUP('.'!K271,Recipes!$A:$D,4,FALSE)="",""," ["&amp;VLOOKUP('.'!K271,Recipes!$A:$D,4,FALSE)&amp;"]"))</f>
        <v/>
      </c>
      <c r="L271" s="46" t="str">
        <f t="array" ref="L271">IF('.'!L271="","",'.'!L271&amp;IF(VLOOKUP('.'!L271,Recipes!$A:$D,4,FALSE)="",""," ["&amp;VLOOKUP('.'!L271,Recipes!$A:$D,4,FALSE)&amp;"]"))</f>
        <v/>
      </c>
      <c r="M271" s="46" t="str">
        <f t="array" ref="M271">IF('.'!M271="","",'.'!M271&amp;IF(VLOOKUP('.'!M271,Recipes!$A:$D,4,FALSE)="",""," ["&amp;VLOOKUP('.'!M271,Recipes!$A:$D,4,FALSE)&amp;"]"))</f>
        <v/>
      </c>
      <c r="N271" s="46" t="str">
        <f t="array" ref="N271">IF('.'!N271="","",'.'!N271&amp;IF(VLOOKUP('.'!N271,Recipes!$A:$D,4,FALSE)="",""," ["&amp;VLOOKUP('.'!N271,Recipes!$A:$D,4,FALSE)&amp;"]"))</f>
        <v/>
      </c>
      <c r="O271" s="46" t="str">
        <f t="array" ref="O271">IF('.'!O271="","",'.'!O271&amp;IF(VLOOKUP('.'!O271,Recipes!$A:$D,4,FALSE)="",""," ["&amp;VLOOKUP('.'!O271,Recipes!$A:$D,4,FALSE)&amp;"]"))</f>
        <v/>
      </c>
      <c r="P271" s="46" t="str">
        <f t="array" ref="P271">IF('.'!P271="","",'.'!P271&amp;IF(VLOOKUP('.'!P271,Recipes!$A:$D,4,FALSE)="",""," ["&amp;VLOOKUP('.'!P271,Recipes!$A:$D,4,FALSE)&amp;"]"))</f>
        <v/>
      </c>
      <c r="Q271" s="46" t="str">
        <f t="array" ref="Q271">IF('.'!Q271="","",'.'!Q271&amp;IF(VLOOKUP('.'!Q271,Recipes!$A:$D,4,FALSE)="",""," ["&amp;VLOOKUP('.'!Q271,Recipes!$A:$D,4,FALSE)&amp;"]"))</f>
        <v/>
      </c>
      <c r="R271" s="46" t="str">
        <f t="array" ref="R271">IF('.'!R271="","",'.'!R271&amp;IF(VLOOKUP('.'!R271,Recipes!$A:$D,4,FALSE)="",""," ["&amp;VLOOKUP('.'!R271,Recipes!$A:$D,4,FALSE)&amp;"]"))</f>
        <v/>
      </c>
      <c r="S271" s="46" t="str">
        <f t="array" ref="S271">IF('.'!S271="","",'.'!S271&amp;IF(VLOOKUP('.'!S271,Recipes!$A:$D,4,FALSE)="",""," ["&amp;VLOOKUP('.'!S271,Recipes!$A:$D,4,FALSE)&amp;"]"))</f>
        <v/>
      </c>
      <c r="T271" s="46" t="str">
        <f t="array" ref="T271">IF('.'!T271="","",'.'!T271&amp;IF(VLOOKUP('.'!T271,Recipes!$A:$D,4,FALSE)="",""," ["&amp;VLOOKUP('.'!T271,Recipes!$A:$D,4,FALSE)&amp;"]"))</f>
        <v/>
      </c>
      <c r="U271" s="46" t="str">
        <f t="array" ref="U271">IF('.'!U271="","",'.'!U271&amp;IF(VLOOKUP('.'!U271,Recipes!$A:$D,4,FALSE)="",""," ["&amp;VLOOKUP('.'!U271,Recipes!$A:$D,4,FALSE)&amp;"]"))</f>
        <v/>
      </c>
      <c r="V271" s="46" t="str">
        <f t="array" ref="V271">IF('.'!V271="","",'.'!V271&amp;IF(VLOOKUP('.'!V271,Recipes!$A:$D,4,FALSE)="",""," ["&amp;VLOOKUP('.'!V271,Recipes!$A:$D,4,FALSE)&amp;"]"))</f>
        <v/>
      </c>
      <c r="W271" s="46" t="str">
        <f t="array" ref="W271">IF('.'!W271="","",'.'!W271&amp;IF(VLOOKUP('.'!W271,Recipes!$A:$D,4,FALSE)="",""," ["&amp;VLOOKUP('.'!W271,Recipes!$A:$D,4,FALSE)&amp;"]"))</f>
        <v/>
      </c>
      <c r="X271" s="46" t="str">
        <f t="array" ref="X271">IF('.'!X271="","",'.'!X271&amp;IF(VLOOKUP('.'!X271,Recipes!$A:$D,4,FALSE)="",""," ["&amp;VLOOKUP('.'!X271,Recipes!$A:$D,4,FALSE)&amp;"]"))</f>
        <v/>
      </c>
      <c r="Y271" s="46" t="str">
        <f t="array" ref="Y271">IF('.'!Y271="","",'.'!Y271&amp;IF(VLOOKUP('.'!Y271,Recipes!$A:$D,4,FALSE)="",""," ["&amp;VLOOKUP('.'!Y271,Recipes!$A:$D,4,FALSE)&amp;"]"))</f>
        <v/>
      </c>
      <c r="Z271" s="46" t="str">
        <f t="array" ref="Z271">IF('.'!Z271="","",'.'!Z271&amp;IF(VLOOKUP('.'!Z271,Recipes!$A:$D,4,FALSE)="",""," ["&amp;VLOOKUP('.'!Z271,Recipes!$A:$D,4,FALSE)&amp;"]"))</f>
        <v/>
      </c>
      <c r="AA271" s="46" t="str">
        <f t="array" ref="AA271">IF('.'!AA271="","",'.'!AA271&amp;IF(VLOOKUP('.'!AA271,Recipes!$A:$D,4,FALSE)="",""," ["&amp;VLOOKUP('.'!AA271,Recipes!$A:$D,4,FALSE)&amp;"]"))</f>
        <v/>
      </c>
      <c r="AB271" s="46" t="str">
        <f t="array" ref="AB271">IF('.'!AB271="","",'.'!AB271&amp;IF(VLOOKUP('.'!AB271,Recipes!$A:$D,4,FALSE)="",""," ["&amp;VLOOKUP('.'!AB271,Recipes!$A:$D,4,FALSE)&amp;"]"))</f>
        <v/>
      </c>
      <c r="AC271" s="46" t="str">
        <f t="array" ref="AC271">IF('.'!AC271="","",'.'!AC271&amp;IF(VLOOKUP('.'!AC271,Recipes!$A:$D,4,FALSE)="",""," ["&amp;VLOOKUP('.'!AC271,Recipes!$A:$D,4,FALSE)&amp;"]"))</f>
        <v/>
      </c>
      <c r="AD271" s="46" t="str">
        <f t="array" ref="AD271">IF('.'!AD271="","",'.'!AD271&amp;IF(VLOOKUP('.'!AD271,Recipes!$A:$D,4,FALSE)="",""," ["&amp;VLOOKUP('.'!AD271,Recipes!$A:$D,4,FALSE)&amp;"]"))</f>
        <v/>
      </c>
      <c r="AE271" s="47"/>
      <c r="AF271" s="47"/>
      <c r="AG271" s="47"/>
      <c r="AH271" s="47"/>
      <c r="AI271" s="47"/>
      <c r="AJ271" s="47"/>
      <c r="AK271" s="47"/>
      <c r="AL271" s="47"/>
      <c r="AM271" s="47"/>
      <c r="AN271" s="47"/>
      <c r="AO271" s="47"/>
      <c r="AP271" s="47"/>
      <c r="AQ271" s="47"/>
      <c r="AR271" s="47"/>
      <c r="AS271" s="47"/>
      <c r="AT271" s="47"/>
      <c r="AU271" s="47"/>
      <c r="AV271" s="47"/>
      <c r="AW271" s="47"/>
      <c r="AX271" s="47"/>
      <c r="AY271" s="47"/>
      <c r="AZ271" s="47"/>
      <c r="BA271" s="47"/>
      <c r="BB271" s="47"/>
      <c r="BC271" s="47"/>
      <c r="BD271" s="47"/>
      <c r="BE271" s="47"/>
      <c r="BF271" s="47"/>
      <c r="BG271" s="47"/>
      <c r="BH271" s="47"/>
      <c r="BI271" s="47"/>
      <c r="BJ271" s="47"/>
      <c r="BK271" s="47"/>
      <c r="BL271" s="47"/>
      <c r="BM271" s="47"/>
      <c r="BN271" s="47"/>
      <c r="BO271" s="47"/>
      <c r="BP271" s="47"/>
      <c r="BQ271" s="47"/>
      <c r="BR271" s="47"/>
      <c r="BS271" s="47"/>
      <c r="BT271" s="47"/>
      <c r="BU271" s="47"/>
      <c r="BV271" s="47"/>
      <c r="BW271" s="47"/>
      <c r="BX271" s="47"/>
      <c r="BY271" s="47"/>
      <c r="BZ271" s="47"/>
    </row>
    <row r="272" spans="1:78" ht="13">
      <c r="A272" s="48" t="str">
        <f ca="1">'.'!A272</f>
        <v>Leather Scraps</v>
      </c>
      <c r="B272" s="46" t="str">
        <f t="array" aca="1" ref="B272" ca="1">IF('.'!B272="","",'.'!B272&amp;IF(VLOOKUP('.'!B272,Recipes!$A:$D,4,FALSE)="",""," ["&amp;VLOOKUP('.'!B272,Recipes!$A:$D,4,FALSE)&amp;"]"))</f>
        <v>Handmade Leather Armour [V]</v>
      </c>
      <c r="C272" s="46" t="str">
        <f t="array" aca="1" ref="C272" ca="1">IF('.'!C272="","",'.'!C272&amp;IF(VLOOKUP('.'!C272,Recipes!$A:$D,4,FALSE)="",""," ["&amp;VLOOKUP('.'!C272,Recipes!$A:$D,4,FALSE)&amp;"]"))</f>
        <v>Backpack [13]</v>
      </c>
      <c r="D272" s="46" t="str">
        <f t="array" aca="1" ref="D272" ca="1">IF('.'!D272="","",'.'!D272&amp;IF(VLOOKUP('.'!D272,Recipes!$A:$D,4,FALSE)="",""," ["&amp;VLOOKUP('.'!D272,Recipes!$A:$D,4,FALSE)&amp;"]"))</f>
        <v>Big Tongs Roped Together [V]</v>
      </c>
      <c r="E272" s="46" t="str">
        <f t="array" aca="1" ref="E272" ca="1">IF('.'!E272="","",'.'!E272&amp;IF(VLOOKUP('.'!E272,Recipes!$A:$D,4,FALSE)="",""," ["&amp;VLOOKUP('.'!E272,Recipes!$A:$D,4,FALSE)&amp;"]"))</f>
        <v>Makeshift Club [2H] [V]</v>
      </c>
      <c r="F272" s="46" t="str">
        <f t="array" aca="1" ref="F272" ca="1">IF('.'!F272="","",'.'!F272&amp;IF(VLOOKUP('.'!F272,Recipes!$A:$D,4,FALSE)="",""," ["&amp;VLOOKUP('.'!F272,Recipes!$A:$D,4,FALSE)&amp;"]"))</f>
        <v>Shiv [V]</v>
      </c>
      <c r="G272" s="46" t="str">
        <f t="array" ref="G272">IF('.'!G272="","",'.'!G272&amp;IF(VLOOKUP('.'!G272,Recipes!$A:$D,4,FALSE)="",""," ["&amp;VLOOKUP('.'!G272,Recipes!$A:$D,4,FALSE)&amp;"]"))</f>
        <v/>
      </c>
      <c r="H272" s="46" t="str">
        <f t="array" ref="H272">IF('.'!H272="","",'.'!H272&amp;IF(VLOOKUP('.'!H272,Recipes!$A:$D,4,FALSE)="",""," ["&amp;VLOOKUP('.'!H272,Recipes!$A:$D,4,FALSE)&amp;"]"))</f>
        <v/>
      </c>
      <c r="I272" s="46" t="str">
        <f t="array" ref="I272">IF('.'!I272="","",'.'!I272&amp;IF(VLOOKUP('.'!I272,Recipes!$A:$D,4,FALSE)="",""," ["&amp;VLOOKUP('.'!I272,Recipes!$A:$D,4,FALSE)&amp;"]"))</f>
        <v/>
      </c>
      <c r="J272" s="46" t="str">
        <f t="array" ref="J272">IF('.'!J272="","",'.'!J272&amp;IF(VLOOKUP('.'!J272,Recipes!$A:$D,4,FALSE)="",""," ["&amp;VLOOKUP('.'!J272,Recipes!$A:$D,4,FALSE)&amp;"]"))</f>
        <v/>
      </c>
      <c r="K272" s="46" t="str">
        <f t="array" ref="K272">IF('.'!K272="","",'.'!K272&amp;IF(VLOOKUP('.'!K272,Recipes!$A:$D,4,FALSE)="",""," ["&amp;VLOOKUP('.'!K272,Recipes!$A:$D,4,FALSE)&amp;"]"))</f>
        <v/>
      </c>
      <c r="L272" s="46" t="str">
        <f t="array" ref="L272">IF('.'!L272="","",'.'!L272&amp;IF(VLOOKUP('.'!L272,Recipes!$A:$D,4,FALSE)="",""," ["&amp;VLOOKUP('.'!L272,Recipes!$A:$D,4,FALSE)&amp;"]"))</f>
        <v/>
      </c>
      <c r="M272" s="46" t="str">
        <f t="array" ref="M272">IF('.'!M272="","",'.'!M272&amp;IF(VLOOKUP('.'!M272,Recipes!$A:$D,4,FALSE)="",""," ["&amp;VLOOKUP('.'!M272,Recipes!$A:$D,4,FALSE)&amp;"]"))</f>
        <v/>
      </c>
      <c r="N272" s="46" t="str">
        <f t="array" ref="N272">IF('.'!N272="","",'.'!N272&amp;IF(VLOOKUP('.'!N272,Recipes!$A:$D,4,FALSE)="",""," ["&amp;VLOOKUP('.'!N272,Recipes!$A:$D,4,FALSE)&amp;"]"))</f>
        <v/>
      </c>
      <c r="O272" s="46" t="str">
        <f t="array" ref="O272">IF('.'!O272="","",'.'!O272&amp;IF(VLOOKUP('.'!O272,Recipes!$A:$D,4,FALSE)="",""," ["&amp;VLOOKUP('.'!O272,Recipes!$A:$D,4,FALSE)&amp;"]"))</f>
        <v/>
      </c>
      <c r="P272" s="46" t="str">
        <f t="array" ref="P272">IF('.'!P272="","",'.'!P272&amp;IF(VLOOKUP('.'!P272,Recipes!$A:$D,4,FALSE)="",""," ["&amp;VLOOKUP('.'!P272,Recipes!$A:$D,4,FALSE)&amp;"]"))</f>
        <v/>
      </c>
      <c r="Q272" s="46" t="str">
        <f t="array" ref="Q272">IF('.'!Q272="","",'.'!Q272&amp;IF(VLOOKUP('.'!Q272,Recipes!$A:$D,4,FALSE)="",""," ["&amp;VLOOKUP('.'!Q272,Recipes!$A:$D,4,FALSE)&amp;"]"))</f>
        <v/>
      </c>
      <c r="R272" s="46" t="str">
        <f t="array" ref="R272">IF('.'!R272="","",'.'!R272&amp;IF(VLOOKUP('.'!R272,Recipes!$A:$D,4,FALSE)="",""," ["&amp;VLOOKUP('.'!R272,Recipes!$A:$D,4,FALSE)&amp;"]"))</f>
        <v/>
      </c>
      <c r="S272" s="46" t="str">
        <f t="array" ref="S272">IF('.'!S272="","",'.'!S272&amp;IF(VLOOKUP('.'!S272,Recipes!$A:$D,4,FALSE)="",""," ["&amp;VLOOKUP('.'!S272,Recipes!$A:$D,4,FALSE)&amp;"]"))</f>
        <v/>
      </c>
      <c r="T272" s="46" t="str">
        <f t="array" ref="T272">IF('.'!T272="","",'.'!T272&amp;IF(VLOOKUP('.'!T272,Recipes!$A:$D,4,FALSE)="",""," ["&amp;VLOOKUP('.'!T272,Recipes!$A:$D,4,FALSE)&amp;"]"))</f>
        <v/>
      </c>
      <c r="U272" s="46" t="str">
        <f t="array" ref="U272">IF('.'!U272="","",'.'!U272&amp;IF(VLOOKUP('.'!U272,Recipes!$A:$D,4,FALSE)="",""," ["&amp;VLOOKUP('.'!U272,Recipes!$A:$D,4,FALSE)&amp;"]"))</f>
        <v/>
      </c>
      <c r="V272" s="46" t="str">
        <f t="array" ref="V272">IF('.'!V272="","",'.'!V272&amp;IF(VLOOKUP('.'!V272,Recipes!$A:$D,4,FALSE)="",""," ["&amp;VLOOKUP('.'!V272,Recipes!$A:$D,4,FALSE)&amp;"]"))</f>
        <v/>
      </c>
      <c r="W272" s="46" t="str">
        <f t="array" ref="W272">IF('.'!W272="","",'.'!W272&amp;IF(VLOOKUP('.'!W272,Recipes!$A:$D,4,FALSE)="",""," ["&amp;VLOOKUP('.'!W272,Recipes!$A:$D,4,FALSE)&amp;"]"))</f>
        <v/>
      </c>
      <c r="X272" s="46" t="str">
        <f t="array" ref="X272">IF('.'!X272="","",'.'!X272&amp;IF(VLOOKUP('.'!X272,Recipes!$A:$D,4,FALSE)="",""," ["&amp;VLOOKUP('.'!X272,Recipes!$A:$D,4,FALSE)&amp;"]"))</f>
        <v/>
      </c>
      <c r="Y272" s="46" t="str">
        <f t="array" ref="Y272">IF('.'!Y272="","",'.'!Y272&amp;IF(VLOOKUP('.'!Y272,Recipes!$A:$D,4,FALSE)="",""," ["&amp;VLOOKUP('.'!Y272,Recipes!$A:$D,4,FALSE)&amp;"]"))</f>
        <v/>
      </c>
      <c r="Z272" s="46" t="str">
        <f t="array" ref="Z272">IF('.'!Z272="","",'.'!Z272&amp;IF(VLOOKUP('.'!Z272,Recipes!$A:$D,4,FALSE)="",""," ["&amp;VLOOKUP('.'!Z272,Recipes!$A:$D,4,FALSE)&amp;"]"))</f>
        <v/>
      </c>
      <c r="AA272" s="46" t="str">
        <f t="array" ref="AA272">IF('.'!AA272="","",'.'!AA272&amp;IF(VLOOKUP('.'!AA272,Recipes!$A:$D,4,FALSE)="",""," ["&amp;VLOOKUP('.'!AA272,Recipes!$A:$D,4,FALSE)&amp;"]"))</f>
        <v/>
      </c>
      <c r="AB272" s="46" t="str">
        <f t="array" ref="AB272">IF('.'!AB272="","",'.'!AB272&amp;IF(VLOOKUP('.'!AB272,Recipes!$A:$D,4,FALSE)="",""," ["&amp;VLOOKUP('.'!AB272,Recipes!$A:$D,4,FALSE)&amp;"]"))</f>
        <v/>
      </c>
      <c r="AC272" s="46" t="str">
        <f t="array" ref="AC272">IF('.'!AC272="","",'.'!AC272&amp;IF(VLOOKUP('.'!AC272,Recipes!$A:$D,4,FALSE)="",""," ["&amp;VLOOKUP('.'!AC272,Recipes!$A:$D,4,FALSE)&amp;"]"))</f>
        <v/>
      </c>
      <c r="AD272" s="46" t="str">
        <f t="array" ref="AD272">IF('.'!AD272="","",'.'!AD272&amp;IF(VLOOKUP('.'!AD272,Recipes!$A:$D,4,FALSE)="",""," ["&amp;VLOOKUP('.'!AD272,Recipes!$A:$D,4,FALSE)&amp;"]"))</f>
        <v/>
      </c>
      <c r="AE272" s="47"/>
      <c r="AF272" s="47"/>
      <c r="AG272" s="47"/>
      <c r="AH272" s="47"/>
      <c r="AI272" s="47"/>
      <c r="AJ272" s="47"/>
      <c r="AK272" s="47"/>
      <c r="AL272" s="47"/>
      <c r="AM272" s="47"/>
      <c r="AN272" s="47"/>
      <c r="AO272" s="47"/>
      <c r="AP272" s="47"/>
      <c r="AQ272" s="47"/>
      <c r="AR272" s="47"/>
      <c r="AS272" s="47"/>
      <c r="AT272" s="47"/>
      <c r="AU272" s="47"/>
      <c r="AV272" s="47"/>
      <c r="AW272" s="47"/>
      <c r="AX272" s="47"/>
      <c r="AY272" s="47"/>
      <c r="AZ272" s="47"/>
      <c r="BA272" s="47"/>
      <c r="BB272" s="47"/>
      <c r="BC272" s="47"/>
      <c r="BD272" s="47"/>
      <c r="BE272" s="47"/>
      <c r="BF272" s="47"/>
      <c r="BG272" s="47"/>
      <c r="BH272" s="47"/>
      <c r="BI272" s="47"/>
      <c r="BJ272" s="47"/>
      <c r="BK272" s="47"/>
      <c r="BL272" s="47"/>
      <c r="BM272" s="47"/>
      <c r="BN272" s="47"/>
      <c r="BO272" s="47"/>
      <c r="BP272" s="47"/>
      <c r="BQ272" s="47"/>
      <c r="BR272" s="47"/>
      <c r="BS272" s="47"/>
      <c r="BT272" s="47"/>
      <c r="BU272" s="47"/>
      <c r="BV272" s="47"/>
      <c r="BW272" s="47"/>
      <c r="BX272" s="47"/>
      <c r="BY272" s="47"/>
      <c r="BZ272" s="47"/>
    </row>
    <row r="273" spans="1:78" ht="13">
      <c r="A273" s="48" t="str">
        <f ca="1">'.'!A273</f>
        <v>Lemon</v>
      </c>
      <c r="B273" s="46" t="str">
        <f t="array" aca="1" ref="B273" ca="1">IF('.'!B273="","",'.'!B273&amp;IF(VLOOKUP('.'!B273,Recipes!$A:$D,4,FALSE)="",""," ["&amp;VLOOKUP('.'!B273,Recipes!$A:$D,4,FALSE)&amp;"]"))</f>
        <v>Lemonade [3]</v>
      </c>
      <c r="C273" s="46" t="str">
        <f t="array" ref="C273">IF('.'!C273="","",'.'!C273&amp;IF(VLOOKUP('.'!C273,Recipes!$A:$D,4,FALSE)="",""," ["&amp;VLOOKUP('.'!C273,Recipes!$A:$D,4,FALSE)&amp;"]"))</f>
        <v/>
      </c>
      <c r="D273" s="46" t="str">
        <f t="array" ref="D273">IF('.'!D273="","",'.'!D273&amp;IF(VLOOKUP('.'!D273,Recipes!$A:$D,4,FALSE)="",""," ["&amp;VLOOKUP('.'!D273,Recipes!$A:$D,4,FALSE)&amp;"]"))</f>
        <v/>
      </c>
      <c r="E273" s="46" t="str">
        <f t="array" ref="E273">IF('.'!E273="","",'.'!E273&amp;IF(VLOOKUP('.'!E273,Recipes!$A:$D,4,FALSE)="",""," ["&amp;VLOOKUP('.'!E273,Recipes!$A:$D,4,FALSE)&amp;"]"))</f>
        <v/>
      </c>
      <c r="F273" s="46" t="str">
        <f t="array" ref="F273">IF('.'!F273="","",'.'!F273&amp;IF(VLOOKUP('.'!F273,Recipes!$A:$D,4,FALSE)="",""," ["&amp;VLOOKUP('.'!F273,Recipes!$A:$D,4,FALSE)&amp;"]"))</f>
        <v/>
      </c>
      <c r="G273" s="46" t="str">
        <f t="array" ref="G273">IF('.'!G273="","",'.'!G273&amp;IF(VLOOKUP('.'!G273,Recipes!$A:$D,4,FALSE)="",""," ["&amp;VLOOKUP('.'!G273,Recipes!$A:$D,4,FALSE)&amp;"]"))</f>
        <v/>
      </c>
      <c r="H273" s="46" t="str">
        <f t="array" ref="H273">IF('.'!H273="","",'.'!H273&amp;IF(VLOOKUP('.'!H273,Recipes!$A:$D,4,FALSE)="",""," ["&amp;VLOOKUP('.'!H273,Recipes!$A:$D,4,FALSE)&amp;"]"))</f>
        <v/>
      </c>
      <c r="I273" s="46" t="str">
        <f t="array" ref="I273">IF('.'!I273="","",'.'!I273&amp;IF(VLOOKUP('.'!I273,Recipes!$A:$D,4,FALSE)="",""," ["&amp;VLOOKUP('.'!I273,Recipes!$A:$D,4,FALSE)&amp;"]"))</f>
        <v/>
      </c>
      <c r="J273" s="46" t="str">
        <f t="array" ref="J273">IF('.'!J273="","",'.'!J273&amp;IF(VLOOKUP('.'!J273,Recipes!$A:$D,4,FALSE)="",""," ["&amp;VLOOKUP('.'!J273,Recipes!$A:$D,4,FALSE)&amp;"]"))</f>
        <v/>
      </c>
      <c r="K273" s="46" t="str">
        <f t="array" ref="K273">IF('.'!K273="","",'.'!K273&amp;IF(VLOOKUP('.'!K273,Recipes!$A:$D,4,FALSE)="",""," ["&amp;VLOOKUP('.'!K273,Recipes!$A:$D,4,FALSE)&amp;"]"))</f>
        <v/>
      </c>
      <c r="L273" s="46" t="str">
        <f t="array" ref="L273">IF('.'!L273="","",'.'!L273&amp;IF(VLOOKUP('.'!L273,Recipes!$A:$D,4,FALSE)="",""," ["&amp;VLOOKUP('.'!L273,Recipes!$A:$D,4,FALSE)&amp;"]"))</f>
        <v/>
      </c>
      <c r="M273" s="46" t="str">
        <f t="array" ref="M273">IF('.'!M273="","",'.'!M273&amp;IF(VLOOKUP('.'!M273,Recipes!$A:$D,4,FALSE)="",""," ["&amp;VLOOKUP('.'!M273,Recipes!$A:$D,4,FALSE)&amp;"]"))</f>
        <v/>
      </c>
      <c r="N273" s="46" t="str">
        <f t="array" ref="N273">IF('.'!N273="","",'.'!N273&amp;IF(VLOOKUP('.'!N273,Recipes!$A:$D,4,FALSE)="",""," ["&amp;VLOOKUP('.'!N273,Recipes!$A:$D,4,FALSE)&amp;"]"))</f>
        <v/>
      </c>
      <c r="O273" s="46" t="str">
        <f t="array" ref="O273">IF('.'!O273="","",'.'!O273&amp;IF(VLOOKUP('.'!O273,Recipes!$A:$D,4,FALSE)="",""," ["&amp;VLOOKUP('.'!O273,Recipes!$A:$D,4,FALSE)&amp;"]"))</f>
        <v/>
      </c>
      <c r="P273" s="46" t="str">
        <f t="array" ref="P273">IF('.'!P273="","",'.'!P273&amp;IF(VLOOKUP('.'!P273,Recipes!$A:$D,4,FALSE)="",""," ["&amp;VLOOKUP('.'!P273,Recipes!$A:$D,4,FALSE)&amp;"]"))</f>
        <v/>
      </c>
      <c r="Q273" s="46" t="str">
        <f t="array" ref="Q273">IF('.'!Q273="","",'.'!Q273&amp;IF(VLOOKUP('.'!Q273,Recipes!$A:$D,4,FALSE)="",""," ["&amp;VLOOKUP('.'!Q273,Recipes!$A:$D,4,FALSE)&amp;"]"))</f>
        <v/>
      </c>
      <c r="R273" s="46" t="str">
        <f t="array" ref="R273">IF('.'!R273="","",'.'!R273&amp;IF(VLOOKUP('.'!R273,Recipes!$A:$D,4,FALSE)="",""," ["&amp;VLOOKUP('.'!R273,Recipes!$A:$D,4,FALSE)&amp;"]"))</f>
        <v/>
      </c>
      <c r="S273" s="46" t="str">
        <f t="array" ref="S273">IF('.'!S273="","",'.'!S273&amp;IF(VLOOKUP('.'!S273,Recipes!$A:$D,4,FALSE)="",""," ["&amp;VLOOKUP('.'!S273,Recipes!$A:$D,4,FALSE)&amp;"]"))</f>
        <v/>
      </c>
      <c r="T273" s="46" t="str">
        <f t="array" ref="T273">IF('.'!T273="","",'.'!T273&amp;IF(VLOOKUP('.'!T273,Recipes!$A:$D,4,FALSE)="",""," ["&amp;VLOOKUP('.'!T273,Recipes!$A:$D,4,FALSE)&amp;"]"))</f>
        <v/>
      </c>
      <c r="U273" s="46" t="str">
        <f t="array" ref="U273">IF('.'!U273="","",'.'!U273&amp;IF(VLOOKUP('.'!U273,Recipes!$A:$D,4,FALSE)="",""," ["&amp;VLOOKUP('.'!U273,Recipes!$A:$D,4,FALSE)&amp;"]"))</f>
        <v/>
      </c>
      <c r="V273" s="46" t="str">
        <f t="array" ref="V273">IF('.'!V273="","",'.'!V273&amp;IF(VLOOKUP('.'!V273,Recipes!$A:$D,4,FALSE)="",""," ["&amp;VLOOKUP('.'!V273,Recipes!$A:$D,4,FALSE)&amp;"]"))</f>
        <v/>
      </c>
      <c r="W273" s="46" t="str">
        <f t="array" ref="W273">IF('.'!W273="","",'.'!W273&amp;IF(VLOOKUP('.'!W273,Recipes!$A:$D,4,FALSE)="",""," ["&amp;VLOOKUP('.'!W273,Recipes!$A:$D,4,FALSE)&amp;"]"))</f>
        <v/>
      </c>
      <c r="X273" s="46" t="str">
        <f t="array" ref="X273">IF('.'!X273="","",'.'!X273&amp;IF(VLOOKUP('.'!X273,Recipes!$A:$D,4,FALSE)="",""," ["&amp;VLOOKUP('.'!X273,Recipes!$A:$D,4,FALSE)&amp;"]"))</f>
        <v/>
      </c>
      <c r="Y273" s="46" t="str">
        <f t="array" ref="Y273">IF('.'!Y273="","",'.'!Y273&amp;IF(VLOOKUP('.'!Y273,Recipes!$A:$D,4,FALSE)="",""," ["&amp;VLOOKUP('.'!Y273,Recipes!$A:$D,4,FALSE)&amp;"]"))</f>
        <v/>
      </c>
      <c r="Z273" s="46" t="str">
        <f t="array" ref="Z273">IF('.'!Z273="","",'.'!Z273&amp;IF(VLOOKUP('.'!Z273,Recipes!$A:$D,4,FALSE)="",""," ["&amp;VLOOKUP('.'!Z273,Recipes!$A:$D,4,FALSE)&amp;"]"))</f>
        <v/>
      </c>
      <c r="AA273" s="46" t="str">
        <f t="array" ref="AA273">IF('.'!AA273="","",'.'!AA273&amp;IF(VLOOKUP('.'!AA273,Recipes!$A:$D,4,FALSE)="",""," ["&amp;VLOOKUP('.'!AA273,Recipes!$A:$D,4,FALSE)&amp;"]"))</f>
        <v/>
      </c>
      <c r="AB273" s="46" t="str">
        <f t="array" ref="AB273">IF('.'!AB273="","",'.'!AB273&amp;IF(VLOOKUP('.'!AB273,Recipes!$A:$D,4,FALSE)="",""," ["&amp;VLOOKUP('.'!AB273,Recipes!$A:$D,4,FALSE)&amp;"]"))</f>
        <v/>
      </c>
      <c r="AC273" s="46" t="str">
        <f t="array" ref="AC273">IF('.'!AC273="","",'.'!AC273&amp;IF(VLOOKUP('.'!AC273,Recipes!$A:$D,4,FALSE)="",""," ["&amp;VLOOKUP('.'!AC273,Recipes!$A:$D,4,FALSE)&amp;"]"))</f>
        <v/>
      </c>
      <c r="AD273" s="46" t="str">
        <f t="array" ref="AD273">IF('.'!AD273="","",'.'!AD273&amp;IF(VLOOKUP('.'!AD273,Recipes!$A:$D,4,FALSE)="",""," ["&amp;VLOOKUP('.'!AD273,Recipes!$A:$D,4,FALSE)&amp;"]"))</f>
        <v/>
      </c>
      <c r="AE273" s="47"/>
      <c r="AF273" s="47"/>
      <c r="AG273" s="47"/>
      <c r="AH273" s="47"/>
      <c r="AI273" s="47"/>
      <c r="AJ273" s="47"/>
      <c r="AK273" s="47"/>
      <c r="AL273" s="47"/>
      <c r="AM273" s="47"/>
      <c r="AN273" s="47"/>
      <c r="AO273" s="47"/>
      <c r="AP273" s="47"/>
      <c r="AQ273" s="47"/>
      <c r="AR273" s="47"/>
      <c r="AS273" s="47"/>
      <c r="AT273" s="47"/>
      <c r="AU273" s="47"/>
      <c r="AV273" s="47"/>
      <c r="AW273" s="47"/>
      <c r="AX273" s="47"/>
      <c r="AY273" s="47"/>
      <c r="AZ273" s="47"/>
      <c r="BA273" s="47"/>
      <c r="BB273" s="47"/>
      <c r="BC273" s="47"/>
      <c r="BD273" s="47"/>
      <c r="BE273" s="47"/>
      <c r="BF273" s="47"/>
      <c r="BG273" s="47"/>
      <c r="BH273" s="47"/>
      <c r="BI273" s="47"/>
      <c r="BJ273" s="47"/>
      <c r="BK273" s="47"/>
      <c r="BL273" s="47"/>
      <c r="BM273" s="47"/>
      <c r="BN273" s="47"/>
      <c r="BO273" s="47"/>
      <c r="BP273" s="47"/>
      <c r="BQ273" s="47"/>
      <c r="BR273" s="47"/>
      <c r="BS273" s="47"/>
      <c r="BT273" s="47"/>
      <c r="BU273" s="47"/>
      <c r="BV273" s="47"/>
      <c r="BW273" s="47"/>
      <c r="BX273" s="47"/>
      <c r="BY273" s="47"/>
      <c r="BZ273" s="47"/>
    </row>
    <row r="274" spans="1:78" ht="13">
      <c r="A274" s="48" t="str">
        <f ca="1">'.'!A274</f>
        <v>Life Essence</v>
      </c>
      <c r="B274" s="46" t="str">
        <f t="array" aca="1" ref="B274" ca="1">IF('.'!B274="","",'.'!B274&amp;IF(VLOOKUP('.'!B274,Recipes!$A:$D,4,FALSE)="",""," ["&amp;VLOOKUP('.'!B274,Recipes!$A:$D,4,FALSE)&amp;"]"))</f>
        <v>Bull Horns Scroll [-75]</v>
      </c>
      <c r="C274" s="46" t="str">
        <f t="array" aca="1" ref="C274" ca="1">IF('.'!C274="","",'.'!C274&amp;IF(VLOOKUP('.'!C274,Recipes!$A:$D,4,FALSE)="",""," ["&amp;VLOOKUP('.'!C274,Recipes!$A:$D,4,FALSE)&amp;"]"))</f>
        <v>Chameleon Cloak Scroll [-5]</v>
      </c>
      <c r="D274" s="46" t="str">
        <f t="array" aca="1" ref="D274" ca="1">IF('.'!D274="","",'.'!D274&amp;IF(VLOOKUP('.'!D274,Recipes!$A:$D,4,FALSE)="",""," ["&amp;VLOOKUP('.'!D274,Recipes!$A:$D,4,FALSE)&amp;"]"))</f>
        <v>Chicken Claw Scroll [-10]</v>
      </c>
      <c r="E274" s="46" t="e">
        <f t="array" aca="1" ref="E274" ca="1">IF('.'!E274="","",'.'!E274&amp;IF(VLOOKUP('.'!E274,Recipes!$A:$D,4,FALSE)="",""," ["&amp;VLOOKUP('.'!E274,Recipes!$A:$D,4,FALSE)&amp;"]"))</f>
        <v>#VALUE!</v>
      </c>
      <c r="F274" s="46" t="str">
        <f t="array" aca="1" ref="F274" ca="1">IF('.'!F274="","",'.'!F274&amp;IF(VLOOKUP('.'!F274,Recipes!$A:$D,4,FALSE)="",""," ["&amp;VLOOKUP('.'!F274,Recipes!$A:$D,4,FALSE)&amp;"]"))</f>
        <v>Resurrection Scroll [45]</v>
      </c>
      <c r="G274" s="46" t="str">
        <f t="array" aca="1" ref="G274" ca="1">IF('.'!G274="","",'.'!G274&amp;IF(VLOOKUP('.'!G274,Recipes!$A:$D,4,FALSE)="",""," ["&amp;VLOOKUP('.'!G274,Recipes!$A:$D,4,FALSE)&amp;"]"))</f>
        <v>Spread Your Wings Scroll [10]</v>
      </c>
      <c r="H274" s="46" t="str">
        <f t="array" aca="1" ref="H274" ca="1">IF('.'!H274="","",'.'!H274&amp;IF(VLOOKUP('.'!H274,Recipes!$A:$D,4,FALSE)="",""," ["&amp;VLOOKUP('.'!H274,Recipes!$A:$D,4,FALSE)&amp;"]"))</f>
        <v>Tentacle Lash Scroll [5]</v>
      </c>
      <c r="I274" s="46" t="str">
        <f t="array" ref="I274">IF('.'!I274="","",'.'!I274&amp;IF(VLOOKUP('.'!I274,Recipes!$A:$D,4,FALSE)="",""," ["&amp;VLOOKUP('.'!I274,Recipes!$A:$D,4,FALSE)&amp;"]"))</f>
        <v/>
      </c>
      <c r="J274" s="46" t="str">
        <f t="array" ref="J274">IF('.'!J274="","",'.'!J274&amp;IF(VLOOKUP('.'!J274,Recipes!$A:$D,4,FALSE)="",""," ["&amp;VLOOKUP('.'!J274,Recipes!$A:$D,4,FALSE)&amp;"]"))</f>
        <v/>
      </c>
      <c r="K274" s="46" t="str">
        <f t="array" ref="K274">IF('.'!K274="","",'.'!K274&amp;IF(VLOOKUP('.'!K274,Recipes!$A:$D,4,FALSE)="",""," ["&amp;VLOOKUP('.'!K274,Recipes!$A:$D,4,FALSE)&amp;"]"))</f>
        <v/>
      </c>
      <c r="L274" s="46" t="str">
        <f t="array" ref="L274">IF('.'!L274="","",'.'!L274&amp;IF(VLOOKUP('.'!L274,Recipes!$A:$D,4,FALSE)="",""," ["&amp;VLOOKUP('.'!L274,Recipes!$A:$D,4,FALSE)&amp;"]"))</f>
        <v/>
      </c>
      <c r="M274" s="46" t="str">
        <f t="array" ref="M274">IF('.'!M274="","",'.'!M274&amp;IF(VLOOKUP('.'!M274,Recipes!$A:$D,4,FALSE)="",""," ["&amp;VLOOKUP('.'!M274,Recipes!$A:$D,4,FALSE)&amp;"]"))</f>
        <v/>
      </c>
      <c r="N274" s="46" t="str">
        <f t="array" ref="N274">IF('.'!N274="","",'.'!N274&amp;IF(VLOOKUP('.'!N274,Recipes!$A:$D,4,FALSE)="",""," ["&amp;VLOOKUP('.'!N274,Recipes!$A:$D,4,FALSE)&amp;"]"))</f>
        <v/>
      </c>
      <c r="O274" s="46" t="str">
        <f t="array" ref="O274">IF('.'!O274="","",'.'!O274&amp;IF(VLOOKUP('.'!O274,Recipes!$A:$D,4,FALSE)="",""," ["&amp;VLOOKUP('.'!O274,Recipes!$A:$D,4,FALSE)&amp;"]"))</f>
        <v/>
      </c>
      <c r="P274" s="46" t="str">
        <f t="array" ref="P274">IF('.'!P274="","",'.'!P274&amp;IF(VLOOKUP('.'!P274,Recipes!$A:$D,4,FALSE)="",""," ["&amp;VLOOKUP('.'!P274,Recipes!$A:$D,4,FALSE)&amp;"]"))</f>
        <v/>
      </c>
      <c r="Q274" s="46" t="str">
        <f t="array" ref="Q274">IF('.'!Q274="","",'.'!Q274&amp;IF(VLOOKUP('.'!Q274,Recipes!$A:$D,4,FALSE)="",""," ["&amp;VLOOKUP('.'!Q274,Recipes!$A:$D,4,FALSE)&amp;"]"))</f>
        <v/>
      </c>
      <c r="R274" s="46" t="str">
        <f t="array" ref="R274">IF('.'!R274="","",'.'!R274&amp;IF(VLOOKUP('.'!R274,Recipes!$A:$D,4,FALSE)="",""," ["&amp;VLOOKUP('.'!R274,Recipes!$A:$D,4,FALSE)&amp;"]"))</f>
        <v/>
      </c>
      <c r="S274" s="46" t="str">
        <f t="array" ref="S274">IF('.'!S274="","",'.'!S274&amp;IF(VLOOKUP('.'!S274,Recipes!$A:$D,4,FALSE)="",""," ["&amp;VLOOKUP('.'!S274,Recipes!$A:$D,4,FALSE)&amp;"]"))</f>
        <v/>
      </c>
      <c r="T274" s="46" t="str">
        <f t="array" ref="T274">IF('.'!T274="","",'.'!T274&amp;IF(VLOOKUP('.'!T274,Recipes!$A:$D,4,FALSE)="",""," ["&amp;VLOOKUP('.'!T274,Recipes!$A:$D,4,FALSE)&amp;"]"))</f>
        <v/>
      </c>
      <c r="U274" s="46" t="str">
        <f t="array" ref="U274">IF('.'!U274="","",'.'!U274&amp;IF(VLOOKUP('.'!U274,Recipes!$A:$D,4,FALSE)="",""," ["&amp;VLOOKUP('.'!U274,Recipes!$A:$D,4,FALSE)&amp;"]"))</f>
        <v/>
      </c>
      <c r="V274" s="46" t="str">
        <f t="array" ref="V274">IF('.'!V274="","",'.'!V274&amp;IF(VLOOKUP('.'!V274,Recipes!$A:$D,4,FALSE)="",""," ["&amp;VLOOKUP('.'!V274,Recipes!$A:$D,4,FALSE)&amp;"]"))</f>
        <v/>
      </c>
      <c r="W274" s="46" t="str">
        <f t="array" ref="W274">IF('.'!W274="","",'.'!W274&amp;IF(VLOOKUP('.'!W274,Recipes!$A:$D,4,FALSE)="",""," ["&amp;VLOOKUP('.'!W274,Recipes!$A:$D,4,FALSE)&amp;"]"))</f>
        <v/>
      </c>
      <c r="X274" s="46" t="str">
        <f t="array" ref="X274">IF('.'!X274="","",'.'!X274&amp;IF(VLOOKUP('.'!X274,Recipes!$A:$D,4,FALSE)="",""," ["&amp;VLOOKUP('.'!X274,Recipes!$A:$D,4,FALSE)&amp;"]"))</f>
        <v/>
      </c>
      <c r="Y274" s="46" t="str">
        <f t="array" ref="Y274">IF('.'!Y274="","",'.'!Y274&amp;IF(VLOOKUP('.'!Y274,Recipes!$A:$D,4,FALSE)="",""," ["&amp;VLOOKUP('.'!Y274,Recipes!$A:$D,4,FALSE)&amp;"]"))</f>
        <v/>
      </c>
      <c r="Z274" s="46" t="str">
        <f t="array" ref="Z274">IF('.'!Z274="","",'.'!Z274&amp;IF(VLOOKUP('.'!Z274,Recipes!$A:$D,4,FALSE)="",""," ["&amp;VLOOKUP('.'!Z274,Recipes!$A:$D,4,FALSE)&amp;"]"))</f>
        <v/>
      </c>
      <c r="AA274" s="46" t="str">
        <f t="array" ref="AA274">IF('.'!AA274="","",'.'!AA274&amp;IF(VLOOKUP('.'!AA274,Recipes!$A:$D,4,FALSE)="",""," ["&amp;VLOOKUP('.'!AA274,Recipes!$A:$D,4,FALSE)&amp;"]"))</f>
        <v/>
      </c>
      <c r="AB274" s="46" t="str">
        <f t="array" ref="AB274">IF('.'!AB274="","",'.'!AB274&amp;IF(VLOOKUP('.'!AB274,Recipes!$A:$D,4,FALSE)="",""," ["&amp;VLOOKUP('.'!AB274,Recipes!$A:$D,4,FALSE)&amp;"]"))</f>
        <v/>
      </c>
      <c r="AC274" s="46" t="str">
        <f t="array" ref="AC274">IF('.'!AC274="","",'.'!AC274&amp;IF(VLOOKUP('.'!AC274,Recipes!$A:$D,4,FALSE)="",""," ["&amp;VLOOKUP('.'!AC274,Recipes!$A:$D,4,FALSE)&amp;"]"))</f>
        <v/>
      </c>
      <c r="AD274" s="46" t="str">
        <f t="array" ref="AD274">IF('.'!AD274="","",'.'!AD274&amp;IF(VLOOKUP('.'!AD274,Recipes!$A:$D,4,FALSE)="",""," ["&amp;VLOOKUP('.'!AD274,Recipes!$A:$D,4,FALSE)&amp;"]"))</f>
        <v/>
      </c>
      <c r="AE274" s="47"/>
      <c r="AF274" s="47"/>
      <c r="AG274" s="47"/>
      <c r="AH274" s="47"/>
      <c r="AI274" s="47"/>
      <c r="AJ274" s="47"/>
      <c r="AK274" s="47"/>
      <c r="AL274" s="47"/>
      <c r="AM274" s="47"/>
      <c r="AN274" s="47"/>
      <c r="AO274" s="47"/>
      <c r="AP274" s="47"/>
      <c r="AQ274" s="47"/>
      <c r="AR274" s="47"/>
      <c r="AS274" s="47"/>
      <c r="AT274" s="47"/>
      <c r="AU274" s="47"/>
      <c r="AV274" s="47"/>
      <c r="AW274" s="47"/>
      <c r="AX274" s="47"/>
      <c r="AY274" s="47"/>
      <c r="AZ274" s="47"/>
      <c r="BA274" s="47"/>
      <c r="BB274" s="47"/>
      <c r="BC274" s="47"/>
      <c r="BD274" s="47"/>
      <c r="BE274" s="47"/>
      <c r="BF274" s="47"/>
      <c r="BG274" s="47"/>
      <c r="BH274" s="47"/>
      <c r="BI274" s="47"/>
      <c r="BJ274" s="47"/>
      <c r="BK274" s="47"/>
      <c r="BL274" s="47"/>
      <c r="BM274" s="47"/>
      <c r="BN274" s="47"/>
      <c r="BO274" s="47"/>
      <c r="BP274" s="47"/>
      <c r="BQ274" s="47"/>
      <c r="BR274" s="47"/>
      <c r="BS274" s="47"/>
      <c r="BT274" s="47"/>
      <c r="BU274" s="47"/>
      <c r="BV274" s="47"/>
      <c r="BW274" s="47"/>
      <c r="BX274" s="47"/>
      <c r="BY274" s="47"/>
      <c r="BZ274" s="47"/>
    </row>
    <row r="275" spans="1:78" ht="13">
      <c r="A275" s="48" t="str">
        <f ca="1">'.'!A275</f>
        <v>Livewood Log</v>
      </c>
      <c r="B275" s="46" t="str">
        <f t="array" aca="1" ref="B275" ca="1">IF('.'!B275="","",'.'!B275&amp;IF(VLOOKUP('.'!B275,Recipes!$A:$D,4,FALSE)="",""," ["&amp;VLOOKUP('.'!B275,Recipes!$A:$D,4,FALSE)&amp;"]"))</f>
        <v>Acid Spores Scroll [-1905]</v>
      </c>
      <c r="C275" s="46" t="str">
        <f t="array" aca="1" ref="C275" ca="1">IF('.'!C275="","",'.'!C275&amp;IF(VLOOKUP('.'!C275,Recipes!$A:$D,4,FALSE)="",""," ["&amp;VLOOKUP('.'!C275,Recipes!$A:$D,4,FALSE)&amp;"]"))</f>
        <v>Small Masterwork Rune [-1050]</v>
      </c>
      <c r="D275" s="46" t="str">
        <f t="array" ref="D275">IF('.'!D275="","",'.'!D275&amp;IF(VLOOKUP('.'!D275,Recipes!$A:$D,4,FALSE)="",""," ["&amp;VLOOKUP('.'!D275,Recipes!$A:$D,4,FALSE)&amp;"]"))</f>
        <v/>
      </c>
      <c r="E275" s="46" t="str">
        <f t="array" ref="E275">IF('.'!E275="","",'.'!E275&amp;IF(VLOOKUP('.'!E275,Recipes!$A:$D,4,FALSE)="",""," ["&amp;VLOOKUP('.'!E275,Recipes!$A:$D,4,FALSE)&amp;"]"))</f>
        <v/>
      </c>
      <c r="F275" s="46" t="str">
        <f t="array" ref="F275">IF('.'!F275="","",'.'!F275&amp;IF(VLOOKUP('.'!F275,Recipes!$A:$D,4,FALSE)="",""," ["&amp;VLOOKUP('.'!F275,Recipes!$A:$D,4,FALSE)&amp;"]"))</f>
        <v/>
      </c>
      <c r="G275" s="46" t="str">
        <f t="array" ref="G275">IF('.'!G275="","",'.'!G275&amp;IF(VLOOKUP('.'!G275,Recipes!$A:$D,4,FALSE)="",""," ["&amp;VLOOKUP('.'!G275,Recipes!$A:$D,4,FALSE)&amp;"]"))</f>
        <v/>
      </c>
      <c r="H275" s="46" t="str">
        <f t="array" ref="H275">IF('.'!H275="","",'.'!H275&amp;IF(VLOOKUP('.'!H275,Recipes!$A:$D,4,FALSE)="",""," ["&amp;VLOOKUP('.'!H275,Recipes!$A:$D,4,FALSE)&amp;"]"))</f>
        <v/>
      </c>
      <c r="I275" s="46" t="str">
        <f t="array" ref="I275">IF('.'!I275="","",'.'!I275&amp;IF(VLOOKUP('.'!I275,Recipes!$A:$D,4,FALSE)="",""," ["&amp;VLOOKUP('.'!I275,Recipes!$A:$D,4,FALSE)&amp;"]"))</f>
        <v/>
      </c>
      <c r="J275" s="46" t="str">
        <f t="array" ref="J275">IF('.'!J275="","",'.'!J275&amp;IF(VLOOKUP('.'!J275,Recipes!$A:$D,4,FALSE)="",""," ["&amp;VLOOKUP('.'!J275,Recipes!$A:$D,4,FALSE)&amp;"]"))</f>
        <v/>
      </c>
      <c r="K275" s="46" t="str">
        <f t="array" ref="K275">IF('.'!K275="","",'.'!K275&amp;IF(VLOOKUP('.'!K275,Recipes!$A:$D,4,FALSE)="",""," ["&amp;VLOOKUP('.'!K275,Recipes!$A:$D,4,FALSE)&amp;"]"))</f>
        <v/>
      </c>
      <c r="L275" s="46" t="str">
        <f t="array" ref="L275">IF('.'!L275="","",'.'!L275&amp;IF(VLOOKUP('.'!L275,Recipes!$A:$D,4,FALSE)="",""," ["&amp;VLOOKUP('.'!L275,Recipes!$A:$D,4,FALSE)&amp;"]"))</f>
        <v/>
      </c>
      <c r="M275" s="46" t="str">
        <f t="array" ref="M275">IF('.'!M275="","",'.'!M275&amp;IF(VLOOKUP('.'!M275,Recipes!$A:$D,4,FALSE)="",""," ["&amp;VLOOKUP('.'!M275,Recipes!$A:$D,4,FALSE)&amp;"]"))</f>
        <v/>
      </c>
      <c r="N275" s="46" t="str">
        <f t="array" ref="N275">IF('.'!N275="","",'.'!N275&amp;IF(VLOOKUP('.'!N275,Recipes!$A:$D,4,FALSE)="",""," ["&amp;VLOOKUP('.'!N275,Recipes!$A:$D,4,FALSE)&amp;"]"))</f>
        <v/>
      </c>
      <c r="O275" s="46" t="str">
        <f t="array" ref="O275">IF('.'!O275="","",'.'!O275&amp;IF(VLOOKUP('.'!O275,Recipes!$A:$D,4,FALSE)="",""," ["&amp;VLOOKUP('.'!O275,Recipes!$A:$D,4,FALSE)&amp;"]"))</f>
        <v/>
      </c>
      <c r="P275" s="46" t="str">
        <f t="array" ref="P275">IF('.'!P275="","",'.'!P275&amp;IF(VLOOKUP('.'!P275,Recipes!$A:$D,4,FALSE)="",""," ["&amp;VLOOKUP('.'!P275,Recipes!$A:$D,4,FALSE)&amp;"]"))</f>
        <v/>
      </c>
      <c r="Q275" s="46" t="str">
        <f t="array" ref="Q275">IF('.'!Q275="","",'.'!Q275&amp;IF(VLOOKUP('.'!Q275,Recipes!$A:$D,4,FALSE)="",""," ["&amp;VLOOKUP('.'!Q275,Recipes!$A:$D,4,FALSE)&amp;"]"))</f>
        <v/>
      </c>
      <c r="R275" s="46" t="str">
        <f t="array" ref="R275">IF('.'!R275="","",'.'!R275&amp;IF(VLOOKUP('.'!R275,Recipes!$A:$D,4,FALSE)="",""," ["&amp;VLOOKUP('.'!R275,Recipes!$A:$D,4,FALSE)&amp;"]"))</f>
        <v/>
      </c>
      <c r="S275" s="46" t="str">
        <f t="array" ref="S275">IF('.'!S275="","",'.'!S275&amp;IF(VLOOKUP('.'!S275,Recipes!$A:$D,4,FALSE)="",""," ["&amp;VLOOKUP('.'!S275,Recipes!$A:$D,4,FALSE)&amp;"]"))</f>
        <v/>
      </c>
      <c r="T275" s="46" t="str">
        <f t="array" ref="T275">IF('.'!T275="","",'.'!T275&amp;IF(VLOOKUP('.'!T275,Recipes!$A:$D,4,FALSE)="",""," ["&amp;VLOOKUP('.'!T275,Recipes!$A:$D,4,FALSE)&amp;"]"))</f>
        <v/>
      </c>
      <c r="U275" s="46" t="str">
        <f t="array" ref="U275">IF('.'!U275="","",'.'!U275&amp;IF(VLOOKUP('.'!U275,Recipes!$A:$D,4,FALSE)="",""," ["&amp;VLOOKUP('.'!U275,Recipes!$A:$D,4,FALSE)&amp;"]"))</f>
        <v/>
      </c>
      <c r="V275" s="46" t="str">
        <f t="array" ref="V275">IF('.'!V275="","",'.'!V275&amp;IF(VLOOKUP('.'!V275,Recipes!$A:$D,4,FALSE)="",""," ["&amp;VLOOKUP('.'!V275,Recipes!$A:$D,4,FALSE)&amp;"]"))</f>
        <v/>
      </c>
      <c r="W275" s="46" t="str">
        <f t="array" ref="W275">IF('.'!W275="","",'.'!W275&amp;IF(VLOOKUP('.'!W275,Recipes!$A:$D,4,FALSE)="",""," ["&amp;VLOOKUP('.'!W275,Recipes!$A:$D,4,FALSE)&amp;"]"))</f>
        <v/>
      </c>
      <c r="X275" s="46" t="str">
        <f t="array" ref="X275">IF('.'!X275="","",'.'!X275&amp;IF(VLOOKUP('.'!X275,Recipes!$A:$D,4,FALSE)="",""," ["&amp;VLOOKUP('.'!X275,Recipes!$A:$D,4,FALSE)&amp;"]"))</f>
        <v/>
      </c>
      <c r="Y275" s="46" t="str">
        <f t="array" ref="Y275">IF('.'!Y275="","",'.'!Y275&amp;IF(VLOOKUP('.'!Y275,Recipes!$A:$D,4,FALSE)="",""," ["&amp;VLOOKUP('.'!Y275,Recipes!$A:$D,4,FALSE)&amp;"]"))</f>
        <v/>
      </c>
      <c r="Z275" s="46" t="str">
        <f t="array" ref="Z275">IF('.'!Z275="","",'.'!Z275&amp;IF(VLOOKUP('.'!Z275,Recipes!$A:$D,4,FALSE)="",""," ["&amp;VLOOKUP('.'!Z275,Recipes!$A:$D,4,FALSE)&amp;"]"))</f>
        <v/>
      </c>
      <c r="AA275" s="46" t="str">
        <f t="array" ref="AA275">IF('.'!AA275="","",'.'!AA275&amp;IF(VLOOKUP('.'!AA275,Recipes!$A:$D,4,FALSE)="",""," ["&amp;VLOOKUP('.'!AA275,Recipes!$A:$D,4,FALSE)&amp;"]"))</f>
        <v/>
      </c>
      <c r="AB275" s="46" t="str">
        <f t="array" ref="AB275">IF('.'!AB275="","",'.'!AB275&amp;IF(VLOOKUP('.'!AB275,Recipes!$A:$D,4,FALSE)="",""," ["&amp;VLOOKUP('.'!AB275,Recipes!$A:$D,4,FALSE)&amp;"]"))</f>
        <v/>
      </c>
      <c r="AC275" s="46" t="str">
        <f t="array" ref="AC275">IF('.'!AC275="","",'.'!AC275&amp;IF(VLOOKUP('.'!AC275,Recipes!$A:$D,4,FALSE)="",""," ["&amp;VLOOKUP('.'!AC275,Recipes!$A:$D,4,FALSE)&amp;"]"))</f>
        <v/>
      </c>
      <c r="AD275" s="46" t="str">
        <f t="array" ref="AD275">IF('.'!AD275="","",'.'!AD275&amp;IF(VLOOKUP('.'!AD275,Recipes!$A:$D,4,FALSE)="",""," ["&amp;VLOOKUP('.'!AD275,Recipes!$A:$D,4,FALSE)&amp;"]"))</f>
        <v/>
      </c>
      <c r="AE275" s="47"/>
      <c r="AF275" s="47"/>
      <c r="AG275" s="47"/>
      <c r="AH275" s="47"/>
      <c r="AI275" s="47"/>
      <c r="AJ275" s="47"/>
      <c r="AK275" s="47"/>
      <c r="AL275" s="47"/>
      <c r="AM275" s="47"/>
      <c r="AN275" s="47"/>
      <c r="AO275" s="47"/>
      <c r="AP275" s="47"/>
      <c r="AQ275" s="47"/>
      <c r="AR275" s="47"/>
      <c r="AS275" s="47"/>
      <c r="AT275" s="47"/>
      <c r="AU275" s="47"/>
      <c r="AV275" s="47"/>
      <c r="AW275" s="47"/>
      <c r="AX275" s="47"/>
      <c r="AY275" s="47"/>
      <c r="AZ275" s="47"/>
      <c r="BA275" s="47"/>
      <c r="BB275" s="47"/>
      <c r="BC275" s="47"/>
      <c r="BD275" s="47"/>
      <c r="BE275" s="47"/>
      <c r="BF275" s="47"/>
      <c r="BG275" s="47"/>
      <c r="BH275" s="47"/>
      <c r="BI275" s="47"/>
      <c r="BJ275" s="47"/>
      <c r="BK275" s="47"/>
      <c r="BL275" s="47"/>
      <c r="BM275" s="47"/>
      <c r="BN275" s="47"/>
      <c r="BO275" s="47"/>
      <c r="BP275" s="47"/>
      <c r="BQ275" s="47"/>
      <c r="BR275" s="47"/>
      <c r="BS275" s="47"/>
      <c r="BT275" s="47"/>
      <c r="BU275" s="47"/>
      <c r="BV275" s="47"/>
      <c r="BW275" s="47"/>
      <c r="BX275" s="47"/>
      <c r="BY275" s="47"/>
      <c r="BZ275" s="47"/>
    </row>
    <row r="276" spans="1:78" ht="13">
      <c r="A276" s="48" t="str">
        <f ca="1">'.'!A276</f>
        <v>Living on the Edge Scroll</v>
      </c>
      <c r="B276" s="46" t="str">
        <f t="array" aca="1" ref="B276" ca="1">IF('.'!B276="","",'.'!B276&amp;IF(VLOOKUP('.'!B276,Recipes!$A:$D,4,FALSE)="",""," ["&amp;VLOOKUP('.'!B276,Recipes!$A:$D,4,FALSE)&amp;"]"))</f>
        <v>Living on the Edge Skillbook [-10]</v>
      </c>
      <c r="C276" s="46" t="str">
        <f t="array" ref="C276">IF('.'!C276="","",'.'!C276&amp;IF(VLOOKUP('.'!C276,Recipes!$A:$D,4,FALSE)="",""," ["&amp;VLOOKUP('.'!C276,Recipes!$A:$D,4,FALSE)&amp;"]"))</f>
        <v/>
      </c>
      <c r="D276" s="46" t="str">
        <f t="array" ref="D276">IF('.'!D276="","",'.'!D276&amp;IF(VLOOKUP('.'!D276,Recipes!$A:$D,4,FALSE)="",""," ["&amp;VLOOKUP('.'!D276,Recipes!$A:$D,4,FALSE)&amp;"]"))</f>
        <v/>
      </c>
      <c r="E276" s="46" t="str">
        <f t="array" ref="E276">IF('.'!E276="","",'.'!E276&amp;IF(VLOOKUP('.'!E276,Recipes!$A:$D,4,FALSE)="",""," ["&amp;VLOOKUP('.'!E276,Recipes!$A:$D,4,FALSE)&amp;"]"))</f>
        <v/>
      </c>
      <c r="F276" s="46" t="str">
        <f t="array" ref="F276">IF('.'!F276="","",'.'!F276&amp;IF(VLOOKUP('.'!F276,Recipes!$A:$D,4,FALSE)="",""," ["&amp;VLOOKUP('.'!F276,Recipes!$A:$D,4,FALSE)&amp;"]"))</f>
        <v/>
      </c>
      <c r="G276" s="46" t="str">
        <f t="array" ref="G276">IF('.'!G276="","",'.'!G276&amp;IF(VLOOKUP('.'!G276,Recipes!$A:$D,4,FALSE)="",""," ["&amp;VLOOKUP('.'!G276,Recipes!$A:$D,4,FALSE)&amp;"]"))</f>
        <v/>
      </c>
      <c r="H276" s="46" t="str">
        <f t="array" ref="H276">IF('.'!H276="","",'.'!H276&amp;IF(VLOOKUP('.'!H276,Recipes!$A:$D,4,FALSE)="",""," ["&amp;VLOOKUP('.'!H276,Recipes!$A:$D,4,FALSE)&amp;"]"))</f>
        <v/>
      </c>
      <c r="I276" s="46" t="str">
        <f t="array" ref="I276">IF('.'!I276="","",'.'!I276&amp;IF(VLOOKUP('.'!I276,Recipes!$A:$D,4,FALSE)="",""," ["&amp;VLOOKUP('.'!I276,Recipes!$A:$D,4,FALSE)&amp;"]"))</f>
        <v/>
      </c>
      <c r="J276" s="46" t="str">
        <f t="array" ref="J276">IF('.'!J276="","",'.'!J276&amp;IF(VLOOKUP('.'!J276,Recipes!$A:$D,4,FALSE)="",""," ["&amp;VLOOKUP('.'!J276,Recipes!$A:$D,4,FALSE)&amp;"]"))</f>
        <v/>
      </c>
      <c r="K276" s="46" t="str">
        <f t="array" ref="K276">IF('.'!K276="","",'.'!K276&amp;IF(VLOOKUP('.'!K276,Recipes!$A:$D,4,FALSE)="",""," ["&amp;VLOOKUP('.'!K276,Recipes!$A:$D,4,FALSE)&amp;"]"))</f>
        <v/>
      </c>
      <c r="L276" s="46" t="str">
        <f t="array" ref="L276">IF('.'!L276="","",'.'!L276&amp;IF(VLOOKUP('.'!L276,Recipes!$A:$D,4,FALSE)="",""," ["&amp;VLOOKUP('.'!L276,Recipes!$A:$D,4,FALSE)&amp;"]"))</f>
        <v/>
      </c>
      <c r="M276" s="46" t="str">
        <f t="array" ref="M276">IF('.'!M276="","",'.'!M276&amp;IF(VLOOKUP('.'!M276,Recipes!$A:$D,4,FALSE)="",""," ["&amp;VLOOKUP('.'!M276,Recipes!$A:$D,4,FALSE)&amp;"]"))</f>
        <v/>
      </c>
      <c r="N276" s="46" t="str">
        <f t="array" ref="N276">IF('.'!N276="","",'.'!N276&amp;IF(VLOOKUP('.'!N276,Recipes!$A:$D,4,FALSE)="",""," ["&amp;VLOOKUP('.'!N276,Recipes!$A:$D,4,FALSE)&amp;"]"))</f>
        <v/>
      </c>
      <c r="O276" s="46" t="str">
        <f t="array" ref="O276">IF('.'!O276="","",'.'!O276&amp;IF(VLOOKUP('.'!O276,Recipes!$A:$D,4,FALSE)="",""," ["&amp;VLOOKUP('.'!O276,Recipes!$A:$D,4,FALSE)&amp;"]"))</f>
        <v/>
      </c>
      <c r="P276" s="46" t="str">
        <f t="array" ref="P276">IF('.'!P276="","",'.'!P276&amp;IF(VLOOKUP('.'!P276,Recipes!$A:$D,4,FALSE)="",""," ["&amp;VLOOKUP('.'!P276,Recipes!$A:$D,4,FALSE)&amp;"]"))</f>
        <v/>
      </c>
      <c r="Q276" s="46" t="str">
        <f t="array" ref="Q276">IF('.'!Q276="","",'.'!Q276&amp;IF(VLOOKUP('.'!Q276,Recipes!$A:$D,4,FALSE)="",""," ["&amp;VLOOKUP('.'!Q276,Recipes!$A:$D,4,FALSE)&amp;"]"))</f>
        <v/>
      </c>
      <c r="R276" s="46" t="str">
        <f t="array" ref="R276">IF('.'!R276="","",'.'!R276&amp;IF(VLOOKUP('.'!R276,Recipes!$A:$D,4,FALSE)="",""," ["&amp;VLOOKUP('.'!R276,Recipes!$A:$D,4,FALSE)&amp;"]"))</f>
        <v/>
      </c>
      <c r="S276" s="46" t="str">
        <f t="array" ref="S276">IF('.'!S276="","",'.'!S276&amp;IF(VLOOKUP('.'!S276,Recipes!$A:$D,4,FALSE)="",""," ["&amp;VLOOKUP('.'!S276,Recipes!$A:$D,4,FALSE)&amp;"]"))</f>
        <v/>
      </c>
      <c r="T276" s="46" t="str">
        <f t="array" ref="T276">IF('.'!T276="","",'.'!T276&amp;IF(VLOOKUP('.'!T276,Recipes!$A:$D,4,FALSE)="",""," ["&amp;VLOOKUP('.'!T276,Recipes!$A:$D,4,FALSE)&amp;"]"))</f>
        <v/>
      </c>
      <c r="U276" s="46" t="str">
        <f t="array" ref="U276">IF('.'!U276="","",'.'!U276&amp;IF(VLOOKUP('.'!U276,Recipes!$A:$D,4,FALSE)="",""," ["&amp;VLOOKUP('.'!U276,Recipes!$A:$D,4,FALSE)&amp;"]"))</f>
        <v/>
      </c>
      <c r="V276" s="46" t="str">
        <f t="array" ref="V276">IF('.'!V276="","",'.'!V276&amp;IF(VLOOKUP('.'!V276,Recipes!$A:$D,4,FALSE)="",""," ["&amp;VLOOKUP('.'!V276,Recipes!$A:$D,4,FALSE)&amp;"]"))</f>
        <v/>
      </c>
      <c r="W276" s="46" t="str">
        <f t="array" ref="W276">IF('.'!W276="","",'.'!W276&amp;IF(VLOOKUP('.'!W276,Recipes!$A:$D,4,FALSE)="",""," ["&amp;VLOOKUP('.'!W276,Recipes!$A:$D,4,FALSE)&amp;"]"))</f>
        <v/>
      </c>
      <c r="X276" s="46" t="str">
        <f t="array" ref="X276">IF('.'!X276="","",'.'!X276&amp;IF(VLOOKUP('.'!X276,Recipes!$A:$D,4,FALSE)="",""," ["&amp;VLOOKUP('.'!X276,Recipes!$A:$D,4,FALSE)&amp;"]"))</f>
        <v/>
      </c>
      <c r="Y276" s="46" t="str">
        <f t="array" ref="Y276">IF('.'!Y276="","",'.'!Y276&amp;IF(VLOOKUP('.'!Y276,Recipes!$A:$D,4,FALSE)="",""," ["&amp;VLOOKUP('.'!Y276,Recipes!$A:$D,4,FALSE)&amp;"]"))</f>
        <v/>
      </c>
      <c r="Z276" s="46" t="str">
        <f t="array" ref="Z276">IF('.'!Z276="","",'.'!Z276&amp;IF(VLOOKUP('.'!Z276,Recipes!$A:$D,4,FALSE)="",""," ["&amp;VLOOKUP('.'!Z276,Recipes!$A:$D,4,FALSE)&amp;"]"))</f>
        <v/>
      </c>
      <c r="AA276" s="46" t="str">
        <f t="array" ref="AA276">IF('.'!AA276="","",'.'!AA276&amp;IF(VLOOKUP('.'!AA276,Recipes!$A:$D,4,FALSE)="",""," ["&amp;VLOOKUP('.'!AA276,Recipes!$A:$D,4,FALSE)&amp;"]"))</f>
        <v/>
      </c>
      <c r="AB276" s="46" t="str">
        <f t="array" ref="AB276">IF('.'!AB276="","",'.'!AB276&amp;IF(VLOOKUP('.'!AB276,Recipes!$A:$D,4,FALSE)="",""," ["&amp;VLOOKUP('.'!AB276,Recipes!$A:$D,4,FALSE)&amp;"]"))</f>
        <v/>
      </c>
      <c r="AC276" s="46" t="str">
        <f t="array" ref="AC276">IF('.'!AC276="","",'.'!AC276&amp;IF(VLOOKUP('.'!AC276,Recipes!$A:$D,4,FALSE)="",""," ["&amp;VLOOKUP('.'!AC276,Recipes!$A:$D,4,FALSE)&amp;"]"))</f>
        <v/>
      </c>
      <c r="AD276" s="46" t="str">
        <f t="array" ref="AD276">IF('.'!AD276="","",'.'!AD276&amp;IF(VLOOKUP('.'!AD276,Recipes!$A:$D,4,FALSE)="",""," ["&amp;VLOOKUP('.'!AD276,Recipes!$A:$D,4,FALSE)&amp;"]"))</f>
        <v/>
      </c>
      <c r="AE276" s="47"/>
      <c r="AF276" s="47"/>
      <c r="AG276" s="47"/>
      <c r="AH276" s="47"/>
      <c r="AI276" s="47"/>
      <c r="AJ276" s="47"/>
      <c r="AK276" s="47"/>
      <c r="AL276" s="47"/>
      <c r="AM276" s="47"/>
      <c r="AN276" s="47"/>
      <c r="AO276" s="47"/>
      <c r="AP276" s="47"/>
      <c r="AQ276" s="47"/>
      <c r="AR276" s="47"/>
      <c r="AS276" s="47"/>
      <c r="AT276" s="47"/>
      <c r="AU276" s="47"/>
      <c r="AV276" s="47"/>
      <c r="AW276" s="47"/>
      <c r="AX276" s="47"/>
      <c r="AY276" s="47"/>
      <c r="AZ276" s="47"/>
      <c r="BA276" s="47"/>
      <c r="BB276" s="47"/>
      <c r="BC276" s="47"/>
      <c r="BD276" s="47"/>
      <c r="BE276" s="47"/>
      <c r="BF276" s="47"/>
      <c r="BG276" s="47"/>
      <c r="BH276" s="47"/>
      <c r="BI276" s="47"/>
      <c r="BJ276" s="47"/>
      <c r="BK276" s="47"/>
      <c r="BL276" s="47"/>
      <c r="BM276" s="47"/>
      <c r="BN276" s="47"/>
      <c r="BO276" s="47"/>
      <c r="BP276" s="47"/>
      <c r="BQ276" s="47"/>
      <c r="BR276" s="47"/>
      <c r="BS276" s="47"/>
      <c r="BT276" s="47"/>
      <c r="BU276" s="47"/>
      <c r="BV276" s="47"/>
      <c r="BW276" s="47"/>
      <c r="BX276" s="47"/>
      <c r="BY276" s="47"/>
      <c r="BZ276" s="47"/>
    </row>
    <row r="277" spans="1:78" ht="13">
      <c r="A277" s="48" t="str">
        <f ca="1">'.'!A277</f>
        <v>Living Wall Scroll</v>
      </c>
      <c r="B277" s="46" t="str">
        <f t="array" aca="1" ref="B277" ca="1">IF('.'!B277="","",'.'!B277&amp;IF(VLOOKUP('.'!B277,Recipes!$A:$D,4,FALSE)="",""," ["&amp;VLOOKUP('.'!B277,Recipes!$A:$D,4,FALSE)&amp;"]"))</f>
        <v>Living Wall Skillbook [650]</v>
      </c>
      <c r="C277" s="46" t="str">
        <f t="array" ref="C277">IF('.'!C277="","",'.'!C277&amp;IF(VLOOKUP('.'!C277,Recipes!$A:$D,4,FALSE)="",""," ["&amp;VLOOKUP('.'!C277,Recipes!$A:$D,4,FALSE)&amp;"]"))</f>
        <v/>
      </c>
      <c r="D277" s="46" t="str">
        <f t="array" ref="D277">IF('.'!D277="","",'.'!D277&amp;IF(VLOOKUP('.'!D277,Recipes!$A:$D,4,FALSE)="",""," ["&amp;VLOOKUP('.'!D277,Recipes!$A:$D,4,FALSE)&amp;"]"))</f>
        <v/>
      </c>
      <c r="E277" s="46" t="str">
        <f t="array" ref="E277">IF('.'!E277="","",'.'!E277&amp;IF(VLOOKUP('.'!E277,Recipes!$A:$D,4,FALSE)="",""," ["&amp;VLOOKUP('.'!E277,Recipes!$A:$D,4,FALSE)&amp;"]"))</f>
        <v/>
      </c>
      <c r="F277" s="46" t="str">
        <f t="array" ref="F277">IF('.'!F277="","",'.'!F277&amp;IF(VLOOKUP('.'!F277,Recipes!$A:$D,4,FALSE)="",""," ["&amp;VLOOKUP('.'!F277,Recipes!$A:$D,4,FALSE)&amp;"]"))</f>
        <v/>
      </c>
      <c r="G277" s="46" t="str">
        <f t="array" ref="G277">IF('.'!G277="","",'.'!G277&amp;IF(VLOOKUP('.'!G277,Recipes!$A:$D,4,FALSE)="",""," ["&amp;VLOOKUP('.'!G277,Recipes!$A:$D,4,FALSE)&amp;"]"))</f>
        <v/>
      </c>
      <c r="H277" s="46" t="str">
        <f t="array" ref="H277">IF('.'!H277="","",'.'!H277&amp;IF(VLOOKUP('.'!H277,Recipes!$A:$D,4,FALSE)="",""," ["&amp;VLOOKUP('.'!H277,Recipes!$A:$D,4,FALSE)&amp;"]"))</f>
        <v/>
      </c>
      <c r="I277" s="46" t="str">
        <f t="array" ref="I277">IF('.'!I277="","",'.'!I277&amp;IF(VLOOKUP('.'!I277,Recipes!$A:$D,4,FALSE)="",""," ["&amp;VLOOKUP('.'!I277,Recipes!$A:$D,4,FALSE)&amp;"]"))</f>
        <v/>
      </c>
      <c r="J277" s="46" t="str">
        <f t="array" ref="J277">IF('.'!J277="","",'.'!J277&amp;IF(VLOOKUP('.'!J277,Recipes!$A:$D,4,FALSE)="",""," ["&amp;VLOOKUP('.'!J277,Recipes!$A:$D,4,FALSE)&amp;"]"))</f>
        <v/>
      </c>
      <c r="K277" s="46" t="str">
        <f t="array" ref="K277">IF('.'!K277="","",'.'!K277&amp;IF(VLOOKUP('.'!K277,Recipes!$A:$D,4,FALSE)="",""," ["&amp;VLOOKUP('.'!K277,Recipes!$A:$D,4,FALSE)&amp;"]"))</f>
        <v/>
      </c>
      <c r="L277" s="46" t="str">
        <f t="array" ref="L277">IF('.'!L277="","",'.'!L277&amp;IF(VLOOKUP('.'!L277,Recipes!$A:$D,4,FALSE)="",""," ["&amp;VLOOKUP('.'!L277,Recipes!$A:$D,4,FALSE)&amp;"]"))</f>
        <v/>
      </c>
      <c r="M277" s="46" t="str">
        <f t="array" ref="M277">IF('.'!M277="","",'.'!M277&amp;IF(VLOOKUP('.'!M277,Recipes!$A:$D,4,FALSE)="",""," ["&amp;VLOOKUP('.'!M277,Recipes!$A:$D,4,FALSE)&amp;"]"))</f>
        <v/>
      </c>
      <c r="N277" s="46" t="str">
        <f t="array" ref="N277">IF('.'!N277="","",'.'!N277&amp;IF(VLOOKUP('.'!N277,Recipes!$A:$D,4,FALSE)="",""," ["&amp;VLOOKUP('.'!N277,Recipes!$A:$D,4,FALSE)&amp;"]"))</f>
        <v/>
      </c>
      <c r="O277" s="46" t="str">
        <f t="array" ref="O277">IF('.'!O277="","",'.'!O277&amp;IF(VLOOKUP('.'!O277,Recipes!$A:$D,4,FALSE)="",""," ["&amp;VLOOKUP('.'!O277,Recipes!$A:$D,4,FALSE)&amp;"]"))</f>
        <v/>
      </c>
      <c r="P277" s="46" t="str">
        <f t="array" ref="P277">IF('.'!P277="","",'.'!P277&amp;IF(VLOOKUP('.'!P277,Recipes!$A:$D,4,FALSE)="",""," ["&amp;VLOOKUP('.'!P277,Recipes!$A:$D,4,FALSE)&amp;"]"))</f>
        <v/>
      </c>
      <c r="Q277" s="46" t="str">
        <f t="array" ref="Q277">IF('.'!Q277="","",'.'!Q277&amp;IF(VLOOKUP('.'!Q277,Recipes!$A:$D,4,FALSE)="",""," ["&amp;VLOOKUP('.'!Q277,Recipes!$A:$D,4,FALSE)&amp;"]"))</f>
        <v/>
      </c>
      <c r="R277" s="46" t="str">
        <f t="array" ref="R277">IF('.'!R277="","",'.'!R277&amp;IF(VLOOKUP('.'!R277,Recipes!$A:$D,4,FALSE)="",""," ["&amp;VLOOKUP('.'!R277,Recipes!$A:$D,4,FALSE)&amp;"]"))</f>
        <v/>
      </c>
      <c r="S277" s="46" t="str">
        <f t="array" ref="S277">IF('.'!S277="","",'.'!S277&amp;IF(VLOOKUP('.'!S277,Recipes!$A:$D,4,FALSE)="",""," ["&amp;VLOOKUP('.'!S277,Recipes!$A:$D,4,FALSE)&amp;"]"))</f>
        <v/>
      </c>
      <c r="T277" s="46" t="str">
        <f t="array" ref="T277">IF('.'!T277="","",'.'!T277&amp;IF(VLOOKUP('.'!T277,Recipes!$A:$D,4,FALSE)="",""," ["&amp;VLOOKUP('.'!T277,Recipes!$A:$D,4,FALSE)&amp;"]"))</f>
        <v/>
      </c>
      <c r="U277" s="46" t="str">
        <f t="array" ref="U277">IF('.'!U277="","",'.'!U277&amp;IF(VLOOKUP('.'!U277,Recipes!$A:$D,4,FALSE)="",""," ["&amp;VLOOKUP('.'!U277,Recipes!$A:$D,4,FALSE)&amp;"]"))</f>
        <v/>
      </c>
      <c r="V277" s="46" t="str">
        <f t="array" ref="V277">IF('.'!V277="","",'.'!V277&amp;IF(VLOOKUP('.'!V277,Recipes!$A:$D,4,FALSE)="",""," ["&amp;VLOOKUP('.'!V277,Recipes!$A:$D,4,FALSE)&amp;"]"))</f>
        <v/>
      </c>
      <c r="W277" s="46" t="str">
        <f t="array" ref="W277">IF('.'!W277="","",'.'!W277&amp;IF(VLOOKUP('.'!W277,Recipes!$A:$D,4,FALSE)="",""," ["&amp;VLOOKUP('.'!W277,Recipes!$A:$D,4,FALSE)&amp;"]"))</f>
        <v/>
      </c>
      <c r="X277" s="46" t="str">
        <f t="array" ref="X277">IF('.'!X277="","",'.'!X277&amp;IF(VLOOKUP('.'!X277,Recipes!$A:$D,4,FALSE)="",""," ["&amp;VLOOKUP('.'!X277,Recipes!$A:$D,4,FALSE)&amp;"]"))</f>
        <v/>
      </c>
      <c r="Y277" s="46" t="str">
        <f t="array" ref="Y277">IF('.'!Y277="","",'.'!Y277&amp;IF(VLOOKUP('.'!Y277,Recipes!$A:$D,4,FALSE)="",""," ["&amp;VLOOKUP('.'!Y277,Recipes!$A:$D,4,FALSE)&amp;"]"))</f>
        <v/>
      </c>
      <c r="Z277" s="46" t="str">
        <f t="array" ref="Z277">IF('.'!Z277="","",'.'!Z277&amp;IF(VLOOKUP('.'!Z277,Recipes!$A:$D,4,FALSE)="",""," ["&amp;VLOOKUP('.'!Z277,Recipes!$A:$D,4,FALSE)&amp;"]"))</f>
        <v/>
      </c>
      <c r="AA277" s="46" t="str">
        <f t="array" ref="AA277">IF('.'!AA277="","",'.'!AA277&amp;IF(VLOOKUP('.'!AA277,Recipes!$A:$D,4,FALSE)="",""," ["&amp;VLOOKUP('.'!AA277,Recipes!$A:$D,4,FALSE)&amp;"]"))</f>
        <v/>
      </c>
      <c r="AB277" s="46" t="str">
        <f t="array" ref="AB277">IF('.'!AB277="","",'.'!AB277&amp;IF(VLOOKUP('.'!AB277,Recipes!$A:$D,4,FALSE)="",""," ["&amp;VLOOKUP('.'!AB277,Recipes!$A:$D,4,FALSE)&amp;"]"))</f>
        <v/>
      </c>
      <c r="AC277" s="46" t="str">
        <f t="array" ref="AC277">IF('.'!AC277="","",'.'!AC277&amp;IF(VLOOKUP('.'!AC277,Recipes!$A:$D,4,FALSE)="",""," ["&amp;VLOOKUP('.'!AC277,Recipes!$A:$D,4,FALSE)&amp;"]"))</f>
        <v/>
      </c>
      <c r="AD277" s="46" t="str">
        <f t="array" ref="AD277">IF('.'!AD277="","",'.'!AD277&amp;IF(VLOOKUP('.'!AD277,Recipes!$A:$D,4,FALSE)="",""," ["&amp;VLOOKUP('.'!AD277,Recipes!$A:$D,4,FALSE)&amp;"]"))</f>
        <v/>
      </c>
      <c r="AE277" s="47"/>
      <c r="AF277" s="47"/>
      <c r="AG277" s="47"/>
      <c r="AH277" s="47"/>
      <c r="AI277" s="47"/>
      <c r="AJ277" s="47"/>
      <c r="AK277" s="47"/>
      <c r="AL277" s="47"/>
      <c r="AM277" s="47"/>
      <c r="AN277" s="47"/>
      <c r="AO277" s="47"/>
      <c r="AP277" s="47"/>
      <c r="AQ277" s="47"/>
      <c r="AR277" s="47"/>
      <c r="AS277" s="47"/>
      <c r="AT277" s="47"/>
      <c r="AU277" s="47"/>
      <c r="AV277" s="47"/>
      <c r="AW277" s="47"/>
      <c r="AX277" s="47"/>
      <c r="AY277" s="47"/>
      <c r="AZ277" s="47"/>
      <c r="BA277" s="47"/>
      <c r="BB277" s="47"/>
      <c r="BC277" s="47"/>
      <c r="BD277" s="47"/>
      <c r="BE277" s="47"/>
      <c r="BF277" s="47"/>
      <c r="BG277" s="47"/>
      <c r="BH277" s="47"/>
      <c r="BI277" s="47"/>
      <c r="BJ277" s="47"/>
      <c r="BK277" s="47"/>
      <c r="BL277" s="47"/>
      <c r="BM277" s="47"/>
      <c r="BN277" s="47"/>
      <c r="BO277" s="47"/>
      <c r="BP277" s="47"/>
      <c r="BQ277" s="47"/>
      <c r="BR277" s="47"/>
      <c r="BS277" s="47"/>
      <c r="BT277" s="47"/>
      <c r="BU277" s="47"/>
      <c r="BV277" s="47"/>
      <c r="BW277" s="47"/>
      <c r="BX277" s="47"/>
      <c r="BY277" s="47"/>
      <c r="BZ277" s="47"/>
    </row>
    <row r="278" spans="1:78" ht="13">
      <c r="A278" s="48" t="str">
        <f ca="1">'.'!A278</f>
        <v>Lizard Face</v>
      </c>
      <c r="B278" s="46" t="str">
        <f t="array" aca="1" ref="B278" ca="1">IF('.'!B278="","",'.'!B278&amp;IF(VLOOKUP('.'!B278,Recipes!$A:$D,4,FALSE)="",""," ["&amp;VLOOKUP('.'!B278,Recipes!$A:$D,4,FALSE)&amp;"]"))</f>
        <v>Lizard Mask of the Shapeshifter [V]</v>
      </c>
      <c r="C278" s="46" t="str">
        <f t="array" ref="C278">IF('.'!C278="","",'.'!C278&amp;IF(VLOOKUP('.'!C278,Recipes!$A:$D,4,FALSE)="",""," ["&amp;VLOOKUP('.'!C278,Recipes!$A:$D,4,FALSE)&amp;"]"))</f>
        <v/>
      </c>
      <c r="D278" s="46" t="str">
        <f t="array" ref="D278">IF('.'!D278="","",'.'!D278&amp;IF(VLOOKUP('.'!D278,Recipes!$A:$D,4,FALSE)="",""," ["&amp;VLOOKUP('.'!D278,Recipes!$A:$D,4,FALSE)&amp;"]"))</f>
        <v/>
      </c>
      <c r="E278" s="46" t="str">
        <f t="array" ref="E278">IF('.'!E278="","",'.'!E278&amp;IF(VLOOKUP('.'!E278,Recipes!$A:$D,4,FALSE)="",""," ["&amp;VLOOKUP('.'!E278,Recipes!$A:$D,4,FALSE)&amp;"]"))</f>
        <v/>
      </c>
      <c r="F278" s="46" t="str">
        <f t="array" ref="F278">IF('.'!F278="","",'.'!F278&amp;IF(VLOOKUP('.'!F278,Recipes!$A:$D,4,FALSE)="",""," ["&amp;VLOOKUP('.'!F278,Recipes!$A:$D,4,FALSE)&amp;"]"))</f>
        <v/>
      </c>
      <c r="G278" s="46" t="str">
        <f t="array" ref="G278">IF('.'!G278="","",'.'!G278&amp;IF(VLOOKUP('.'!G278,Recipes!$A:$D,4,FALSE)="",""," ["&amp;VLOOKUP('.'!G278,Recipes!$A:$D,4,FALSE)&amp;"]"))</f>
        <v/>
      </c>
      <c r="H278" s="46" t="str">
        <f t="array" ref="H278">IF('.'!H278="","",'.'!H278&amp;IF(VLOOKUP('.'!H278,Recipes!$A:$D,4,FALSE)="",""," ["&amp;VLOOKUP('.'!H278,Recipes!$A:$D,4,FALSE)&amp;"]"))</f>
        <v/>
      </c>
      <c r="I278" s="46" t="str">
        <f t="array" ref="I278">IF('.'!I278="","",'.'!I278&amp;IF(VLOOKUP('.'!I278,Recipes!$A:$D,4,FALSE)="",""," ["&amp;VLOOKUP('.'!I278,Recipes!$A:$D,4,FALSE)&amp;"]"))</f>
        <v/>
      </c>
      <c r="J278" s="46" t="str">
        <f t="array" ref="J278">IF('.'!J278="","",'.'!J278&amp;IF(VLOOKUP('.'!J278,Recipes!$A:$D,4,FALSE)="",""," ["&amp;VLOOKUP('.'!J278,Recipes!$A:$D,4,FALSE)&amp;"]"))</f>
        <v/>
      </c>
      <c r="K278" s="46" t="str">
        <f t="array" ref="K278">IF('.'!K278="","",'.'!K278&amp;IF(VLOOKUP('.'!K278,Recipes!$A:$D,4,FALSE)="",""," ["&amp;VLOOKUP('.'!K278,Recipes!$A:$D,4,FALSE)&amp;"]"))</f>
        <v/>
      </c>
      <c r="L278" s="46" t="str">
        <f t="array" ref="L278">IF('.'!L278="","",'.'!L278&amp;IF(VLOOKUP('.'!L278,Recipes!$A:$D,4,FALSE)="",""," ["&amp;VLOOKUP('.'!L278,Recipes!$A:$D,4,FALSE)&amp;"]"))</f>
        <v/>
      </c>
      <c r="M278" s="46" t="str">
        <f t="array" ref="M278">IF('.'!M278="","",'.'!M278&amp;IF(VLOOKUP('.'!M278,Recipes!$A:$D,4,FALSE)="",""," ["&amp;VLOOKUP('.'!M278,Recipes!$A:$D,4,FALSE)&amp;"]"))</f>
        <v/>
      </c>
      <c r="N278" s="46" t="str">
        <f t="array" ref="N278">IF('.'!N278="","",'.'!N278&amp;IF(VLOOKUP('.'!N278,Recipes!$A:$D,4,FALSE)="",""," ["&amp;VLOOKUP('.'!N278,Recipes!$A:$D,4,FALSE)&amp;"]"))</f>
        <v/>
      </c>
      <c r="O278" s="46" t="str">
        <f t="array" ref="O278">IF('.'!O278="","",'.'!O278&amp;IF(VLOOKUP('.'!O278,Recipes!$A:$D,4,FALSE)="",""," ["&amp;VLOOKUP('.'!O278,Recipes!$A:$D,4,FALSE)&amp;"]"))</f>
        <v/>
      </c>
      <c r="P278" s="46" t="str">
        <f t="array" ref="P278">IF('.'!P278="","",'.'!P278&amp;IF(VLOOKUP('.'!P278,Recipes!$A:$D,4,FALSE)="",""," ["&amp;VLOOKUP('.'!P278,Recipes!$A:$D,4,FALSE)&amp;"]"))</f>
        <v/>
      </c>
      <c r="Q278" s="46" t="str">
        <f t="array" ref="Q278">IF('.'!Q278="","",'.'!Q278&amp;IF(VLOOKUP('.'!Q278,Recipes!$A:$D,4,FALSE)="",""," ["&amp;VLOOKUP('.'!Q278,Recipes!$A:$D,4,FALSE)&amp;"]"))</f>
        <v/>
      </c>
      <c r="R278" s="46" t="str">
        <f t="array" ref="R278">IF('.'!R278="","",'.'!R278&amp;IF(VLOOKUP('.'!R278,Recipes!$A:$D,4,FALSE)="",""," ["&amp;VLOOKUP('.'!R278,Recipes!$A:$D,4,FALSE)&amp;"]"))</f>
        <v/>
      </c>
      <c r="S278" s="46" t="str">
        <f t="array" ref="S278">IF('.'!S278="","",'.'!S278&amp;IF(VLOOKUP('.'!S278,Recipes!$A:$D,4,FALSE)="",""," ["&amp;VLOOKUP('.'!S278,Recipes!$A:$D,4,FALSE)&amp;"]"))</f>
        <v/>
      </c>
      <c r="T278" s="46" t="str">
        <f t="array" ref="T278">IF('.'!T278="","",'.'!T278&amp;IF(VLOOKUP('.'!T278,Recipes!$A:$D,4,FALSE)="",""," ["&amp;VLOOKUP('.'!T278,Recipes!$A:$D,4,FALSE)&amp;"]"))</f>
        <v/>
      </c>
      <c r="U278" s="46" t="str">
        <f t="array" ref="U278">IF('.'!U278="","",'.'!U278&amp;IF(VLOOKUP('.'!U278,Recipes!$A:$D,4,FALSE)="",""," ["&amp;VLOOKUP('.'!U278,Recipes!$A:$D,4,FALSE)&amp;"]"))</f>
        <v/>
      </c>
      <c r="V278" s="46" t="str">
        <f t="array" ref="V278">IF('.'!V278="","",'.'!V278&amp;IF(VLOOKUP('.'!V278,Recipes!$A:$D,4,FALSE)="",""," ["&amp;VLOOKUP('.'!V278,Recipes!$A:$D,4,FALSE)&amp;"]"))</f>
        <v/>
      </c>
      <c r="W278" s="46" t="str">
        <f t="array" ref="W278">IF('.'!W278="","",'.'!W278&amp;IF(VLOOKUP('.'!W278,Recipes!$A:$D,4,FALSE)="",""," ["&amp;VLOOKUP('.'!W278,Recipes!$A:$D,4,FALSE)&amp;"]"))</f>
        <v/>
      </c>
      <c r="X278" s="46" t="str">
        <f t="array" ref="X278">IF('.'!X278="","",'.'!X278&amp;IF(VLOOKUP('.'!X278,Recipes!$A:$D,4,FALSE)="",""," ["&amp;VLOOKUP('.'!X278,Recipes!$A:$D,4,FALSE)&amp;"]"))</f>
        <v/>
      </c>
      <c r="Y278" s="46" t="str">
        <f t="array" ref="Y278">IF('.'!Y278="","",'.'!Y278&amp;IF(VLOOKUP('.'!Y278,Recipes!$A:$D,4,FALSE)="",""," ["&amp;VLOOKUP('.'!Y278,Recipes!$A:$D,4,FALSE)&amp;"]"))</f>
        <v/>
      </c>
      <c r="Z278" s="46" t="str">
        <f t="array" ref="Z278">IF('.'!Z278="","",'.'!Z278&amp;IF(VLOOKUP('.'!Z278,Recipes!$A:$D,4,FALSE)="",""," ["&amp;VLOOKUP('.'!Z278,Recipes!$A:$D,4,FALSE)&amp;"]"))</f>
        <v/>
      </c>
      <c r="AA278" s="46" t="str">
        <f t="array" ref="AA278">IF('.'!AA278="","",'.'!AA278&amp;IF(VLOOKUP('.'!AA278,Recipes!$A:$D,4,FALSE)="",""," ["&amp;VLOOKUP('.'!AA278,Recipes!$A:$D,4,FALSE)&amp;"]"))</f>
        <v/>
      </c>
      <c r="AB278" s="46" t="str">
        <f t="array" ref="AB278">IF('.'!AB278="","",'.'!AB278&amp;IF(VLOOKUP('.'!AB278,Recipes!$A:$D,4,FALSE)="",""," ["&amp;VLOOKUP('.'!AB278,Recipes!$A:$D,4,FALSE)&amp;"]"))</f>
        <v/>
      </c>
      <c r="AC278" s="46" t="str">
        <f t="array" ref="AC278">IF('.'!AC278="","",'.'!AC278&amp;IF(VLOOKUP('.'!AC278,Recipes!$A:$D,4,FALSE)="",""," ["&amp;VLOOKUP('.'!AC278,Recipes!$A:$D,4,FALSE)&amp;"]"))</f>
        <v/>
      </c>
      <c r="AD278" s="46" t="str">
        <f t="array" ref="AD278">IF('.'!AD278="","",'.'!AD278&amp;IF(VLOOKUP('.'!AD278,Recipes!$A:$D,4,FALSE)="",""," ["&amp;VLOOKUP('.'!AD278,Recipes!$A:$D,4,FALSE)&amp;"]"))</f>
        <v/>
      </c>
      <c r="AE278" s="47"/>
      <c r="AF278" s="47"/>
      <c r="AG278" s="47"/>
      <c r="AH278" s="47"/>
      <c r="AI278" s="47"/>
      <c r="AJ278" s="47"/>
      <c r="AK278" s="47"/>
      <c r="AL278" s="47"/>
      <c r="AM278" s="47"/>
      <c r="AN278" s="47"/>
      <c r="AO278" s="47"/>
      <c r="AP278" s="47"/>
      <c r="AQ278" s="47"/>
      <c r="AR278" s="47"/>
      <c r="AS278" s="47"/>
      <c r="AT278" s="47"/>
      <c r="AU278" s="47"/>
      <c r="AV278" s="47"/>
      <c r="AW278" s="47"/>
      <c r="AX278" s="47"/>
      <c r="AY278" s="47"/>
      <c r="AZ278" s="47"/>
      <c r="BA278" s="47"/>
      <c r="BB278" s="47"/>
      <c r="BC278" s="47"/>
      <c r="BD278" s="47"/>
      <c r="BE278" s="47"/>
      <c r="BF278" s="47"/>
      <c r="BG278" s="47"/>
      <c r="BH278" s="47"/>
      <c r="BI278" s="47"/>
      <c r="BJ278" s="47"/>
      <c r="BK278" s="47"/>
      <c r="BL278" s="47"/>
      <c r="BM278" s="47"/>
      <c r="BN278" s="47"/>
      <c r="BO278" s="47"/>
      <c r="BP278" s="47"/>
      <c r="BQ278" s="47"/>
      <c r="BR278" s="47"/>
      <c r="BS278" s="47"/>
      <c r="BT278" s="47"/>
      <c r="BU278" s="47"/>
      <c r="BV278" s="47"/>
      <c r="BW278" s="47"/>
      <c r="BX278" s="47"/>
      <c r="BY278" s="47"/>
      <c r="BZ278" s="47"/>
    </row>
    <row r="279" spans="1:78" ht="13">
      <c r="A279" s="48" t="str">
        <f ca="1">'.'!A279</f>
        <v>Lizard Mask of the Shapeshifter</v>
      </c>
      <c r="B279" s="46" t="str">
        <f t="array" aca="1" ref="B279" ca="1">IF('.'!B279="","",'.'!B279&amp;IF(VLOOKUP('.'!B279,Recipes!$A:$D,4,FALSE)="",""," ["&amp;VLOOKUP('.'!B279,Recipes!$A:$D,4,FALSE)&amp;"]"))</f>
        <v>Mask of the Shapeshifter [V]</v>
      </c>
      <c r="C279" s="46" t="str">
        <f t="array" ref="C279">IF('.'!C279="","",'.'!C279&amp;IF(VLOOKUP('.'!C279,Recipes!$A:$D,4,FALSE)="",""," ["&amp;VLOOKUP('.'!C279,Recipes!$A:$D,4,FALSE)&amp;"]"))</f>
        <v/>
      </c>
      <c r="D279" s="46" t="str">
        <f t="array" ref="D279">IF('.'!D279="","",'.'!D279&amp;IF(VLOOKUP('.'!D279,Recipes!$A:$D,4,FALSE)="",""," ["&amp;VLOOKUP('.'!D279,Recipes!$A:$D,4,FALSE)&amp;"]"))</f>
        <v/>
      </c>
      <c r="E279" s="46" t="str">
        <f t="array" ref="E279">IF('.'!E279="","",'.'!E279&amp;IF(VLOOKUP('.'!E279,Recipes!$A:$D,4,FALSE)="",""," ["&amp;VLOOKUP('.'!E279,Recipes!$A:$D,4,FALSE)&amp;"]"))</f>
        <v/>
      </c>
      <c r="F279" s="46" t="str">
        <f t="array" ref="F279">IF('.'!F279="","",'.'!F279&amp;IF(VLOOKUP('.'!F279,Recipes!$A:$D,4,FALSE)="",""," ["&amp;VLOOKUP('.'!F279,Recipes!$A:$D,4,FALSE)&amp;"]"))</f>
        <v/>
      </c>
      <c r="G279" s="46" t="str">
        <f t="array" ref="G279">IF('.'!G279="","",'.'!G279&amp;IF(VLOOKUP('.'!G279,Recipes!$A:$D,4,FALSE)="",""," ["&amp;VLOOKUP('.'!G279,Recipes!$A:$D,4,FALSE)&amp;"]"))</f>
        <v/>
      </c>
      <c r="H279" s="46" t="str">
        <f t="array" ref="H279">IF('.'!H279="","",'.'!H279&amp;IF(VLOOKUP('.'!H279,Recipes!$A:$D,4,FALSE)="",""," ["&amp;VLOOKUP('.'!H279,Recipes!$A:$D,4,FALSE)&amp;"]"))</f>
        <v/>
      </c>
      <c r="I279" s="46" t="str">
        <f t="array" ref="I279">IF('.'!I279="","",'.'!I279&amp;IF(VLOOKUP('.'!I279,Recipes!$A:$D,4,FALSE)="",""," ["&amp;VLOOKUP('.'!I279,Recipes!$A:$D,4,FALSE)&amp;"]"))</f>
        <v/>
      </c>
      <c r="J279" s="46" t="str">
        <f t="array" ref="J279">IF('.'!J279="","",'.'!J279&amp;IF(VLOOKUP('.'!J279,Recipes!$A:$D,4,FALSE)="",""," ["&amp;VLOOKUP('.'!J279,Recipes!$A:$D,4,FALSE)&amp;"]"))</f>
        <v/>
      </c>
      <c r="K279" s="46" t="str">
        <f t="array" ref="K279">IF('.'!K279="","",'.'!K279&amp;IF(VLOOKUP('.'!K279,Recipes!$A:$D,4,FALSE)="",""," ["&amp;VLOOKUP('.'!K279,Recipes!$A:$D,4,FALSE)&amp;"]"))</f>
        <v/>
      </c>
      <c r="L279" s="46" t="str">
        <f t="array" ref="L279">IF('.'!L279="","",'.'!L279&amp;IF(VLOOKUP('.'!L279,Recipes!$A:$D,4,FALSE)="",""," ["&amp;VLOOKUP('.'!L279,Recipes!$A:$D,4,FALSE)&amp;"]"))</f>
        <v/>
      </c>
      <c r="M279" s="46" t="str">
        <f t="array" ref="M279">IF('.'!M279="","",'.'!M279&amp;IF(VLOOKUP('.'!M279,Recipes!$A:$D,4,FALSE)="",""," ["&amp;VLOOKUP('.'!M279,Recipes!$A:$D,4,FALSE)&amp;"]"))</f>
        <v/>
      </c>
      <c r="N279" s="46" t="str">
        <f t="array" ref="N279">IF('.'!N279="","",'.'!N279&amp;IF(VLOOKUP('.'!N279,Recipes!$A:$D,4,FALSE)="",""," ["&amp;VLOOKUP('.'!N279,Recipes!$A:$D,4,FALSE)&amp;"]"))</f>
        <v/>
      </c>
      <c r="O279" s="46" t="str">
        <f t="array" ref="O279">IF('.'!O279="","",'.'!O279&amp;IF(VLOOKUP('.'!O279,Recipes!$A:$D,4,FALSE)="",""," ["&amp;VLOOKUP('.'!O279,Recipes!$A:$D,4,FALSE)&amp;"]"))</f>
        <v/>
      </c>
      <c r="P279" s="46" t="str">
        <f t="array" ref="P279">IF('.'!P279="","",'.'!P279&amp;IF(VLOOKUP('.'!P279,Recipes!$A:$D,4,FALSE)="",""," ["&amp;VLOOKUP('.'!P279,Recipes!$A:$D,4,FALSE)&amp;"]"))</f>
        <v/>
      </c>
      <c r="Q279" s="46" t="str">
        <f t="array" ref="Q279">IF('.'!Q279="","",'.'!Q279&amp;IF(VLOOKUP('.'!Q279,Recipes!$A:$D,4,FALSE)="",""," ["&amp;VLOOKUP('.'!Q279,Recipes!$A:$D,4,FALSE)&amp;"]"))</f>
        <v/>
      </c>
      <c r="R279" s="46" t="str">
        <f t="array" ref="R279">IF('.'!R279="","",'.'!R279&amp;IF(VLOOKUP('.'!R279,Recipes!$A:$D,4,FALSE)="",""," ["&amp;VLOOKUP('.'!R279,Recipes!$A:$D,4,FALSE)&amp;"]"))</f>
        <v/>
      </c>
      <c r="S279" s="46" t="str">
        <f t="array" ref="S279">IF('.'!S279="","",'.'!S279&amp;IF(VLOOKUP('.'!S279,Recipes!$A:$D,4,FALSE)="",""," ["&amp;VLOOKUP('.'!S279,Recipes!$A:$D,4,FALSE)&amp;"]"))</f>
        <v/>
      </c>
      <c r="T279" s="46" t="str">
        <f t="array" ref="T279">IF('.'!T279="","",'.'!T279&amp;IF(VLOOKUP('.'!T279,Recipes!$A:$D,4,FALSE)="",""," ["&amp;VLOOKUP('.'!T279,Recipes!$A:$D,4,FALSE)&amp;"]"))</f>
        <v/>
      </c>
      <c r="U279" s="46" t="str">
        <f t="array" ref="U279">IF('.'!U279="","",'.'!U279&amp;IF(VLOOKUP('.'!U279,Recipes!$A:$D,4,FALSE)="",""," ["&amp;VLOOKUP('.'!U279,Recipes!$A:$D,4,FALSE)&amp;"]"))</f>
        <v/>
      </c>
      <c r="V279" s="46" t="str">
        <f t="array" ref="V279">IF('.'!V279="","",'.'!V279&amp;IF(VLOOKUP('.'!V279,Recipes!$A:$D,4,FALSE)="",""," ["&amp;VLOOKUP('.'!V279,Recipes!$A:$D,4,FALSE)&amp;"]"))</f>
        <v/>
      </c>
      <c r="W279" s="46" t="str">
        <f t="array" ref="W279">IF('.'!W279="","",'.'!W279&amp;IF(VLOOKUP('.'!W279,Recipes!$A:$D,4,FALSE)="",""," ["&amp;VLOOKUP('.'!W279,Recipes!$A:$D,4,FALSE)&amp;"]"))</f>
        <v/>
      </c>
      <c r="X279" s="46" t="str">
        <f t="array" ref="X279">IF('.'!X279="","",'.'!X279&amp;IF(VLOOKUP('.'!X279,Recipes!$A:$D,4,FALSE)="",""," ["&amp;VLOOKUP('.'!X279,Recipes!$A:$D,4,FALSE)&amp;"]"))</f>
        <v/>
      </c>
      <c r="Y279" s="46" t="str">
        <f t="array" ref="Y279">IF('.'!Y279="","",'.'!Y279&amp;IF(VLOOKUP('.'!Y279,Recipes!$A:$D,4,FALSE)="",""," ["&amp;VLOOKUP('.'!Y279,Recipes!$A:$D,4,FALSE)&amp;"]"))</f>
        <v/>
      </c>
      <c r="Z279" s="46" t="str">
        <f t="array" ref="Z279">IF('.'!Z279="","",'.'!Z279&amp;IF(VLOOKUP('.'!Z279,Recipes!$A:$D,4,FALSE)="",""," ["&amp;VLOOKUP('.'!Z279,Recipes!$A:$D,4,FALSE)&amp;"]"))</f>
        <v/>
      </c>
      <c r="AA279" s="46" t="str">
        <f t="array" ref="AA279">IF('.'!AA279="","",'.'!AA279&amp;IF(VLOOKUP('.'!AA279,Recipes!$A:$D,4,FALSE)="",""," ["&amp;VLOOKUP('.'!AA279,Recipes!$A:$D,4,FALSE)&amp;"]"))</f>
        <v/>
      </c>
      <c r="AB279" s="46" t="str">
        <f t="array" ref="AB279">IF('.'!AB279="","",'.'!AB279&amp;IF(VLOOKUP('.'!AB279,Recipes!$A:$D,4,FALSE)="",""," ["&amp;VLOOKUP('.'!AB279,Recipes!$A:$D,4,FALSE)&amp;"]"))</f>
        <v/>
      </c>
      <c r="AC279" s="46" t="str">
        <f t="array" ref="AC279">IF('.'!AC279="","",'.'!AC279&amp;IF(VLOOKUP('.'!AC279,Recipes!$A:$D,4,FALSE)="",""," ["&amp;VLOOKUP('.'!AC279,Recipes!$A:$D,4,FALSE)&amp;"]"))</f>
        <v/>
      </c>
      <c r="AD279" s="46" t="str">
        <f t="array" ref="AD279">IF('.'!AD279="","",'.'!AD279&amp;IF(VLOOKUP('.'!AD279,Recipes!$A:$D,4,FALSE)="",""," ["&amp;VLOOKUP('.'!AD279,Recipes!$A:$D,4,FALSE)&amp;"]"))</f>
        <v/>
      </c>
      <c r="AE279" s="47"/>
      <c r="AF279" s="47"/>
      <c r="AG279" s="47"/>
      <c r="AH279" s="47"/>
      <c r="AI279" s="47"/>
      <c r="AJ279" s="47"/>
      <c r="AK279" s="47"/>
      <c r="AL279" s="47"/>
      <c r="AM279" s="47"/>
      <c r="AN279" s="47"/>
      <c r="AO279" s="47"/>
      <c r="AP279" s="47"/>
      <c r="AQ279" s="47"/>
      <c r="AR279" s="47"/>
      <c r="AS279" s="47"/>
      <c r="AT279" s="47"/>
      <c r="AU279" s="47"/>
      <c r="AV279" s="47"/>
      <c r="AW279" s="47"/>
      <c r="AX279" s="47"/>
      <c r="AY279" s="47"/>
      <c r="AZ279" s="47"/>
      <c r="BA279" s="47"/>
      <c r="BB279" s="47"/>
      <c r="BC279" s="47"/>
      <c r="BD279" s="47"/>
      <c r="BE279" s="47"/>
      <c r="BF279" s="47"/>
      <c r="BG279" s="47"/>
      <c r="BH279" s="47"/>
      <c r="BI279" s="47"/>
      <c r="BJ279" s="47"/>
      <c r="BK279" s="47"/>
      <c r="BL279" s="47"/>
      <c r="BM279" s="47"/>
      <c r="BN279" s="47"/>
      <c r="BO279" s="47"/>
      <c r="BP279" s="47"/>
      <c r="BQ279" s="47"/>
      <c r="BR279" s="47"/>
      <c r="BS279" s="47"/>
      <c r="BT279" s="47"/>
      <c r="BU279" s="47"/>
      <c r="BV279" s="47"/>
      <c r="BW279" s="47"/>
      <c r="BX279" s="47"/>
      <c r="BY279" s="47"/>
      <c r="BZ279" s="47"/>
    </row>
    <row r="280" spans="1:78" ht="13">
      <c r="A280" s="48" t="str">
        <f ca="1">'.'!A280</f>
        <v>Log</v>
      </c>
      <c r="B280" s="46" t="str">
        <f t="array" aca="1" ref="B280" ca="1">IF('.'!B280="","",'.'!B280&amp;IF(VLOOKUP('.'!B280,Recipes!$A:$D,4,FALSE)="",""," ["&amp;VLOOKUP('.'!B280,Recipes!$A:$D,4,FALSE)&amp;"]"))</f>
        <v>Long Branch [-1]</v>
      </c>
      <c r="C280" s="46" t="str">
        <f t="array" ref="C280">IF('.'!C280="","",'.'!C280&amp;IF(VLOOKUP('.'!C280,Recipes!$A:$D,4,FALSE)="",""," ["&amp;VLOOKUP('.'!C280,Recipes!$A:$D,4,FALSE)&amp;"]"))</f>
        <v/>
      </c>
      <c r="D280" s="46" t="str">
        <f t="array" ref="D280">IF('.'!D280="","",'.'!D280&amp;IF(VLOOKUP('.'!D280,Recipes!$A:$D,4,FALSE)="",""," ["&amp;VLOOKUP('.'!D280,Recipes!$A:$D,4,FALSE)&amp;"]"))</f>
        <v/>
      </c>
      <c r="E280" s="46" t="str">
        <f t="array" ref="E280">IF('.'!E280="","",'.'!E280&amp;IF(VLOOKUP('.'!E280,Recipes!$A:$D,4,FALSE)="",""," ["&amp;VLOOKUP('.'!E280,Recipes!$A:$D,4,FALSE)&amp;"]"))</f>
        <v/>
      </c>
      <c r="F280" s="46" t="str">
        <f t="array" ref="F280">IF('.'!F280="","",'.'!F280&amp;IF(VLOOKUP('.'!F280,Recipes!$A:$D,4,FALSE)="",""," ["&amp;VLOOKUP('.'!F280,Recipes!$A:$D,4,FALSE)&amp;"]"))</f>
        <v/>
      </c>
      <c r="G280" s="46" t="str">
        <f t="array" ref="G280">IF('.'!G280="","",'.'!G280&amp;IF(VLOOKUP('.'!G280,Recipes!$A:$D,4,FALSE)="",""," ["&amp;VLOOKUP('.'!G280,Recipes!$A:$D,4,FALSE)&amp;"]"))</f>
        <v/>
      </c>
      <c r="H280" s="46" t="str">
        <f t="array" ref="H280">IF('.'!H280="","",'.'!H280&amp;IF(VLOOKUP('.'!H280,Recipes!$A:$D,4,FALSE)="",""," ["&amp;VLOOKUP('.'!H280,Recipes!$A:$D,4,FALSE)&amp;"]"))</f>
        <v/>
      </c>
      <c r="I280" s="46" t="str">
        <f t="array" ref="I280">IF('.'!I280="","",'.'!I280&amp;IF(VLOOKUP('.'!I280,Recipes!$A:$D,4,FALSE)="",""," ["&amp;VLOOKUP('.'!I280,Recipes!$A:$D,4,FALSE)&amp;"]"))</f>
        <v/>
      </c>
      <c r="J280" s="46" t="str">
        <f t="array" ref="J280">IF('.'!J280="","",'.'!J280&amp;IF(VLOOKUP('.'!J280,Recipes!$A:$D,4,FALSE)="",""," ["&amp;VLOOKUP('.'!J280,Recipes!$A:$D,4,FALSE)&amp;"]"))</f>
        <v/>
      </c>
      <c r="K280" s="46" t="str">
        <f t="array" ref="K280">IF('.'!K280="","",'.'!K280&amp;IF(VLOOKUP('.'!K280,Recipes!$A:$D,4,FALSE)="",""," ["&amp;VLOOKUP('.'!K280,Recipes!$A:$D,4,FALSE)&amp;"]"))</f>
        <v/>
      </c>
      <c r="L280" s="46" t="str">
        <f t="array" ref="L280">IF('.'!L280="","",'.'!L280&amp;IF(VLOOKUP('.'!L280,Recipes!$A:$D,4,FALSE)="",""," ["&amp;VLOOKUP('.'!L280,Recipes!$A:$D,4,FALSE)&amp;"]"))</f>
        <v/>
      </c>
      <c r="M280" s="46" t="str">
        <f t="array" ref="M280">IF('.'!M280="","",'.'!M280&amp;IF(VLOOKUP('.'!M280,Recipes!$A:$D,4,FALSE)="",""," ["&amp;VLOOKUP('.'!M280,Recipes!$A:$D,4,FALSE)&amp;"]"))</f>
        <v/>
      </c>
      <c r="N280" s="46" t="str">
        <f t="array" ref="N280">IF('.'!N280="","",'.'!N280&amp;IF(VLOOKUP('.'!N280,Recipes!$A:$D,4,FALSE)="",""," ["&amp;VLOOKUP('.'!N280,Recipes!$A:$D,4,FALSE)&amp;"]"))</f>
        <v/>
      </c>
      <c r="O280" s="46" t="str">
        <f t="array" ref="O280">IF('.'!O280="","",'.'!O280&amp;IF(VLOOKUP('.'!O280,Recipes!$A:$D,4,FALSE)="",""," ["&amp;VLOOKUP('.'!O280,Recipes!$A:$D,4,FALSE)&amp;"]"))</f>
        <v/>
      </c>
      <c r="P280" s="46" t="str">
        <f t="array" ref="P280">IF('.'!P280="","",'.'!P280&amp;IF(VLOOKUP('.'!P280,Recipes!$A:$D,4,FALSE)="",""," ["&amp;VLOOKUP('.'!P280,Recipes!$A:$D,4,FALSE)&amp;"]"))</f>
        <v/>
      </c>
      <c r="Q280" s="46" t="str">
        <f t="array" ref="Q280">IF('.'!Q280="","",'.'!Q280&amp;IF(VLOOKUP('.'!Q280,Recipes!$A:$D,4,FALSE)="",""," ["&amp;VLOOKUP('.'!Q280,Recipes!$A:$D,4,FALSE)&amp;"]"))</f>
        <v/>
      </c>
      <c r="R280" s="46" t="str">
        <f t="array" ref="R280">IF('.'!R280="","",'.'!R280&amp;IF(VLOOKUP('.'!R280,Recipes!$A:$D,4,FALSE)="",""," ["&amp;VLOOKUP('.'!R280,Recipes!$A:$D,4,FALSE)&amp;"]"))</f>
        <v/>
      </c>
      <c r="S280" s="46" t="str">
        <f t="array" ref="S280">IF('.'!S280="","",'.'!S280&amp;IF(VLOOKUP('.'!S280,Recipes!$A:$D,4,FALSE)="",""," ["&amp;VLOOKUP('.'!S280,Recipes!$A:$D,4,FALSE)&amp;"]"))</f>
        <v/>
      </c>
      <c r="T280" s="46" t="str">
        <f t="array" ref="T280">IF('.'!T280="","",'.'!T280&amp;IF(VLOOKUP('.'!T280,Recipes!$A:$D,4,FALSE)="",""," ["&amp;VLOOKUP('.'!T280,Recipes!$A:$D,4,FALSE)&amp;"]"))</f>
        <v/>
      </c>
      <c r="U280" s="46" t="str">
        <f t="array" ref="U280">IF('.'!U280="","",'.'!U280&amp;IF(VLOOKUP('.'!U280,Recipes!$A:$D,4,FALSE)="",""," ["&amp;VLOOKUP('.'!U280,Recipes!$A:$D,4,FALSE)&amp;"]"))</f>
        <v/>
      </c>
      <c r="V280" s="46" t="str">
        <f t="array" ref="V280">IF('.'!V280="","",'.'!V280&amp;IF(VLOOKUP('.'!V280,Recipes!$A:$D,4,FALSE)="",""," ["&amp;VLOOKUP('.'!V280,Recipes!$A:$D,4,FALSE)&amp;"]"))</f>
        <v/>
      </c>
      <c r="W280" s="46" t="str">
        <f t="array" ref="W280">IF('.'!W280="","",'.'!W280&amp;IF(VLOOKUP('.'!W280,Recipes!$A:$D,4,FALSE)="",""," ["&amp;VLOOKUP('.'!W280,Recipes!$A:$D,4,FALSE)&amp;"]"))</f>
        <v/>
      </c>
      <c r="X280" s="46" t="str">
        <f t="array" ref="X280">IF('.'!X280="","",'.'!X280&amp;IF(VLOOKUP('.'!X280,Recipes!$A:$D,4,FALSE)="",""," ["&amp;VLOOKUP('.'!X280,Recipes!$A:$D,4,FALSE)&amp;"]"))</f>
        <v/>
      </c>
      <c r="Y280" s="46" t="str">
        <f t="array" ref="Y280">IF('.'!Y280="","",'.'!Y280&amp;IF(VLOOKUP('.'!Y280,Recipes!$A:$D,4,FALSE)="",""," ["&amp;VLOOKUP('.'!Y280,Recipes!$A:$D,4,FALSE)&amp;"]"))</f>
        <v/>
      </c>
      <c r="Z280" s="46" t="str">
        <f t="array" ref="Z280">IF('.'!Z280="","",'.'!Z280&amp;IF(VLOOKUP('.'!Z280,Recipes!$A:$D,4,FALSE)="",""," ["&amp;VLOOKUP('.'!Z280,Recipes!$A:$D,4,FALSE)&amp;"]"))</f>
        <v/>
      </c>
      <c r="AA280" s="46" t="str">
        <f t="array" ref="AA280">IF('.'!AA280="","",'.'!AA280&amp;IF(VLOOKUP('.'!AA280,Recipes!$A:$D,4,FALSE)="",""," ["&amp;VLOOKUP('.'!AA280,Recipes!$A:$D,4,FALSE)&amp;"]"))</f>
        <v/>
      </c>
      <c r="AB280" s="46" t="str">
        <f t="array" ref="AB280">IF('.'!AB280="","",'.'!AB280&amp;IF(VLOOKUP('.'!AB280,Recipes!$A:$D,4,FALSE)="",""," ["&amp;VLOOKUP('.'!AB280,Recipes!$A:$D,4,FALSE)&amp;"]"))</f>
        <v/>
      </c>
      <c r="AC280" s="46" t="str">
        <f t="array" ref="AC280">IF('.'!AC280="","",'.'!AC280&amp;IF(VLOOKUP('.'!AC280,Recipes!$A:$D,4,FALSE)="",""," ["&amp;VLOOKUP('.'!AC280,Recipes!$A:$D,4,FALSE)&amp;"]"))</f>
        <v/>
      </c>
      <c r="AD280" s="46" t="str">
        <f t="array" ref="AD280">IF('.'!AD280="","",'.'!AD280&amp;IF(VLOOKUP('.'!AD280,Recipes!$A:$D,4,FALSE)="",""," ["&amp;VLOOKUP('.'!AD280,Recipes!$A:$D,4,FALSE)&amp;"]"))</f>
        <v/>
      </c>
      <c r="AE280" s="47"/>
      <c r="AF280" s="47"/>
      <c r="AG280" s="47"/>
      <c r="AH280" s="47"/>
      <c r="AI280" s="47"/>
      <c r="AJ280" s="47"/>
      <c r="AK280" s="47"/>
      <c r="AL280" s="47"/>
      <c r="AM280" s="47"/>
      <c r="AN280" s="47"/>
      <c r="AO280" s="47"/>
      <c r="AP280" s="47"/>
      <c r="AQ280" s="47"/>
      <c r="AR280" s="47"/>
      <c r="AS280" s="47"/>
      <c r="AT280" s="47"/>
      <c r="AU280" s="47"/>
      <c r="AV280" s="47"/>
      <c r="AW280" s="47"/>
      <c r="AX280" s="47"/>
      <c r="AY280" s="47"/>
      <c r="AZ280" s="47"/>
      <c r="BA280" s="47"/>
      <c r="BB280" s="47"/>
      <c r="BC280" s="47"/>
      <c r="BD280" s="47"/>
      <c r="BE280" s="47"/>
      <c r="BF280" s="47"/>
      <c r="BG280" s="47"/>
      <c r="BH280" s="47"/>
      <c r="BI280" s="47"/>
      <c r="BJ280" s="47"/>
      <c r="BK280" s="47"/>
      <c r="BL280" s="47"/>
      <c r="BM280" s="47"/>
      <c r="BN280" s="47"/>
      <c r="BO280" s="47"/>
      <c r="BP280" s="47"/>
      <c r="BQ280" s="47"/>
      <c r="BR280" s="47"/>
      <c r="BS280" s="47"/>
      <c r="BT280" s="47"/>
      <c r="BU280" s="47"/>
      <c r="BV280" s="47"/>
      <c r="BW280" s="47"/>
      <c r="BX280" s="47"/>
      <c r="BY280" s="47"/>
      <c r="BZ280" s="47"/>
    </row>
    <row r="281" spans="1:78" ht="13">
      <c r="A281" s="48" t="str">
        <f ca="1">'.'!A281</f>
        <v>Long Branch</v>
      </c>
      <c r="B281" s="46" t="str">
        <f t="array" aca="1" ref="B281" ca="1">IF('.'!B281="","",'.'!B281&amp;IF(VLOOKUP('.'!B281,Recipes!$A:$D,4,FALSE)="",""," ["&amp;VLOOKUP('.'!B281,Recipes!$A:$D,4,FALSE)&amp;"]"))</f>
        <v>Short Stick [-1]</v>
      </c>
      <c r="C281" s="46" t="str">
        <f t="array" aca="1" ref="C281" ca="1">IF('.'!C281="","",'.'!C281&amp;IF(VLOOKUP('.'!C281,Recipes!$A:$D,4,FALSE)="",""," ["&amp;VLOOKUP('.'!C281,Recipes!$A:$D,4,FALSE)&amp;"]"))</f>
        <v>Improvised Shovel [-1]</v>
      </c>
      <c r="D281" s="46" t="str">
        <f t="array" aca="1" ref="D281" ca="1">IF('.'!D281="","",'.'!D281&amp;IF(VLOOKUP('.'!D281,Recipes!$A:$D,4,FALSE)="",""," ["&amp;VLOOKUP('.'!D281,Recipes!$A:$D,4,FALSE)&amp;"]"))</f>
        <v>Improvised Staff [V]</v>
      </c>
      <c r="E281" s="46" t="str">
        <f t="array" aca="1" ref="E281" ca="1">IF('.'!E281="","",'.'!E281&amp;IF(VLOOKUP('.'!E281,Recipes!$A:$D,4,FALSE)="",""," ["&amp;VLOOKUP('.'!E281,Recipes!$A:$D,4,FALSE)&amp;"]"))</f>
        <v>Makeshift Club [1H] [V]</v>
      </c>
      <c r="F281" s="46" t="str">
        <f t="array" aca="1" ref="F281" ca="1">IF('.'!F281="","",'.'!F281&amp;IF(VLOOKUP('.'!F281,Recipes!$A:$D,4,FALSE)="",""," ["&amp;VLOOKUP('.'!F281,Recipes!$A:$D,4,FALSE)&amp;"]"))</f>
        <v>Makeshift Club [2H] [V]</v>
      </c>
      <c r="G281" s="46" t="str">
        <f t="array" aca="1" ref="G281" ca="1">IF('.'!G281="","",'.'!G281&amp;IF(VLOOKUP('.'!G281,Recipes!$A:$D,4,FALSE)="",""," ["&amp;VLOOKUP('.'!G281,Recipes!$A:$D,4,FALSE)&amp;"]"))</f>
        <v>Primitive Harpoon [V]</v>
      </c>
      <c r="H281" s="46" t="str">
        <f t="array" aca="1" ref="H281" ca="1">IF('.'!H281="","",'.'!H281&amp;IF(VLOOKUP('.'!H281,Recipes!$A:$D,4,FALSE)="",""," ["&amp;VLOOKUP('.'!H281,Recipes!$A:$D,4,FALSE)&amp;"]"))</f>
        <v>Sharp Stone on a Long Stick [V]</v>
      </c>
      <c r="I281" s="46" t="str">
        <f t="array" aca="1" ref="I281" ca="1">IF('.'!I281="","",'.'!I281&amp;IF(VLOOKUP('.'!I281,Recipes!$A:$D,4,FALSE)="",""," ["&amp;VLOOKUP('.'!I281,Recipes!$A:$D,4,FALSE)&amp;"]"))</f>
        <v>Toy Crossbow [V]</v>
      </c>
      <c r="J281" s="46" t="str">
        <f t="array" ref="J281">IF('.'!J281="","",'.'!J281&amp;IF(VLOOKUP('.'!J281,Recipes!$A:$D,4,FALSE)="",""," ["&amp;VLOOKUP('.'!J281,Recipes!$A:$D,4,FALSE)&amp;"]"))</f>
        <v/>
      </c>
      <c r="K281" s="46" t="str">
        <f t="array" ref="K281">IF('.'!K281="","",'.'!K281&amp;IF(VLOOKUP('.'!K281,Recipes!$A:$D,4,FALSE)="",""," ["&amp;VLOOKUP('.'!K281,Recipes!$A:$D,4,FALSE)&amp;"]"))</f>
        <v/>
      </c>
      <c r="L281" s="46" t="str">
        <f t="array" ref="L281">IF('.'!L281="","",'.'!L281&amp;IF(VLOOKUP('.'!L281,Recipes!$A:$D,4,FALSE)="",""," ["&amp;VLOOKUP('.'!L281,Recipes!$A:$D,4,FALSE)&amp;"]"))</f>
        <v/>
      </c>
      <c r="M281" s="46" t="str">
        <f t="array" ref="M281">IF('.'!M281="","",'.'!M281&amp;IF(VLOOKUP('.'!M281,Recipes!$A:$D,4,FALSE)="",""," ["&amp;VLOOKUP('.'!M281,Recipes!$A:$D,4,FALSE)&amp;"]"))</f>
        <v/>
      </c>
      <c r="N281" s="46" t="str">
        <f t="array" ref="N281">IF('.'!N281="","",'.'!N281&amp;IF(VLOOKUP('.'!N281,Recipes!$A:$D,4,FALSE)="",""," ["&amp;VLOOKUP('.'!N281,Recipes!$A:$D,4,FALSE)&amp;"]"))</f>
        <v/>
      </c>
      <c r="O281" s="46" t="str">
        <f t="array" ref="O281">IF('.'!O281="","",'.'!O281&amp;IF(VLOOKUP('.'!O281,Recipes!$A:$D,4,FALSE)="",""," ["&amp;VLOOKUP('.'!O281,Recipes!$A:$D,4,FALSE)&amp;"]"))</f>
        <v/>
      </c>
      <c r="P281" s="46" t="str">
        <f t="array" ref="P281">IF('.'!P281="","",'.'!P281&amp;IF(VLOOKUP('.'!P281,Recipes!$A:$D,4,FALSE)="",""," ["&amp;VLOOKUP('.'!P281,Recipes!$A:$D,4,FALSE)&amp;"]"))</f>
        <v/>
      </c>
      <c r="Q281" s="46" t="str">
        <f t="array" ref="Q281">IF('.'!Q281="","",'.'!Q281&amp;IF(VLOOKUP('.'!Q281,Recipes!$A:$D,4,FALSE)="",""," ["&amp;VLOOKUP('.'!Q281,Recipes!$A:$D,4,FALSE)&amp;"]"))</f>
        <v/>
      </c>
      <c r="R281" s="46" t="str">
        <f t="array" ref="R281">IF('.'!R281="","",'.'!R281&amp;IF(VLOOKUP('.'!R281,Recipes!$A:$D,4,FALSE)="",""," ["&amp;VLOOKUP('.'!R281,Recipes!$A:$D,4,FALSE)&amp;"]"))</f>
        <v/>
      </c>
      <c r="S281" s="46" t="str">
        <f t="array" ref="S281">IF('.'!S281="","",'.'!S281&amp;IF(VLOOKUP('.'!S281,Recipes!$A:$D,4,FALSE)="",""," ["&amp;VLOOKUP('.'!S281,Recipes!$A:$D,4,FALSE)&amp;"]"))</f>
        <v/>
      </c>
      <c r="T281" s="46" t="str">
        <f t="array" ref="T281">IF('.'!T281="","",'.'!T281&amp;IF(VLOOKUP('.'!T281,Recipes!$A:$D,4,FALSE)="",""," ["&amp;VLOOKUP('.'!T281,Recipes!$A:$D,4,FALSE)&amp;"]"))</f>
        <v/>
      </c>
      <c r="U281" s="46" t="str">
        <f t="array" ref="U281">IF('.'!U281="","",'.'!U281&amp;IF(VLOOKUP('.'!U281,Recipes!$A:$D,4,FALSE)="",""," ["&amp;VLOOKUP('.'!U281,Recipes!$A:$D,4,FALSE)&amp;"]"))</f>
        <v/>
      </c>
      <c r="V281" s="46" t="str">
        <f t="array" ref="V281">IF('.'!V281="","",'.'!V281&amp;IF(VLOOKUP('.'!V281,Recipes!$A:$D,4,FALSE)="",""," ["&amp;VLOOKUP('.'!V281,Recipes!$A:$D,4,FALSE)&amp;"]"))</f>
        <v/>
      </c>
      <c r="W281" s="46" t="str">
        <f t="array" ref="W281">IF('.'!W281="","",'.'!W281&amp;IF(VLOOKUP('.'!W281,Recipes!$A:$D,4,FALSE)="",""," ["&amp;VLOOKUP('.'!W281,Recipes!$A:$D,4,FALSE)&amp;"]"))</f>
        <v/>
      </c>
      <c r="X281" s="46" t="str">
        <f t="array" ref="X281">IF('.'!X281="","",'.'!X281&amp;IF(VLOOKUP('.'!X281,Recipes!$A:$D,4,FALSE)="",""," ["&amp;VLOOKUP('.'!X281,Recipes!$A:$D,4,FALSE)&amp;"]"))</f>
        <v/>
      </c>
      <c r="Y281" s="46" t="str">
        <f t="array" ref="Y281">IF('.'!Y281="","",'.'!Y281&amp;IF(VLOOKUP('.'!Y281,Recipes!$A:$D,4,FALSE)="",""," ["&amp;VLOOKUP('.'!Y281,Recipes!$A:$D,4,FALSE)&amp;"]"))</f>
        <v/>
      </c>
      <c r="Z281" s="46" t="str">
        <f t="array" ref="Z281">IF('.'!Z281="","",'.'!Z281&amp;IF(VLOOKUP('.'!Z281,Recipes!$A:$D,4,FALSE)="",""," ["&amp;VLOOKUP('.'!Z281,Recipes!$A:$D,4,FALSE)&amp;"]"))</f>
        <v/>
      </c>
      <c r="AA281" s="46" t="str">
        <f t="array" ref="AA281">IF('.'!AA281="","",'.'!AA281&amp;IF(VLOOKUP('.'!AA281,Recipes!$A:$D,4,FALSE)="",""," ["&amp;VLOOKUP('.'!AA281,Recipes!$A:$D,4,FALSE)&amp;"]"))</f>
        <v/>
      </c>
      <c r="AB281" s="46" t="str">
        <f t="array" ref="AB281">IF('.'!AB281="","",'.'!AB281&amp;IF(VLOOKUP('.'!AB281,Recipes!$A:$D,4,FALSE)="",""," ["&amp;VLOOKUP('.'!AB281,Recipes!$A:$D,4,FALSE)&amp;"]"))</f>
        <v/>
      </c>
      <c r="AC281" s="46" t="str">
        <f t="array" ref="AC281">IF('.'!AC281="","",'.'!AC281&amp;IF(VLOOKUP('.'!AC281,Recipes!$A:$D,4,FALSE)="",""," ["&amp;VLOOKUP('.'!AC281,Recipes!$A:$D,4,FALSE)&amp;"]"))</f>
        <v/>
      </c>
      <c r="AD281" s="46" t="str">
        <f t="array" ref="AD281">IF('.'!AD281="","",'.'!AD281&amp;IF(VLOOKUP('.'!AD281,Recipes!$A:$D,4,FALSE)="",""," ["&amp;VLOOKUP('.'!AD281,Recipes!$A:$D,4,FALSE)&amp;"]"))</f>
        <v/>
      </c>
      <c r="AE281" s="47"/>
      <c r="AF281" s="47"/>
      <c r="AG281" s="47"/>
      <c r="AH281" s="47"/>
      <c r="AI281" s="47"/>
      <c r="AJ281" s="47"/>
      <c r="AK281" s="47"/>
      <c r="AL281" s="47"/>
      <c r="AM281" s="47"/>
      <c r="AN281" s="47"/>
      <c r="AO281" s="47"/>
      <c r="AP281" s="47"/>
      <c r="AQ281" s="47"/>
      <c r="AR281" s="47"/>
      <c r="AS281" s="47"/>
      <c r="AT281" s="47"/>
      <c r="AU281" s="47"/>
      <c r="AV281" s="47"/>
      <c r="AW281" s="47"/>
      <c r="AX281" s="47"/>
      <c r="AY281" s="47"/>
      <c r="AZ281" s="47"/>
      <c r="BA281" s="47"/>
      <c r="BB281" s="47"/>
      <c r="BC281" s="47"/>
      <c r="BD281" s="47"/>
      <c r="BE281" s="47"/>
      <c r="BF281" s="47"/>
      <c r="BG281" s="47"/>
      <c r="BH281" s="47"/>
      <c r="BI281" s="47"/>
      <c r="BJ281" s="47"/>
      <c r="BK281" s="47"/>
      <c r="BL281" s="47"/>
      <c r="BM281" s="47"/>
      <c r="BN281" s="47"/>
      <c r="BO281" s="47"/>
      <c r="BP281" s="47"/>
      <c r="BQ281" s="47"/>
      <c r="BR281" s="47"/>
      <c r="BS281" s="47"/>
      <c r="BT281" s="47"/>
      <c r="BU281" s="47"/>
      <c r="BV281" s="47"/>
      <c r="BW281" s="47"/>
      <c r="BX281" s="47"/>
      <c r="BY281" s="47"/>
      <c r="BZ281" s="47"/>
    </row>
    <row r="282" spans="1:78" ht="13">
      <c r="A282" s="48" t="str">
        <f ca="1">'.'!A282</f>
        <v>Long Rat Tail</v>
      </c>
      <c r="B282" s="46" t="str">
        <f t="array" aca="1" ref="B282" ca="1">IF('.'!B282="","",'.'!B282&amp;IF(VLOOKUP('.'!B282,Recipes!$A:$D,4,FALSE)="",""," ["&amp;VLOOKUP('.'!B282,Recipes!$A:$D,4,FALSE)&amp;"]"))</f>
        <v>Chameleon Cloak Scroll [-5]</v>
      </c>
      <c r="C282" s="46" t="str">
        <f t="array" ref="C282">IF('.'!C282="","",'.'!C282&amp;IF(VLOOKUP('.'!C282,Recipes!$A:$D,4,FALSE)="",""," ["&amp;VLOOKUP('.'!C282,Recipes!$A:$D,4,FALSE)&amp;"]"))</f>
        <v/>
      </c>
      <c r="D282" s="46" t="str">
        <f t="array" ref="D282">IF('.'!D282="","",'.'!D282&amp;IF(VLOOKUP('.'!D282,Recipes!$A:$D,4,FALSE)="",""," ["&amp;VLOOKUP('.'!D282,Recipes!$A:$D,4,FALSE)&amp;"]"))</f>
        <v/>
      </c>
      <c r="E282" s="46" t="str">
        <f t="array" ref="E282">IF('.'!E282="","",'.'!E282&amp;IF(VLOOKUP('.'!E282,Recipes!$A:$D,4,FALSE)="",""," ["&amp;VLOOKUP('.'!E282,Recipes!$A:$D,4,FALSE)&amp;"]"))</f>
        <v/>
      </c>
      <c r="F282" s="46" t="str">
        <f t="array" ref="F282">IF('.'!F282="","",'.'!F282&amp;IF(VLOOKUP('.'!F282,Recipes!$A:$D,4,FALSE)="",""," ["&amp;VLOOKUP('.'!F282,Recipes!$A:$D,4,FALSE)&amp;"]"))</f>
        <v/>
      </c>
      <c r="G282" s="46" t="str">
        <f t="array" ref="G282">IF('.'!G282="","",'.'!G282&amp;IF(VLOOKUP('.'!G282,Recipes!$A:$D,4,FALSE)="",""," ["&amp;VLOOKUP('.'!G282,Recipes!$A:$D,4,FALSE)&amp;"]"))</f>
        <v/>
      </c>
      <c r="H282" s="46" t="str">
        <f t="array" ref="H282">IF('.'!H282="","",'.'!H282&amp;IF(VLOOKUP('.'!H282,Recipes!$A:$D,4,FALSE)="",""," ["&amp;VLOOKUP('.'!H282,Recipes!$A:$D,4,FALSE)&amp;"]"))</f>
        <v/>
      </c>
      <c r="I282" s="46" t="str">
        <f t="array" ref="I282">IF('.'!I282="","",'.'!I282&amp;IF(VLOOKUP('.'!I282,Recipes!$A:$D,4,FALSE)="",""," ["&amp;VLOOKUP('.'!I282,Recipes!$A:$D,4,FALSE)&amp;"]"))</f>
        <v/>
      </c>
      <c r="J282" s="46" t="str">
        <f t="array" ref="J282">IF('.'!J282="","",'.'!J282&amp;IF(VLOOKUP('.'!J282,Recipes!$A:$D,4,FALSE)="",""," ["&amp;VLOOKUP('.'!J282,Recipes!$A:$D,4,FALSE)&amp;"]"))</f>
        <v/>
      </c>
      <c r="K282" s="46" t="str">
        <f t="array" ref="K282">IF('.'!K282="","",'.'!K282&amp;IF(VLOOKUP('.'!K282,Recipes!$A:$D,4,FALSE)="",""," ["&amp;VLOOKUP('.'!K282,Recipes!$A:$D,4,FALSE)&amp;"]"))</f>
        <v/>
      </c>
      <c r="L282" s="46" t="str">
        <f t="array" ref="L282">IF('.'!L282="","",'.'!L282&amp;IF(VLOOKUP('.'!L282,Recipes!$A:$D,4,FALSE)="",""," ["&amp;VLOOKUP('.'!L282,Recipes!$A:$D,4,FALSE)&amp;"]"))</f>
        <v/>
      </c>
      <c r="M282" s="46" t="str">
        <f t="array" ref="M282">IF('.'!M282="","",'.'!M282&amp;IF(VLOOKUP('.'!M282,Recipes!$A:$D,4,FALSE)="",""," ["&amp;VLOOKUP('.'!M282,Recipes!$A:$D,4,FALSE)&amp;"]"))</f>
        <v/>
      </c>
      <c r="N282" s="46" t="str">
        <f t="array" ref="N282">IF('.'!N282="","",'.'!N282&amp;IF(VLOOKUP('.'!N282,Recipes!$A:$D,4,FALSE)="",""," ["&amp;VLOOKUP('.'!N282,Recipes!$A:$D,4,FALSE)&amp;"]"))</f>
        <v/>
      </c>
      <c r="O282" s="46" t="str">
        <f t="array" ref="O282">IF('.'!O282="","",'.'!O282&amp;IF(VLOOKUP('.'!O282,Recipes!$A:$D,4,FALSE)="",""," ["&amp;VLOOKUP('.'!O282,Recipes!$A:$D,4,FALSE)&amp;"]"))</f>
        <v/>
      </c>
      <c r="P282" s="46" t="str">
        <f t="array" ref="P282">IF('.'!P282="","",'.'!P282&amp;IF(VLOOKUP('.'!P282,Recipes!$A:$D,4,FALSE)="",""," ["&amp;VLOOKUP('.'!P282,Recipes!$A:$D,4,FALSE)&amp;"]"))</f>
        <v/>
      </c>
      <c r="Q282" s="46" t="str">
        <f t="array" ref="Q282">IF('.'!Q282="","",'.'!Q282&amp;IF(VLOOKUP('.'!Q282,Recipes!$A:$D,4,FALSE)="",""," ["&amp;VLOOKUP('.'!Q282,Recipes!$A:$D,4,FALSE)&amp;"]"))</f>
        <v/>
      </c>
      <c r="R282" s="46" t="str">
        <f t="array" ref="R282">IF('.'!R282="","",'.'!R282&amp;IF(VLOOKUP('.'!R282,Recipes!$A:$D,4,FALSE)="",""," ["&amp;VLOOKUP('.'!R282,Recipes!$A:$D,4,FALSE)&amp;"]"))</f>
        <v/>
      </c>
      <c r="S282" s="46" t="str">
        <f t="array" ref="S282">IF('.'!S282="","",'.'!S282&amp;IF(VLOOKUP('.'!S282,Recipes!$A:$D,4,FALSE)="",""," ["&amp;VLOOKUP('.'!S282,Recipes!$A:$D,4,FALSE)&amp;"]"))</f>
        <v/>
      </c>
      <c r="T282" s="46" t="str">
        <f t="array" ref="T282">IF('.'!T282="","",'.'!T282&amp;IF(VLOOKUP('.'!T282,Recipes!$A:$D,4,FALSE)="",""," ["&amp;VLOOKUP('.'!T282,Recipes!$A:$D,4,FALSE)&amp;"]"))</f>
        <v/>
      </c>
      <c r="U282" s="46" t="str">
        <f t="array" ref="U282">IF('.'!U282="","",'.'!U282&amp;IF(VLOOKUP('.'!U282,Recipes!$A:$D,4,FALSE)="",""," ["&amp;VLOOKUP('.'!U282,Recipes!$A:$D,4,FALSE)&amp;"]"))</f>
        <v/>
      </c>
      <c r="V282" s="46" t="str">
        <f t="array" ref="V282">IF('.'!V282="","",'.'!V282&amp;IF(VLOOKUP('.'!V282,Recipes!$A:$D,4,FALSE)="",""," ["&amp;VLOOKUP('.'!V282,Recipes!$A:$D,4,FALSE)&amp;"]"))</f>
        <v/>
      </c>
      <c r="W282" s="46" t="str">
        <f t="array" ref="W282">IF('.'!W282="","",'.'!W282&amp;IF(VLOOKUP('.'!W282,Recipes!$A:$D,4,FALSE)="",""," ["&amp;VLOOKUP('.'!W282,Recipes!$A:$D,4,FALSE)&amp;"]"))</f>
        <v/>
      </c>
      <c r="X282" s="46" t="str">
        <f t="array" ref="X282">IF('.'!X282="","",'.'!X282&amp;IF(VLOOKUP('.'!X282,Recipes!$A:$D,4,FALSE)="",""," ["&amp;VLOOKUP('.'!X282,Recipes!$A:$D,4,FALSE)&amp;"]"))</f>
        <v/>
      </c>
      <c r="Y282" s="46" t="str">
        <f t="array" ref="Y282">IF('.'!Y282="","",'.'!Y282&amp;IF(VLOOKUP('.'!Y282,Recipes!$A:$D,4,FALSE)="",""," ["&amp;VLOOKUP('.'!Y282,Recipes!$A:$D,4,FALSE)&amp;"]"))</f>
        <v/>
      </c>
      <c r="Z282" s="46" t="str">
        <f t="array" ref="Z282">IF('.'!Z282="","",'.'!Z282&amp;IF(VLOOKUP('.'!Z282,Recipes!$A:$D,4,FALSE)="",""," ["&amp;VLOOKUP('.'!Z282,Recipes!$A:$D,4,FALSE)&amp;"]"))</f>
        <v/>
      </c>
      <c r="AA282" s="46" t="str">
        <f t="array" ref="AA282">IF('.'!AA282="","",'.'!AA282&amp;IF(VLOOKUP('.'!AA282,Recipes!$A:$D,4,FALSE)="",""," ["&amp;VLOOKUP('.'!AA282,Recipes!$A:$D,4,FALSE)&amp;"]"))</f>
        <v/>
      </c>
      <c r="AB282" s="46" t="str">
        <f t="array" ref="AB282">IF('.'!AB282="","",'.'!AB282&amp;IF(VLOOKUP('.'!AB282,Recipes!$A:$D,4,FALSE)="",""," ["&amp;VLOOKUP('.'!AB282,Recipes!$A:$D,4,FALSE)&amp;"]"))</f>
        <v/>
      </c>
      <c r="AC282" s="46" t="str">
        <f t="array" ref="AC282">IF('.'!AC282="","",'.'!AC282&amp;IF(VLOOKUP('.'!AC282,Recipes!$A:$D,4,FALSE)="",""," ["&amp;VLOOKUP('.'!AC282,Recipes!$A:$D,4,FALSE)&amp;"]"))</f>
        <v/>
      </c>
      <c r="AD282" s="46" t="str">
        <f t="array" ref="AD282">IF('.'!AD282="","",'.'!AD282&amp;IF(VLOOKUP('.'!AD282,Recipes!$A:$D,4,FALSE)="",""," ["&amp;VLOOKUP('.'!AD282,Recipes!$A:$D,4,FALSE)&amp;"]"))</f>
        <v/>
      </c>
      <c r="AE282" s="47"/>
      <c r="AF282" s="47"/>
      <c r="AG282" s="47"/>
      <c r="AH282" s="47"/>
      <c r="AI282" s="47"/>
      <c r="AJ282" s="47"/>
      <c r="AK282" s="47"/>
      <c r="AL282" s="47"/>
      <c r="AM282" s="47"/>
      <c r="AN282" s="47"/>
      <c r="AO282" s="47"/>
      <c r="AP282" s="47"/>
      <c r="AQ282" s="47"/>
      <c r="AR282" s="47"/>
      <c r="AS282" s="47"/>
      <c r="AT282" s="47"/>
      <c r="AU282" s="47"/>
      <c r="AV282" s="47"/>
      <c r="AW282" s="47"/>
      <c r="AX282" s="47"/>
      <c r="AY282" s="47"/>
      <c r="AZ282" s="47"/>
      <c r="BA282" s="47"/>
      <c r="BB282" s="47"/>
      <c r="BC282" s="47"/>
      <c r="BD282" s="47"/>
      <c r="BE282" s="47"/>
      <c r="BF282" s="47"/>
      <c r="BG282" s="47"/>
      <c r="BH282" s="47"/>
      <c r="BI282" s="47"/>
      <c r="BJ282" s="47"/>
      <c r="BK282" s="47"/>
      <c r="BL282" s="47"/>
      <c r="BM282" s="47"/>
      <c r="BN282" s="47"/>
      <c r="BO282" s="47"/>
      <c r="BP282" s="47"/>
      <c r="BQ282" s="47"/>
      <c r="BR282" s="47"/>
      <c r="BS282" s="47"/>
      <c r="BT282" s="47"/>
      <c r="BU282" s="47"/>
      <c r="BV282" s="47"/>
      <c r="BW282" s="47"/>
      <c r="BX282" s="47"/>
      <c r="BY282" s="47"/>
      <c r="BZ282" s="47"/>
    </row>
    <row r="283" spans="1:78" ht="13">
      <c r="A283" s="48" t="str">
        <f ca="1">'.'!A283</f>
        <v>Lucky Rabbit's Paw</v>
      </c>
      <c r="B283" s="46" t="str">
        <f t="array" aca="1" ref="B283" ca="1">IF('.'!B283="","",'.'!B283&amp;IF(VLOOKUP('.'!B283,Recipes!$A:$D,4,FALSE)="",""," ["&amp;VLOOKUP('.'!B283,Recipes!$A:$D,4,FALSE)&amp;"]"))</f>
        <v>Closed Circuit Scroll [-1215]</v>
      </c>
      <c r="C283" s="46" t="str">
        <f t="array" ref="C283">IF('.'!C283="","",'.'!C283&amp;IF(VLOOKUP('.'!C283,Recipes!$A:$D,4,FALSE)="",""," ["&amp;VLOOKUP('.'!C283,Recipes!$A:$D,4,FALSE)&amp;"]"))</f>
        <v/>
      </c>
      <c r="D283" s="46" t="str">
        <f t="array" ref="D283">IF('.'!D283="","",'.'!D283&amp;IF(VLOOKUP('.'!D283,Recipes!$A:$D,4,FALSE)="",""," ["&amp;VLOOKUP('.'!D283,Recipes!$A:$D,4,FALSE)&amp;"]"))</f>
        <v/>
      </c>
      <c r="E283" s="46" t="str">
        <f t="array" ref="E283">IF('.'!E283="","",'.'!E283&amp;IF(VLOOKUP('.'!E283,Recipes!$A:$D,4,FALSE)="",""," ["&amp;VLOOKUP('.'!E283,Recipes!$A:$D,4,FALSE)&amp;"]"))</f>
        <v/>
      </c>
      <c r="F283" s="46" t="str">
        <f t="array" ref="F283">IF('.'!F283="","",'.'!F283&amp;IF(VLOOKUP('.'!F283,Recipes!$A:$D,4,FALSE)="",""," ["&amp;VLOOKUP('.'!F283,Recipes!$A:$D,4,FALSE)&amp;"]"))</f>
        <v/>
      </c>
      <c r="G283" s="46" t="str">
        <f t="array" ref="G283">IF('.'!G283="","",'.'!G283&amp;IF(VLOOKUP('.'!G283,Recipes!$A:$D,4,FALSE)="",""," ["&amp;VLOOKUP('.'!G283,Recipes!$A:$D,4,FALSE)&amp;"]"))</f>
        <v/>
      </c>
      <c r="H283" s="46" t="str">
        <f t="array" ref="H283">IF('.'!H283="","",'.'!H283&amp;IF(VLOOKUP('.'!H283,Recipes!$A:$D,4,FALSE)="",""," ["&amp;VLOOKUP('.'!H283,Recipes!$A:$D,4,FALSE)&amp;"]"))</f>
        <v/>
      </c>
      <c r="I283" s="46" t="str">
        <f t="array" ref="I283">IF('.'!I283="","",'.'!I283&amp;IF(VLOOKUP('.'!I283,Recipes!$A:$D,4,FALSE)="",""," ["&amp;VLOOKUP('.'!I283,Recipes!$A:$D,4,FALSE)&amp;"]"))</f>
        <v/>
      </c>
      <c r="J283" s="46" t="str">
        <f t="array" ref="J283">IF('.'!J283="","",'.'!J283&amp;IF(VLOOKUP('.'!J283,Recipes!$A:$D,4,FALSE)="",""," ["&amp;VLOOKUP('.'!J283,Recipes!$A:$D,4,FALSE)&amp;"]"))</f>
        <v/>
      </c>
      <c r="K283" s="46" t="str">
        <f t="array" ref="K283">IF('.'!K283="","",'.'!K283&amp;IF(VLOOKUP('.'!K283,Recipes!$A:$D,4,FALSE)="",""," ["&amp;VLOOKUP('.'!K283,Recipes!$A:$D,4,FALSE)&amp;"]"))</f>
        <v/>
      </c>
      <c r="L283" s="46" t="str">
        <f t="array" ref="L283">IF('.'!L283="","",'.'!L283&amp;IF(VLOOKUP('.'!L283,Recipes!$A:$D,4,FALSE)="",""," ["&amp;VLOOKUP('.'!L283,Recipes!$A:$D,4,FALSE)&amp;"]"))</f>
        <v/>
      </c>
      <c r="M283" s="46" t="str">
        <f t="array" ref="M283">IF('.'!M283="","",'.'!M283&amp;IF(VLOOKUP('.'!M283,Recipes!$A:$D,4,FALSE)="",""," ["&amp;VLOOKUP('.'!M283,Recipes!$A:$D,4,FALSE)&amp;"]"))</f>
        <v/>
      </c>
      <c r="N283" s="46" t="str">
        <f t="array" ref="N283">IF('.'!N283="","",'.'!N283&amp;IF(VLOOKUP('.'!N283,Recipes!$A:$D,4,FALSE)="",""," ["&amp;VLOOKUP('.'!N283,Recipes!$A:$D,4,FALSE)&amp;"]"))</f>
        <v/>
      </c>
      <c r="O283" s="46" t="str">
        <f t="array" ref="O283">IF('.'!O283="","",'.'!O283&amp;IF(VLOOKUP('.'!O283,Recipes!$A:$D,4,FALSE)="",""," ["&amp;VLOOKUP('.'!O283,Recipes!$A:$D,4,FALSE)&amp;"]"))</f>
        <v/>
      </c>
      <c r="P283" s="46" t="str">
        <f t="array" ref="P283">IF('.'!P283="","",'.'!P283&amp;IF(VLOOKUP('.'!P283,Recipes!$A:$D,4,FALSE)="",""," ["&amp;VLOOKUP('.'!P283,Recipes!$A:$D,4,FALSE)&amp;"]"))</f>
        <v/>
      </c>
      <c r="Q283" s="46" t="str">
        <f t="array" ref="Q283">IF('.'!Q283="","",'.'!Q283&amp;IF(VLOOKUP('.'!Q283,Recipes!$A:$D,4,FALSE)="",""," ["&amp;VLOOKUP('.'!Q283,Recipes!$A:$D,4,FALSE)&amp;"]"))</f>
        <v/>
      </c>
      <c r="R283" s="46" t="str">
        <f t="array" ref="R283">IF('.'!R283="","",'.'!R283&amp;IF(VLOOKUP('.'!R283,Recipes!$A:$D,4,FALSE)="",""," ["&amp;VLOOKUP('.'!R283,Recipes!$A:$D,4,FALSE)&amp;"]"))</f>
        <v/>
      </c>
      <c r="S283" s="46" t="str">
        <f t="array" ref="S283">IF('.'!S283="","",'.'!S283&amp;IF(VLOOKUP('.'!S283,Recipes!$A:$D,4,FALSE)="",""," ["&amp;VLOOKUP('.'!S283,Recipes!$A:$D,4,FALSE)&amp;"]"))</f>
        <v/>
      </c>
      <c r="T283" s="46" t="str">
        <f t="array" ref="T283">IF('.'!T283="","",'.'!T283&amp;IF(VLOOKUP('.'!T283,Recipes!$A:$D,4,FALSE)="",""," ["&amp;VLOOKUP('.'!T283,Recipes!$A:$D,4,FALSE)&amp;"]"))</f>
        <v/>
      </c>
      <c r="U283" s="46" t="str">
        <f t="array" ref="U283">IF('.'!U283="","",'.'!U283&amp;IF(VLOOKUP('.'!U283,Recipes!$A:$D,4,FALSE)="",""," ["&amp;VLOOKUP('.'!U283,Recipes!$A:$D,4,FALSE)&amp;"]"))</f>
        <v/>
      </c>
      <c r="V283" s="46" t="str">
        <f t="array" ref="V283">IF('.'!V283="","",'.'!V283&amp;IF(VLOOKUP('.'!V283,Recipes!$A:$D,4,FALSE)="",""," ["&amp;VLOOKUP('.'!V283,Recipes!$A:$D,4,FALSE)&amp;"]"))</f>
        <v/>
      </c>
      <c r="W283" s="46" t="str">
        <f t="array" ref="W283">IF('.'!W283="","",'.'!W283&amp;IF(VLOOKUP('.'!W283,Recipes!$A:$D,4,FALSE)="",""," ["&amp;VLOOKUP('.'!W283,Recipes!$A:$D,4,FALSE)&amp;"]"))</f>
        <v/>
      </c>
      <c r="X283" s="46" t="str">
        <f t="array" ref="X283">IF('.'!X283="","",'.'!X283&amp;IF(VLOOKUP('.'!X283,Recipes!$A:$D,4,FALSE)="",""," ["&amp;VLOOKUP('.'!X283,Recipes!$A:$D,4,FALSE)&amp;"]"))</f>
        <v/>
      </c>
      <c r="Y283" s="46" t="str">
        <f t="array" ref="Y283">IF('.'!Y283="","",'.'!Y283&amp;IF(VLOOKUP('.'!Y283,Recipes!$A:$D,4,FALSE)="",""," ["&amp;VLOOKUP('.'!Y283,Recipes!$A:$D,4,FALSE)&amp;"]"))</f>
        <v/>
      </c>
      <c r="Z283" s="46" t="str">
        <f t="array" ref="Z283">IF('.'!Z283="","",'.'!Z283&amp;IF(VLOOKUP('.'!Z283,Recipes!$A:$D,4,FALSE)="",""," ["&amp;VLOOKUP('.'!Z283,Recipes!$A:$D,4,FALSE)&amp;"]"))</f>
        <v/>
      </c>
      <c r="AA283" s="46" t="str">
        <f t="array" ref="AA283">IF('.'!AA283="","",'.'!AA283&amp;IF(VLOOKUP('.'!AA283,Recipes!$A:$D,4,FALSE)="",""," ["&amp;VLOOKUP('.'!AA283,Recipes!$A:$D,4,FALSE)&amp;"]"))</f>
        <v/>
      </c>
      <c r="AB283" s="46" t="str">
        <f t="array" ref="AB283">IF('.'!AB283="","",'.'!AB283&amp;IF(VLOOKUP('.'!AB283,Recipes!$A:$D,4,FALSE)="",""," ["&amp;VLOOKUP('.'!AB283,Recipes!$A:$D,4,FALSE)&amp;"]"))</f>
        <v/>
      </c>
      <c r="AC283" s="46" t="str">
        <f t="array" ref="AC283">IF('.'!AC283="","",'.'!AC283&amp;IF(VLOOKUP('.'!AC283,Recipes!$A:$D,4,FALSE)="",""," ["&amp;VLOOKUP('.'!AC283,Recipes!$A:$D,4,FALSE)&amp;"]"))</f>
        <v/>
      </c>
      <c r="AD283" s="46" t="str">
        <f t="array" ref="AD283">IF('.'!AD283="","",'.'!AD283&amp;IF(VLOOKUP('.'!AD283,Recipes!$A:$D,4,FALSE)="",""," ["&amp;VLOOKUP('.'!AD283,Recipes!$A:$D,4,FALSE)&amp;"]"))</f>
        <v/>
      </c>
      <c r="AE283" s="47"/>
      <c r="AF283" s="47"/>
      <c r="AG283" s="47"/>
      <c r="AH283" s="47"/>
      <c r="AI283" s="47"/>
      <c r="AJ283" s="47"/>
      <c r="AK283" s="47"/>
      <c r="AL283" s="47"/>
      <c r="AM283" s="47"/>
      <c r="AN283" s="47"/>
      <c r="AO283" s="47"/>
      <c r="AP283" s="47"/>
      <c r="AQ283" s="47"/>
      <c r="AR283" s="47"/>
      <c r="AS283" s="47"/>
      <c r="AT283" s="47"/>
      <c r="AU283" s="47"/>
      <c r="AV283" s="47"/>
      <c r="AW283" s="47"/>
      <c r="AX283" s="47"/>
      <c r="AY283" s="47"/>
      <c r="AZ283" s="47"/>
      <c r="BA283" s="47"/>
      <c r="BB283" s="47"/>
      <c r="BC283" s="47"/>
      <c r="BD283" s="47"/>
      <c r="BE283" s="47"/>
      <c r="BF283" s="47"/>
      <c r="BG283" s="47"/>
      <c r="BH283" s="47"/>
      <c r="BI283" s="47"/>
      <c r="BJ283" s="47"/>
      <c r="BK283" s="47"/>
      <c r="BL283" s="47"/>
      <c r="BM283" s="47"/>
      <c r="BN283" s="47"/>
      <c r="BO283" s="47"/>
      <c r="BP283" s="47"/>
      <c r="BQ283" s="47"/>
      <c r="BR283" s="47"/>
      <c r="BS283" s="47"/>
      <c r="BT283" s="47"/>
      <c r="BU283" s="47"/>
      <c r="BV283" s="47"/>
      <c r="BW283" s="47"/>
      <c r="BX283" s="47"/>
      <c r="BY283" s="47"/>
      <c r="BZ283" s="47"/>
    </row>
    <row r="284" spans="1:78" ht="13">
      <c r="A284" s="48" t="str">
        <f ca="1">'.'!A284</f>
        <v>Mackerel</v>
      </c>
      <c r="B284" s="46" t="str">
        <f t="array" aca="1" ref="B284" ca="1">IF('.'!B284="","",'.'!B284&amp;IF(VLOOKUP('.'!B284,Recipes!$A:$D,4,FALSE)="",""," ["&amp;VLOOKUP('.'!B284,Recipes!$A:$D,4,FALSE)&amp;"]"))</f>
        <v>Deep Freeze Scroll [3]</v>
      </c>
      <c r="C284" s="46" t="str">
        <f t="array" ref="C284">IF('.'!C284="","",'.'!C284&amp;IF(VLOOKUP('.'!C284,Recipes!$A:$D,4,FALSE)="",""," ["&amp;VLOOKUP('.'!C284,Recipes!$A:$D,4,FALSE)&amp;"]"))</f>
        <v/>
      </c>
      <c r="D284" s="46" t="str">
        <f t="array" ref="D284">IF('.'!D284="","",'.'!D284&amp;IF(VLOOKUP('.'!D284,Recipes!$A:$D,4,FALSE)="",""," ["&amp;VLOOKUP('.'!D284,Recipes!$A:$D,4,FALSE)&amp;"]"))</f>
        <v/>
      </c>
      <c r="E284" s="46" t="str">
        <f t="array" ref="E284">IF('.'!E284="","",'.'!E284&amp;IF(VLOOKUP('.'!E284,Recipes!$A:$D,4,FALSE)="",""," ["&amp;VLOOKUP('.'!E284,Recipes!$A:$D,4,FALSE)&amp;"]"))</f>
        <v/>
      </c>
      <c r="F284" s="46" t="str">
        <f t="array" ref="F284">IF('.'!F284="","",'.'!F284&amp;IF(VLOOKUP('.'!F284,Recipes!$A:$D,4,FALSE)="",""," ["&amp;VLOOKUP('.'!F284,Recipes!$A:$D,4,FALSE)&amp;"]"))</f>
        <v/>
      </c>
      <c r="G284" s="46" t="str">
        <f t="array" ref="G284">IF('.'!G284="","",'.'!G284&amp;IF(VLOOKUP('.'!G284,Recipes!$A:$D,4,FALSE)="",""," ["&amp;VLOOKUP('.'!G284,Recipes!$A:$D,4,FALSE)&amp;"]"))</f>
        <v/>
      </c>
      <c r="H284" s="46" t="str">
        <f t="array" ref="H284">IF('.'!H284="","",'.'!H284&amp;IF(VLOOKUP('.'!H284,Recipes!$A:$D,4,FALSE)="",""," ["&amp;VLOOKUP('.'!H284,Recipes!$A:$D,4,FALSE)&amp;"]"))</f>
        <v/>
      </c>
      <c r="I284" s="46" t="str">
        <f t="array" ref="I284">IF('.'!I284="","",'.'!I284&amp;IF(VLOOKUP('.'!I284,Recipes!$A:$D,4,FALSE)="",""," ["&amp;VLOOKUP('.'!I284,Recipes!$A:$D,4,FALSE)&amp;"]"))</f>
        <v/>
      </c>
      <c r="J284" s="46" t="str">
        <f t="array" ref="J284">IF('.'!J284="","",'.'!J284&amp;IF(VLOOKUP('.'!J284,Recipes!$A:$D,4,FALSE)="",""," ["&amp;VLOOKUP('.'!J284,Recipes!$A:$D,4,FALSE)&amp;"]"))</f>
        <v/>
      </c>
      <c r="K284" s="46" t="str">
        <f t="array" ref="K284">IF('.'!K284="","",'.'!K284&amp;IF(VLOOKUP('.'!K284,Recipes!$A:$D,4,FALSE)="",""," ["&amp;VLOOKUP('.'!K284,Recipes!$A:$D,4,FALSE)&amp;"]"))</f>
        <v/>
      </c>
      <c r="L284" s="46" t="str">
        <f t="array" ref="L284">IF('.'!L284="","",'.'!L284&amp;IF(VLOOKUP('.'!L284,Recipes!$A:$D,4,FALSE)="",""," ["&amp;VLOOKUP('.'!L284,Recipes!$A:$D,4,FALSE)&amp;"]"))</f>
        <v/>
      </c>
      <c r="M284" s="46" t="str">
        <f t="array" ref="M284">IF('.'!M284="","",'.'!M284&amp;IF(VLOOKUP('.'!M284,Recipes!$A:$D,4,FALSE)="",""," ["&amp;VLOOKUP('.'!M284,Recipes!$A:$D,4,FALSE)&amp;"]"))</f>
        <v/>
      </c>
      <c r="N284" s="46" t="str">
        <f t="array" ref="N284">IF('.'!N284="","",'.'!N284&amp;IF(VLOOKUP('.'!N284,Recipes!$A:$D,4,FALSE)="",""," ["&amp;VLOOKUP('.'!N284,Recipes!$A:$D,4,FALSE)&amp;"]"))</f>
        <v/>
      </c>
      <c r="O284" s="46" t="str">
        <f t="array" ref="O284">IF('.'!O284="","",'.'!O284&amp;IF(VLOOKUP('.'!O284,Recipes!$A:$D,4,FALSE)="",""," ["&amp;VLOOKUP('.'!O284,Recipes!$A:$D,4,FALSE)&amp;"]"))</f>
        <v/>
      </c>
      <c r="P284" s="46" t="str">
        <f t="array" ref="P284">IF('.'!P284="","",'.'!P284&amp;IF(VLOOKUP('.'!P284,Recipes!$A:$D,4,FALSE)="",""," ["&amp;VLOOKUP('.'!P284,Recipes!$A:$D,4,FALSE)&amp;"]"))</f>
        <v/>
      </c>
      <c r="Q284" s="46" t="str">
        <f t="array" ref="Q284">IF('.'!Q284="","",'.'!Q284&amp;IF(VLOOKUP('.'!Q284,Recipes!$A:$D,4,FALSE)="",""," ["&amp;VLOOKUP('.'!Q284,Recipes!$A:$D,4,FALSE)&amp;"]"))</f>
        <v/>
      </c>
      <c r="R284" s="46" t="str">
        <f t="array" ref="R284">IF('.'!R284="","",'.'!R284&amp;IF(VLOOKUP('.'!R284,Recipes!$A:$D,4,FALSE)="",""," ["&amp;VLOOKUP('.'!R284,Recipes!$A:$D,4,FALSE)&amp;"]"))</f>
        <v/>
      </c>
      <c r="S284" s="46" t="str">
        <f t="array" ref="S284">IF('.'!S284="","",'.'!S284&amp;IF(VLOOKUP('.'!S284,Recipes!$A:$D,4,FALSE)="",""," ["&amp;VLOOKUP('.'!S284,Recipes!$A:$D,4,FALSE)&amp;"]"))</f>
        <v/>
      </c>
      <c r="T284" s="46" t="str">
        <f t="array" ref="T284">IF('.'!T284="","",'.'!T284&amp;IF(VLOOKUP('.'!T284,Recipes!$A:$D,4,FALSE)="",""," ["&amp;VLOOKUP('.'!T284,Recipes!$A:$D,4,FALSE)&amp;"]"))</f>
        <v/>
      </c>
      <c r="U284" s="46" t="str">
        <f t="array" ref="U284">IF('.'!U284="","",'.'!U284&amp;IF(VLOOKUP('.'!U284,Recipes!$A:$D,4,FALSE)="",""," ["&amp;VLOOKUP('.'!U284,Recipes!$A:$D,4,FALSE)&amp;"]"))</f>
        <v/>
      </c>
      <c r="V284" s="46" t="str">
        <f t="array" ref="V284">IF('.'!V284="","",'.'!V284&amp;IF(VLOOKUP('.'!V284,Recipes!$A:$D,4,FALSE)="",""," ["&amp;VLOOKUP('.'!V284,Recipes!$A:$D,4,FALSE)&amp;"]"))</f>
        <v/>
      </c>
      <c r="W284" s="46" t="str">
        <f t="array" ref="W284">IF('.'!W284="","",'.'!W284&amp;IF(VLOOKUP('.'!W284,Recipes!$A:$D,4,FALSE)="",""," ["&amp;VLOOKUP('.'!W284,Recipes!$A:$D,4,FALSE)&amp;"]"))</f>
        <v/>
      </c>
      <c r="X284" s="46" t="str">
        <f t="array" ref="X284">IF('.'!X284="","",'.'!X284&amp;IF(VLOOKUP('.'!X284,Recipes!$A:$D,4,FALSE)="",""," ["&amp;VLOOKUP('.'!X284,Recipes!$A:$D,4,FALSE)&amp;"]"))</f>
        <v/>
      </c>
      <c r="Y284" s="46" t="str">
        <f t="array" ref="Y284">IF('.'!Y284="","",'.'!Y284&amp;IF(VLOOKUP('.'!Y284,Recipes!$A:$D,4,FALSE)="",""," ["&amp;VLOOKUP('.'!Y284,Recipes!$A:$D,4,FALSE)&amp;"]"))</f>
        <v/>
      </c>
      <c r="Z284" s="46" t="str">
        <f t="array" ref="Z284">IF('.'!Z284="","",'.'!Z284&amp;IF(VLOOKUP('.'!Z284,Recipes!$A:$D,4,FALSE)="",""," ["&amp;VLOOKUP('.'!Z284,Recipes!$A:$D,4,FALSE)&amp;"]"))</f>
        <v/>
      </c>
      <c r="AA284" s="46" t="str">
        <f t="array" ref="AA284">IF('.'!AA284="","",'.'!AA284&amp;IF(VLOOKUP('.'!AA284,Recipes!$A:$D,4,FALSE)="",""," ["&amp;VLOOKUP('.'!AA284,Recipes!$A:$D,4,FALSE)&amp;"]"))</f>
        <v/>
      </c>
      <c r="AB284" s="46" t="str">
        <f t="array" ref="AB284">IF('.'!AB284="","",'.'!AB284&amp;IF(VLOOKUP('.'!AB284,Recipes!$A:$D,4,FALSE)="",""," ["&amp;VLOOKUP('.'!AB284,Recipes!$A:$D,4,FALSE)&amp;"]"))</f>
        <v/>
      </c>
      <c r="AC284" s="46" t="str">
        <f t="array" ref="AC284">IF('.'!AC284="","",'.'!AC284&amp;IF(VLOOKUP('.'!AC284,Recipes!$A:$D,4,FALSE)="",""," ["&amp;VLOOKUP('.'!AC284,Recipes!$A:$D,4,FALSE)&amp;"]"))</f>
        <v/>
      </c>
      <c r="AD284" s="46" t="str">
        <f t="array" ref="AD284">IF('.'!AD284="","",'.'!AD284&amp;IF(VLOOKUP('.'!AD284,Recipes!$A:$D,4,FALSE)="",""," ["&amp;VLOOKUP('.'!AD284,Recipes!$A:$D,4,FALSE)&amp;"]"))</f>
        <v/>
      </c>
      <c r="AE284" s="47"/>
      <c r="AF284" s="47"/>
      <c r="AG284" s="47"/>
      <c r="AH284" s="47"/>
      <c r="AI284" s="47"/>
      <c r="AJ284" s="47"/>
      <c r="AK284" s="47"/>
      <c r="AL284" s="47"/>
      <c r="AM284" s="47"/>
      <c r="AN284" s="47"/>
      <c r="AO284" s="47"/>
      <c r="AP284" s="47"/>
      <c r="AQ284" s="47"/>
      <c r="AR284" s="47"/>
      <c r="AS284" s="47"/>
      <c r="AT284" s="47"/>
      <c r="AU284" s="47"/>
      <c r="AV284" s="47"/>
      <c r="AW284" s="47"/>
      <c r="AX284" s="47"/>
      <c r="AY284" s="47"/>
      <c r="AZ284" s="47"/>
      <c r="BA284" s="47"/>
      <c r="BB284" s="47"/>
      <c r="BC284" s="47"/>
      <c r="BD284" s="47"/>
      <c r="BE284" s="47"/>
      <c r="BF284" s="47"/>
      <c r="BG284" s="47"/>
      <c r="BH284" s="47"/>
      <c r="BI284" s="47"/>
      <c r="BJ284" s="47"/>
      <c r="BK284" s="47"/>
      <c r="BL284" s="47"/>
      <c r="BM284" s="47"/>
      <c r="BN284" s="47"/>
      <c r="BO284" s="47"/>
      <c r="BP284" s="47"/>
      <c r="BQ284" s="47"/>
      <c r="BR284" s="47"/>
      <c r="BS284" s="47"/>
      <c r="BT284" s="47"/>
      <c r="BU284" s="47"/>
      <c r="BV284" s="47"/>
      <c r="BW284" s="47"/>
      <c r="BX284" s="47"/>
      <c r="BY284" s="47"/>
      <c r="BZ284" s="47"/>
    </row>
    <row r="285" spans="1:78" ht="13">
      <c r="A285" s="48" t="str">
        <f ca="1">'.'!A285</f>
        <v>Meat</v>
      </c>
      <c r="B285" s="46" t="e">
        <f t="array" aca="1" ref="B285" ca="1">IF('.'!B285="","",'.'!B285&amp;IF(VLOOKUP('.'!B285,Recipes!$A:$D,4,FALSE)="",""," ["&amp;VLOOKUP('.'!B285,Recipes!$A:$D,4,FALSE)&amp;"]"))</f>
        <v>#VALUE!</v>
      </c>
      <c r="C285" s="46" t="str">
        <f t="array" ref="C285">IF('.'!C285="","",'.'!C285&amp;IF(VLOOKUP('.'!C285,Recipes!$A:$D,4,FALSE)="",""," ["&amp;VLOOKUP('.'!C285,Recipes!$A:$D,4,FALSE)&amp;"]"))</f>
        <v/>
      </c>
      <c r="D285" s="46" t="str">
        <f t="array" ref="D285">IF('.'!D285="","",'.'!D285&amp;IF(VLOOKUP('.'!D285,Recipes!$A:$D,4,FALSE)="",""," ["&amp;VLOOKUP('.'!D285,Recipes!$A:$D,4,FALSE)&amp;"]"))</f>
        <v/>
      </c>
      <c r="E285" s="46" t="str">
        <f t="array" ref="E285">IF('.'!E285="","",'.'!E285&amp;IF(VLOOKUP('.'!E285,Recipes!$A:$D,4,FALSE)="",""," ["&amp;VLOOKUP('.'!E285,Recipes!$A:$D,4,FALSE)&amp;"]"))</f>
        <v/>
      </c>
      <c r="F285" s="46" t="str">
        <f t="array" ref="F285">IF('.'!F285="","",'.'!F285&amp;IF(VLOOKUP('.'!F285,Recipes!$A:$D,4,FALSE)="",""," ["&amp;VLOOKUP('.'!F285,Recipes!$A:$D,4,FALSE)&amp;"]"))</f>
        <v/>
      </c>
      <c r="G285" s="46" t="str">
        <f t="array" ref="G285">IF('.'!G285="","",'.'!G285&amp;IF(VLOOKUP('.'!G285,Recipes!$A:$D,4,FALSE)="",""," ["&amp;VLOOKUP('.'!G285,Recipes!$A:$D,4,FALSE)&amp;"]"))</f>
        <v/>
      </c>
      <c r="H285" s="46" t="str">
        <f t="array" ref="H285">IF('.'!H285="","",'.'!H285&amp;IF(VLOOKUP('.'!H285,Recipes!$A:$D,4,FALSE)="",""," ["&amp;VLOOKUP('.'!H285,Recipes!$A:$D,4,FALSE)&amp;"]"))</f>
        <v/>
      </c>
      <c r="I285" s="46" t="str">
        <f t="array" ref="I285">IF('.'!I285="","",'.'!I285&amp;IF(VLOOKUP('.'!I285,Recipes!$A:$D,4,FALSE)="",""," ["&amp;VLOOKUP('.'!I285,Recipes!$A:$D,4,FALSE)&amp;"]"))</f>
        <v/>
      </c>
      <c r="J285" s="46" t="str">
        <f t="array" ref="J285">IF('.'!J285="","",'.'!J285&amp;IF(VLOOKUP('.'!J285,Recipes!$A:$D,4,FALSE)="",""," ["&amp;VLOOKUP('.'!J285,Recipes!$A:$D,4,FALSE)&amp;"]"))</f>
        <v/>
      </c>
      <c r="K285" s="46" t="str">
        <f t="array" ref="K285">IF('.'!K285="","",'.'!K285&amp;IF(VLOOKUP('.'!K285,Recipes!$A:$D,4,FALSE)="",""," ["&amp;VLOOKUP('.'!K285,Recipes!$A:$D,4,FALSE)&amp;"]"))</f>
        <v/>
      </c>
      <c r="L285" s="46" t="str">
        <f t="array" ref="L285">IF('.'!L285="","",'.'!L285&amp;IF(VLOOKUP('.'!L285,Recipes!$A:$D,4,FALSE)="",""," ["&amp;VLOOKUP('.'!L285,Recipes!$A:$D,4,FALSE)&amp;"]"))</f>
        <v/>
      </c>
      <c r="M285" s="46" t="str">
        <f t="array" ref="M285">IF('.'!M285="","",'.'!M285&amp;IF(VLOOKUP('.'!M285,Recipes!$A:$D,4,FALSE)="",""," ["&amp;VLOOKUP('.'!M285,Recipes!$A:$D,4,FALSE)&amp;"]"))</f>
        <v/>
      </c>
      <c r="N285" s="46" t="str">
        <f t="array" ref="N285">IF('.'!N285="","",'.'!N285&amp;IF(VLOOKUP('.'!N285,Recipes!$A:$D,4,FALSE)="",""," ["&amp;VLOOKUP('.'!N285,Recipes!$A:$D,4,FALSE)&amp;"]"))</f>
        <v/>
      </c>
      <c r="O285" s="46" t="str">
        <f t="array" ref="O285">IF('.'!O285="","",'.'!O285&amp;IF(VLOOKUP('.'!O285,Recipes!$A:$D,4,FALSE)="",""," ["&amp;VLOOKUP('.'!O285,Recipes!$A:$D,4,FALSE)&amp;"]"))</f>
        <v/>
      </c>
      <c r="P285" s="46" t="str">
        <f t="array" ref="P285">IF('.'!P285="","",'.'!P285&amp;IF(VLOOKUP('.'!P285,Recipes!$A:$D,4,FALSE)="",""," ["&amp;VLOOKUP('.'!P285,Recipes!$A:$D,4,FALSE)&amp;"]"))</f>
        <v/>
      </c>
      <c r="Q285" s="46" t="str">
        <f t="array" ref="Q285">IF('.'!Q285="","",'.'!Q285&amp;IF(VLOOKUP('.'!Q285,Recipes!$A:$D,4,FALSE)="",""," ["&amp;VLOOKUP('.'!Q285,Recipes!$A:$D,4,FALSE)&amp;"]"))</f>
        <v/>
      </c>
      <c r="R285" s="46" t="str">
        <f t="array" ref="R285">IF('.'!R285="","",'.'!R285&amp;IF(VLOOKUP('.'!R285,Recipes!$A:$D,4,FALSE)="",""," ["&amp;VLOOKUP('.'!R285,Recipes!$A:$D,4,FALSE)&amp;"]"))</f>
        <v/>
      </c>
      <c r="S285" s="46" t="str">
        <f t="array" ref="S285">IF('.'!S285="","",'.'!S285&amp;IF(VLOOKUP('.'!S285,Recipes!$A:$D,4,FALSE)="",""," ["&amp;VLOOKUP('.'!S285,Recipes!$A:$D,4,FALSE)&amp;"]"))</f>
        <v/>
      </c>
      <c r="T285" s="46" t="str">
        <f t="array" ref="T285">IF('.'!T285="","",'.'!T285&amp;IF(VLOOKUP('.'!T285,Recipes!$A:$D,4,FALSE)="",""," ["&amp;VLOOKUP('.'!T285,Recipes!$A:$D,4,FALSE)&amp;"]"))</f>
        <v/>
      </c>
      <c r="U285" s="46" t="str">
        <f t="array" ref="U285">IF('.'!U285="","",'.'!U285&amp;IF(VLOOKUP('.'!U285,Recipes!$A:$D,4,FALSE)="",""," ["&amp;VLOOKUP('.'!U285,Recipes!$A:$D,4,FALSE)&amp;"]"))</f>
        <v/>
      </c>
      <c r="V285" s="46" t="str">
        <f t="array" ref="V285">IF('.'!V285="","",'.'!V285&amp;IF(VLOOKUP('.'!V285,Recipes!$A:$D,4,FALSE)="",""," ["&amp;VLOOKUP('.'!V285,Recipes!$A:$D,4,FALSE)&amp;"]"))</f>
        <v/>
      </c>
      <c r="W285" s="46" t="str">
        <f t="array" ref="W285">IF('.'!W285="","",'.'!W285&amp;IF(VLOOKUP('.'!W285,Recipes!$A:$D,4,FALSE)="",""," ["&amp;VLOOKUP('.'!W285,Recipes!$A:$D,4,FALSE)&amp;"]"))</f>
        <v/>
      </c>
      <c r="X285" s="46" t="str">
        <f t="array" ref="X285">IF('.'!X285="","",'.'!X285&amp;IF(VLOOKUP('.'!X285,Recipes!$A:$D,4,FALSE)="",""," ["&amp;VLOOKUP('.'!X285,Recipes!$A:$D,4,FALSE)&amp;"]"))</f>
        <v/>
      </c>
      <c r="Y285" s="46" t="str">
        <f t="array" ref="Y285">IF('.'!Y285="","",'.'!Y285&amp;IF(VLOOKUP('.'!Y285,Recipes!$A:$D,4,FALSE)="",""," ["&amp;VLOOKUP('.'!Y285,Recipes!$A:$D,4,FALSE)&amp;"]"))</f>
        <v/>
      </c>
      <c r="Z285" s="46" t="str">
        <f t="array" ref="Z285">IF('.'!Z285="","",'.'!Z285&amp;IF(VLOOKUP('.'!Z285,Recipes!$A:$D,4,FALSE)="",""," ["&amp;VLOOKUP('.'!Z285,Recipes!$A:$D,4,FALSE)&amp;"]"))</f>
        <v/>
      </c>
      <c r="AA285" s="46" t="str">
        <f t="array" ref="AA285">IF('.'!AA285="","",'.'!AA285&amp;IF(VLOOKUP('.'!AA285,Recipes!$A:$D,4,FALSE)="",""," ["&amp;VLOOKUP('.'!AA285,Recipes!$A:$D,4,FALSE)&amp;"]"))</f>
        <v/>
      </c>
      <c r="AB285" s="46" t="str">
        <f t="array" ref="AB285">IF('.'!AB285="","",'.'!AB285&amp;IF(VLOOKUP('.'!AB285,Recipes!$A:$D,4,FALSE)="",""," ["&amp;VLOOKUP('.'!AB285,Recipes!$A:$D,4,FALSE)&amp;"]"))</f>
        <v/>
      </c>
      <c r="AC285" s="46" t="str">
        <f t="array" ref="AC285">IF('.'!AC285="","",'.'!AC285&amp;IF(VLOOKUP('.'!AC285,Recipes!$A:$D,4,FALSE)="",""," ["&amp;VLOOKUP('.'!AC285,Recipes!$A:$D,4,FALSE)&amp;"]"))</f>
        <v/>
      </c>
      <c r="AD285" s="46" t="str">
        <f t="array" ref="AD285">IF('.'!AD285="","",'.'!AD285&amp;IF(VLOOKUP('.'!AD285,Recipes!$A:$D,4,FALSE)="",""," ["&amp;VLOOKUP('.'!AD285,Recipes!$A:$D,4,FALSE)&amp;"]"))</f>
        <v/>
      </c>
      <c r="AE285" s="47"/>
      <c r="AF285" s="47"/>
      <c r="AG285" s="47"/>
      <c r="AH285" s="47"/>
      <c r="AI285" s="47"/>
      <c r="AJ285" s="47"/>
      <c r="AK285" s="47"/>
      <c r="AL285" s="47"/>
      <c r="AM285" s="47"/>
      <c r="AN285" s="47"/>
      <c r="AO285" s="47"/>
      <c r="AP285" s="47"/>
      <c r="AQ285" s="47"/>
      <c r="AR285" s="47"/>
      <c r="AS285" s="47"/>
      <c r="AT285" s="47"/>
      <c r="AU285" s="47"/>
      <c r="AV285" s="47"/>
      <c r="AW285" s="47"/>
      <c r="AX285" s="47"/>
      <c r="AY285" s="47"/>
      <c r="AZ285" s="47"/>
      <c r="BA285" s="47"/>
      <c r="BB285" s="47"/>
      <c r="BC285" s="47"/>
      <c r="BD285" s="47"/>
      <c r="BE285" s="47"/>
      <c r="BF285" s="47"/>
      <c r="BG285" s="47"/>
      <c r="BH285" s="47"/>
      <c r="BI285" s="47"/>
      <c r="BJ285" s="47"/>
      <c r="BK285" s="47"/>
      <c r="BL285" s="47"/>
      <c r="BM285" s="47"/>
      <c r="BN285" s="47"/>
      <c r="BO285" s="47"/>
      <c r="BP285" s="47"/>
      <c r="BQ285" s="47"/>
      <c r="BR285" s="47"/>
      <c r="BS285" s="47"/>
      <c r="BT285" s="47"/>
      <c r="BU285" s="47"/>
      <c r="BV285" s="47"/>
      <c r="BW285" s="47"/>
      <c r="BX285" s="47"/>
      <c r="BY285" s="47"/>
      <c r="BZ285" s="47"/>
    </row>
    <row r="286" spans="1:78" ht="13">
      <c r="A286" s="48" t="str">
        <f ca="1">'.'!A286</f>
        <v>Meaty Stew</v>
      </c>
      <c r="B286" s="46" t="str">
        <f t="array" aca="1" ref="B286" ca="1">IF('.'!B286="","",'.'!B286&amp;IF(VLOOKUP('.'!B286,Recipes!$A:$D,4,FALSE)="",""," ["&amp;VLOOKUP('.'!B286,Recipes!$A:$D,4,FALSE)&amp;"]"))</f>
        <v>Tainted Stew [-9]</v>
      </c>
      <c r="C286" s="46" t="str">
        <f t="array" ref="C286">IF('.'!C286="","",'.'!C286&amp;IF(VLOOKUP('.'!C286,Recipes!$A:$D,4,FALSE)="",""," ["&amp;VLOOKUP('.'!C286,Recipes!$A:$D,4,FALSE)&amp;"]"))</f>
        <v/>
      </c>
      <c r="D286" s="46" t="str">
        <f t="array" ref="D286">IF('.'!D286="","",'.'!D286&amp;IF(VLOOKUP('.'!D286,Recipes!$A:$D,4,FALSE)="",""," ["&amp;VLOOKUP('.'!D286,Recipes!$A:$D,4,FALSE)&amp;"]"))</f>
        <v/>
      </c>
      <c r="E286" s="46" t="str">
        <f t="array" ref="E286">IF('.'!E286="","",'.'!E286&amp;IF(VLOOKUP('.'!E286,Recipes!$A:$D,4,FALSE)="",""," ["&amp;VLOOKUP('.'!E286,Recipes!$A:$D,4,FALSE)&amp;"]"))</f>
        <v/>
      </c>
      <c r="F286" s="46" t="str">
        <f t="array" ref="F286">IF('.'!F286="","",'.'!F286&amp;IF(VLOOKUP('.'!F286,Recipes!$A:$D,4,FALSE)="",""," ["&amp;VLOOKUP('.'!F286,Recipes!$A:$D,4,FALSE)&amp;"]"))</f>
        <v/>
      </c>
      <c r="G286" s="46" t="str">
        <f t="array" ref="G286">IF('.'!G286="","",'.'!G286&amp;IF(VLOOKUP('.'!G286,Recipes!$A:$D,4,FALSE)="",""," ["&amp;VLOOKUP('.'!G286,Recipes!$A:$D,4,FALSE)&amp;"]"))</f>
        <v/>
      </c>
      <c r="H286" s="46" t="str">
        <f t="array" ref="H286">IF('.'!H286="","",'.'!H286&amp;IF(VLOOKUP('.'!H286,Recipes!$A:$D,4,FALSE)="",""," ["&amp;VLOOKUP('.'!H286,Recipes!$A:$D,4,FALSE)&amp;"]"))</f>
        <v/>
      </c>
      <c r="I286" s="46" t="str">
        <f t="array" ref="I286">IF('.'!I286="","",'.'!I286&amp;IF(VLOOKUP('.'!I286,Recipes!$A:$D,4,FALSE)="",""," ["&amp;VLOOKUP('.'!I286,Recipes!$A:$D,4,FALSE)&amp;"]"))</f>
        <v/>
      </c>
      <c r="J286" s="46" t="str">
        <f t="array" ref="J286">IF('.'!J286="","",'.'!J286&amp;IF(VLOOKUP('.'!J286,Recipes!$A:$D,4,FALSE)="",""," ["&amp;VLOOKUP('.'!J286,Recipes!$A:$D,4,FALSE)&amp;"]"))</f>
        <v/>
      </c>
      <c r="K286" s="46" t="str">
        <f t="array" ref="K286">IF('.'!K286="","",'.'!K286&amp;IF(VLOOKUP('.'!K286,Recipes!$A:$D,4,FALSE)="",""," ["&amp;VLOOKUP('.'!K286,Recipes!$A:$D,4,FALSE)&amp;"]"))</f>
        <v/>
      </c>
      <c r="L286" s="46" t="str">
        <f t="array" ref="L286">IF('.'!L286="","",'.'!L286&amp;IF(VLOOKUP('.'!L286,Recipes!$A:$D,4,FALSE)="",""," ["&amp;VLOOKUP('.'!L286,Recipes!$A:$D,4,FALSE)&amp;"]"))</f>
        <v/>
      </c>
      <c r="M286" s="46" t="str">
        <f t="array" ref="M286">IF('.'!M286="","",'.'!M286&amp;IF(VLOOKUP('.'!M286,Recipes!$A:$D,4,FALSE)="",""," ["&amp;VLOOKUP('.'!M286,Recipes!$A:$D,4,FALSE)&amp;"]"))</f>
        <v/>
      </c>
      <c r="N286" s="46" t="str">
        <f t="array" ref="N286">IF('.'!N286="","",'.'!N286&amp;IF(VLOOKUP('.'!N286,Recipes!$A:$D,4,FALSE)="",""," ["&amp;VLOOKUP('.'!N286,Recipes!$A:$D,4,FALSE)&amp;"]"))</f>
        <v/>
      </c>
      <c r="O286" s="46" t="str">
        <f t="array" ref="O286">IF('.'!O286="","",'.'!O286&amp;IF(VLOOKUP('.'!O286,Recipes!$A:$D,4,FALSE)="",""," ["&amp;VLOOKUP('.'!O286,Recipes!$A:$D,4,FALSE)&amp;"]"))</f>
        <v/>
      </c>
      <c r="P286" s="46" t="str">
        <f t="array" ref="P286">IF('.'!P286="","",'.'!P286&amp;IF(VLOOKUP('.'!P286,Recipes!$A:$D,4,FALSE)="",""," ["&amp;VLOOKUP('.'!P286,Recipes!$A:$D,4,FALSE)&amp;"]"))</f>
        <v/>
      </c>
      <c r="Q286" s="46" t="str">
        <f t="array" ref="Q286">IF('.'!Q286="","",'.'!Q286&amp;IF(VLOOKUP('.'!Q286,Recipes!$A:$D,4,FALSE)="",""," ["&amp;VLOOKUP('.'!Q286,Recipes!$A:$D,4,FALSE)&amp;"]"))</f>
        <v/>
      </c>
      <c r="R286" s="46" t="str">
        <f t="array" ref="R286">IF('.'!R286="","",'.'!R286&amp;IF(VLOOKUP('.'!R286,Recipes!$A:$D,4,FALSE)="",""," ["&amp;VLOOKUP('.'!R286,Recipes!$A:$D,4,FALSE)&amp;"]"))</f>
        <v/>
      </c>
      <c r="S286" s="46" t="str">
        <f t="array" ref="S286">IF('.'!S286="","",'.'!S286&amp;IF(VLOOKUP('.'!S286,Recipes!$A:$D,4,FALSE)="",""," ["&amp;VLOOKUP('.'!S286,Recipes!$A:$D,4,FALSE)&amp;"]"))</f>
        <v/>
      </c>
      <c r="T286" s="46" t="str">
        <f t="array" ref="T286">IF('.'!T286="","",'.'!T286&amp;IF(VLOOKUP('.'!T286,Recipes!$A:$D,4,FALSE)="",""," ["&amp;VLOOKUP('.'!T286,Recipes!$A:$D,4,FALSE)&amp;"]"))</f>
        <v/>
      </c>
      <c r="U286" s="46" t="str">
        <f t="array" ref="U286">IF('.'!U286="","",'.'!U286&amp;IF(VLOOKUP('.'!U286,Recipes!$A:$D,4,FALSE)="",""," ["&amp;VLOOKUP('.'!U286,Recipes!$A:$D,4,FALSE)&amp;"]"))</f>
        <v/>
      </c>
      <c r="V286" s="46" t="str">
        <f t="array" ref="V286">IF('.'!V286="","",'.'!V286&amp;IF(VLOOKUP('.'!V286,Recipes!$A:$D,4,FALSE)="",""," ["&amp;VLOOKUP('.'!V286,Recipes!$A:$D,4,FALSE)&amp;"]"))</f>
        <v/>
      </c>
      <c r="W286" s="46" t="str">
        <f t="array" ref="W286">IF('.'!W286="","",'.'!W286&amp;IF(VLOOKUP('.'!W286,Recipes!$A:$D,4,FALSE)="",""," ["&amp;VLOOKUP('.'!W286,Recipes!$A:$D,4,FALSE)&amp;"]"))</f>
        <v/>
      </c>
      <c r="X286" s="46" t="str">
        <f t="array" ref="X286">IF('.'!X286="","",'.'!X286&amp;IF(VLOOKUP('.'!X286,Recipes!$A:$D,4,FALSE)="",""," ["&amp;VLOOKUP('.'!X286,Recipes!$A:$D,4,FALSE)&amp;"]"))</f>
        <v/>
      </c>
      <c r="Y286" s="46" t="str">
        <f t="array" ref="Y286">IF('.'!Y286="","",'.'!Y286&amp;IF(VLOOKUP('.'!Y286,Recipes!$A:$D,4,FALSE)="",""," ["&amp;VLOOKUP('.'!Y286,Recipes!$A:$D,4,FALSE)&amp;"]"))</f>
        <v/>
      </c>
      <c r="Z286" s="46" t="str">
        <f t="array" ref="Z286">IF('.'!Z286="","",'.'!Z286&amp;IF(VLOOKUP('.'!Z286,Recipes!$A:$D,4,FALSE)="",""," ["&amp;VLOOKUP('.'!Z286,Recipes!$A:$D,4,FALSE)&amp;"]"))</f>
        <v/>
      </c>
      <c r="AA286" s="46" t="str">
        <f t="array" ref="AA286">IF('.'!AA286="","",'.'!AA286&amp;IF(VLOOKUP('.'!AA286,Recipes!$A:$D,4,FALSE)="",""," ["&amp;VLOOKUP('.'!AA286,Recipes!$A:$D,4,FALSE)&amp;"]"))</f>
        <v/>
      </c>
      <c r="AB286" s="46" t="str">
        <f t="array" ref="AB286">IF('.'!AB286="","",'.'!AB286&amp;IF(VLOOKUP('.'!AB286,Recipes!$A:$D,4,FALSE)="",""," ["&amp;VLOOKUP('.'!AB286,Recipes!$A:$D,4,FALSE)&amp;"]"))</f>
        <v/>
      </c>
      <c r="AC286" s="46" t="str">
        <f t="array" ref="AC286">IF('.'!AC286="","",'.'!AC286&amp;IF(VLOOKUP('.'!AC286,Recipes!$A:$D,4,FALSE)="",""," ["&amp;VLOOKUP('.'!AC286,Recipes!$A:$D,4,FALSE)&amp;"]"))</f>
        <v/>
      </c>
      <c r="AD286" s="46" t="str">
        <f t="array" ref="AD286">IF('.'!AD286="","",'.'!AD286&amp;IF(VLOOKUP('.'!AD286,Recipes!$A:$D,4,FALSE)="",""," ["&amp;VLOOKUP('.'!AD286,Recipes!$A:$D,4,FALSE)&amp;"]"))</f>
        <v/>
      </c>
      <c r="AE286" s="47"/>
      <c r="AF286" s="47"/>
      <c r="AG286" s="47"/>
      <c r="AH286" s="47"/>
      <c r="AI286" s="47"/>
      <c r="AJ286" s="47"/>
      <c r="AK286" s="47"/>
      <c r="AL286" s="47"/>
      <c r="AM286" s="47"/>
      <c r="AN286" s="47"/>
      <c r="AO286" s="47"/>
      <c r="AP286" s="47"/>
      <c r="AQ286" s="47"/>
      <c r="AR286" s="47"/>
      <c r="AS286" s="47"/>
      <c r="AT286" s="47"/>
      <c r="AU286" s="47"/>
      <c r="AV286" s="47"/>
      <c r="AW286" s="47"/>
      <c r="AX286" s="47"/>
      <c r="AY286" s="47"/>
      <c r="AZ286" s="47"/>
      <c r="BA286" s="47"/>
      <c r="BB286" s="47"/>
      <c r="BC286" s="47"/>
      <c r="BD286" s="47"/>
      <c r="BE286" s="47"/>
      <c r="BF286" s="47"/>
      <c r="BG286" s="47"/>
      <c r="BH286" s="47"/>
      <c r="BI286" s="47"/>
      <c r="BJ286" s="47"/>
      <c r="BK286" s="47"/>
      <c r="BL286" s="47"/>
      <c r="BM286" s="47"/>
      <c r="BN286" s="47"/>
      <c r="BO286" s="47"/>
      <c r="BP286" s="47"/>
      <c r="BQ286" s="47"/>
      <c r="BR286" s="47"/>
      <c r="BS286" s="47"/>
      <c r="BT286" s="47"/>
      <c r="BU286" s="47"/>
      <c r="BV286" s="47"/>
      <c r="BW286" s="47"/>
      <c r="BX286" s="47"/>
      <c r="BY286" s="47"/>
      <c r="BZ286" s="47"/>
    </row>
    <row r="287" spans="1:78" ht="13">
      <c r="A287" s="48" t="str">
        <f ca="1">'.'!A287</f>
        <v>Medium Air Resistance Potion</v>
      </c>
      <c r="B287" s="46" t="str">
        <f t="array" aca="1" ref="B287" ca="1">IF('.'!B287="","",'.'!B287&amp;IF(VLOOKUP('.'!B287,Recipes!$A:$D,4,FALSE)="",""," ["&amp;VLOOKUP('.'!B287,Recipes!$A:$D,4,FALSE)&amp;"]"))</f>
        <v>Large Air Resistance Potion [55]</v>
      </c>
      <c r="C287" s="46" t="str">
        <f t="array" ref="C287">IF('.'!C287="","",'.'!C287&amp;IF(VLOOKUP('.'!C287,Recipes!$A:$D,4,FALSE)="",""," ["&amp;VLOOKUP('.'!C287,Recipes!$A:$D,4,FALSE)&amp;"]"))</f>
        <v/>
      </c>
      <c r="D287" s="46" t="str">
        <f t="array" ref="D287">IF('.'!D287="","",'.'!D287&amp;IF(VLOOKUP('.'!D287,Recipes!$A:$D,4,FALSE)="",""," ["&amp;VLOOKUP('.'!D287,Recipes!$A:$D,4,FALSE)&amp;"]"))</f>
        <v/>
      </c>
      <c r="E287" s="46" t="str">
        <f t="array" ref="E287">IF('.'!E287="","",'.'!E287&amp;IF(VLOOKUP('.'!E287,Recipes!$A:$D,4,FALSE)="",""," ["&amp;VLOOKUP('.'!E287,Recipes!$A:$D,4,FALSE)&amp;"]"))</f>
        <v/>
      </c>
      <c r="F287" s="46" t="str">
        <f t="array" ref="F287">IF('.'!F287="","",'.'!F287&amp;IF(VLOOKUP('.'!F287,Recipes!$A:$D,4,FALSE)="",""," ["&amp;VLOOKUP('.'!F287,Recipes!$A:$D,4,FALSE)&amp;"]"))</f>
        <v/>
      </c>
      <c r="G287" s="46" t="str">
        <f t="array" ref="G287">IF('.'!G287="","",'.'!G287&amp;IF(VLOOKUP('.'!G287,Recipes!$A:$D,4,FALSE)="",""," ["&amp;VLOOKUP('.'!G287,Recipes!$A:$D,4,FALSE)&amp;"]"))</f>
        <v/>
      </c>
      <c r="H287" s="46" t="str">
        <f t="array" ref="H287">IF('.'!H287="","",'.'!H287&amp;IF(VLOOKUP('.'!H287,Recipes!$A:$D,4,FALSE)="",""," ["&amp;VLOOKUP('.'!H287,Recipes!$A:$D,4,FALSE)&amp;"]"))</f>
        <v/>
      </c>
      <c r="I287" s="46" t="str">
        <f t="array" ref="I287">IF('.'!I287="","",'.'!I287&amp;IF(VLOOKUP('.'!I287,Recipes!$A:$D,4,FALSE)="",""," ["&amp;VLOOKUP('.'!I287,Recipes!$A:$D,4,FALSE)&amp;"]"))</f>
        <v/>
      </c>
      <c r="J287" s="46" t="str">
        <f t="array" ref="J287">IF('.'!J287="","",'.'!J287&amp;IF(VLOOKUP('.'!J287,Recipes!$A:$D,4,FALSE)="",""," ["&amp;VLOOKUP('.'!J287,Recipes!$A:$D,4,FALSE)&amp;"]"))</f>
        <v/>
      </c>
      <c r="K287" s="46" t="str">
        <f t="array" ref="K287">IF('.'!K287="","",'.'!K287&amp;IF(VLOOKUP('.'!K287,Recipes!$A:$D,4,FALSE)="",""," ["&amp;VLOOKUP('.'!K287,Recipes!$A:$D,4,FALSE)&amp;"]"))</f>
        <v/>
      </c>
      <c r="L287" s="46" t="str">
        <f t="array" ref="L287">IF('.'!L287="","",'.'!L287&amp;IF(VLOOKUP('.'!L287,Recipes!$A:$D,4,FALSE)="",""," ["&amp;VLOOKUP('.'!L287,Recipes!$A:$D,4,FALSE)&amp;"]"))</f>
        <v/>
      </c>
      <c r="M287" s="46" t="str">
        <f t="array" ref="M287">IF('.'!M287="","",'.'!M287&amp;IF(VLOOKUP('.'!M287,Recipes!$A:$D,4,FALSE)="",""," ["&amp;VLOOKUP('.'!M287,Recipes!$A:$D,4,FALSE)&amp;"]"))</f>
        <v/>
      </c>
      <c r="N287" s="46" t="str">
        <f t="array" ref="N287">IF('.'!N287="","",'.'!N287&amp;IF(VLOOKUP('.'!N287,Recipes!$A:$D,4,FALSE)="",""," ["&amp;VLOOKUP('.'!N287,Recipes!$A:$D,4,FALSE)&amp;"]"))</f>
        <v/>
      </c>
      <c r="O287" s="46" t="str">
        <f t="array" ref="O287">IF('.'!O287="","",'.'!O287&amp;IF(VLOOKUP('.'!O287,Recipes!$A:$D,4,FALSE)="",""," ["&amp;VLOOKUP('.'!O287,Recipes!$A:$D,4,FALSE)&amp;"]"))</f>
        <v/>
      </c>
      <c r="P287" s="46" t="str">
        <f t="array" ref="P287">IF('.'!P287="","",'.'!P287&amp;IF(VLOOKUP('.'!P287,Recipes!$A:$D,4,FALSE)="",""," ["&amp;VLOOKUP('.'!P287,Recipes!$A:$D,4,FALSE)&amp;"]"))</f>
        <v/>
      </c>
      <c r="Q287" s="46" t="str">
        <f t="array" ref="Q287">IF('.'!Q287="","",'.'!Q287&amp;IF(VLOOKUP('.'!Q287,Recipes!$A:$D,4,FALSE)="",""," ["&amp;VLOOKUP('.'!Q287,Recipes!$A:$D,4,FALSE)&amp;"]"))</f>
        <v/>
      </c>
      <c r="R287" s="46" t="str">
        <f t="array" ref="R287">IF('.'!R287="","",'.'!R287&amp;IF(VLOOKUP('.'!R287,Recipes!$A:$D,4,FALSE)="",""," ["&amp;VLOOKUP('.'!R287,Recipes!$A:$D,4,FALSE)&amp;"]"))</f>
        <v/>
      </c>
      <c r="S287" s="46" t="str">
        <f t="array" ref="S287">IF('.'!S287="","",'.'!S287&amp;IF(VLOOKUP('.'!S287,Recipes!$A:$D,4,FALSE)="",""," ["&amp;VLOOKUP('.'!S287,Recipes!$A:$D,4,FALSE)&amp;"]"))</f>
        <v/>
      </c>
      <c r="T287" s="46" t="str">
        <f t="array" ref="T287">IF('.'!T287="","",'.'!T287&amp;IF(VLOOKUP('.'!T287,Recipes!$A:$D,4,FALSE)="",""," ["&amp;VLOOKUP('.'!T287,Recipes!$A:$D,4,FALSE)&amp;"]"))</f>
        <v/>
      </c>
      <c r="U287" s="46" t="str">
        <f t="array" ref="U287">IF('.'!U287="","",'.'!U287&amp;IF(VLOOKUP('.'!U287,Recipes!$A:$D,4,FALSE)="",""," ["&amp;VLOOKUP('.'!U287,Recipes!$A:$D,4,FALSE)&amp;"]"))</f>
        <v/>
      </c>
      <c r="V287" s="46" t="str">
        <f t="array" ref="V287">IF('.'!V287="","",'.'!V287&amp;IF(VLOOKUP('.'!V287,Recipes!$A:$D,4,FALSE)="",""," ["&amp;VLOOKUP('.'!V287,Recipes!$A:$D,4,FALSE)&amp;"]"))</f>
        <v/>
      </c>
      <c r="W287" s="46" t="str">
        <f t="array" ref="W287">IF('.'!W287="","",'.'!W287&amp;IF(VLOOKUP('.'!W287,Recipes!$A:$D,4,FALSE)="",""," ["&amp;VLOOKUP('.'!W287,Recipes!$A:$D,4,FALSE)&amp;"]"))</f>
        <v/>
      </c>
      <c r="X287" s="46" t="str">
        <f t="array" ref="X287">IF('.'!X287="","",'.'!X287&amp;IF(VLOOKUP('.'!X287,Recipes!$A:$D,4,FALSE)="",""," ["&amp;VLOOKUP('.'!X287,Recipes!$A:$D,4,FALSE)&amp;"]"))</f>
        <v/>
      </c>
      <c r="Y287" s="46" t="str">
        <f t="array" ref="Y287">IF('.'!Y287="","",'.'!Y287&amp;IF(VLOOKUP('.'!Y287,Recipes!$A:$D,4,FALSE)="",""," ["&amp;VLOOKUP('.'!Y287,Recipes!$A:$D,4,FALSE)&amp;"]"))</f>
        <v/>
      </c>
      <c r="Z287" s="46" t="str">
        <f t="array" ref="Z287">IF('.'!Z287="","",'.'!Z287&amp;IF(VLOOKUP('.'!Z287,Recipes!$A:$D,4,FALSE)="",""," ["&amp;VLOOKUP('.'!Z287,Recipes!$A:$D,4,FALSE)&amp;"]"))</f>
        <v/>
      </c>
      <c r="AA287" s="46" t="str">
        <f t="array" ref="AA287">IF('.'!AA287="","",'.'!AA287&amp;IF(VLOOKUP('.'!AA287,Recipes!$A:$D,4,FALSE)="",""," ["&amp;VLOOKUP('.'!AA287,Recipes!$A:$D,4,FALSE)&amp;"]"))</f>
        <v/>
      </c>
      <c r="AB287" s="46" t="str">
        <f t="array" ref="AB287">IF('.'!AB287="","",'.'!AB287&amp;IF(VLOOKUP('.'!AB287,Recipes!$A:$D,4,FALSE)="",""," ["&amp;VLOOKUP('.'!AB287,Recipes!$A:$D,4,FALSE)&amp;"]"))</f>
        <v/>
      </c>
      <c r="AC287" s="46" t="str">
        <f t="array" ref="AC287">IF('.'!AC287="","",'.'!AC287&amp;IF(VLOOKUP('.'!AC287,Recipes!$A:$D,4,FALSE)="",""," ["&amp;VLOOKUP('.'!AC287,Recipes!$A:$D,4,FALSE)&amp;"]"))</f>
        <v/>
      </c>
      <c r="AD287" s="46" t="str">
        <f t="array" ref="AD287">IF('.'!AD287="","",'.'!AD287&amp;IF(VLOOKUP('.'!AD287,Recipes!$A:$D,4,FALSE)="",""," ["&amp;VLOOKUP('.'!AD287,Recipes!$A:$D,4,FALSE)&amp;"]"))</f>
        <v/>
      </c>
      <c r="AE287" s="47"/>
      <c r="AF287" s="47"/>
      <c r="AG287" s="47"/>
      <c r="AH287" s="47"/>
      <c r="AI287" s="47"/>
      <c r="AJ287" s="47"/>
      <c r="AK287" s="47"/>
      <c r="AL287" s="47"/>
      <c r="AM287" s="47"/>
      <c r="AN287" s="47"/>
      <c r="AO287" s="47"/>
      <c r="AP287" s="47"/>
      <c r="AQ287" s="47"/>
      <c r="AR287" s="47"/>
      <c r="AS287" s="47"/>
      <c r="AT287" s="47"/>
      <c r="AU287" s="47"/>
      <c r="AV287" s="47"/>
      <c r="AW287" s="47"/>
      <c r="AX287" s="47"/>
      <c r="AY287" s="47"/>
      <c r="AZ287" s="47"/>
      <c r="BA287" s="47"/>
      <c r="BB287" s="47"/>
      <c r="BC287" s="47"/>
      <c r="BD287" s="47"/>
      <c r="BE287" s="47"/>
      <c r="BF287" s="47"/>
      <c r="BG287" s="47"/>
      <c r="BH287" s="47"/>
      <c r="BI287" s="47"/>
      <c r="BJ287" s="47"/>
      <c r="BK287" s="47"/>
      <c r="BL287" s="47"/>
      <c r="BM287" s="47"/>
      <c r="BN287" s="47"/>
      <c r="BO287" s="47"/>
      <c r="BP287" s="47"/>
      <c r="BQ287" s="47"/>
      <c r="BR287" s="47"/>
      <c r="BS287" s="47"/>
      <c r="BT287" s="47"/>
      <c r="BU287" s="47"/>
      <c r="BV287" s="47"/>
      <c r="BW287" s="47"/>
      <c r="BX287" s="47"/>
      <c r="BY287" s="47"/>
      <c r="BZ287" s="47"/>
    </row>
    <row r="288" spans="1:78" ht="13">
      <c r="A288" s="48" t="str">
        <f ca="1">'.'!A288</f>
        <v>Medium Earth Resistance Potion</v>
      </c>
      <c r="B288" s="46" t="str">
        <f t="array" aca="1" ref="B288" ca="1">IF('.'!B288="","",'.'!B288&amp;IF(VLOOKUP('.'!B288,Recipes!$A:$D,4,FALSE)="",""," ["&amp;VLOOKUP('.'!B288,Recipes!$A:$D,4,FALSE)&amp;"]"))</f>
        <v>Large Earth Resistance Potion [55]</v>
      </c>
      <c r="C288" s="46" t="str">
        <f t="array" ref="C288">IF('.'!C288="","",'.'!C288&amp;IF(VLOOKUP('.'!C288,Recipes!$A:$D,4,FALSE)="",""," ["&amp;VLOOKUP('.'!C288,Recipes!$A:$D,4,FALSE)&amp;"]"))</f>
        <v/>
      </c>
      <c r="D288" s="46" t="str">
        <f t="array" ref="D288">IF('.'!D288="","",'.'!D288&amp;IF(VLOOKUP('.'!D288,Recipes!$A:$D,4,FALSE)="",""," ["&amp;VLOOKUP('.'!D288,Recipes!$A:$D,4,FALSE)&amp;"]"))</f>
        <v/>
      </c>
      <c r="E288" s="46" t="str">
        <f t="array" ref="E288">IF('.'!E288="","",'.'!E288&amp;IF(VLOOKUP('.'!E288,Recipes!$A:$D,4,FALSE)="",""," ["&amp;VLOOKUP('.'!E288,Recipes!$A:$D,4,FALSE)&amp;"]"))</f>
        <v/>
      </c>
      <c r="F288" s="46" t="str">
        <f t="array" ref="F288">IF('.'!F288="","",'.'!F288&amp;IF(VLOOKUP('.'!F288,Recipes!$A:$D,4,FALSE)="",""," ["&amp;VLOOKUP('.'!F288,Recipes!$A:$D,4,FALSE)&amp;"]"))</f>
        <v/>
      </c>
      <c r="G288" s="46" t="str">
        <f t="array" ref="G288">IF('.'!G288="","",'.'!G288&amp;IF(VLOOKUP('.'!G288,Recipes!$A:$D,4,FALSE)="",""," ["&amp;VLOOKUP('.'!G288,Recipes!$A:$D,4,FALSE)&amp;"]"))</f>
        <v/>
      </c>
      <c r="H288" s="46" t="str">
        <f t="array" ref="H288">IF('.'!H288="","",'.'!H288&amp;IF(VLOOKUP('.'!H288,Recipes!$A:$D,4,FALSE)="",""," ["&amp;VLOOKUP('.'!H288,Recipes!$A:$D,4,FALSE)&amp;"]"))</f>
        <v/>
      </c>
      <c r="I288" s="46" t="str">
        <f t="array" ref="I288">IF('.'!I288="","",'.'!I288&amp;IF(VLOOKUP('.'!I288,Recipes!$A:$D,4,FALSE)="",""," ["&amp;VLOOKUP('.'!I288,Recipes!$A:$D,4,FALSE)&amp;"]"))</f>
        <v/>
      </c>
      <c r="J288" s="46" t="str">
        <f t="array" ref="J288">IF('.'!J288="","",'.'!J288&amp;IF(VLOOKUP('.'!J288,Recipes!$A:$D,4,FALSE)="",""," ["&amp;VLOOKUP('.'!J288,Recipes!$A:$D,4,FALSE)&amp;"]"))</f>
        <v/>
      </c>
      <c r="K288" s="46" t="str">
        <f t="array" ref="K288">IF('.'!K288="","",'.'!K288&amp;IF(VLOOKUP('.'!K288,Recipes!$A:$D,4,FALSE)="",""," ["&amp;VLOOKUP('.'!K288,Recipes!$A:$D,4,FALSE)&amp;"]"))</f>
        <v/>
      </c>
      <c r="L288" s="46" t="str">
        <f t="array" ref="L288">IF('.'!L288="","",'.'!L288&amp;IF(VLOOKUP('.'!L288,Recipes!$A:$D,4,FALSE)="",""," ["&amp;VLOOKUP('.'!L288,Recipes!$A:$D,4,FALSE)&amp;"]"))</f>
        <v/>
      </c>
      <c r="M288" s="46" t="str">
        <f t="array" ref="M288">IF('.'!M288="","",'.'!M288&amp;IF(VLOOKUP('.'!M288,Recipes!$A:$D,4,FALSE)="",""," ["&amp;VLOOKUP('.'!M288,Recipes!$A:$D,4,FALSE)&amp;"]"))</f>
        <v/>
      </c>
      <c r="N288" s="46" t="str">
        <f t="array" ref="N288">IF('.'!N288="","",'.'!N288&amp;IF(VLOOKUP('.'!N288,Recipes!$A:$D,4,FALSE)="",""," ["&amp;VLOOKUP('.'!N288,Recipes!$A:$D,4,FALSE)&amp;"]"))</f>
        <v/>
      </c>
      <c r="O288" s="46" t="str">
        <f t="array" ref="O288">IF('.'!O288="","",'.'!O288&amp;IF(VLOOKUP('.'!O288,Recipes!$A:$D,4,FALSE)="",""," ["&amp;VLOOKUP('.'!O288,Recipes!$A:$D,4,FALSE)&amp;"]"))</f>
        <v/>
      </c>
      <c r="P288" s="46" t="str">
        <f t="array" ref="P288">IF('.'!P288="","",'.'!P288&amp;IF(VLOOKUP('.'!P288,Recipes!$A:$D,4,FALSE)="",""," ["&amp;VLOOKUP('.'!P288,Recipes!$A:$D,4,FALSE)&amp;"]"))</f>
        <v/>
      </c>
      <c r="Q288" s="46" t="str">
        <f t="array" ref="Q288">IF('.'!Q288="","",'.'!Q288&amp;IF(VLOOKUP('.'!Q288,Recipes!$A:$D,4,FALSE)="",""," ["&amp;VLOOKUP('.'!Q288,Recipes!$A:$D,4,FALSE)&amp;"]"))</f>
        <v/>
      </c>
      <c r="R288" s="46" t="str">
        <f t="array" ref="R288">IF('.'!R288="","",'.'!R288&amp;IF(VLOOKUP('.'!R288,Recipes!$A:$D,4,FALSE)="",""," ["&amp;VLOOKUP('.'!R288,Recipes!$A:$D,4,FALSE)&amp;"]"))</f>
        <v/>
      </c>
      <c r="S288" s="46" t="str">
        <f t="array" ref="S288">IF('.'!S288="","",'.'!S288&amp;IF(VLOOKUP('.'!S288,Recipes!$A:$D,4,FALSE)="",""," ["&amp;VLOOKUP('.'!S288,Recipes!$A:$D,4,FALSE)&amp;"]"))</f>
        <v/>
      </c>
      <c r="T288" s="46" t="str">
        <f t="array" ref="T288">IF('.'!T288="","",'.'!T288&amp;IF(VLOOKUP('.'!T288,Recipes!$A:$D,4,FALSE)="",""," ["&amp;VLOOKUP('.'!T288,Recipes!$A:$D,4,FALSE)&amp;"]"))</f>
        <v/>
      </c>
      <c r="U288" s="46" t="str">
        <f t="array" ref="U288">IF('.'!U288="","",'.'!U288&amp;IF(VLOOKUP('.'!U288,Recipes!$A:$D,4,FALSE)="",""," ["&amp;VLOOKUP('.'!U288,Recipes!$A:$D,4,FALSE)&amp;"]"))</f>
        <v/>
      </c>
      <c r="V288" s="46" t="str">
        <f t="array" ref="V288">IF('.'!V288="","",'.'!V288&amp;IF(VLOOKUP('.'!V288,Recipes!$A:$D,4,FALSE)="",""," ["&amp;VLOOKUP('.'!V288,Recipes!$A:$D,4,FALSE)&amp;"]"))</f>
        <v/>
      </c>
      <c r="W288" s="46" t="str">
        <f t="array" ref="W288">IF('.'!W288="","",'.'!W288&amp;IF(VLOOKUP('.'!W288,Recipes!$A:$D,4,FALSE)="",""," ["&amp;VLOOKUP('.'!W288,Recipes!$A:$D,4,FALSE)&amp;"]"))</f>
        <v/>
      </c>
      <c r="X288" s="46" t="str">
        <f t="array" ref="X288">IF('.'!X288="","",'.'!X288&amp;IF(VLOOKUP('.'!X288,Recipes!$A:$D,4,FALSE)="",""," ["&amp;VLOOKUP('.'!X288,Recipes!$A:$D,4,FALSE)&amp;"]"))</f>
        <v/>
      </c>
      <c r="Y288" s="46" t="str">
        <f t="array" ref="Y288">IF('.'!Y288="","",'.'!Y288&amp;IF(VLOOKUP('.'!Y288,Recipes!$A:$D,4,FALSE)="",""," ["&amp;VLOOKUP('.'!Y288,Recipes!$A:$D,4,FALSE)&amp;"]"))</f>
        <v/>
      </c>
      <c r="Z288" s="46" t="str">
        <f t="array" ref="Z288">IF('.'!Z288="","",'.'!Z288&amp;IF(VLOOKUP('.'!Z288,Recipes!$A:$D,4,FALSE)="",""," ["&amp;VLOOKUP('.'!Z288,Recipes!$A:$D,4,FALSE)&amp;"]"))</f>
        <v/>
      </c>
      <c r="AA288" s="46" t="str">
        <f t="array" ref="AA288">IF('.'!AA288="","",'.'!AA288&amp;IF(VLOOKUP('.'!AA288,Recipes!$A:$D,4,FALSE)="",""," ["&amp;VLOOKUP('.'!AA288,Recipes!$A:$D,4,FALSE)&amp;"]"))</f>
        <v/>
      </c>
      <c r="AB288" s="46" t="str">
        <f t="array" ref="AB288">IF('.'!AB288="","",'.'!AB288&amp;IF(VLOOKUP('.'!AB288,Recipes!$A:$D,4,FALSE)="",""," ["&amp;VLOOKUP('.'!AB288,Recipes!$A:$D,4,FALSE)&amp;"]"))</f>
        <v/>
      </c>
      <c r="AC288" s="46" t="str">
        <f t="array" ref="AC288">IF('.'!AC288="","",'.'!AC288&amp;IF(VLOOKUP('.'!AC288,Recipes!$A:$D,4,FALSE)="",""," ["&amp;VLOOKUP('.'!AC288,Recipes!$A:$D,4,FALSE)&amp;"]"))</f>
        <v/>
      </c>
      <c r="AD288" s="46" t="str">
        <f t="array" ref="AD288">IF('.'!AD288="","",'.'!AD288&amp;IF(VLOOKUP('.'!AD288,Recipes!$A:$D,4,FALSE)="",""," ["&amp;VLOOKUP('.'!AD288,Recipes!$A:$D,4,FALSE)&amp;"]"))</f>
        <v/>
      </c>
      <c r="AE288" s="47"/>
      <c r="AF288" s="47"/>
      <c r="AG288" s="47"/>
      <c r="AH288" s="47"/>
      <c r="AI288" s="47"/>
      <c r="AJ288" s="47"/>
      <c r="AK288" s="47"/>
      <c r="AL288" s="47"/>
      <c r="AM288" s="47"/>
      <c r="AN288" s="47"/>
      <c r="AO288" s="47"/>
      <c r="AP288" s="47"/>
      <c r="AQ288" s="47"/>
      <c r="AR288" s="47"/>
      <c r="AS288" s="47"/>
      <c r="AT288" s="47"/>
      <c r="AU288" s="47"/>
      <c r="AV288" s="47"/>
      <c r="AW288" s="47"/>
      <c r="AX288" s="47"/>
      <c r="AY288" s="47"/>
      <c r="AZ288" s="47"/>
      <c r="BA288" s="47"/>
      <c r="BB288" s="47"/>
      <c r="BC288" s="47"/>
      <c r="BD288" s="47"/>
      <c r="BE288" s="47"/>
      <c r="BF288" s="47"/>
      <c r="BG288" s="47"/>
      <c r="BH288" s="47"/>
      <c r="BI288" s="47"/>
      <c r="BJ288" s="47"/>
      <c r="BK288" s="47"/>
      <c r="BL288" s="47"/>
      <c r="BM288" s="47"/>
      <c r="BN288" s="47"/>
      <c r="BO288" s="47"/>
      <c r="BP288" s="47"/>
      <c r="BQ288" s="47"/>
      <c r="BR288" s="47"/>
      <c r="BS288" s="47"/>
      <c r="BT288" s="47"/>
      <c r="BU288" s="47"/>
      <c r="BV288" s="47"/>
      <c r="BW288" s="47"/>
      <c r="BX288" s="47"/>
      <c r="BY288" s="47"/>
      <c r="BZ288" s="47"/>
    </row>
    <row r="289" spans="1:78" ht="13">
      <c r="A289" s="48" t="str">
        <f ca="1">'.'!A289</f>
        <v>Medium Fire Resistance Potion</v>
      </c>
      <c r="B289" s="46" t="str">
        <f t="array" aca="1" ref="B289" ca="1">IF('.'!B289="","",'.'!B289&amp;IF(VLOOKUP('.'!B289,Recipes!$A:$D,4,FALSE)="",""," ["&amp;VLOOKUP('.'!B289,Recipes!$A:$D,4,FALSE)&amp;"]"))</f>
        <v>Large Fire Resistance Potion [55]</v>
      </c>
      <c r="C289" s="46" t="str">
        <f t="array" ref="C289">IF('.'!C289="","",'.'!C289&amp;IF(VLOOKUP('.'!C289,Recipes!$A:$D,4,FALSE)="",""," ["&amp;VLOOKUP('.'!C289,Recipes!$A:$D,4,FALSE)&amp;"]"))</f>
        <v/>
      </c>
      <c r="D289" s="46" t="str">
        <f t="array" ref="D289">IF('.'!D289="","",'.'!D289&amp;IF(VLOOKUP('.'!D289,Recipes!$A:$D,4,FALSE)="",""," ["&amp;VLOOKUP('.'!D289,Recipes!$A:$D,4,FALSE)&amp;"]"))</f>
        <v/>
      </c>
      <c r="E289" s="46" t="str">
        <f t="array" ref="E289">IF('.'!E289="","",'.'!E289&amp;IF(VLOOKUP('.'!E289,Recipes!$A:$D,4,FALSE)="",""," ["&amp;VLOOKUP('.'!E289,Recipes!$A:$D,4,FALSE)&amp;"]"))</f>
        <v/>
      </c>
      <c r="F289" s="46" t="str">
        <f t="array" ref="F289">IF('.'!F289="","",'.'!F289&amp;IF(VLOOKUP('.'!F289,Recipes!$A:$D,4,FALSE)="",""," ["&amp;VLOOKUP('.'!F289,Recipes!$A:$D,4,FALSE)&amp;"]"))</f>
        <v/>
      </c>
      <c r="G289" s="46" t="str">
        <f t="array" ref="G289">IF('.'!G289="","",'.'!G289&amp;IF(VLOOKUP('.'!G289,Recipes!$A:$D,4,FALSE)="",""," ["&amp;VLOOKUP('.'!G289,Recipes!$A:$D,4,FALSE)&amp;"]"))</f>
        <v/>
      </c>
      <c r="H289" s="46" t="str">
        <f t="array" ref="H289">IF('.'!H289="","",'.'!H289&amp;IF(VLOOKUP('.'!H289,Recipes!$A:$D,4,FALSE)="",""," ["&amp;VLOOKUP('.'!H289,Recipes!$A:$D,4,FALSE)&amp;"]"))</f>
        <v/>
      </c>
      <c r="I289" s="46" t="str">
        <f t="array" ref="I289">IF('.'!I289="","",'.'!I289&amp;IF(VLOOKUP('.'!I289,Recipes!$A:$D,4,FALSE)="",""," ["&amp;VLOOKUP('.'!I289,Recipes!$A:$D,4,FALSE)&amp;"]"))</f>
        <v/>
      </c>
      <c r="J289" s="46" t="str">
        <f t="array" ref="J289">IF('.'!J289="","",'.'!J289&amp;IF(VLOOKUP('.'!J289,Recipes!$A:$D,4,FALSE)="",""," ["&amp;VLOOKUP('.'!J289,Recipes!$A:$D,4,FALSE)&amp;"]"))</f>
        <v/>
      </c>
      <c r="K289" s="46" t="str">
        <f t="array" ref="K289">IF('.'!K289="","",'.'!K289&amp;IF(VLOOKUP('.'!K289,Recipes!$A:$D,4,FALSE)="",""," ["&amp;VLOOKUP('.'!K289,Recipes!$A:$D,4,FALSE)&amp;"]"))</f>
        <v/>
      </c>
      <c r="L289" s="46" t="str">
        <f t="array" ref="L289">IF('.'!L289="","",'.'!L289&amp;IF(VLOOKUP('.'!L289,Recipes!$A:$D,4,FALSE)="",""," ["&amp;VLOOKUP('.'!L289,Recipes!$A:$D,4,FALSE)&amp;"]"))</f>
        <v/>
      </c>
      <c r="M289" s="46" t="str">
        <f t="array" ref="M289">IF('.'!M289="","",'.'!M289&amp;IF(VLOOKUP('.'!M289,Recipes!$A:$D,4,FALSE)="",""," ["&amp;VLOOKUP('.'!M289,Recipes!$A:$D,4,FALSE)&amp;"]"))</f>
        <v/>
      </c>
      <c r="N289" s="46" t="str">
        <f t="array" ref="N289">IF('.'!N289="","",'.'!N289&amp;IF(VLOOKUP('.'!N289,Recipes!$A:$D,4,FALSE)="",""," ["&amp;VLOOKUP('.'!N289,Recipes!$A:$D,4,FALSE)&amp;"]"))</f>
        <v/>
      </c>
      <c r="O289" s="46" t="str">
        <f t="array" ref="O289">IF('.'!O289="","",'.'!O289&amp;IF(VLOOKUP('.'!O289,Recipes!$A:$D,4,FALSE)="",""," ["&amp;VLOOKUP('.'!O289,Recipes!$A:$D,4,FALSE)&amp;"]"))</f>
        <v/>
      </c>
      <c r="P289" s="46" t="str">
        <f t="array" ref="P289">IF('.'!P289="","",'.'!P289&amp;IF(VLOOKUP('.'!P289,Recipes!$A:$D,4,FALSE)="",""," ["&amp;VLOOKUP('.'!P289,Recipes!$A:$D,4,FALSE)&amp;"]"))</f>
        <v/>
      </c>
      <c r="Q289" s="46" t="str">
        <f t="array" ref="Q289">IF('.'!Q289="","",'.'!Q289&amp;IF(VLOOKUP('.'!Q289,Recipes!$A:$D,4,FALSE)="",""," ["&amp;VLOOKUP('.'!Q289,Recipes!$A:$D,4,FALSE)&amp;"]"))</f>
        <v/>
      </c>
      <c r="R289" s="46" t="str">
        <f t="array" ref="R289">IF('.'!R289="","",'.'!R289&amp;IF(VLOOKUP('.'!R289,Recipes!$A:$D,4,FALSE)="",""," ["&amp;VLOOKUP('.'!R289,Recipes!$A:$D,4,FALSE)&amp;"]"))</f>
        <v/>
      </c>
      <c r="S289" s="46" t="str">
        <f t="array" ref="S289">IF('.'!S289="","",'.'!S289&amp;IF(VLOOKUP('.'!S289,Recipes!$A:$D,4,FALSE)="",""," ["&amp;VLOOKUP('.'!S289,Recipes!$A:$D,4,FALSE)&amp;"]"))</f>
        <v/>
      </c>
      <c r="T289" s="46" t="str">
        <f t="array" ref="T289">IF('.'!T289="","",'.'!T289&amp;IF(VLOOKUP('.'!T289,Recipes!$A:$D,4,FALSE)="",""," ["&amp;VLOOKUP('.'!T289,Recipes!$A:$D,4,FALSE)&amp;"]"))</f>
        <v/>
      </c>
      <c r="U289" s="46" t="str">
        <f t="array" ref="U289">IF('.'!U289="","",'.'!U289&amp;IF(VLOOKUP('.'!U289,Recipes!$A:$D,4,FALSE)="",""," ["&amp;VLOOKUP('.'!U289,Recipes!$A:$D,4,FALSE)&amp;"]"))</f>
        <v/>
      </c>
      <c r="V289" s="46" t="str">
        <f t="array" ref="V289">IF('.'!V289="","",'.'!V289&amp;IF(VLOOKUP('.'!V289,Recipes!$A:$D,4,FALSE)="",""," ["&amp;VLOOKUP('.'!V289,Recipes!$A:$D,4,FALSE)&amp;"]"))</f>
        <v/>
      </c>
      <c r="W289" s="46" t="str">
        <f t="array" ref="W289">IF('.'!W289="","",'.'!W289&amp;IF(VLOOKUP('.'!W289,Recipes!$A:$D,4,FALSE)="",""," ["&amp;VLOOKUP('.'!W289,Recipes!$A:$D,4,FALSE)&amp;"]"))</f>
        <v/>
      </c>
      <c r="X289" s="46" t="str">
        <f t="array" ref="X289">IF('.'!X289="","",'.'!X289&amp;IF(VLOOKUP('.'!X289,Recipes!$A:$D,4,FALSE)="",""," ["&amp;VLOOKUP('.'!X289,Recipes!$A:$D,4,FALSE)&amp;"]"))</f>
        <v/>
      </c>
      <c r="Y289" s="46" t="str">
        <f t="array" ref="Y289">IF('.'!Y289="","",'.'!Y289&amp;IF(VLOOKUP('.'!Y289,Recipes!$A:$D,4,FALSE)="",""," ["&amp;VLOOKUP('.'!Y289,Recipes!$A:$D,4,FALSE)&amp;"]"))</f>
        <v/>
      </c>
      <c r="Z289" s="46" t="str">
        <f t="array" ref="Z289">IF('.'!Z289="","",'.'!Z289&amp;IF(VLOOKUP('.'!Z289,Recipes!$A:$D,4,FALSE)="",""," ["&amp;VLOOKUP('.'!Z289,Recipes!$A:$D,4,FALSE)&amp;"]"))</f>
        <v/>
      </c>
      <c r="AA289" s="46" t="str">
        <f t="array" ref="AA289">IF('.'!AA289="","",'.'!AA289&amp;IF(VLOOKUP('.'!AA289,Recipes!$A:$D,4,FALSE)="",""," ["&amp;VLOOKUP('.'!AA289,Recipes!$A:$D,4,FALSE)&amp;"]"))</f>
        <v/>
      </c>
      <c r="AB289" s="46" t="str">
        <f t="array" ref="AB289">IF('.'!AB289="","",'.'!AB289&amp;IF(VLOOKUP('.'!AB289,Recipes!$A:$D,4,FALSE)="",""," ["&amp;VLOOKUP('.'!AB289,Recipes!$A:$D,4,FALSE)&amp;"]"))</f>
        <v/>
      </c>
      <c r="AC289" s="46" t="str">
        <f t="array" ref="AC289">IF('.'!AC289="","",'.'!AC289&amp;IF(VLOOKUP('.'!AC289,Recipes!$A:$D,4,FALSE)="",""," ["&amp;VLOOKUP('.'!AC289,Recipes!$A:$D,4,FALSE)&amp;"]"))</f>
        <v/>
      </c>
      <c r="AD289" s="46" t="str">
        <f t="array" ref="AD289">IF('.'!AD289="","",'.'!AD289&amp;IF(VLOOKUP('.'!AD289,Recipes!$A:$D,4,FALSE)="",""," ["&amp;VLOOKUP('.'!AD289,Recipes!$A:$D,4,FALSE)&amp;"]"))</f>
        <v/>
      </c>
      <c r="AE289" s="47"/>
      <c r="AF289" s="47"/>
      <c r="AG289" s="47"/>
      <c r="AH289" s="47"/>
      <c r="AI289" s="47"/>
      <c r="AJ289" s="47"/>
      <c r="AK289" s="47"/>
      <c r="AL289" s="47"/>
      <c r="AM289" s="47"/>
      <c r="AN289" s="47"/>
      <c r="AO289" s="47"/>
      <c r="AP289" s="47"/>
      <c r="AQ289" s="47"/>
      <c r="AR289" s="47"/>
      <c r="AS289" s="47"/>
      <c r="AT289" s="47"/>
      <c r="AU289" s="47"/>
      <c r="AV289" s="47"/>
      <c r="AW289" s="47"/>
      <c r="AX289" s="47"/>
      <c r="AY289" s="47"/>
      <c r="AZ289" s="47"/>
      <c r="BA289" s="47"/>
      <c r="BB289" s="47"/>
      <c r="BC289" s="47"/>
      <c r="BD289" s="47"/>
      <c r="BE289" s="47"/>
      <c r="BF289" s="47"/>
      <c r="BG289" s="47"/>
      <c r="BH289" s="47"/>
      <c r="BI289" s="47"/>
      <c r="BJ289" s="47"/>
      <c r="BK289" s="47"/>
      <c r="BL289" s="47"/>
      <c r="BM289" s="47"/>
      <c r="BN289" s="47"/>
      <c r="BO289" s="47"/>
      <c r="BP289" s="47"/>
      <c r="BQ289" s="47"/>
      <c r="BR289" s="47"/>
      <c r="BS289" s="47"/>
      <c r="BT289" s="47"/>
      <c r="BU289" s="47"/>
      <c r="BV289" s="47"/>
      <c r="BW289" s="47"/>
      <c r="BX289" s="47"/>
      <c r="BY289" s="47"/>
      <c r="BZ289" s="47"/>
    </row>
    <row r="290" spans="1:78" ht="13">
      <c r="A290" s="48" t="str">
        <f ca="1">'.'!A290</f>
        <v>Medium Flame Rune</v>
      </c>
      <c r="B290" s="46" t="str">
        <f t="array" aca="1" ref="B290" ca="1">IF('.'!B290="","",'.'!B290&amp;IF(VLOOKUP('.'!B290,Recipes!$A:$D,4,FALSE)="",""," ["&amp;VLOOKUP('.'!B290,Recipes!$A:$D,4,FALSE)&amp;"]"))</f>
        <v>Large Flame Rune [-590]</v>
      </c>
      <c r="C290" s="46" t="str">
        <f t="array" aca="1" ref="C290" ca="1">IF('.'!C290="","",'.'!C290&amp;IF(VLOOKUP('.'!C290,Recipes!$A:$D,4,FALSE)="",""," ["&amp;VLOOKUP('.'!C290,Recipes!$A:$D,4,FALSE)&amp;"]"))</f>
        <v>Medium Flame Rune of Power [0]</v>
      </c>
      <c r="D290" s="46" t="str">
        <f t="array" aca="1" ref="D290" ca="1">IF('.'!D290="","",'.'!D290&amp;IF(VLOOKUP('.'!D290,Recipes!$A:$D,4,FALSE)="",""," ["&amp;VLOOKUP('.'!D290,Recipes!$A:$D,4,FALSE)&amp;"]"))</f>
        <v>Mystical Medium Flame Rune [0]</v>
      </c>
      <c r="E290" s="46" t="str">
        <f t="array" ref="E290">IF('.'!E290="","",'.'!E290&amp;IF(VLOOKUP('.'!E290,Recipes!$A:$D,4,FALSE)="",""," ["&amp;VLOOKUP('.'!E290,Recipes!$A:$D,4,FALSE)&amp;"]"))</f>
        <v/>
      </c>
      <c r="F290" s="46" t="str">
        <f t="array" ref="F290">IF('.'!F290="","",'.'!F290&amp;IF(VLOOKUP('.'!F290,Recipes!$A:$D,4,FALSE)="",""," ["&amp;VLOOKUP('.'!F290,Recipes!$A:$D,4,FALSE)&amp;"]"))</f>
        <v/>
      </c>
      <c r="G290" s="46" t="str">
        <f t="array" ref="G290">IF('.'!G290="","",'.'!G290&amp;IF(VLOOKUP('.'!G290,Recipes!$A:$D,4,FALSE)="",""," ["&amp;VLOOKUP('.'!G290,Recipes!$A:$D,4,FALSE)&amp;"]"))</f>
        <v/>
      </c>
      <c r="H290" s="46" t="str">
        <f t="array" ref="H290">IF('.'!H290="","",'.'!H290&amp;IF(VLOOKUP('.'!H290,Recipes!$A:$D,4,FALSE)="",""," ["&amp;VLOOKUP('.'!H290,Recipes!$A:$D,4,FALSE)&amp;"]"))</f>
        <v/>
      </c>
      <c r="I290" s="46" t="str">
        <f t="array" ref="I290">IF('.'!I290="","",'.'!I290&amp;IF(VLOOKUP('.'!I290,Recipes!$A:$D,4,FALSE)="",""," ["&amp;VLOOKUP('.'!I290,Recipes!$A:$D,4,FALSE)&amp;"]"))</f>
        <v/>
      </c>
      <c r="J290" s="46" t="str">
        <f t="array" ref="J290">IF('.'!J290="","",'.'!J290&amp;IF(VLOOKUP('.'!J290,Recipes!$A:$D,4,FALSE)="",""," ["&amp;VLOOKUP('.'!J290,Recipes!$A:$D,4,FALSE)&amp;"]"))</f>
        <v/>
      </c>
      <c r="K290" s="46" t="str">
        <f t="array" ref="K290">IF('.'!K290="","",'.'!K290&amp;IF(VLOOKUP('.'!K290,Recipes!$A:$D,4,FALSE)="",""," ["&amp;VLOOKUP('.'!K290,Recipes!$A:$D,4,FALSE)&amp;"]"))</f>
        <v/>
      </c>
      <c r="L290" s="46" t="str">
        <f t="array" ref="L290">IF('.'!L290="","",'.'!L290&amp;IF(VLOOKUP('.'!L290,Recipes!$A:$D,4,FALSE)="",""," ["&amp;VLOOKUP('.'!L290,Recipes!$A:$D,4,FALSE)&amp;"]"))</f>
        <v/>
      </c>
      <c r="M290" s="46" t="str">
        <f t="array" ref="M290">IF('.'!M290="","",'.'!M290&amp;IF(VLOOKUP('.'!M290,Recipes!$A:$D,4,FALSE)="",""," ["&amp;VLOOKUP('.'!M290,Recipes!$A:$D,4,FALSE)&amp;"]"))</f>
        <v/>
      </c>
      <c r="N290" s="46" t="str">
        <f t="array" ref="N290">IF('.'!N290="","",'.'!N290&amp;IF(VLOOKUP('.'!N290,Recipes!$A:$D,4,FALSE)="",""," ["&amp;VLOOKUP('.'!N290,Recipes!$A:$D,4,FALSE)&amp;"]"))</f>
        <v/>
      </c>
      <c r="O290" s="46" t="str">
        <f t="array" ref="O290">IF('.'!O290="","",'.'!O290&amp;IF(VLOOKUP('.'!O290,Recipes!$A:$D,4,FALSE)="",""," ["&amp;VLOOKUP('.'!O290,Recipes!$A:$D,4,FALSE)&amp;"]"))</f>
        <v/>
      </c>
      <c r="P290" s="46" t="str">
        <f t="array" ref="P290">IF('.'!P290="","",'.'!P290&amp;IF(VLOOKUP('.'!P290,Recipes!$A:$D,4,FALSE)="",""," ["&amp;VLOOKUP('.'!P290,Recipes!$A:$D,4,FALSE)&amp;"]"))</f>
        <v/>
      </c>
      <c r="Q290" s="46" t="str">
        <f t="array" ref="Q290">IF('.'!Q290="","",'.'!Q290&amp;IF(VLOOKUP('.'!Q290,Recipes!$A:$D,4,FALSE)="",""," ["&amp;VLOOKUP('.'!Q290,Recipes!$A:$D,4,FALSE)&amp;"]"))</f>
        <v/>
      </c>
      <c r="R290" s="46" t="str">
        <f t="array" ref="R290">IF('.'!R290="","",'.'!R290&amp;IF(VLOOKUP('.'!R290,Recipes!$A:$D,4,FALSE)="",""," ["&amp;VLOOKUP('.'!R290,Recipes!$A:$D,4,FALSE)&amp;"]"))</f>
        <v/>
      </c>
      <c r="S290" s="46" t="str">
        <f t="array" ref="S290">IF('.'!S290="","",'.'!S290&amp;IF(VLOOKUP('.'!S290,Recipes!$A:$D,4,FALSE)="",""," ["&amp;VLOOKUP('.'!S290,Recipes!$A:$D,4,FALSE)&amp;"]"))</f>
        <v/>
      </c>
      <c r="T290" s="46" t="str">
        <f t="array" ref="T290">IF('.'!T290="","",'.'!T290&amp;IF(VLOOKUP('.'!T290,Recipes!$A:$D,4,FALSE)="",""," ["&amp;VLOOKUP('.'!T290,Recipes!$A:$D,4,FALSE)&amp;"]"))</f>
        <v/>
      </c>
      <c r="U290" s="46" t="str">
        <f t="array" ref="U290">IF('.'!U290="","",'.'!U290&amp;IF(VLOOKUP('.'!U290,Recipes!$A:$D,4,FALSE)="",""," ["&amp;VLOOKUP('.'!U290,Recipes!$A:$D,4,FALSE)&amp;"]"))</f>
        <v/>
      </c>
      <c r="V290" s="46" t="str">
        <f t="array" ref="V290">IF('.'!V290="","",'.'!V290&amp;IF(VLOOKUP('.'!V290,Recipes!$A:$D,4,FALSE)="",""," ["&amp;VLOOKUP('.'!V290,Recipes!$A:$D,4,FALSE)&amp;"]"))</f>
        <v/>
      </c>
      <c r="W290" s="46" t="str">
        <f t="array" ref="W290">IF('.'!W290="","",'.'!W290&amp;IF(VLOOKUP('.'!W290,Recipes!$A:$D,4,FALSE)="",""," ["&amp;VLOOKUP('.'!W290,Recipes!$A:$D,4,FALSE)&amp;"]"))</f>
        <v/>
      </c>
      <c r="X290" s="46" t="str">
        <f t="array" ref="X290">IF('.'!X290="","",'.'!X290&amp;IF(VLOOKUP('.'!X290,Recipes!$A:$D,4,FALSE)="",""," ["&amp;VLOOKUP('.'!X290,Recipes!$A:$D,4,FALSE)&amp;"]"))</f>
        <v/>
      </c>
      <c r="Y290" s="46" t="str">
        <f t="array" ref="Y290">IF('.'!Y290="","",'.'!Y290&amp;IF(VLOOKUP('.'!Y290,Recipes!$A:$D,4,FALSE)="",""," ["&amp;VLOOKUP('.'!Y290,Recipes!$A:$D,4,FALSE)&amp;"]"))</f>
        <v/>
      </c>
      <c r="Z290" s="46" t="str">
        <f t="array" ref="Z290">IF('.'!Z290="","",'.'!Z290&amp;IF(VLOOKUP('.'!Z290,Recipes!$A:$D,4,FALSE)="",""," ["&amp;VLOOKUP('.'!Z290,Recipes!$A:$D,4,FALSE)&amp;"]"))</f>
        <v/>
      </c>
      <c r="AA290" s="46" t="str">
        <f t="array" ref="AA290">IF('.'!AA290="","",'.'!AA290&amp;IF(VLOOKUP('.'!AA290,Recipes!$A:$D,4,FALSE)="",""," ["&amp;VLOOKUP('.'!AA290,Recipes!$A:$D,4,FALSE)&amp;"]"))</f>
        <v/>
      </c>
      <c r="AB290" s="46" t="str">
        <f t="array" ref="AB290">IF('.'!AB290="","",'.'!AB290&amp;IF(VLOOKUP('.'!AB290,Recipes!$A:$D,4,FALSE)="",""," ["&amp;VLOOKUP('.'!AB290,Recipes!$A:$D,4,FALSE)&amp;"]"))</f>
        <v/>
      </c>
      <c r="AC290" s="46" t="str">
        <f t="array" ref="AC290">IF('.'!AC290="","",'.'!AC290&amp;IF(VLOOKUP('.'!AC290,Recipes!$A:$D,4,FALSE)="",""," ["&amp;VLOOKUP('.'!AC290,Recipes!$A:$D,4,FALSE)&amp;"]"))</f>
        <v/>
      </c>
      <c r="AD290" s="46" t="str">
        <f t="array" ref="AD290">IF('.'!AD290="","",'.'!AD290&amp;IF(VLOOKUP('.'!AD290,Recipes!$A:$D,4,FALSE)="",""," ["&amp;VLOOKUP('.'!AD290,Recipes!$A:$D,4,FALSE)&amp;"]"))</f>
        <v/>
      </c>
      <c r="AE290" s="47"/>
      <c r="AF290" s="47"/>
      <c r="AG290" s="47"/>
      <c r="AH290" s="47"/>
      <c r="AI290" s="47"/>
      <c r="AJ290" s="47"/>
      <c r="AK290" s="47"/>
      <c r="AL290" s="47"/>
      <c r="AM290" s="47"/>
      <c r="AN290" s="47"/>
      <c r="AO290" s="47"/>
      <c r="AP290" s="47"/>
      <c r="AQ290" s="47"/>
      <c r="AR290" s="47"/>
      <c r="AS290" s="47"/>
      <c r="AT290" s="47"/>
      <c r="AU290" s="47"/>
      <c r="AV290" s="47"/>
      <c r="AW290" s="47"/>
      <c r="AX290" s="47"/>
      <c r="AY290" s="47"/>
      <c r="AZ290" s="47"/>
      <c r="BA290" s="47"/>
      <c r="BB290" s="47"/>
      <c r="BC290" s="47"/>
      <c r="BD290" s="47"/>
      <c r="BE290" s="47"/>
      <c r="BF290" s="47"/>
      <c r="BG290" s="47"/>
      <c r="BH290" s="47"/>
      <c r="BI290" s="47"/>
      <c r="BJ290" s="47"/>
      <c r="BK290" s="47"/>
      <c r="BL290" s="47"/>
      <c r="BM290" s="47"/>
      <c r="BN290" s="47"/>
      <c r="BO290" s="47"/>
      <c r="BP290" s="47"/>
      <c r="BQ290" s="47"/>
      <c r="BR290" s="47"/>
      <c r="BS290" s="47"/>
      <c r="BT290" s="47"/>
      <c r="BU290" s="47"/>
      <c r="BV290" s="47"/>
      <c r="BW290" s="47"/>
      <c r="BX290" s="47"/>
      <c r="BY290" s="47"/>
      <c r="BZ290" s="47"/>
    </row>
    <row r="291" spans="1:78" ht="13">
      <c r="A291" s="48" t="str">
        <f ca="1">'.'!A291</f>
        <v>Medium Frost Rune</v>
      </c>
      <c r="B291" s="46" t="str">
        <f t="array" aca="1" ref="B291" ca="1">IF('.'!B291="","",'.'!B291&amp;IF(VLOOKUP('.'!B291,Recipes!$A:$D,4,FALSE)="",""," ["&amp;VLOOKUP('.'!B291,Recipes!$A:$D,4,FALSE)&amp;"]"))</f>
        <v>Large Frost Rune [-590]</v>
      </c>
      <c r="C291" s="46" t="str">
        <f t="array" aca="1" ref="C291" ca="1">IF('.'!C291="","",'.'!C291&amp;IF(VLOOKUP('.'!C291,Recipes!$A:$D,4,FALSE)="",""," ["&amp;VLOOKUP('.'!C291,Recipes!$A:$D,4,FALSE)&amp;"]"))</f>
        <v>Medium Frost Rune of Power [0]</v>
      </c>
      <c r="D291" s="46" t="str">
        <f t="array" aca="1" ref="D291" ca="1">IF('.'!D291="","",'.'!D291&amp;IF(VLOOKUP('.'!D291,Recipes!$A:$D,4,FALSE)="",""," ["&amp;VLOOKUP('.'!D291,Recipes!$A:$D,4,FALSE)&amp;"]"))</f>
        <v>Mystical Medium Frost Rune [0]</v>
      </c>
      <c r="E291" s="46" t="str">
        <f t="array" ref="E291">IF('.'!E291="","",'.'!E291&amp;IF(VLOOKUP('.'!E291,Recipes!$A:$D,4,FALSE)="",""," ["&amp;VLOOKUP('.'!E291,Recipes!$A:$D,4,FALSE)&amp;"]"))</f>
        <v/>
      </c>
      <c r="F291" s="46" t="str">
        <f t="array" ref="F291">IF('.'!F291="","",'.'!F291&amp;IF(VLOOKUP('.'!F291,Recipes!$A:$D,4,FALSE)="",""," ["&amp;VLOOKUP('.'!F291,Recipes!$A:$D,4,FALSE)&amp;"]"))</f>
        <v/>
      </c>
      <c r="G291" s="46" t="str">
        <f t="array" ref="G291">IF('.'!G291="","",'.'!G291&amp;IF(VLOOKUP('.'!G291,Recipes!$A:$D,4,FALSE)="",""," ["&amp;VLOOKUP('.'!G291,Recipes!$A:$D,4,FALSE)&amp;"]"))</f>
        <v/>
      </c>
      <c r="H291" s="46" t="str">
        <f t="array" ref="H291">IF('.'!H291="","",'.'!H291&amp;IF(VLOOKUP('.'!H291,Recipes!$A:$D,4,FALSE)="",""," ["&amp;VLOOKUP('.'!H291,Recipes!$A:$D,4,FALSE)&amp;"]"))</f>
        <v/>
      </c>
      <c r="I291" s="46" t="str">
        <f t="array" ref="I291">IF('.'!I291="","",'.'!I291&amp;IF(VLOOKUP('.'!I291,Recipes!$A:$D,4,FALSE)="",""," ["&amp;VLOOKUP('.'!I291,Recipes!$A:$D,4,FALSE)&amp;"]"))</f>
        <v/>
      </c>
      <c r="J291" s="46" t="str">
        <f t="array" ref="J291">IF('.'!J291="","",'.'!J291&amp;IF(VLOOKUP('.'!J291,Recipes!$A:$D,4,FALSE)="",""," ["&amp;VLOOKUP('.'!J291,Recipes!$A:$D,4,FALSE)&amp;"]"))</f>
        <v/>
      </c>
      <c r="K291" s="46" t="str">
        <f t="array" ref="K291">IF('.'!K291="","",'.'!K291&amp;IF(VLOOKUP('.'!K291,Recipes!$A:$D,4,FALSE)="",""," ["&amp;VLOOKUP('.'!K291,Recipes!$A:$D,4,FALSE)&amp;"]"))</f>
        <v/>
      </c>
      <c r="L291" s="46" t="str">
        <f t="array" ref="L291">IF('.'!L291="","",'.'!L291&amp;IF(VLOOKUP('.'!L291,Recipes!$A:$D,4,FALSE)="",""," ["&amp;VLOOKUP('.'!L291,Recipes!$A:$D,4,FALSE)&amp;"]"))</f>
        <v/>
      </c>
      <c r="M291" s="46" t="str">
        <f t="array" ref="M291">IF('.'!M291="","",'.'!M291&amp;IF(VLOOKUP('.'!M291,Recipes!$A:$D,4,FALSE)="",""," ["&amp;VLOOKUP('.'!M291,Recipes!$A:$D,4,FALSE)&amp;"]"))</f>
        <v/>
      </c>
      <c r="N291" s="46" t="str">
        <f t="array" ref="N291">IF('.'!N291="","",'.'!N291&amp;IF(VLOOKUP('.'!N291,Recipes!$A:$D,4,FALSE)="",""," ["&amp;VLOOKUP('.'!N291,Recipes!$A:$D,4,FALSE)&amp;"]"))</f>
        <v/>
      </c>
      <c r="O291" s="46" t="str">
        <f t="array" ref="O291">IF('.'!O291="","",'.'!O291&amp;IF(VLOOKUP('.'!O291,Recipes!$A:$D,4,FALSE)="",""," ["&amp;VLOOKUP('.'!O291,Recipes!$A:$D,4,FALSE)&amp;"]"))</f>
        <v/>
      </c>
      <c r="P291" s="46" t="str">
        <f t="array" ref="P291">IF('.'!P291="","",'.'!P291&amp;IF(VLOOKUP('.'!P291,Recipes!$A:$D,4,FALSE)="",""," ["&amp;VLOOKUP('.'!P291,Recipes!$A:$D,4,FALSE)&amp;"]"))</f>
        <v/>
      </c>
      <c r="Q291" s="46" t="str">
        <f t="array" ref="Q291">IF('.'!Q291="","",'.'!Q291&amp;IF(VLOOKUP('.'!Q291,Recipes!$A:$D,4,FALSE)="",""," ["&amp;VLOOKUP('.'!Q291,Recipes!$A:$D,4,FALSE)&amp;"]"))</f>
        <v/>
      </c>
      <c r="R291" s="46" t="str">
        <f t="array" ref="R291">IF('.'!R291="","",'.'!R291&amp;IF(VLOOKUP('.'!R291,Recipes!$A:$D,4,FALSE)="",""," ["&amp;VLOOKUP('.'!R291,Recipes!$A:$D,4,FALSE)&amp;"]"))</f>
        <v/>
      </c>
      <c r="S291" s="46" t="str">
        <f t="array" ref="S291">IF('.'!S291="","",'.'!S291&amp;IF(VLOOKUP('.'!S291,Recipes!$A:$D,4,FALSE)="",""," ["&amp;VLOOKUP('.'!S291,Recipes!$A:$D,4,FALSE)&amp;"]"))</f>
        <v/>
      </c>
      <c r="T291" s="46" t="str">
        <f t="array" ref="T291">IF('.'!T291="","",'.'!T291&amp;IF(VLOOKUP('.'!T291,Recipes!$A:$D,4,FALSE)="",""," ["&amp;VLOOKUP('.'!T291,Recipes!$A:$D,4,FALSE)&amp;"]"))</f>
        <v/>
      </c>
      <c r="U291" s="46" t="str">
        <f t="array" ref="U291">IF('.'!U291="","",'.'!U291&amp;IF(VLOOKUP('.'!U291,Recipes!$A:$D,4,FALSE)="",""," ["&amp;VLOOKUP('.'!U291,Recipes!$A:$D,4,FALSE)&amp;"]"))</f>
        <v/>
      </c>
      <c r="V291" s="46" t="str">
        <f t="array" ref="V291">IF('.'!V291="","",'.'!V291&amp;IF(VLOOKUP('.'!V291,Recipes!$A:$D,4,FALSE)="",""," ["&amp;VLOOKUP('.'!V291,Recipes!$A:$D,4,FALSE)&amp;"]"))</f>
        <v/>
      </c>
      <c r="W291" s="46" t="str">
        <f t="array" ref="W291">IF('.'!W291="","",'.'!W291&amp;IF(VLOOKUP('.'!W291,Recipes!$A:$D,4,FALSE)="",""," ["&amp;VLOOKUP('.'!W291,Recipes!$A:$D,4,FALSE)&amp;"]"))</f>
        <v/>
      </c>
      <c r="X291" s="46" t="str">
        <f t="array" ref="X291">IF('.'!X291="","",'.'!X291&amp;IF(VLOOKUP('.'!X291,Recipes!$A:$D,4,FALSE)="",""," ["&amp;VLOOKUP('.'!X291,Recipes!$A:$D,4,FALSE)&amp;"]"))</f>
        <v/>
      </c>
      <c r="Y291" s="46" t="str">
        <f t="array" ref="Y291">IF('.'!Y291="","",'.'!Y291&amp;IF(VLOOKUP('.'!Y291,Recipes!$A:$D,4,FALSE)="",""," ["&amp;VLOOKUP('.'!Y291,Recipes!$A:$D,4,FALSE)&amp;"]"))</f>
        <v/>
      </c>
      <c r="Z291" s="46" t="str">
        <f t="array" ref="Z291">IF('.'!Z291="","",'.'!Z291&amp;IF(VLOOKUP('.'!Z291,Recipes!$A:$D,4,FALSE)="",""," ["&amp;VLOOKUP('.'!Z291,Recipes!$A:$D,4,FALSE)&amp;"]"))</f>
        <v/>
      </c>
      <c r="AA291" s="46" t="str">
        <f t="array" ref="AA291">IF('.'!AA291="","",'.'!AA291&amp;IF(VLOOKUP('.'!AA291,Recipes!$A:$D,4,FALSE)="",""," ["&amp;VLOOKUP('.'!AA291,Recipes!$A:$D,4,FALSE)&amp;"]"))</f>
        <v/>
      </c>
      <c r="AB291" s="46" t="str">
        <f t="array" ref="AB291">IF('.'!AB291="","",'.'!AB291&amp;IF(VLOOKUP('.'!AB291,Recipes!$A:$D,4,FALSE)="",""," ["&amp;VLOOKUP('.'!AB291,Recipes!$A:$D,4,FALSE)&amp;"]"))</f>
        <v/>
      </c>
      <c r="AC291" s="46" t="str">
        <f t="array" ref="AC291">IF('.'!AC291="","",'.'!AC291&amp;IF(VLOOKUP('.'!AC291,Recipes!$A:$D,4,FALSE)="",""," ["&amp;VLOOKUP('.'!AC291,Recipes!$A:$D,4,FALSE)&amp;"]"))</f>
        <v/>
      </c>
      <c r="AD291" s="46" t="str">
        <f t="array" ref="AD291">IF('.'!AD291="","",'.'!AD291&amp;IF(VLOOKUP('.'!AD291,Recipes!$A:$D,4,FALSE)="",""," ["&amp;VLOOKUP('.'!AD291,Recipes!$A:$D,4,FALSE)&amp;"]"))</f>
        <v/>
      </c>
      <c r="AE291" s="47"/>
      <c r="AF291" s="47"/>
      <c r="AG291" s="47"/>
      <c r="AH291" s="47"/>
      <c r="AI291" s="47"/>
      <c r="AJ291" s="47"/>
      <c r="AK291" s="47"/>
      <c r="AL291" s="47"/>
      <c r="AM291" s="47"/>
      <c r="AN291" s="47"/>
      <c r="AO291" s="47"/>
      <c r="AP291" s="47"/>
      <c r="AQ291" s="47"/>
      <c r="AR291" s="47"/>
      <c r="AS291" s="47"/>
      <c r="AT291" s="47"/>
      <c r="AU291" s="47"/>
      <c r="AV291" s="47"/>
      <c r="AW291" s="47"/>
      <c r="AX291" s="47"/>
      <c r="AY291" s="47"/>
      <c r="AZ291" s="47"/>
      <c r="BA291" s="47"/>
      <c r="BB291" s="47"/>
      <c r="BC291" s="47"/>
      <c r="BD291" s="47"/>
      <c r="BE291" s="47"/>
      <c r="BF291" s="47"/>
      <c r="BG291" s="47"/>
      <c r="BH291" s="47"/>
      <c r="BI291" s="47"/>
      <c r="BJ291" s="47"/>
      <c r="BK291" s="47"/>
      <c r="BL291" s="47"/>
      <c r="BM291" s="47"/>
      <c r="BN291" s="47"/>
      <c r="BO291" s="47"/>
      <c r="BP291" s="47"/>
      <c r="BQ291" s="47"/>
      <c r="BR291" s="47"/>
      <c r="BS291" s="47"/>
      <c r="BT291" s="47"/>
      <c r="BU291" s="47"/>
      <c r="BV291" s="47"/>
      <c r="BW291" s="47"/>
      <c r="BX291" s="47"/>
      <c r="BY291" s="47"/>
      <c r="BZ291" s="47"/>
    </row>
    <row r="292" spans="1:78" ht="13">
      <c r="A292" s="48" t="str">
        <f ca="1">'.'!A292</f>
        <v>Medium Healing Potion</v>
      </c>
      <c r="B292" s="46" t="str">
        <f t="array" aca="1" ref="B292" ca="1">IF('.'!B292="","",'.'!B292&amp;IF(VLOOKUP('.'!B292,Recipes!$A:$D,4,FALSE)="",""," ["&amp;VLOOKUP('.'!B292,Recipes!$A:$D,4,FALSE)&amp;"]"))</f>
        <v>Healing Potion [Large] [0]</v>
      </c>
      <c r="C292" s="46" t="str">
        <f t="array" aca="1" ref="C292" ca="1">IF('.'!C292="","",'.'!C292&amp;IF(VLOOKUP('.'!C292,Recipes!$A:$D,4,FALSE)="",""," ["&amp;VLOOKUP('.'!C292,Recipes!$A:$D,4,FALSE)&amp;"]"))</f>
        <v>Medium Poison Bottle [-40]</v>
      </c>
      <c r="D292" s="46" t="str">
        <f t="array" ref="D292">IF('.'!D292="","",'.'!D292&amp;IF(VLOOKUP('.'!D292,Recipes!$A:$D,4,FALSE)="",""," ["&amp;VLOOKUP('.'!D292,Recipes!$A:$D,4,FALSE)&amp;"]"))</f>
        <v/>
      </c>
      <c r="E292" s="46" t="str">
        <f t="array" ref="E292">IF('.'!E292="","",'.'!E292&amp;IF(VLOOKUP('.'!E292,Recipes!$A:$D,4,FALSE)="",""," ["&amp;VLOOKUP('.'!E292,Recipes!$A:$D,4,FALSE)&amp;"]"))</f>
        <v/>
      </c>
      <c r="F292" s="46" t="str">
        <f t="array" ref="F292">IF('.'!F292="","",'.'!F292&amp;IF(VLOOKUP('.'!F292,Recipes!$A:$D,4,FALSE)="",""," ["&amp;VLOOKUP('.'!F292,Recipes!$A:$D,4,FALSE)&amp;"]"))</f>
        <v/>
      </c>
      <c r="G292" s="46" t="str">
        <f t="array" ref="G292">IF('.'!G292="","",'.'!G292&amp;IF(VLOOKUP('.'!G292,Recipes!$A:$D,4,FALSE)="",""," ["&amp;VLOOKUP('.'!G292,Recipes!$A:$D,4,FALSE)&amp;"]"))</f>
        <v/>
      </c>
      <c r="H292" s="46" t="str">
        <f t="array" ref="H292">IF('.'!H292="","",'.'!H292&amp;IF(VLOOKUP('.'!H292,Recipes!$A:$D,4,FALSE)="",""," ["&amp;VLOOKUP('.'!H292,Recipes!$A:$D,4,FALSE)&amp;"]"))</f>
        <v/>
      </c>
      <c r="I292" s="46" t="str">
        <f t="array" ref="I292">IF('.'!I292="","",'.'!I292&amp;IF(VLOOKUP('.'!I292,Recipes!$A:$D,4,FALSE)="",""," ["&amp;VLOOKUP('.'!I292,Recipes!$A:$D,4,FALSE)&amp;"]"))</f>
        <v/>
      </c>
      <c r="J292" s="46" t="str">
        <f t="array" ref="J292">IF('.'!J292="","",'.'!J292&amp;IF(VLOOKUP('.'!J292,Recipes!$A:$D,4,FALSE)="",""," ["&amp;VLOOKUP('.'!J292,Recipes!$A:$D,4,FALSE)&amp;"]"))</f>
        <v/>
      </c>
      <c r="K292" s="46" t="str">
        <f t="array" ref="K292">IF('.'!K292="","",'.'!K292&amp;IF(VLOOKUP('.'!K292,Recipes!$A:$D,4,FALSE)="",""," ["&amp;VLOOKUP('.'!K292,Recipes!$A:$D,4,FALSE)&amp;"]"))</f>
        <v/>
      </c>
      <c r="L292" s="46" t="str">
        <f t="array" ref="L292">IF('.'!L292="","",'.'!L292&amp;IF(VLOOKUP('.'!L292,Recipes!$A:$D,4,FALSE)="",""," ["&amp;VLOOKUP('.'!L292,Recipes!$A:$D,4,FALSE)&amp;"]"))</f>
        <v/>
      </c>
      <c r="M292" s="46" t="str">
        <f t="array" ref="M292">IF('.'!M292="","",'.'!M292&amp;IF(VLOOKUP('.'!M292,Recipes!$A:$D,4,FALSE)="",""," ["&amp;VLOOKUP('.'!M292,Recipes!$A:$D,4,FALSE)&amp;"]"))</f>
        <v/>
      </c>
      <c r="N292" s="46" t="str">
        <f t="array" ref="N292">IF('.'!N292="","",'.'!N292&amp;IF(VLOOKUP('.'!N292,Recipes!$A:$D,4,FALSE)="",""," ["&amp;VLOOKUP('.'!N292,Recipes!$A:$D,4,FALSE)&amp;"]"))</f>
        <v/>
      </c>
      <c r="O292" s="46" t="str">
        <f t="array" ref="O292">IF('.'!O292="","",'.'!O292&amp;IF(VLOOKUP('.'!O292,Recipes!$A:$D,4,FALSE)="",""," ["&amp;VLOOKUP('.'!O292,Recipes!$A:$D,4,FALSE)&amp;"]"))</f>
        <v/>
      </c>
      <c r="P292" s="46" t="str">
        <f t="array" ref="P292">IF('.'!P292="","",'.'!P292&amp;IF(VLOOKUP('.'!P292,Recipes!$A:$D,4,FALSE)="",""," ["&amp;VLOOKUP('.'!P292,Recipes!$A:$D,4,FALSE)&amp;"]"))</f>
        <v/>
      </c>
      <c r="Q292" s="46" t="str">
        <f t="array" ref="Q292">IF('.'!Q292="","",'.'!Q292&amp;IF(VLOOKUP('.'!Q292,Recipes!$A:$D,4,FALSE)="",""," ["&amp;VLOOKUP('.'!Q292,Recipes!$A:$D,4,FALSE)&amp;"]"))</f>
        <v/>
      </c>
      <c r="R292" s="46" t="str">
        <f t="array" ref="R292">IF('.'!R292="","",'.'!R292&amp;IF(VLOOKUP('.'!R292,Recipes!$A:$D,4,FALSE)="",""," ["&amp;VLOOKUP('.'!R292,Recipes!$A:$D,4,FALSE)&amp;"]"))</f>
        <v/>
      </c>
      <c r="S292" s="46" t="str">
        <f t="array" ref="S292">IF('.'!S292="","",'.'!S292&amp;IF(VLOOKUP('.'!S292,Recipes!$A:$D,4,FALSE)="",""," ["&amp;VLOOKUP('.'!S292,Recipes!$A:$D,4,FALSE)&amp;"]"))</f>
        <v/>
      </c>
      <c r="T292" s="46" t="str">
        <f t="array" ref="T292">IF('.'!T292="","",'.'!T292&amp;IF(VLOOKUP('.'!T292,Recipes!$A:$D,4,FALSE)="",""," ["&amp;VLOOKUP('.'!T292,Recipes!$A:$D,4,FALSE)&amp;"]"))</f>
        <v/>
      </c>
      <c r="U292" s="46" t="str">
        <f t="array" ref="U292">IF('.'!U292="","",'.'!U292&amp;IF(VLOOKUP('.'!U292,Recipes!$A:$D,4,FALSE)="",""," ["&amp;VLOOKUP('.'!U292,Recipes!$A:$D,4,FALSE)&amp;"]"))</f>
        <v/>
      </c>
      <c r="V292" s="46" t="str">
        <f t="array" ref="V292">IF('.'!V292="","",'.'!V292&amp;IF(VLOOKUP('.'!V292,Recipes!$A:$D,4,FALSE)="",""," ["&amp;VLOOKUP('.'!V292,Recipes!$A:$D,4,FALSE)&amp;"]"))</f>
        <v/>
      </c>
      <c r="W292" s="46" t="str">
        <f t="array" ref="W292">IF('.'!W292="","",'.'!W292&amp;IF(VLOOKUP('.'!W292,Recipes!$A:$D,4,FALSE)="",""," ["&amp;VLOOKUP('.'!W292,Recipes!$A:$D,4,FALSE)&amp;"]"))</f>
        <v/>
      </c>
      <c r="X292" s="46" t="str">
        <f t="array" ref="X292">IF('.'!X292="","",'.'!X292&amp;IF(VLOOKUP('.'!X292,Recipes!$A:$D,4,FALSE)="",""," ["&amp;VLOOKUP('.'!X292,Recipes!$A:$D,4,FALSE)&amp;"]"))</f>
        <v/>
      </c>
      <c r="Y292" s="46" t="str">
        <f t="array" ref="Y292">IF('.'!Y292="","",'.'!Y292&amp;IF(VLOOKUP('.'!Y292,Recipes!$A:$D,4,FALSE)="",""," ["&amp;VLOOKUP('.'!Y292,Recipes!$A:$D,4,FALSE)&amp;"]"))</f>
        <v/>
      </c>
      <c r="Z292" s="46" t="str">
        <f t="array" ref="Z292">IF('.'!Z292="","",'.'!Z292&amp;IF(VLOOKUP('.'!Z292,Recipes!$A:$D,4,FALSE)="",""," ["&amp;VLOOKUP('.'!Z292,Recipes!$A:$D,4,FALSE)&amp;"]"))</f>
        <v/>
      </c>
      <c r="AA292" s="46" t="str">
        <f t="array" ref="AA292">IF('.'!AA292="","",'.'!AA292&amp;IF(VLOOKUP('.'!AA292,Recipes!$A:$D,4,FALSE)="",""," ["&amp;VLOOKUP('.'!AA292,Recipes!$A:$D,4,FALSE)&amp;"]"))</f>
        <v/>
      </c>
      <c r="AB292" s="46" t="str">
        <f t="array" ref="AB292">IF('.'!AB292="","",'.'!AB292&amp;IF(VLOOKUP('.'!AB292,Recipes!$A:$D,4,FALSE)="",""," ["&amp;VLOOKUP('.'!AB292,Recipes!$A:$D,4,FALSE)&amp;"]"))</f>
        <v/>
      </c>
      <c r="AC292" s="46" t="str">
        <f t="array" ref="AC292">IF('.'!AC292="","",'.'!AC292&amp;IF(VLOOKUP('.'!AC292,Recipes!$A:$D,4,FALSE)="",""," ["&amp;VLOOKUP('.'!AC292,Recipes!$A:$D,4,FALSE)&amp;"]"))</f>
        <v/>
      </c>
      <c r="AD292" s="46" t="str">
        <f t="array" ref="AD292">IF('.'!AD292="","",'.'!AD292&amp;IF(VLOOKUP('.'!AD292,Recipes!$A:$D,4,FALSE)="",""," ["&amp;VLOOKUP('.'!AD292,Recipes!$A:$D,4,FALSE)&amp;"]"))</f>
        <v/>
      </c>
      <c r="AE292" s="47"/>
      <c r="AF292" s="47"/>
      <c r="AG292" s="47"/>
      <c r="AH292" s="47"/>
      <c r="AI292" s="47"/>
      <c r="AJ292" s="47"/>
      <c r="AK292" s="47"/>
      <c r="AL292" s="47"/>
      <c r="AM292" s="47"/>
      <c r="AN292" s="47"/>
      <c r="AO292" s="47"/>
      <c r="AP292" s="47"/>
      <c r="AQ292" s="47"/>
      <c r="AR292" s="47"/>
      <c r="AS292" s="47"/>
      <c r="AT292" s="47"/>
      <c r="AU292" s="47"/>
      <c r="AV292" s="47"/>
      <c r="AW292" s="47"/>
      <c r="AX292" s="47"/>
      <c r="AY292" s="47"/>
      <c r="AZ292" s="47"/>
      <c r="BA292" s="47"/>
      <c r="BB292" s="47"/>
      <c r="BC292" s="47"/>
      <c r="BD292" s="47"/>
      <c r="BE292" s="47"/>
      <c r="BF292" s="47"/>
      <c r="BG292" s="47"/>
      <c r="BH292" s="47"/>
      <c r="BI292" s="47"/>
      <c r="BJ292" s="47"/>
      <c r="BK292" s="47"/>
      <c r="BL292" s="47"/>
      <c r="BM292" s="47"/>
      <c r="BN292" s="47"/>
      <c r="BO292" s="47"/>
      <c r="BP292" s="47"/>
      <c r="BQ292" s="47"/>
      <c r="BR292" s="47"/>
      <c r="BS292" s="47"/>
      <c r="BT292" s="47"/>
      <c r="BU292" s="47"/>
      <c r="BV292" s="47"/>
      <c r="BW292" s="47"/>
      <c r="BX292" s="47"/>
      <c r="BY292" s="47"/>
      <c r="BZ292" s="47"/>
    </row>
    <row r="293" spans="1:78" ht="13">
      <c r="A293" s="48" t="str">
        <f ca="1">'.'!A293</f>
        <v>Medium Magic Armor Potion</v>
      </c>
      <c r="B293" s="46" t="str">
        <f t="array" aca="1" ref="B293" ca="1">IF('.'!B293="","",'.'!B293&amp;IF(VLOOKUP('.'!B293,Recipes!$A:$D,4,FALSE)="",""," ["&amp;VLOOKUP('.'!B293,Recipes!$A:$D,4,FALSE)&amp;"]"))</f>
        <v>Large Magic Armor Potion [-15]</v>
      </c>
      <c r="C293" s="46" t="str">
        <f t="array" ref="C293">IF('.'!C293="","",'.'!C293&amp;IF(VLOOKUP('.'!C293,Recipes!$A:$D,4,FALSE)="",""," ["&amp;VLOOKUP('.'!C293,Recipes!$A:$D,4,FALSE)&amp;"]"))</f>
        <v/>
      </c>
      <c r="D293" s="46" t="str">
        <f t="array" ref="D293">IF('.'!D293="","",'.'!D293&amp;IF(VLOOKUP('.'!D293,Recipes!$A:$D,4,FALSE)="",""," ["&amp;VLOOKUP('.'!D293,Recipes!$A:$D,4,FALSE)&amp;"]"))</f>
        <v/>
      </c>
      <c r="E293" s="46" t="str">
        <f t="array" ref="E293">IF('.'!E293="","",'.'!E293&amp;IF(VLOOKUP('.'!E293,Recipes!$A:$D,4,FALSE)="",""," ["&amp;VLOOKUP('.'!E293,Recipes!$A:$D,4,FALSE)&amp;"]"))</f>
        <v/>
      </c>
      <c r="F293" s="46" t="str">
        <f t="array" ref="F293">IF('.'!F293="","",'.'!F293&amp;IF(VLOOKUP('.'!F293,Recipes!$A:$D,4,FALSE)="",""," ["&amp;VLOOKUP('.'!F293,Recipes!$A:$D,4,FALSE)&amp;"]"))</f>
        <v/>
      </c>
      <c r="G293" s="46" t="str">
        <f t="array" ref="G293">IF('.'!G293="","",'.'!G293&amp;IF(VLOOKUP('.'!G293,Recipes!$A:$D,4,FALSE)="",""," ["&amp;VLOOKUP('.'!G293,Recipes!$A:$D,4,FALSE)&amp;"]"))</f>
        <v/>
      </c>
      <c r="H293" s="46" t="str">
        <f t="array" ref="H293">IF('.'!H293="","",'.'!H293&amp;IF(VLOOKUP('.'!H293,Recipes!$A:$D,4,FALSE)="",""," ["&amp;VLOOKUP('.'!H293,Recipes!$A:$D,4,FALSE)&amp;"]"))</f>
        <v/>
      </c>
      <c r="I293" s="46" t="str">
        <f t="array" ref="I293">IF('.'!I293="","",'.'!I293&amp;IF(VLOOKUP('.'!I293,Recipes!$A:$D,4,FALSE)="",""," ["&amp;VLOOKUP('.'!I293,Recipes!$A:$D,4,FALSE)&amp;"]"))</f>
        <v/>
      </c>
      <c r="J293" s="46" t="str">
        <f t="array" ref="J293">IF('.'!J293="","",'.'!J293&amp;IF(VLOOKUP('.'!J293,Recipes!$A:$D,4,FALSE)="",""," ["&amp;VLOOKUP('.'!J293,Recipes!$A:$D,4,FALSE)&amp;"]"))</f>
        <v/>
      </c>
      <c r="K293" s="46" t="str">
        <f t="array" ref="K293">IF('.'!K293="","",'.'!K293&amp;IF(VLOOKUP('.'!K293,Recipes!$A:$D,4,FALSE)="",""," ["&amp;VLOOKUP('.'!K293,Recipes!$A:$D,4,FALSE)&amp;"]"))</f>
        <v/>
      </c>
      <c r="L293" s="46" t="str">
        <f t="array" ref="L293">IF('.'!L293="","",'.'!L293&amp;IF(VLOOKUP('.'!L293,Recipes!$A:$D,4,FALSE)="",""," ["&amp;VLOOKUP('.'!L293,Recipes!$A:$D,4,FALSE)&amp;"]"))</f>
        <v/>
      </c>
      <c r="M293" s="46" t="str">
        <f t="array" ref="M293">IF('.'!M293="","",'.'!M293&amp;IF(VLOOKUP('.'!M293,Recipes!$A:$D,4,FALSE)="",""," ["&amp;VLOOKUP('.'!M293,Recipes!$A:$D,4,FALSE)&amp;"]"))</f>
        <v/>
      </c>
      <c r="N293" s="46" t="str">
        <f t="array" ref="N293">IF('.'!N293="","",'.'!N293&amp;IF(VLOOKUP('.'!N293,Recipes!$A:$D,4,FALSE)="",""," ["&amp;VLOOKUP('.'!N293,Recipes!$A:$D,4,FALSE)&amp;"]"))</f>
        <v/>
      </c>
      <c r="O293" s="46" t="str">
        <f t="array" ref="O293">IF('.'!O293="","",'.'!O293&amp;IF(VLOOKUP('.'!O293,Recipes!$A:$D,4,FALSE)="",""," ["&amp;VLOOKUP('.'!O293,Recipes!$A:$D,4,FALSE)&amp;"]"))</f>
        <v/>
      </c>
      <c r="P293" s="46" t="str">
        <f t="array" ref="P293">IF('.'!P293="","",'.'!P293&amp;IF(VLOOKUP('.'!P293,Recipes!$A:$D,4,FALSE)="",""," ["&amp;VLOOKUP('.'!P293,Recipes!$A:$D,4,FALSE)&amp;"]"))</f>
        <v/>
      </c>
      <c r="Q293" s="46" t="str">
        <f t="array" ref="Q293">IF('.'!Q293="","",'.'!Q293&amp;IF(VLOOKUP('.'!Q293,Recipes!$A:$D,4,FALSE)="",""," ["&amp;VLOOKUP('.'!Q293,Recipes!$A:$D,4,FALSE)&amp;"]"))</f>
        <v/>
      </c>
      <c r="R293" s="46" t="str">
        <f t="array" ref="R293">IF('.'!R293="","",'.'!R293&amp;IF(VLOOKUP('.'!R293,Recipes!$A:$D,4,FALSE)="",""," ["&amp;VLOOKUP('.'!R293,Recipes!$A:$D,4,FALSE)&amp;"]"))</f>
        <v/>
      </c>
      <c r="S293" s="46" t="str">
        <f t="array" ref="S293">IF('.'!S293="","",'.'!S293&amp;IF(VLOOKUP('.'!S293,Recipes!$A:$D,4,FALSE)="",""," ["&amp;VLOOKUP('.'!S293,Recipes!$A:$D,4,FALSE)&amp;"]"))</f>
        <v/>
      </c>
      <c r="T293" s="46" t="str">
        <f t="array" ref="T293">IF('.'!T293="","",'.'!T293&amp;IF(VLOOKUP('.'!T293,Recipes!$A:$D,4,FALSE)="",""," ["&amp;VLOOKUP('.'!T293,Recipes!$A:$D,4,FALSE)&amp;"]"))</f>
        <v/>
      </c>
      <c r="U293" s="46" t="str">
        <f t="array" ref="U293">IF('.'!U293="","",'.'!U293&amp;IF(VLOOKUP('.'!U293,Recipes!$A:$D,4,FALSE)="",""," ["&amp;VLOOKUP('.'!U293,Recipes!$A:$D,4,FALSE)&amp;"]"))</f>
        <v/>
      </c>
      <c r="V293" s="46" t="str">
        <f t="array" ref="V293">IF('.'!V293="","",'.'!V293&amp;IF(VLOOKUP('.'!V293,Recipes!$A:$D,4,FALSE)="",""," ["&amp;VLOOKUP('.'!V293,Recipes!$A:$D,4,FALSE)&amp;"]"))</f>
        <v/>
      </c>
      <c r="W293" s="46" t="str">
        <f t="array" ref="W293">IF('.'!W293="","",'.'!W293&amp;IF(VLOOKUP('.'!W293,Recipes!$A:$D,4,FALSE)="",""," ["&amp;VLOOKUP('.'!W293,Recipes!$A:$D,4,FALSE)&amp;"]"))</f>
        <v/>
      </c>
      <c r="X293" s="46" t="str">
        <f t="array" ref="X293">IF('.'!X293="","",'.'!X293&amp;IF(VLOOKUP('.'!X293,Recipes!$A:$D,4,FALSE)="",""," ["&amp;VLOOKUP('.'!X293,Recipes!$A:$D,4,FALSE)&amp;"]"))</f>
        <v/>
      </c>
      <c r="Y293" s="46" t="str">
        <f t="array" ref="Y293">IF('.'!Y293="","",'.'!Y293&amp;IF(VLOOKUP('.'!Y293,Recipes!$A:$D,4,FALSE)="",""," ["&amp;VLOOKUP('.'!Y293,Recipes!$A:$D,4,FALSE)&amp;"]"))</f>
        <v/>
      </c>
      <c r="Z293" s="46" t="str">
        <f t="array" ref="Z293">IF('.'!Z293="","",'.'!Z293&amp;IF(VLOOKUP('.'!Z293,Recipes!$A:$D,4,FALSE)="",""," ["&amp;VLOOKUP('.'!Z293,Recipes!$A:$D,4,FALSE)&amp;"]"))</f>
        <v/>
      </c>
      <c r="AA293" s="46" t="str">
        <f t="array" ref="AA293">IF('.'!AA293="","",'.'!AA293&amp;IF(VLOOKUP('.'!AA293,Recipes!$A:$D,4,FALSE)="",""," ["&amp;VLOOKUP('.'!AA293,Recipes!$A:$D,4,FALSE)&amp;"]"))</f>
        <v/>
      </c>
      <c r="AB293" s="46" t="str">
        <f t="array" ref="AB293">IF('.'!AB293="","",'.'!AB293&amp;IF(VLOOKUP('.'!AB293,Recipes!$A:$D,4,FALSE)="",""," ["&amp;VLOOKUP('.'!AB293,Recipes!$A:$D,4,FALSE)&amp;"]"))</f>
        <v/>
      </c>
      <c r="AC293" s="46" t="str">
        <f t="array" ref="AC293">IF('.'!AC293="","",'.'!AC293&amp;IF(VLOOKUP('.'!AC293,Recipes!$A:$D,4,FALSE)="",""," ["&amp;VLOOKUP('.'!AC293,Recipes!$A:$D,4,FALSE)&amp;"]"))</f>
        <v/>
      </c>
      <c r="AD293" s="46" t="str">
        <f t="array" ref="AD293">IF('.'!AD293="","",'.'!AD293&amp;IF(VLOOKUP('.'!AD293,Recipes!$A:$D,4,FALSE)="",""," ["&amp;VLOOKUP('.'!AD293,Recipes!$A:$D,4,FALSE)&amp;"]"))</f>
        <v/>
      </c>
      <c r="AE293" s="47"/>
      <c r="AF293" s="47"/>
      <c r="AG293" s="47"/>
      <c r="AH293" s="47"/>
      <c r="AI293" s="47"/>
      <c r="AJ293" s="47"/>
      <c r="AK293" s="47"/>
      <c r="AL293" s="47"/>
      <c r="AM293" s="47"/>
      <c r="AN293" s="47"/>
      <c r="AO293" s="47"/>
      <c r="AP293" s="47"/>
      <c r="AQ293" s="47"/>
      <c r="AR293" s="47"/>
      <c r="AS293" s="47"/>
      <c r="AT293" s="47"/>
      <c r="AU293" s="47"/>
      <c r="AV293" s="47"/>
      <c r="AW293" s="47"/>
      <c r="AX293" s="47"/>
      <c r="AY293" s="47"/>
      <c r="AZ293" s="47"/>
      <c r="BA293" s="47"/>
      <c r="BB293" s="47"/>
      <c r="BC293" s="47"/>
      <c r="BD293" s="47"/>
      <c r="BE293" s="47"/>
      <c r="BF293" s="47"/>
      <c r="BG293" s="47"/>
      <c r="BH293" s="47"/>
      <c r="BI293" s="47"/>
      <c r="BJ293" s="47"/>
      <c r="BK293" s="47"/>
      <c r="BL293" s="47"/>
      <c r="BM293" s="47"/>
      <c r="BN293" s="47"/>
      <c r="BO293" s="47"/>
      <c r="BP293" s="47"/>
      <c r="BQ293" s="47"/>
      <c r="BR293" s="47"/>
      <c r="BS293" s="47"/>
      <c r="BT293" s="47"/>
      <c r="BU293" s="47"/>
      <c r="BV293" s="47"/>
      <c r="BW293" s="47"/>
      <c r="BX293" s="47"/>
      <c r="BY293" s="47"/>
      <c r="BZ293" s="47"/>
    </row>
    <row r="294" spans="1:78" ht="13">
      <c r="A294" s="48" t="str">
        <f ca="1">'.'!A294</f>
        <v>Medium Masterwork Rune</v>
      </c>
      <c r="B294" s="46" t="str">
        <f t="array" aca="1" ref="B294" ca="1">IF('.'!B294="","",'.'!B294&amp;IF(VLOOKUP('.'!B294,Recipes!$A:$D,4,FALSE)="",""," ["&amp;VLOOKUP('.'!B294,Recipes!$A:$D,4,FALSE)&amp;"]"))</f>
        <v>Large Masterwork Rune [-590]</v>
      </c>
      <c r="C294" s="46" t="str">
        <f t="array" aca="1" ref="C294" ca="1">IF('.'!C294="","",'.'!C294&amp;IF(VLOOKUP('.'!C294,Recipes!$A:$D,4,FALSE)="",""," ["&amp;VLOOKUP('.'!C294,Recipes!$A:$D,4,FALSE)&amp;"]"))</f>
        <v>Medium Masterwork Rune of Power [0]</v>
      </c>
      <c r="D294" s="46" t="str">
        <f t="array" aca="1" ref="D294" ca="1">IF('.'!D294="","",'.'!D294&amp;IF(VLOOKUP('.'!D294,Recipes!$A:$D,4,FALSE)="",""," ["&amp;VLOOKUP('.'!D294,Recipes!$A:$D,4,FALSE)&amp;"]"))</f>
        <v>Mystical Medium Masterwork Rune [0]</v>
      </c>
      <c r="E294" s="46" t="str">
        <f t="array" ref="E294">IF('.'!E294="","",'.'!E294&amp;IF(VLOOKUP('.'!E294,Recipes!$A:$D,4,FALSE)="",""," ["&amp;VLOOKUP('.'!E294,Recipes!$A:$D,4,FALSE)&amp;"]"))</f>
        <v/>
      </c>
      <c r="F294" s="46" t="str">
        <f t="array" ref="F294">IF('.'!F294="","",'.'!F294&amp;IF(VLOOKUP('.'!F294,Recipes!$A:$D,4,FALSE)="",""," ["&amp;VLOOKUP('.'!F294,Recipes!$A:$D,4,FALSE)&amp;"]"))</f>
        <v/>
      </c>
      <c r="G294" s="46" t="str">
        <f t="array" ref="G294">IF('.'!G294="","",'.'!G294&amp;IF(VLOOKUP('.'!G294,Recipes!$A:$D,4,FALSE)="",""," ["&amp;VLOOKUP('.'!G294,Recipes!$A:$D,4,FALSE)&amp;"]"))</f>
        <v/>
      </c>
      <c r="H294" s="46" t="str">
        <f t="array" ref="H294">IF('.'!H294="","",'.'!H294&amp;IF(VLOOKUP('.'!H294,Recipes!$A:$D,4,FALSE)="",""," ["&amp;VLOOKUP('.'!H294,Recipes!$A:$D,4,FALSE)&amp;"]"))</f>
        <v/>
      </c>
      <c r="I294" s="46" t="str">
        <f t="array" ref="I294">IF('.'!I294="","",'.'!I294&amp;IF(VLOOKUP('.'!I294,Recipes!$A:$D,4,FALSE)="",""," ["&amp;VLOOKUP('.'!I294,Recipes!$A:$D,4,FALSE)&amp;"]"))</f>
        <v/>
      </c>
      <c r="J294" s="46" t="str">
        <f t="array" ref="J294">IF('.'!J294="","",'.'!J294&amp;IF(VLOOKUP('.'!J294,Recipes!$A:$D,4,FALSE)="",""," ["&amp;VLOOKUP('.'!J294,Recipes!$A:$D,4,FALSE)&amp;"]"))</f>
        <v/>
      </c>
      <c r="K294" s="46" t="str">
        <f t="array" ref="K294">IF('.'!K294="","",'.'!K294&amp;IF(VLOOKUP('.'!K294,Recipes!$A:$D,4,FALSE)="",""," ["&amp;VLOOKUP('.'!K294,Recipes!$A:$D,4,FALSE)&amp;"]"))</f>
        <v/>
      </c>
      <c r="L294" s="46" t="str">
        <f t="array" ref="L294">IF('.'!L294="","",'.'!L294&amp;IF(VLOOKUP('.'!L294,Recipes!$A:$D,4,FALSE)="",""," ["&amp;VLOOKUP('.'!L294,Recipes!$A:$D,4,FALSE)&amp;"]"))</f>
        <v/>
      </c>
      <c r="M294" s="46" t="str">
        <f t="array" ref="M294">IF('.'!M294="","",'.'!M294&amp;IF(VLOOKUP('.'!M294,Recipes!$A:$D,4,FALSE)="",""," ["&amp;VLOOKUP('.'!M294,Recipes!$A:$D,4,FALSE)&amp;"]"))</f>
        <v/>
      </c>
      <c r="N294" s="46" t="str">
        <f t="array" ref="N294">IF('.'!N294="","",'.'!N294&amp;IF(VLOOKUP('.'!N294,Recipes!$A:$D,4,FALSE)="",""," ["&amp;VLOOKUP('.'!N294,Recipes!$A:$D,4,FALSE)&amp;"]"))</f>
        <v/>
      </c>
      <c r="O294" s="46" t="str">
        <f t="array" ref="O294">IF('.'!O294="","",'.'!O294&amp;IF(VLOOKUP('.'!O294,Recipes!$A:$D,4,FALSE)="",""," ["&amp;VLOOKUP('.'!O294,Recipes!$A:$D,4,FALSE)&amp;"]"))</f>
        <v/>
      </c>
      <c r="P294" s="46" t="str">
        <f t="array" ref="P294">IF('.'!P294="","",'.'!P294&amp;IF(VLOOKUP('.'!P294,Recipes!$A:$D,4,FALSE)="",""," ["&amp;VLOOKUP('.'!P294,Recipes!$A:$D,4,FALSE)&amp;"]"))</f>
        <v/>
      </c>
      <c r="Q294" s="46" t="str">
        <f t="array" ref="Q294">IF('.'!Q294="","",'.'!Q294&amp;IF(VLOOKUP('.'!Q294,Recipes!$A:$D,4,FALSE)="",""," ["&amp;VLOOKUP('.'!Q294,Recipes!$A:$D,4,FALSE)&amp;"]"))</f>
        <v/>
      </c>
      <c r="R294" s="46" t="str">
        <f t="array" ref="R294">IF('.'!R294="","",'.'!R294&amp;IF(VLOOKUP('.'!R294,Recipes!$A:$D,4,FALSE)="",""," ["&amp;VLOOKUP('.'!R294,Recipes!$A:$D,4,FALSE)&amp;"]"))</f>
        <v/>
      </c>
      <c r="S294" s="46" t="str">
        <f t="array" ref="S294">IF('.'!S294="","",'.'!S294&amp;IF(VLOOKUP('.'!S294,Recipes!$A:$D,4,FALSE)="",""," ["&amp;VLOOKUP('.'!S294,Recipes!$A:$D,4,FALSE)&amp;"]"))</f>
        <v/>
      </c>
      <c r="T294" s="46" t="str">
        <f t="array" ref="T294">IF('.'!T294="","",'.'!T294&amp;IF(VLOOKUP('.'!T294,Recipes!$A:$D,4,FALSE)="",""," ["&amp;VLOOKUP('.'!T294,Recipes!$A:$D,4,FALSE)&amp;"]"))</f>
        <v/>
      </c>
      <c r="U294" s="46" t="str">
        <f t="array" ref="U294">IF('.'!U294="","",'.'!U294&amp;IF(VLOOKUP('.'!U294,Recipes!$A:$D,4,FALSE)="",""," ["&amp;VLOOKUP('.'!U294,Recipes!$A:$D,4,FALSE)&amp;"]"))</f>
        <v/>
      </c>
      <c r="V294" s="46" t="str">
        <f t="array" ref="V294">IF('.'!V294="","",'.'!V294&amp;IF(VLOOKUP('.'!V294,Recipes!$A:$D,4,FALSE)="",""," ["&amp;VLOOKUP('.'!V294,Recipes!$A:$D,4,FALSE)&amp;"]"))</f>
        <v/>
      </c>
      <c r="W294" s="46" t="str">
        <f t="array" ref="W294">IF('.'!W294="","",'.'!W294&amp;IF(VLOOKUP('.'!W294,Recipes!$A:$D,4,FALSE)="",""," ["&amp;VLOOKUP('.'!W294,Recipes!$A:$D,4,FALSE)&amp;"]"))</f>
        <v/>
      </c>
      <c r="X294" s="46" t="str">
        <f t="array" ref="X294">IF('.'!X294="","",'.'!X294&amp;IF(VLOOKUP('.'!X294,Recipes!$A:$D,4,FALSE)="",""," ["&amp;VLOOKUP('.'!X294,Recipes!$A:$D,4,FALSE)&amp;"]"))</f>
        <v/>
      </c>
      <c r="Y294" s="46" t="str">
        <f t="array" ref="Y294">IF('.'!Y294="","",'.'!Y294&amp;IF(VLOOKUP('.'!Y294,Recipes!$A:$D,4,FALSE)="",""," ["&amp;VLOOKUP('.'!Y294,Recipes!$A:$D,4,FALSE)&amp;"]"))</f>
        <v/>
      </c>
      <c r="Z294" s="46" t="str">
        <f t="array" ref="Z294">IF('.'!Z294="","",'.'!Z294&amp;IF(VLOOKUP('.'!Z294,Recipes!$A:$D,4,FALSE)="",""," ["&amp;VLOOKUP('.'!Z294,Recipes!$A:$D,4,FALSE)&amp;"]"))</f>
        <v/>
      </c>
      <c r="AA294" s="46" t="str">
        <f t="array" ref="AA294">IF('.'!AA294="","",'.'!AA294&amp;IF(VLOOKUP('.'!AA294,Recipes!$A:$D,4,FALSE)="",""," ["&amp;VLOOKUP('.'!AA294,Recipes!$A:$D,4,FALSE)&amp;"]"))</f>
        <v/>
      </c>
      <c r="AB294" s="46" t="str">
        <f t="array" ref="AB294">IF('.'!AB294="","",'.'!AB294&amp;IF(VLOOKUP('.'!AB294,Recipes!$A:$D,4,FALSE)="",""," ["&amp;VLOOKUP('.'!AB294,Recipes!$A:$D,4,FALSE)&amp;"]"))</f>
        <v/>
      </c>
      <c r="AC294" s="46" t="str">
        <f t="array" ref="AC294">IF('.'!AC294="","",'.'!AC294&amp;IF(VLOOKUP('.'!AC294,Recipes!$A:$D,4,FALSE)="",""," ["&amp;VLOOKUP('.'!AC294,Recipes!$A:$D,4,FALSE)&amp;"]"))</f>
        <v/>
      </c>
      <c r="AD294" s="46" t="str">
        <f t="array" ref="AD294">IF('.'!AD294="","",'.'!AD294&amp;IF(VLOOKUP('.'!AD294,Recipes!$A:$D,4,FALSE)="",""," ["&amp;VLOOKUP('.'!AD294,Recipes!$A:$D,4,FALSE)&amp;"]"))</f>
        <v/>
      </c>
      <c r="AE294" s="47"/>
      <c r="AF294" s="47"/>
      <c r="AG294" s="47"/>
      <c r="AH294" s="47"/>
      <c r="AI294" s="47"/>
      <c r="AJ294" s="47"/>
      <c r="AK294" s="47"/>
      <c r="AL294" s="47"/>
      <c r="AM294" s="47"/>
      <c r="AN294" s="47"/>
      <c r="AO294" s="47"/>
      <c r="AP294" s="47"/>
      <c r="AQ294" s="47"/>
      <c r="AR294" s="47"/>
      <c r="AS294" s="47"/>
      <c r="AT294" s="47"/>
      <c r="AU294" s="47"/>
      <c r="AV294" s="47"/>
      <c r="AW294" s="47"/>
      <c r="AX294" s="47"/>
      <c r="AY294" s="47"/>
      <c r="AZ294" s="47"/>
      <c r="BA294" s="47"/>
      <c r="BB294" s="47"/>
      <c r="BC294" s="47"/>
      <c r="BD294" s="47"/>
      <c r="BE294" s="47"/>
      <c r="BF294" s="47"/>
      <c r="BG294" s="47"/>
      <c r="BH294" s="47"/>
      <c r="BI294" s="47"/>
      <c r="BJ294" s="47"/>
      <c r="BK294" s="47"/>
      <c r="BL294" s="47"/>
      <c r="BM294" s="47"/>
      <c r="BN294" s="47"/>
      <c r="BO294" s="47"/>
      <c r="BP294" s="47"/>
      <c r="BQ294" s="47"/>
      <c r="BR294" s="47"/>
      <c r="BS294" s="47"/>
      <c r="BT294" s="47"/>
      <c r="BU294" s="47"/>
      <c r="BV294" s="47"/>
      <c r="BW294" s="47"/>
      <c r="BX294" s="47"/>
      <c r="BY294" s="47"/>
      <c r="BZ294" s="47"/>
    </row>
    <row r="295" spans="1:78" ht="13">
      <c r="A295" s="48" t="str">
        <f ca="1">'.'!A295</f>
        <v>Medium Physical Armor Potion</v>
      </c>
      <c r="B295" s="46" t="str">
        <f t="array" aca="1" ref="B295" ca="1">IF('.'!B295="","",'.'!B295&amp;IF(VLOOKUP('.'!B295,Recipes!$A:$D,4,FALSE)="",""," ["&amp;VLOOKUP('.'!B295,Recipes!$A:$D,4,FALSE)&amp;"]"))</f>
        <v>Large Physical Armor Potion [-15]</v>
      </c>
      <c r="C295" s="46" t="str">
        <f t="array" ref="C295">IF('.'!C295="","",'.'!C295&amp;IF(VLOOKUP('.'!C295,Recipes!$A:$D,4,FALSE)="",""," ["&amp;VLOOKUP('.'!C295,Recipes!$A:$D,4,FALSE)&amp;"]"))</f>
        <v/>
      </c>
      <c r="D295" s="46" t="str">
        <f t="array" ref="D295">IF('.'!D295="","",'.'!D295&amp;IF(VLOOKUP('.'!D295,Recipes!$A:$D,4,FALSE)="",""," ["&amp;VLOOKUP('.'!D295,Recipes!$A:$D,4,FALSE)&amp;"]"))</f>
        <v/>
      </c>
      <c r="E295" s="46" t="str">
        <f t="array" ref="E295">IF('.'!E295="","",'.'!E295&amp;IF(VLOOKUP('.'!E295,Recipes!$A:$D,4,FALSE)="",""," ["&amp;VLOOKUP('.'!E295,Recipes!$A:$D,4,FALSE)&amp;"]"))</f>
        <v/>
      </c>
      <c r="F295" s="46" t="str">
        <f t="array" ref="F295">IF('.'!F295="","",'.'!F295&amp;IF(VLOOKUP('.'!F295,Recipes!$A:$D,4,FALSE)="",""," ["&amp;VLOOKUP('.'!F295,Recipes!$A:$D,4,FALSE)&amp;"]"))</f>
        <v/>
      </c>
      <c r="G295" s="46" t="str">
        <f t="array" ref="G295">IF('.'!G295="","",'.'!G295&amp;IF(VLOOKUP('.'!G295,Recipes!$A:$D,4,FALSE)="",""," ["&amp;VLOOKUP('.'!G295,Recipes!$A:$D,4,FALSE)&amp;"]"))</f>
        <v/>
      </c>
      <c r="H295" s="46" t="str">
        <f t="array" ref="H295">IF('.'!H295="","",'.'!H295&amp;IF(VLOOKUP('.'!H295,Recipes!$A:$D,4,FALSE)="",""," ["&amp;VLOOKUP('.'!H295,Recipes!$A:$D,4,FALSE)&amp;"]"))</f>
        <v/>
      </c>
      <c r="I295" s="46" t="str">
        <f t="array" ref="I295">IF('.'!I295="","",'.'!I295&amp;IF(VLOOKUP('.'!I295,Recipes!$A:$D,4,FALSE)="",""," ["&amp;VLOOKUP('.'!I295,Recipes!$A:$D,4,FALSE)&amp;"]"))</f>
        <v/>
      </c>
      <c r="J295" s="46" t="str">
        <f t="array" ref="J295">IF('.'!J295="","",'.'!J295&amp;IF(VLOOKUP('.'!J295,Recipes!$A:$D,4,FALSE)="",""," ["&amp;VLOOKUP('.'!J295,Recipes!$A:$D,4,FALSE)&amp;"]"))</f>
        <v/>
      </c>
      <c r="K295" s="46" t="str">
        <f t="array" ref="K295">IF('.'!K295="","",'.'!K295&amp;IF(VLOOKUP('.'!K295,Recipes!$A:$D,4,FALSE)="",""," ["&amp;VLOOKUP('.'!K295,Recipes!$A:$D,4,FALSE)&amp;"]"))</f>
        <v/>
      </c>
      <c r="L295" s="46" t="str">
        <f t="array" ref="L295">IF('.'!L295="","",'.'!L295&amp;IF(VLOOKUP('.'!L295,Recipes!$A:$D,4,FALSE)="",""," ["&amp;VLOOKUP('.'!L295,Recipes!$A:$D,4,FALSE)&amp;"]"))</f>
        <v/>
      </c>
      <c r="M295" s="46" t="str">
        <f t="array" ref="M295">IF('.'!M295="","",'.'!M295&amp;IF(VLOOKUP('.'!M295,Recipes!$A:$D,4,FALSE)="",""," ["&amp;VLOOKUP('.'!M295,Recipes!$A:$D,4,FALSE)&amp;"]"))</f>
        <v/>
      </c>
      <c r="N295" s="46" t="str">
        <f t="array" ref="N295">IF('.'!N295="","",'.'!N295&amp;IF(VLOOKUP('.'!N295,Recipes!$A:$D,4,FALSE)="",""," ["&amp;VLOOKUP('.'!N295,Recipes!$A:$D,4,FALSE)&amp;"]"))</f>
        <v/>
      </c>
      <c r="O295" s="46" t="str">
        <f t="array" ref="O295">IF('.'!O295="","",'.'!O295&amp;IF(VLOOKUP('.'!O295,Recipes!$A:$D,4,FALSE)="",""," ["&amp;VLOOKUP('.'!O295,Recipes!$A:$D,4,FALSE)&amp;"]"))</f>
        <v/>
      </c>
      <c r="P295" s="46" t="str">
        <f t="array" ref="P295">IF('.'!P295="","",'.'!P295&amp;IF(VLOOKUP('.'!P295,Recipes!$A:$D,4,FALSE)="",""," ["&amp;VLOOKUP('.'!P295,Recipes!$A:$D,4,FALSE)&amp;"]"))</f>
        <v/>
      </c>
      <c r="Q295" s="46" t="str">
        <f t="array" ref="Q295">IF('.'!Q295="","",'.'!Q295&amp;IF(VLOOKUP('.'!Q295,Recipes!$A:$D,4,FALSE)="",""," ["&amp;VLOOKUP('.'!Q295,Recipes!$A:$D,4,FALSE)&amp;"]"))</f>
        <v/>
      </c>
      <c r="R295" s="46" t="str">
        <f t="array" ref="R295">IF('.'!R295="","",'.'!R295&amp;IF(VLOOKUP('.'!R295,Recipes!$A:$D,4,FALSE)="",""," ["&amp;VLOOKUP('.'!R295,Recipes!$A:$D,4,FALSE)&amp;"]"))</f>
        <v/>
      </c>
      <c r="S295" s="46" t="str">
        <f t="array" ref="S295">IF('.'!S295="","",'.'!S295&amp;IF(VLOOKUP('.'!S295,Recipes!$A:$D,4,FALSE)="",""," ["&amp;VLOOKUP('.'!S295,Recipes!$A:$D,4,FALSE)&amp;"]"))</f>
        <v/>
      </c>
      <c r="T295" s="46" t="str">
        <f t="array" ref="T295">IF('.'!T295="","",'.'!T295&amp;IF(VLOOKUP('.'!T295,Recipes!$A:$D,4,FALSE)="",""," ["&amp;VLOOKUP('.'!T295,Recipes!$A:$D,4,FALSE)&amp;"]"))</f>
        <v/>
      </c>
      <c r="U295" s="46" t="str">
        <f t="array" ref="U295">IF('.'!U295="","",'.'!U295&amp;IF(VLOOKUP('.'!U295,Recipes!$A:$D,4,FALSE)="",""," ["&amp;VLOOKUP('.'!U295,Recipes!$A:$D,4,FALSE)&amp;"]"))</f>
        <v/>
      </c>
      <c r="V295" s="46" t="str">
        <f t="array" ref="V295">IF('.'!V295="","",'.'!V295&amp;IF(VLOOKUP('.'!V295,Recipes!$A:$D,4,FALSE)="",""," ["&amp;VLOOKUP('.'!V295,Recipes!$A:$D,4,FALSE)&amp;"]"))</f>
        <v/>
      </c>
      <c r="W295" s="46" t="str">
        <f t="array" ref="W295">IF('.'!W295="","",'.'!W295&amp;IF(VLOOKUP('.'!W295,Recipes!$A:$D,4,FALSE)="",""," ["&amp;VLOOKUP('.'!W295,Recipes!$A:$D,4,FALSE)&amp;"]"))</f>
        <v/>
      </c>
      <c r="X295" s="46" t="str">
        <f t="array" ref="X295">IF('.'!X295="","",'.'!X295&amp;IF(VLOOKUP('.'!X295,Recipes!$A:$D,4,FALSE)="",""," ["&amp;VLOOKUP('.'!X295,Recipes!$A:$D,4,FALSE)&amp;"]"))</f>
        <v/>
      </c>
      <c r="Y295" s="46" t="str">
        <f t="array" ref="Y295">IF('.'!Y295="","",'.'!Y295&amp;IF(VLOOKUP('.'!Y295,Recipes!$A:$D,4,FALSE)="",""," ["&amp;VLOOKUP('.'!Y295,Recipes!$A:$D,4,FALSE)&amp;"]"))</f>
        <v/>
      </c>
      <c r="Z295" s="46" t="str">
        <f t="array" ref="Z295">IF('.'!Z295="","",'.'!Z295&amp;IF(VLOOKUP('.'!Z295,Recipes!$A:$D,4,FALSE)="",""," ["&amp;VLOOKUP('.'!Z295,Recipes!$A:$D,4,FALSE)&amp;"]"))</f>
        <v/>
      </c>
      <c r="AA295" s="46" t="str">
        <f t="array" ref="AA295">IF('.'!AA295="","",'.'!AA295&amp;IF(VLOOKUP('.'!AA295,Recipes!$A:$D,4,FALSE)="",""," ["&amp;VLOOKUP('.'!AA295,Recipes!$A:$D,4,FALSE)&amp;"]"))</f>
        <v/>
      </c>
      <c r="AB295" s="46" t="str">
        <f t="array" ref="AB295">IF('.'!AB295="","",'.'!AB295&amp;IF(VLOOKUP('.'!AB295,Recipes!$A:$D,4,FALSE)="",""," ["&amp;VLOOKUP('.'!AB295,Recipes!$A:$D,4,FALSE)&amp;"]"))</f>
        <v/>
      </c>
      <c r="AC295" s="46" t="str">
        <f t="array" ref="AC295">IF('.'!AC295="","",'.'!AC295&amp;IF(VLOOKUP('.'!AC295,Recipes!$A:$D,4,FALSE)="",""," ["&amp;VLOOKUP('.'!AC295,Recipes!$A:$D,4,FALSE)&amp;"]"))</f>
        <v/>
      </c>
      <c r="AD295" s="46" t="str">
        <f t="array" ref="AD295">IF('.'!AD295="","",'.'!AD295&amp;IF(VLOOKUP('.'!AD295,Recipes!$A:$D,4,FALSE)="",""," ["&amp;VLOOKUP('.'!AD295,Recipes!$A:$D,4,FALSE)&amp;"]"))</f>
        <v/>
      </c>
      <c r="AE295" s="47"/>
      <c r="AF295" s="47"/>
      <c r="AG295" s="47"/>
      <c r="AH295" s="47"/>
      <c r="AI295" s="47"/>
      <c r="AJ295" s="47"/>
      <c r="AK295" s="47"/>
      <c r="AL295" s="47"/>
      <c r="AM295" s="47"/>
      <c r="AN295" s="47"/>
      <c r="AO295" s="47"/>
      <c r="AP295" s="47"/>
      <c r="AQ295" s="47"/>
      <c r="AR295" s="47"/>
      <c r="AS295" s="47"/>
      <c r="AT295" s="47"/>
      <c r="AU295" s="47"/>
      <c r="AV295" s="47"/>
      <c r="AW295" s="47"/>
      <c r="AX295" s="47"/>
      <c r="AY295" s="47"/>
      <c r="AZ295" s="47"/>
      <c r="BA295" s="47"/>
      <c r="BB295" s="47"/>
      <c r="BC295" s="47"/>
      <c r="BD295" s="47"/>
      <c r="BE295" s="47"/>
      <c r="BF295" s="47"/>
      <c r="BG295" s="47"/>
      <c r="BH295" s="47"/>
      <c r="BI295" s="47"/>
      <c r="BJ295" s="47"/>
      <c r="BK295" s="47"/>
      <c r="BL295" s="47"/>
      <c r="BM295" s="47"/>
      <c r="BN295" s="47"/>
      <c r="BO295" s="47"/>
      <c r="BP295" s="47"/>
      <c r="BQ295" s="47"/>
      <c r="BR295" s="47"/>
      <c r="BS295" s="47"/>
      <c r="BT295" s="47"/>
      <c r="BU295" s="47"/>
      <c r="BV295" s="47"/>
      <c r="BW295" s="47"/>
      <c r="BX295" s="47"/>
      <c r="BY295" s="47"/>
      <c r="BZ295" s="47"/>
    </row>
    <row r="296" spans="1:78" ht="13">
      <c r="A296" s="48" t="str">
        <f ca="1">'.'!A296</f>
        <v>Medium Poison Bottle</v>
      </c>
      <c r="B296" s="46" t="str">
        <f t="array" aca="1" ref="B296" ca="1">IF('.'!B296="","",'.'!B296&amp;IF(VLOOKUP('.'!B296,Recipes!$A:$D,4,FALSE)="",""," ["&amp;VLOOKUP('.'!B296,Recipes!$A:$D,4,FALSE)&amp;"]"))</f>
        <v>Large Poison Bottle [0]</v>
      </c>
      <c r="C296" s="46" t="str">
        <f t="array" aca="1" ref="C296" ca="1">IF('.'!C296="","",'.'!C296&amp;IF(VLOOKUP('.'!C296,Recipes!$A:$D,4,FALSE)="",""," ["&amp;VLOOKUP('.'!C296,Recipes!$A:$D,4,FALSE)&amp;"]"))</f>
        <v>Medium Healing Potion [Poisoned] [-80]</v>
      </c>
      <c r="D296" s="46" t="str">
        <f t="array" ref="D296">IF('.'!D296="","",'.'!D296&amp;IF(VLOOKUP('.'!D296,Recipes!$A:$D,4,FALSE)="",""," ["&amp;VLOOKUP('.'!D296,Recipes!$A:$D,4,FALSE)&amp;"]"))</f>
        <v/>
      </c>
      <c r="E296" s="46" t="str">
        <f t="array" ref="E296">IF('.'!E296="","",'.'!E296&amp;IF(VLOOKUP('.'!E296,Recipes!$A:$D,4,FALSE)="",""," ["&amp;VLOOKUP('.'!E296,Recipes!$A:$D,4,FALSE)&amp;"]"))</f>
        <v/>
      </c>
      <c r="F296" s="46" t="str">
        <f t="array" ref="F296">IF('.'!F296="","",'.'!F296&amp;IF(VLOOKUP('.'!F296,Recipes!$A:$D,4,FALSE)="",""," ["&amp;VLOOKUP('.'!F296,Recipes!$A:$D,4,FALSE)&amp;"]"))</f>
        <v/>
      </c>
      <c r="G296" s="46" t="str">
        <f t="array" ref="G296">IF('.'!G296="","",'.'!G296&amp;IF(VLOOKUP('.'!G296,Recipes!$A:$D,4,FALSE)="",""," ["&amp;VLOOKUP('.'!G296,Recipes!$A:$D,4,FALSE)&amp;"]"))</f>
        <v/>
      </c>
      <c r="H296" s="46" t="str">
        <f t="array" ref="H296">IF('.'!H296="","",'.'!H296&amp;IF(VLOOKUP('.'!H296,Recipes!$A:$D,4,FALSE)="",""," ["&amp;VLOOKUP('.'!H296,Recipes!$A:$D,4,FALSE)&amp;"]"))</f>
        <v/>
      </c>
      <c r="I296" s="46" t="str">
        <f t="array" ref="I296">IF('.'!I296="","",'.'!I296&amp;IF(VLOOKUP('.'!I296,Recipes!$A:$D,4,FALSE)="",""," ["&amp;VLOOKUP('.'!I296,Recipes!$A:$D,4,FALSE)&amp;"]"))</f>
        <v/>
      </c>
      <c r="J296" s="46" t="str">
        <f t="array" ref="J296">IF('.'!J296="","",'.'!J296&amp;IF(VLOOKUP('.'!J296,Recipes!$A:$D,4,FALSE)="",""," ["&amp;VLOOKUP('.'!J296,Recipes!$A:$D,4,FALSE)&amp;"]"))</f>
        <v/>
      </c>
      <c r="K296" s="46" t="str">
        <f t="array" ref="K296">IF('.'!K296="","",'.'!K296&amp;IF(VLOOKUP('.'!K296,Recipes!$A:$D,4,FALSE)="",""," ["&amp;VLOOKUP('.'!K296,Recipes!$A:$D,4,FALSE)&amp;"]"))</f>
        <v/>
      </c>
      <c r="L296" s="46" t="str">
        <f t="array" ref="L296">IF('.'!L296="","",'.'!L296&amp;IF(VLOOKUP('.'!L296,Recipes!$A:$D,4,FALSE)="",""," ["&amp;VLOOKUP('.'!L296,Recipes!$A:$D,4,FALSE)&amp;"]"))</f>
        <v/>
      </c>
      <c r="M296" s="46" t="str">
        <f t="array" ref="M296">IF('.'!M296="","",'.'!M296&amp;IF(VLOOKUP('.'!M296,Recipes!$A:$D,4,FALSE)="",""," ["&amp;VLOOKUP('.'!M296,Recipes!$A:$D,4,FALSE)&amp;"]"))</f>
        <v/>
      </c>
      <c r="N296" s="46" t="str">
        <f t="array" ref="N296">IF('.'!N296="","",'.'!N296&amp;IF(VLOOKUP('.'!N296,Recipes!$A:$D,4,FALSE)="",""," ["&amp;VLOOKUP('.'!N296,Recipes!$A:$D,4,FALSE)&amp;"]"))</f>
        <v/>
      </c>
      <c r="O296" s="46" t="str">
        <f t="array" ref="O296">IF('.'!O296="","",'.'!O296&amp;IF(VLOOKUP('.'!O296,Recipes!$A:$D,4,FALSE)="",""," ["&amp;VLOOKUP('.'!O296,Recipes!$A:$D,4,FALSE)&amp;"]"))</f>
        <v/>
      </c>
      <c r="P296" s="46" t="str">
        <f t="array" ref="P296">IF('.'!P296="","",'.'!P296&amp;IF(VLOOKUP('.'!P296,Recipes!$A:$D,4,FALSE)="",""," ["&amp;VLOOKUP('.'!P296,Recipes!$A:$D,4,FALSE)&amp;"]"))</f>
        <v/>
      </c>
      <c r="Q296" s="46" t="str">
        <f t="array" ref="Q296">IF('.'!Q296="","",'.'!Q296&amp;IF(VLOOKUP('.'!Q296,Recipes!$A:$D,4,FALSE)="",""," ["&amp;VLOOKUP('.'!Q296,Recipes!$A:$D,4,FALSE)&amp;"]"))</f>
        <v/>
      </c>
      <c r="R296" s="46" t="str">
        <f t="array" ref="R296">IF('.'!R296="","",'.'!R296&amp;IF(VLOOKUP('.'!R296,Recipes!$A:$D,4,FALSE)="",""," ["&amp;VLOOKUP('.'!R296,Recipes!$A:$D,4,FALSE)&amp;"]"))</f>
        <v/>
      </c>
      <c r="S296" s="46" t="str">
        <f t="array" ref="S296">IF('.'!S296="","",'.'!S296&amp;IF(VLOOKUP('.'!S296,Recipes!$A:$D,4,FALSE)="",""," ["&amp;VLOOKUP('.'!S296,Recipes!$A:$D,4,FALSE)&amp;"]"))</f>
        <v/>
      </c>
      <c r="T296" s="46" t="str">
        <f t="array" ref="T296">IF('.'!T296="","",'.'!T296&amp;IF(VLOOKUP('.'!T296,Recipes!$A:$D,4,FALSE)="",""," ["&amp;VLOOKUP('.'!T296,Recipes!$A:$D,4,FALSE)&amp;"]"))</f>
        <v/>
      </c>
      <c r="U296" s="46" t="str">
        <f t="array" ref="U296">IF('.'!U296="","",'.'!U296&amp;IF(VLOOKUP('.'!U296,Recipes!$A:$D,4,FALSE)="",""," ["&amp;VLOOKUP('.'!U296,Recipes!$A:$D,4,FALSE)&amp;"]"))</f>
        <v/>
      </c>
      <c r="V296" s="46" t="str">
        <f t="array" ref="V296">IF('.'!V296="","",'.'!V296&amp;IF(VLOOKUP('.'!V296,Recipes!$A:$D,4,FALSE)="",""," ["&amp;VLOOKUP('.'!V296,Recipes!$A:$D,4,FALSE)&amp;"]"))</f>
        <v/>
      </c>
      <c r="W296" s="46" t="str">
        <f t="array" ref="W296">IF('.'!W296="","",'.'!W296&amp;IF(VLOOKUP('.'!W296,Recipes!$A:$D,4,FALSE)="",""," ["&amp;VLOOKUP('.'!W296,Recipes!$A:$D,4,FALSE)&amp;"]"))</f>
        <v/>
      </c>
      <c r="X296" s="46" t="str">
        <f t="array" ref="X296">IF('.'!X296="","",'.'!X296&amp;IF(VLOOKUP('.'!X296,Recipes!$A:$D,4,FALSE)="",""," ["&amp;VLOOKUP('.'!X296,Recipes!$A:$D,4,FALSE)&amp;"]"))</f>
        <v/>
      </c>
      <c r="Y296" s="46" t="str">
        <f t="array" ref="Y296">IF('.'!Y296="","",'.'!Y296&amp;IF(VLOOKUP('.'!Y296,Recipes!$A:$D,4,FALSE)="",""," ["&amp;VLOOKUP('.'!Y296,Recipes!$A:$D,4,FALSE)&amp;"]"))</f>
        <v/>
      </c>
      <c r="Z296" s="46" t="str">
        <f t="array" ref="Z296">IF('.'!Z296="","",'.'!Z296&amp;IF(VLOOKUP('.'!Z296,Recipes!$A:$D,4,FALSE)="",""," ["&amp;VLOOKUP('.'!Z296,Recipes!$A:$D,4,FALSE)&amp;"]"))</f>
        <v/>
      </c>
      <c r="AA296" s="46" t="str">
        <f t="array" ref="AA296">IF('.'!AA296="","",'.'!AA296&amp;IF(VLOOKUP('.'!AA296,Recipes!$A:$D,4,FALSE)="",""," ["&amp;VLOOKUP('.'!AA296,Recipes!$A:$D,4,FALSE)&amp;"]"))</f>
        <v/>
      </c>
      <c r="AB296" s="46" t="str">
        <f t="array" ref="AB296">IF('.'!AB296="","",'.'!AB296&amp;IF(VLOOKUP('.'!AB296,Recipes!$A:$D,4,FALSE)="",""," ["&amp;VLOOKUP('.'!AB296,Recipes!$A:$D,4,FALSE)&amp;"]"))</f>
        <v/>
      </c>
      <c r="AC296" s="46" t="str">
        <f t="array" ref="AC296">IF('.'!AC296="","",'.'!AC296&amp;IF(VLOOKUP('.'!AC296,Recipes!$A:$D,4,FALSE)="",""," ["&amp;VLOOKUP('.'!AC296,Recipes!$A:$D,4,FALSE)&amp;"]"))</f>
        <v/>
      </c>
      <c r="AD296" s="46" t="str">
        <f t="array" ref="AD296">IF('.'!AD296="","",'.'!AD296&amp;IF(VLOOKUP('.'!AD296,Recipes!$A:$D,4,FALSE)="",""," ["&amp;VLOOKUP('.'!AD296,Recipes!$A:$D,4,FALSE)&amp;"]"))</f>
        <v/>
      </c>
      <c r="AE296" s="47"/>
      <c r="AF296" s="47"/>
      <c r="AG296" s="47"/>
      <c r="AH296" s="47"/>
      <c r="AI296" s="47"/>
      <c r="AJ296" s="47"/>
      <c r="AK296" s="47"/>
      <c r="AL296" s="47"/>
      <c r="AM296" s="47"/>
      <c r="AN296" s="47"/>
      <c r="AO296" s="47"/>
      <c r="AP296" s="47"/>
      <c r="AQ296" s="47"/>
      <c r="AR296" s="47"/>
      <c r="AS296" s="47"/>
      <c r="AT296" s="47"/>
      <c r="AU296" s="47"/>
      <c r="AV296" s="47"/>
      <c r="AW296" s="47"/>
      <c r="AX296" s="47"/>
      <c r="AY296" s="47"/>
      <c r="AZ296" s="47"/>
      <c r="BA296" s="47"/>
      <c r="BB296" s="47"/>
      <c r="BC296" s="47"/>
      <c r="BD296" s="47"/>
      <c r="BE296" s="47"/>
      <c r="BF296" s="47"/>
      <c r="BG296" s="47"/>
      <c r="BH296" s="47"/>
      <c r="BI296" s="47"/>
      <c r="BJ296" s="47"/>
      <c r="BK296" s="47"/>
      <c r="BL296" s="47"/>
      <c r="BM296" s="47"/>
      <c r="BN296" s="47"/>
      <c r="BO296" s="47"/>
      <c r="BP296" s="47"/>
      <c r="BQ296" s="47"/>
      <c r="BR296" s="47"/>
      <c r="BS296" s="47"/>
      <c r="BT296" s="47"/>
      <c r="BU296" s="47"/>
      <c r="BV296" s="47"/>
      <c r="BW296" s="47"/>
      <c r="BX296" s="47"/>
      <c r="BY296" s="47"/>
      <c r="BZ296" s="47"/>
    </row>
    <row r="297" spans="1:78" ht="13">
      <c r="A297" s="48" t="str">
        <f ca="1">'.'!A297</f>
        <v>Medium Resist All Potion</v>
      </c>
      <c r="B297" s="46" t="str">
        <f t="array" aca="1" ref="B297" ca="1">IF('.'!B297="","",'.'!B297&amp;IF(VLOOKUP('.'!B297,Recipes!$A:$D,4,FALSE)="",""," ["&amp;VLOOKUP('.'!B297,Recipes!$A:$D,4,FALSE)&amp;"]"))</f>
        <v>Large Resist All Potion [-100]</v>
      </c>
      <c r="C297" s="46" t="str">
        <f t="array" ref="C297">IF('.'!C297="","",'.'!C297&amp;IF(VLOOKUP('.'!C297,Recipes!$A:$D,4,FALSE)="",""," ["&amp;VLOOKUP('.'!C297,Recipes!$A:$D,4,FALSE)&amp;"]"))</f>
        <v/>
      </c>
      <c r="D297" s="46" t="str">
        <f t="array" ref="D297">IF('.'!D297="","",'.'!D297&amp;IF(VLOOKUP('.'!D297,Recipes!$A:$D,4,FALSE)="",""," ["&amp;VLOOKUP('.'!D297,Recipes!$A:$D,4,FALSE)&amp;"]"))</f>
        <v/>
      </c>
      <c r="E297" s="46" t="str">
        <f t="array" ref="E297">IF('.'!E297="","",'.'!E297&amp;IF(VLOOKUP('.'!E297,Recipes!$A:$D,4,FALSE)="",""," ["&amp;VLOOKUP('.'!E297,Recipes!$A:$D,4,FALSE)&amp;"]"))</f>
        <v/>
      </c>
      <c r="F297" s="46" t="str">
        <f t="array" ref="F297">IF('.'!F297="","",'.'!F297&amp;IF(VLOOKUP('.'!F297,Recipes!$A:$D,4,FALSE)="",""," ["&amp;VLOOKUP('.'!F297,Recipes!$A:$D,4,FALSE)&amp;"]"))</f>
        <v/>
      </c>
      <c r="G297" s="46" t="str">
        <f t="array" ref="G297">IF('.'!G297="","",'.'!G297&amp;IF(VLOOKUP('.'!G297,Recipes!$A:$D,4,FALSE)="",""," ["&amp;VLOOKUP('.'!G297,Recipes!$A:$D,4,FALSE)&amp;"]"))</f>
        <v/>
      </c>
      <c r="H297" s="46" t="str">
        <f t="array" ref="H297">IF('.'!H297="","",'.'!H297&amp;IF(VLOOKUP('.'!H297,Recipes!$A:$D,4,FALSE)="",""," ["&amp;VLOOKUP('.'!H297,Recipes!$A:$D,4,FALSE)&amp;"]"))</f>
        <v/>
      </c>
      <c r="I297" s="46" t="str">
        <f t="array" ref="I297">IF('.'!I297="","",'.'!I297&amp;IF(VLOOKUP('.'!I297,Recipes!$A:$D,4,FALSE)="",""," ["&amp;VLOOKUP('.'!I297,Recipes!$A:$D,4,FALSE)&amp;"]"))</f>
        <v/>
      </c>
      <c r="J297" s="46" t="str">
        <f t="array" ref="J297">IF('.'!J297="","",'.'!J297&amp;IF(VLOOKUP('.'!J297,Recipes!$A:$D,4,FALSE)="",""," ["&amp;VLOOKUP('.'!J297,Recipes!$A:$D,4,FALSE)&amp;"]"))</f>
        <v/>
      </c>
      <c r="K297" s="46" t="str">
        <f t="array" ref="K297">IF('.'!K297="","",'.'!K297&amp;IF(VLOOKUP('.'!K297,Recipes!$A:$D,4,FALSE)="",""," ["&amp;VLOOKUP('.'!K297,Recipes!$A:$D,4,FALSE)&amp;"]"))</f>
        <v/>
      </c>
      <c r="L297" s="46" t="str">
        <f t="array" ref="L297">IF('.'!L297="","",'.'!L297&amp;IF(VLOOKUP('.'!L297,Recipes!$A:$D,4,FALSE)="",""," ["&amp;VLOOKUP('.'!L297,Recipes!$A:$D,4,FALSE)&amp;"]"))</f>
        <v/>
      </c>
      <c r="M297" s="46" t="str">
        <f t="array" ref="M297">IF('.'!M297="","",'.'!M297&amp;IF(VLOOKUP('.'!M297,Recipes!$A:$D,4,FALSE)="",""," ["&amp;VLOOKUP('.'!M297,Recipes!$A:$D,4,FALSE)&amp;"]"))</f>
        <v/>
      </c>
      <c r="N297" s="46" t="str">
        <f t="array" ref="N297">IF('.'!N297="","",'.'!N297&amp;IF(VLOOKUP('.'!N297,Recipes!$A:$D,4,FALSE)="",""," ["&amp;VLOOKUP('.'!N297,Recipes!$A:$D,4,FALSE)&amp;"]"))</f>
        <v/>
      </c>
      <c r="O297" s="46" t="str">
        <f t="array" ref="O297">IF('.'!O297="","",'.'!O297&amp;IF(VLOOKUP('.'!O297,Recipes!$A:$D,4,FALSE)="",""," ["&amp;VLOOKUP('.'!O297,Recipes!$A:$D,4,FALSE)&amp;"]"))</f>
        <v/>
      </c>
      <c r="P297" s="46" t="str">
        <f t="array" ref="P297">IF('.'!P297="","",'.'!P297&amp;IF(VLOOKUP('.'!P297,Recipes!$A:$D,4,FALSE)="",""," ["&amp;VLOOKUP('.'!P297,Recipes!$A:$D,4,FALSE)&amp;"]"))</f>
        <v/>
      </c>
      <c r="Q297" s="46" t="str">
        <f t="array" ref="Q297">IF('.'!Q297="","",'.'!Q297&amp;IF(VLOOKUP('.'!Q297,Recipes!$A:$D,4,FALSE)="",""," ["&amp;VLOOKUP('.'!Q297,Recipes!$A:$D,4,FALSE)&amp;"]"))</f>
        <v/>
      </c>
      <c r="R297" s="46" t="str">
        <f t="array" ref="R297">IF('.'!R297="","",'.'!R297&amp;IF(VLOOKUP('.'!R297,Recipes!$A:$D,4,FALSE)="",""," ["&amp;VLOOKUP('.'!R297,Recipes!$A:$D,4,FALSE)&amp;"]"))</f>
        <v/>
      </c>
      <c r="S297" s="46" t="str">
        <f t="array" ref="S297">IF('.'!S297="","",'.'!S297&amp;IF(VLOOKUP('.'!S297,Recipes!$A:$D,4,FALSE)="",""," ["&amp;VLOOKUP('.'!S297,Recipes!$A:$D,4,FALSE)&amp;"]"))</f>
        <v/>
      </c>
      <c r="T297" s="46" t="str">
        <f t="array" ref="T297">IF('.'!T297="","",'.'!T297&amp;IF(VLOOKUP('.'!T297,Recipes!$A:$D,4,FALSE)="",""," ["&amp;VLOOKUP('.'!T297,Recipes!$A:$D,4,FALSE)&amp;"]"))</f>
        <v/>
      </c>
      <c r="U297" s="46" t="str">
        <f t="array" ref="U297">IF('.'!U297="","",'.'!U297&amp;IF(VLOOKUP('.'!U297,Recipes!$A:$D,4,FALSE)="",""," ["&amp;VLOOKUP('.'!U297,Recipes!$A:$D,4,FALSE)&amp;"]"))</f>
        <v/>
      </c>
      <c r="V297" s="46" t="str">
        <f t="array" ref="V297">IF('.'!V297="","",'.'!V297&amp;IF(VLOOKUP('.'!V297,Recipes!$A:$D,4,FALSE)="",""," ["&amp;VLOOKUP('.'!V297,Recipes!$A:$D,4,FALSE)&amp;"]"))</f>
        <v/>
      </c>
      <c r="W297" s="46" t="str">
        <f t="array" ref="W297">IF('.'!W297="","",'.'!W297&amp;IF(VLOOKUP('.'!W297,Recipes!$A:$D,4,FALSE)="",""," ["&amp;VLOOKUP('.'!W297,Recipes!$A:$D,4,FALSE)&amp;"]"))</f>
        <v/>
      </c>
      <c r="X297" s="46" t="str">
        <f t="array" ref="X297">IF('.'!X297="","",'.'!X297&amp;IF(VLOOKUP('.'!X297,Recipes!$A:$D,4,FALSE)="",""," ["&amp;VLOOKUP('.'!X297,Recipes!$A:$D,4,FALSE)&amp;"]"))</f>
        <v/>
      </c>
      <c r="Y297" s="46" t="str">
        <f t="array" ref="Y297">IF('.'!Y297="","",'.'!Y297&amp;IF(VLOOKUP('.'!Y297,Recipes!$A:$D,4,FALSE)="",""," ["&amp;VLOOKUP('.'!Y297,Recipes!$A:$D,4,FALSE)&amp;"]"))</f>
        <v/>
      </c>
      <c r="Z297" s="46" t="str">
        <f t="array" ref="Z297">IF('.'!Z297="","",'.'!Z297&amp;IF(VLOOKUP('.'!Z297,Recipes!$A:$D,4,FALSE)="",""," ["&amp;VLOOKUP('.'!Z297,Recipes!$A:$D,4,FALSE)&amp;"]"))</f>
        <v/>
      </c>
      <c r="AA297" s="46" t="str">
        <f t="array" ref="AA297">IF('.'!AA297="","",'.'!AA297&amp;IF(VLOOKUP('.'!AA297,Recipes!$A:$D,4,FALSE)="",""," ["&amp;VLOOKUP('.'!AA297,Recipes!$A:$D,4,FALSE)&amp;"]"))</f>
        <v/>
      </c>
      <c r="AB297" s="46" t="str">
        <f t="array" ref="AB297">IF('.'!AB297="","",'.'!AB297&amp;IF(VLOOKUP('.'!AB297,Recipes!$A:$D,4,FALSE)="",""," ["&amp;VLOOKUP('.'!AB297,Recipes!$A:$D,4,FALSE)&amp;"]"))</f>
        <v/>
      </c>
      <c r="AC297" s="46" t="str">
        <f t="array" ref="AC297">IF('.'!AC297="","",'.'!AC297&amp;IF(VLOOKUP('.'!AC297,Recipes!$A:$D,4,FALSE)="",""," ["&amp;VLOOKUP('.'!AC297,Recipes!$A:$D,4,FALSE)&amp;"]"))</f>
        <v/>
      </c>
      <c r="AD297" s="46" t="str">
        <f t="array" ref="AD297">IF('.'!AD297="","",'.'!AD297&amp;IF(VLOOKUP('.'!AD297,Recipes!$A:$D,4,FALSE)="",""," ["&amp;VLOOKUP('.'!AD297,Recipes!$A:$D,4,FALSE)&amp;"]"))</f>
        <v/>
      </c>
      <c r="AE297" s="47"/>
      <c r="AF297" s="47"/>
      <c r="AG297" s="47"/>
      <c r="AH297" s="47"/>
      <c r="AI297" s="47"/>
      <c r="AJ297" s="47"/>
      <c r="AK297" s="47"/>
      <c r="AL297" s="47"/>
      <c r="AM297" s="47"/>
      <c r="AN297" s="47"/>
      <c r="AO297" s="47"/>
      <c r="AP297" s="47"/>
      <c r="AQ297" s="47"/>
      <c r="AR297" s="47"/>
      <c r="AS297" s="47"/>
      <c r="AT297" s="47"/>
      <c r="AU297" s="47"/>
      <c r="AV297" s="47"/>
      <c r="AW297" s="47"/>
      <c r="AX297" s="47"/>
      <c r="AY297" s="47"/>
      <c r="AZ297" s="47"/>
      <c r="BA297" s="47"/>
      <c r="BB297" s="47"/>
      <c r="BC297" s="47"/>
      <c r="BD297" s="47"/>
      <c r="BE297" s="47"/>
      <c r="BF297" s="47"/>
      <c r="BG297" s="47"/>
      <c r="BH297" s="47"/>
      <c r="BI297" s="47"/>
      <c r="BJ297" s="47"/>
      <c r="BK297" s="47"/>
      <c r="BL297" s="47"/>
      <c r="BM297" s="47"/>
      <c r="BN297" s="47"/>
      <c r="BO297" s="47"/>
      <c r="BP297" s="47"/>
      <c r="BQ297" s="47"/>
      <c r="BR297" s="47"/>
      <c r="BS297" s="47"/>
      <c r="BT297" s="47"/>
      <c r="BU297" s="47"/>
      <c r="BV297" s="47"/>
      <c r="BW297" s="47"/>
      <c r="BX297" s="47"/>
      <c r="BY297" s="47"/>
      <c r="BZ297" s="47"/>
    </row>
    <row r="298" spans="1:78" ht="13">
      <c r="A298" s="48" t="str">
        <f ca="1">'.'!A298</f>
        <v>Medium Rock Rune</v>
      </c>
      <c r="B298" s="46" t="str">
        <f t="array" aca="1" ref="B298" ca="1">IF('.'!B298="","",'.'!B298&amp;IF(VLOOKUP('.'!B298,Recipes!$A:$D,4,FALSE)="",""," ["&amp;VLOOKUP('.'!B298,Recipes!$A:$D,4,FALSE)&amp;"]"))</f>
        <v>Large Rock Rune [-590]</v>
      </c>
      <c r="C298" s="46" t="str">
        <f t="array" aca="1" ref="C298" ca="1">IF('.'!C298="","",'.'!C298&amp;IF(VLOOKUP('.'!C298,Recipes!$A:$D,4,FALSE)="",""," ["&amp;VLOOKUP('.'!C298,Recipes!$A:$D,4,FALSE)&amp;"]"))</f>
        <v>Medium Rock Rune of Power [0]</v>
      </c>
      <c r="D298" s="46" t="str">
        <f t="array" aca="1" ref="D298" ca="1">IF('.'!D298="","",'.'!D298&amp;IF(VLOOKUP('.'!D298,Recipes!$A:$D,4,FALSE)="",""," ["&amp;VLOOKUP('.'!D298,Recipes!$A:$D,4,FALSE)&amp;"]"))</f>
        <v>Mystical Medium Rock Rune [0]</v>
      </c>
      <c r="E298" s="46" t="str">
        <f t="array" ref="E298">IF('.'!E298="","",'.'!E298&amp;IF(VLOOKUP('.'!E298,Recipes!$A:$D,4,FALSE)="",""," ["&amp;VLOOKUP('.'!E298,Recipes!$A:$D,4,FALSE)&amp;"]"))</f>
        <v/>
      </c>
      <c r="F298" s="46" t="str">
        <f t="array" ref="F298">IF('.'!F298="","",'.'!F298&amp;IF(VLOOKUP('.'!F298,Recipes!$A:$D,4,FALSE)="",""," ["&amp;VLOOKUP('.'!F298,Recipes!$A:$D,4,FALSE)&amp;"]"))</f>
        <v/>
      </c>
      <c r="G298" s="46" t="str">
        <f t="array" ref="G298">IF('.'!G298="","",'.'!G298&amp;IF(VLOOKUP('.'!G298,Recipes!$A:$D,4,FALSE)="",""," ["&amp;VLOOKUP('.'!G298,Recipes!$A:$D,4,FALSE)&amp;"]"))</f>
        <v/>
      </c>
      <c r="H298" s="46" t="str">
        <f t="array" ref="H298">IF('.'!H298="","",'.'!H298&amp;IF(VLOOKUP('.'!H298,Recipes!$A:$D,4,FALSE)="",""," ["&amp;VLOOKUP('.'!H298,Recipes!$A:$D,4,FALSE)&amp;"]"))</f>
        <v/>
      </c>
      <c r="I298" s="46" t="str">
        <f t="array" ref="I298">IF('.'!I298="","",'.'!I298&amp;IF(VLOOKUP('.'!I298,Recipes!$A:$D,4,FALSE)="",""," ["&amp;VLOOKUP('.'!I298,Recipes!$A:$D,4,FALSE)&amp;"]"))</f>
        <v/>
      </c>
      <c r="J298" s="46" t="str">
        <f t="array" ref="J298">IF('.'!J298="","",'.'!J298&amp;IF(VLOOKUP('.'!J298,Recipes!$A:$D,4,FALSE)="",""," ["&amp;VLOOKUP('.'!J298,Recipes!$A:$D,4,FALSE)&amp;"]"))</f>
        <v/>
      </c>
      <c r="K298" s="46" t="str">
        <f t="array" ref="K298">IF('.'!K298="","",'.'!K298&amp;IF(VLOOKUP('.'!K298,Recipes!$A:$D,4,FALSE)="",""," ["&amp;VLOOKUP('.'!K298,Recipes!$A:$D,4,FALSE)&amp;"]"))</f>
        <v/>
      </c>
      <c r="L298" s="46" t="str">
        <f t="array" ref="L298">IF('.'!L298="","",'.'!L298&amp;IF(VLOOKUP('.'!L298,Recipes!$A:$D,4,FALSE)="",""," ["&amp;VLOOKUP('.'!L298,Recipes!$A:$D,4,FALSE)&amp;"]"))</f>
        <v/>
      </c>
      <c r="M298" s="46" t="str">
        <f t="array" ref="M298">IF('.'!M298="","",'.'!M298&amp;IF(VLOOKUP('.'!M298,Recipes!$A:$D,4,FALSE)="",""," ["&amp;VLOOKUP('.'!M298,Recipes!$A:$D,4,FALSE)&amp;"]"))</f>
        <v/>
      </c>
      <c r="N298" s="46" t="str">
        <f t="array" ref="N298">IF('.'!N298="","",'.'!N298&amp;IF(VLOOKUP('.'!N298,Recipes!$A:$D,4,FALSE)="",""," ["&amp;VLOOKUP('.'!N298,Recipes!$A:$D,4,FALSE)&amp;"]"))</f>
        <v/>
      </c>
      <c r="O298" s="46" t="str">
        <f t="array" ref="O298">IF('.'!O298="","",'.'!O298&amp;IF(VLOOKUP('.'!O298,Recipes!$A:$D,4,FALSE)="",""," ["&amp;VLOOKUP('.'!O298,Recipes!$A:$D,4,FALSE)&amp;"]"))</f>
        <v/>
      </c>
      <c r="P298" s="46" t="str">
        <f t="array" ref="P298">IF('.'!P298="","",'.'!P298&amp;IF(VLOOKUP('.'!P298,Recipes!$A:$D,4,FALSE)="",""," ["&amp;VLOOKUP('.'!P298,Recipes!$A:$D,4,FALSE)&amp;"]"))</f>
        <v/>
      </c>
      <c r="Q298" s="46" t="str">
        <f t="array" ref="Q298">IF('.'!Q298="","",'.'!Q298&amp;IF(VLOOKUP('.'!Q298,Recipes!$A:$D,4,FALSE)="",""," ["&amp;VLOOKUP('.'!Q298,Recipes!$A:$D,4,FALSE)&amp;"]"))</f>
        <v/>
      </c>
      <c r="R298" s="46" t="str">
        <f t="array" ref="R298">IF('.'!R298="","",'.'!R298&amp;IF(VLOOKUP('.'!R298,Recipes!$A:$D,4,FALSE)="",""," ["&amp;VLOOKUP('.'!R298,Recipes!$A:$D,4,FALSE)&amp;"]"))</f>
        <v/>
      </c>
      <c r="S298" s="46" t="str">
        <f t="array" ref="S298">IF('.'!S298="","",'.'!S298&amp;IF(VLOOKUP('.'!S298,Recipes!$A:$D,4,FALSE)="",""," ["&amp;VLOOKUP('.'!S298,Recipes!$A:$D,4,FALSE)&amp;"]"))</f>
        <v/>
      </c>
      <c r="T298" s="46" t="str">
        <f t="array" ref="T298">IF('.'!T298="","",'.'!T298&amp;IF(VLOOKUP('.'!T298,Recipes!$A:$D,4,FALSE)="",""," ["&amp;VLOOKUP('.'!T298,Recipes!$A:$D,4,FALSE)&amp;"]"))</f>
        <v/>
      </c>
      <c r="U298" s="46" t="str">
        <f t="array" ref="U298">IF('.'!U298="","",'.'!U298&amp;IF(VLOOKUP('.'!U298,Recipes!$A:$D,4,FALSE)="",""," ["&amp;VLOOKUP('.'!U298,Recipes!$A:$D,4,FALSE)&amp;"]"))</f>
        <v/>
      </c>
      <c r="V298" s="46" t="str">
        <f t="array" ref="V298">IF('.'!V298="","",'.'!V298&amp;IF(VLOOKUP('.'!V298,Recipes!$A:$D,4,FALSE)="",""," ["&amp;VLOOKUP('.'!V298,Recipes!$A:$D,4,FALSE)&amp;"]"))</f>
        <v/>
      </c>
      <c r="W298" s="46" t="str">
        <f t="array" ref="W298">IF('.'!W298="","",'.'!W298&amp;IF(VLOOKUP('.'!W298,Recipes!$A:$D,4,FALSE)="",""," ["&amp;VLOOKUP('.'!W298,Recipes!$A:$D,4,FALSE)&amp;"]"))</f>
        <v/>
      </c>
      <c r="X298" s="46" t="str">
        <f t="array" ref="X298">IF('.'!X298="","",'.'!X298&amp;IF(VLOOKUP('.'!X298,Recipes!$A:$D,4,FALSE)="",""," ["&amp;VLOOKUP('.'!X298,Recipes!$A:$D,4,FALSE)&amp;"]"))</f>
        <v/>
      </c>
      <c r="Y298" s="46" t="str">
        <f t="array" ref="Y298">IF('.'!Y298="","",'.'!Y298&amp;IF(VLOOKUP('.'!Y298,Recipes!$A:$D,4,FALSE)="",""," ["&amp;VLOOKUP('.'!Y298,Recipes!$A:$D,4,FALSE)&amp;"]"))</f>
        <v/>
      </c>
      <c r="Z298" s="46" t="str">
        <f t="array" ref="Z298">IF('.'!Z298="","",'.'!Z298&amp;IF(VLOOKUP('.'!Z298,Recipes!$A:$D,4,FALSE)="",""," ["&amp;VLOOKUP('.'!Z298,Recipes!$A:$D,4,FALSE)&amp;"]"))</f>
        <v/>
      </c>
      <c r="AA298" s="46" t="str">
        <f t="array" ref="AA298">IF('.'!AA298="","",'.'!AA298&amp;IF(VLOOKUP('.'!AA298,Recipes!$A:$D,4,FALSE)="",""," ["&amp;VLOOKUP('.'!AA298,Recipes!$A:$D,4,FALSE)&amp;"]"))</f>
        <v/>
      </c>
      <c r="AB298" s="46" t="str">
        <f t="array" ref="AB298">IF('.'!AB298="","",'.'!AB298&amp;IF(VLOOKUP('.'!AB298,Recipes!$A:$D,4,FALSE)="",""," ["&amp;VLOOKUP('.'!AB298,Recipes!$A:$D,4,FALSE)&amp;"]"))</f>
        <v/>
      </c>
      <c r="AC298" s="46" t="str">
        <f t="array" ref="AC298">IF('.'!AC298="","",'.'!AC298&amp;IF(VLOOKUP('.'!AC298,Recipes!$A:$D,4,FALSE)="",""," ["&amp;VLOOKUP('.'!AC298,Recipes!$A:$D,4,FALSE)&amp;"]"))</f>
        <v/>
      </c>
      <c r="AD298" s="46" t="str">
        <f t="array" ref="AD298">IF('.'!AD298="","",'.'!AD298&amp;IF(VLOOKUP('.'!AD298,Recipes!$A:$D,4,FALSE)="",""," ["&amp;VLOOKUP('.'!AD298,Recipes!$A:$D,4,FALSE)&amp;"]"))</f>
        <v/>
      </c>
      <c r="AE298" s="47"/>
      <c r="AF298" s="47"/>
      <c r="AG298" s="47"/>
      <c r="AH298" s="47"/>
      <c r="AI298" s="47"/>
      <c r="AJ298" s="47"/>
      <c r="AK298" s="47"/>
      <c r="AL298" s="47"/>
      <c r="AM298" s="47"/>
      <c r="AN298" s="47"/>
      <c r="AO298" s="47"/>
      <c r="AP298" s="47"/>
      <c r="AQ298" s="47"/>
      <c r="AR298" s="47"/>
      <c r="AS298" s="47"/>
      <c r="AT298" s="47"/>
      <c r="AU298" s="47"/>
      <c r="AV298" s="47"/>
      <c r="AW298" s="47"/>
      <c r="AX298" s="47"/>
      <c r="AY298" s="47"/>
      <c r="AZ298" s="47"/>
      <c r="BA298" s="47"/>
      <c r="BB298" s="47"/>
      <c r="BC298" s="47"/>
      <c r="BD298" s="47"/>
      <c r="BE298" s="47"/>
      <c r="BF298" s="47"/>
      <c r="BG298" s="47"/>
      <c r="BH298" s="47"/>
      <c r="BI298" s="47"/>
      <c r="BJ298" s="47"/>
      <c r="BK298" s="47"/>
      <c r="BL298" s="47"/>
      <c r="BM298" s="47"/>
      <c r="BN298" s="47"/>
      <c r="BO298" s="47"/>
      <c r="BP298" s="47"/>
      <c r="BQ298" s="47"/>
      <c r="BR298" s="47"/>
      <c r="BS298" s="47"/>
      <c r="BT298" s="47"/>
      <c r="BU298" s="47"/>
      <c r="BV298" s="47"/>
      <c r="BW298" s="47"/>
      <c r="BX298" s="47"/>
      <c r="BY298" s="47"/>
      <c r="BZ298" s="47"/>
    </row>
    <row r="299" spans="1:78" ht="13">
      <c r="A299" s="48" t="str">
        <f ca="1">'.'!A299</f>
        <v>Medium Thunder Rune</v>
      </c>
      <c r="B299" s="46" t="str">
        <f t="array" aca="1" ref="B299" ca="1">IF('.'!B299="","",'.'!B299&amp;IF(VLOOKUP('.'!B299,Recipes!$A:$D,4,FALSE)="",""," ["&amp;VLOOKUP('.'!B299,Recipes!$A:$D,4,FALSE)&amp;"]"))</f>
        <v>Large Thunder Rune [-590]</v>
      </c>
      <c r="C299" s="46" t="str">
        <f t="array" aca="1" ref="C299" ca="1">IF('.'!C299="","",'.'!C299&amp;IF(VLOOKUP('.'!C299,Recipes!$A:$D,4,FALSE)="",""," ["&amp;VLOOKUP('.'!C299,Recipes!$A:$D,4,FALSE)&amp;"]"))</f>
        <v>Medium Thunder Rune of Power [0]</v>
      </c>
      <c r="D299" s="46" t="str">
        <f t="array" aca="1" ref="D299" ca="1">IF('.'!D299="","",'.'!D299&amp;IF(VLOOKUP('.'!D299,Recipes!$A:$D,4,FALSE)="",""," ["&amp;VLOOKUP('.'!D299,Recipes!$A:$D,4,FALSE)&amp;"]"))</f>
        <v>Mystical Medium Thunder Rune [0]</v>
      </c>
      <c r="E299" s="46" t="str">
        <f t="array" ref="E299">IF('.'!E299="","",'.'!E299&amp;IF(VLOOKUP('.'!E299,Recipes!$A:$D,4,FALSE)="",""," ["&amp;VLOOKUP('.'!E299,Recipes!$A:$D,4,FALSE)&amp;"]"))</f>
        <v/>
      </c>
      <c r="F299" s="46" t="str">
        <f t="array" ref="F299">IF('.'!F299="","",'.'!F299&amp;IF(VLOOKUP('.'!F299,Recipes!$A:$D,4,FALSE)="",""," ["&amp;VLOOKUP('.'!F299,Recipes!$A:$D,4,FALSE)&amp;"]"))</f>
        <v/>
      </c>
      <c r="G299" s="46" t="str">
        <f t="array" ref="G299">IF('.'!G299="","",'.'!G299&amp;IF(VLOOKUP('.'!G299,Recipes!$A:$D,4,FALSE)="",""," ["&amp;VLOOKUP('.'!G299,Recipes!$A:$D,4,FALSE)&amp;"]"))</f>
        <v/>
      </c>
      <c r="H299" s="46" t="str">
        <f t="array" ref="H299">IF('.'!H299="","",'.'!H299&amp;IF(VLOOKUP('.'!H299,Recipes!$A:$D,4,FALSE)="",""," ["&amp;VLOOKUP('.'!H299,Recipes!$A:$D,4,FALSE)&amp;"]"))</f>
        <v/>
      </c>
      <c r="I299" s="46" t="str">
        <f t="array" ref="I299">IF('.'!I299="","",'.'!I299&amp;IF(VLOOKUP('.'!I299,Recipes!$A:$D,4,FALSE)="",""," ["&amp;VLOOKUP('.'!I299,Recipes!$A:$D,4,FALSE)&amp;"]"))</f>
        <v/>
      </c>
      <c r="J299" s="46" t="str">
        <f t="array" ref="J299">IF('.'!J299="","",'.'!J299&amp;IF(VLOOKUP('.'!J299,Recipes!$A:$D,4,FALSE)="",""," ["&amp;VLOOKUP('.'!J299,Recipes!$A:$D,4,FALSE)&amp;"]"))</f>
        <v/>
      </c>
      <c r="K299" s="46" t="str">
        <f t="array" ref="K299">IF('.'!K299="","",'.'!K299&amp;IF(VLOOKUP('.'!K299,Recipes!$A:$D,4,FALSE)="",""," ["&amp;VLOOKUP('.'!K299,Recipes!$A:$D,4,FALSE)&amp;"]"))</f>
        <v/>
      </c>
      <c r="L299" s="46" t="str">
        <f t="array" ref="L299">IF('.'!L299="","",'.'!L299&amp;IF(VLOOKUP('.'!L299,Recipes!$A:$D,4,FALSE)="",""," ["&amp;VLOOKUP('.'!L299,Recipes!$A:$D,4,FALSE)&amp;"]"))</f>
        <v/>
      </c>
      <c r="M299" s="46" t="str">
        <f t="array" ref="M299">IF('.'!M299="","",'.'!M299&amp;IF(VLOOKUP('.'!M299,Recipes!$A:$D,4,FALSE)="",""," ["&amp;VLOOKUP('.'!M299,Recipes!$A:$D,4,FALSE)&amp;"]"))</f>
        <v/>
      </c>
      <c r="N299" s="46" t="str">
        <f t="array" ref="N299">IF('.'!N299="","",'.'!N299&amp;IF(VLOOKUP('.'!N299,Recipes!$A:$D,4,FALSE)="",""," ["&amp;VLOOKUP('.'!N299,Recipes!$A:$D,4,FALSE)&amp;"]"))</f>
        <v/>
      </c>
      <c r="O299" s="46" t="str">
        <f t="array" ref="O299">IF('.'!O299="","",'.'!O299&amp;IF(VLOOKUP('.'!O299,Recipes!$A:$D,4,FALSE)="",""," ["&amp;VLOOKUP('.'!O299,Recipes!$A:$D,4,FALSE)&amp;"]"))</f>
        <v/>
      </c>
      <c r="P299" s="46" t="str">
        <f t="array" ref="P299">IF('.'!P299="","",'.'!P299&amp;IF(VLOOKUP('.'!P299,Recipes!$A:$D,4,FALSE)="",""," ["&amp;VLOOKUP('.'!P299,Recipes!$A:$D,4,FALSE)&amp;"]"))</f>
        <v/>
      </c>
      <c r="Q299" s="46" t="str">
        <f t="array" ref="Q299">IF('.'!Q299="","",'.'!Q299&amp;IF(VLOOKUP('.'!Q299,Recipes!$A:$D,4,FALSE)="",""," ["&amp;VLOOKUP('.'!Q299,Recipes!$A:$D,4,FALSE)&amp;"]"))</f>
        <v/>
      </c>
      <c r="R299" s="46" t="str">
        <f t="array" ref="R299">IF('.'!R299="","",'.'!R299&amp;IF(VLOOKUP('.'!R299,Recipes!$A:$D,4,FALSE)="",""," ["&amp;VLOOKUP('.'!R299,Recipes!$A:$D,4,FALSE)&amp;"]"))</f>
        <v/>
      </c>
      <c r="S299" s="46" t="str">
        <f t="array" ref="S299">IF('.'!S299="","",'.'!S299&amp;IF(VLOOKUP('.'!S299,Recipes!$A:$D,4,FALSE)="",""," ["&amp;VLOOKUP('.'!S299,Recipes!$A:$D,4,FALSE)&amp;"]"))</f>
        <v/>
      </c>
      <c r="T299" s="46" t="str">
        <f t="array" ref="T299">IF('.'!T299="","",'.'!T299&amp;IF(VLOOKUP('.'!T299,Recipes!$A:$D,4,FALSE)="",""," ["&amp;VLOOKUP('.'!T299,Recipes!$A:$D,4,FALSE)&amp;"]"))</f>
        <v/>
      </c>
      <c r="U299" s="46" t="str">
        <f t="array" ref="U299">IF('.'!U299="","",'.'!U299&amp;IF(VLOOKUP('.'!U299,Recipes!$A:$D,4,FALSE)="",""," ["&amp;VLOOKUP('.'!U299,Recipes!$A:$D,4,FALSE)&amp;"]"))</f>
        <v/>
      </c>
      <c r="V299" s="46" t="str">
        <f t="array" ref="V299">IF('.'!V299="","",'.'!V299&amp;IF(VLOOKUP('.'!V299,Recipes!$A:$D,4,FALSE)="",""," ["&amp;VLOOKUP('.'!V299,Recipes!$A:$D,4,FALSE)&amp;"]"))</f>
        <v/>
      </c>
      <c r="W299" s="46" t="str">
        <f t="array" ref="W299">IF('.'!W299="","",'.'!W299&amp;IF(VLOOKUP('.'!W299,Recipes!$A:$D,4,FALSE)="",""," ["&amp;VLOOKUP('.'!W299,Recipes!$A:$D,4,FALSE)&amp;"]"))</f>
        <v/>
      </c>
      <c r="X299" s="46" t="str">
        <f t="array" ref="X299">IF('.'!X299="","",'.'!X299&amp;IF(VLOOKUP('.'!X299,Recipes!$A:$D,4,FALSE)="",""," ["&amp;VLOOKUP('.'!X299,Recipes!$A:$D,4,FALSE)&amp;"]"))</f>
        <v/>
      </c>
      <c r="Y299" s="46" t="str">
        <f t="array" ref="Y299">IF('.'!Y299="","",'.'!Y299&amp;IF(VLOOKUP('.'!Y299,Recipes!$A:$D,4,FALSE)="",""," ["&amp;VLOOKUP('.'!Y299,Recipes!$A:$D,4,FALSE)&amp;"]"))</f>
        <v/>
      </c>
      <c r="Z299" s="46" t="str">
        <f t="array" ref="Z299">IF('.'!Z299="","",'.'!Z299&amp;IF(VLOOKUP('.'!Z299,Recipes!$A:$D,4,FALSE)="",""," ["&amp;VLOOKUP('.'!Z299,Recipes!$A:$D,4,FALSE)&amp;"]"))</f>
        <v/>
      </c>
      <c r="AA299" s="46" t="str">
        <f t="array" ref="AA299">IF('.'!AA299="","",'.'!AA299&amp;IF(VLOOKUP('.'!AA299,Recipes!$A:$D,4,FALSE)="",""," ["&amp;VLOOKUP('.'!AA299,Recipes!$A:$D,4,FALSE)&amp;"]"))</f>
        <v/>
      </c>
      <c r="AB299" s="46" t="str">
        <f t="array" ref="AB299">IF('.'!AB299="","",'.'!AB299&amp;IF(VLOOKUP('.'!AB299,Recipes!$A:$D,4,FALSE)="",""," ["&amp;VLOOKUP('.'!AB299,Recipes!$A:$D,4,FALSE)&amp;"]"))</f>
        <v/>
      </c>
      <c r="AC299" s="46" t="str">
        <f t="array" ref="AC299">IF('.'!AC299="","",'.'!AC299&amp;IF(VLOOKUP('.'!AC299,Recipes!$A:$D,4,FALSE)="",""," ["&amp;VLOOKUP('.'!AC299,Recipes!$A:$D,4,FALSE)&amp;"]"))</f>
        <v/>
      </c>
      <c r="AD299" s="46" t="str">
        <f t="array" ref="AD299">IF('.'!AD299="","",'.'!AD299&amp;IF(VLOOKUP('.'!AD299,Recipes!$A:$D,4,FALSE)="",""," ["&amp;VLOOKUP('.'!AD299,Recipes!$A:$D,4,FALSE)&amp;"]"))</f>
        <v/>
      </c>
      <c r="AE299" s="47"/>
      <c r="AF299" s="47"/>
      <c r="AG299" s="47"/>
      <c r="AH299" s="47"/>
      <c r="AI299" s="47"/>
      <c r="AJ299" s="47"/>
      <c r="AK299" s="47"/>
      <c r="AL299" s="47"/>
      <c r="AM299" s="47"/>
      <c r="AN299" s="47"/>
      <c r="AO299" s="47"/>
      <c r="AP299" s="47"/>
      <c r="AQ299" s="47"/>
      <c r="AR299" s="47"/>
      <c r="AS299" s="47"/>
      <c r="AT299" s="47"/>
      <c r="AU299" s="47"/>
      <c r="AV299" s="47"/>
      <c r="AW299" s="47"/>
      <c r="AX299" s="47"/>
      <c r="AY299" s="47"/>
      <c r="AZ299" s="47"/>
      <c r="BA299" s="47"/>
      <c r="BB299" s="47"/>
      <c r="BC299" s="47"/>
      <c r="BD299" s="47"/>
      <c r="BE299" s="47"/>
      <c r="BF299" s="47"/>
      <c r="BG299" s="47"/>
      <c r="BH299" s="47"/>
      <c r="BI299" s="47"/>
      <c r="BJ299" s="47"/>
      <c r="BK299" s="47"/>
      <c r="BL299" s="47"/>
      <c r="BM299" s="47"/>
      <c r="BN299" s="47"/>
      <c r="BO299" s="47"/>
      <c r="BP299" s="47"/>
      <c r="BQ299" s="47"/>
      <c r="BR299" s="47"/>
      <c r="BS299" s="47"/>
      <c r="BT299" s="47"/>
      <c r="BU299" s="47"/>
      <c r="BV299" s="47"/>
      <c r="BW299" s="47"/>
      <c r="BX299" s="47"/>
      <c r="BY299" s="47"/>
      <c r="BZ299" s="47"/>
    </row>
    <row r="300" spans="1:78" ht="13">
      <c r="A300" s="48" t="str">
        <f ca="1">'.'!A300</f>
        <v>Medium Venom Rune</v>
      </c>
      <c r="B300" s="46" t="str">
        <f t="array" aca="1" ref="B300" ca="1">IF('.'!B300="","",'.'!B300&amp;IF(VLOOKUP('.'!B300,Recipes!$A:$D,4,FALSE)="",""," ["&amp;VLOOKUP('.'!B300,Recipes!$A:$D,4,FALSE)&amp;"]"))</f>
        <v>Large Venom Rune [-590]</v>
      </c>
      <c r="C300" s="46" t="str">
        <f t="array" aca="1" ref="C300" ca="1">IF('.'!C300="","",'.'!C300&amp;IF(VLOOKUP('.'!C300,Recipes!$A:$D,4,FALSE)="",""," ["&amp;VLOOKUP('.'!C300,Recipes!$A:$D,4,FALSE)&amp;"]"))</f>
        <v>Medium Venom Rune of Power [0]</v>
      </c>
      <c r="D300" s="46" t="str">
        <f t="array" aca="1" ref="D300" ca="1">IF('.'!D300="","",'.'!D300&amp;IF(VLOOKUP('.'!D300,Recipes!$A:$D,4,FALSE)="",""," ["&amp;VLOOKUP('.'!D300,Recipes!$A:$D,4,FALSE)&amp;"]"))</f>
        <v>Mystical Medium Venom Rune [0]</v>
      </c>
      <c r="E300" s="46" t="str">
        <f t="array" ref="E300">IF('.'!E300="","",'.'!E300&amp;IF(VLOOKUP('.'!E300,Recipes!$A:$D,4,FALSE)="",""," ["&amp;VLOOKUP('.'!E300,Recipes!$A:$D,4,FALSE)&amp;"]"))</f>
        <v/>
      </c>
      <c r="F300" s="46" t="str">
        <f t="array" ref="F300">IF('.'!F300="","",'.'!F300&amp;IF(VLOOKUP('.'!F300,Recipes!$A:$D,4,FALSE)="",""," ["&amp;VLOOKUP('.'!F300,Recipes!$A:$D,4,FALSE)&amp;"]"))</f>
        <v/>
      </c>
      <c r="G300" s="46" t="str">
        <f t="array" ref="G300">IF('.'!G300="","",'.'!G300&amp;IF(VLOOKUP('.'!G300,Recipes!$A:$D,4,FALSE)="",""," ["&amp;VLOOKUP('.'!G300,Recipes!$A:$D,4,FALSE)&amp;"]"))</f>
        <v/>
      </c>
      <c r="H300" s="46" t="str">
        <f t="array" ref="H300">IF('.'!H300="","",'.'!H300&amp;IF(VLOOKUP('.'!H300,Recipes!$A:$D,4,FALSE)="",""," ["&amp;VLOOKUP('.'!H300,Recipes!$A:$D,4,FALSE)&amp;"]"))</f>
        <v/>
      </c>
      <c r="I300" s="46" t="str">
        <f t="array" ref="I300">IF('.'!I300="","",'.'!I300&amp;IF(VLOOKUP('.'!I300,Recipes!$A:$D,4,FALSE)="",""," ["&amp;VLOOKUP('.'!I300,Recipes!$A:$D,4,FALSE)&amp;"]"))</f>
        <v/>
      </c>
      <c r="J300" s="46" t="str">
        <f t="array" ref="J300">IF('.'!J300="","",'.'!J300&amp;IF(VLOOKUP('.'!J300,Recipes!$A:$D,4,FALSE)="",""," ["&amp;VLOOKUP('.'!J300,Recipes!$A:$D,4,FALSE)&amp;"]"))</f>
        <v/>
      </c>
      <c r="K300" s="46" t="str">
        <f t="array" ref="K300">IF('.'!K300="","",'.'!K300&amp;IF(VLOOKUP('.'!K300,Recipes!$A:$D,4,FALSE)="",""," ["&amp;VLOOKUP('.'!K300,Recipes!$A:$D,4,FALSE)&amp;"]"))</f>
        <v/>
      </c>
      <c r="L300" s="46" t="str">
        <f t="array" ref="L300">IF('.'!L300="","",'.'!L300&amp;IF(VLOOKUP('.'!L300,Recipes!$A:$D,4,FALSE)="",""," ["&amp;VLOOKUP('.'!L300,Recipes!$A:$D,4,FALSE)&amp;"]"))</f>
        <v/>
      </c>
      <c r="M300" s="46" t="str">
        <f t="array" ref="M300">IF('.'!M300="","",'.'!M300&amp;IF(VLOOKUP('.'!M300,Recipes!$A:$D,4,FALSE)="",""," ["&amp;VLOOKUP('.'!M300,Recipes!$A:$D,4,FALSE)&amp;"]"))</f>
        <v/>
      </c>
      <c r="N300" s="46" t="str">
        <f t="array" ref="N300">IF('.'!N300="","",'.'!N300&amp;IF(VLOOKUP('.'!N300,Recipes!$A:$D,4,FALSE)="",""," ["&amp;VLOOKUP('.'!N300,Recipes!$A:$D,4,FALSE)&amp;"]"))</f>
        <v/>
      </c>
      <c r="O300" s="46" t="str">
        <f t="array" ref="O300">IF('.'!O300="","",'.'!O300&amp;IF(VLOOKUP('.'!O300,Recipes!$A:$D,4,FALSE)="",""," ["&amp;VLOOKUP('.'!O300,Recipes!$A:$D,4,FALSE)&amp;"]"))</f>
        <v/>
      </c>
      <c r="P300" s="46" t="str">
        <f t="array" ref="P300">IF('.'!P300="","",'.'!P300&amp;IF(VLOOKUP('.'!P300,Recipes!$A:$D,4,FALSE)="",""," ["&amp;VLOOKUP('.'!P300,Recipes!$A:$D,4,FALSE)&amp;"]"))</f>
        <v/>
      </c>
      <c r="Q300" s="46" t="str">
        <f t="array" ref="Q300">IF('.'!Q300="","",'.'!Q300&amp;IF(VLOOKUP('.'!Q300,Recipes!$A:$D,4,FALSE)="",""," ["&amp;VLOOKUP('.'!Q300,Recipes!$A:$D,4,FALSE)&amp;"]"))</f>
        <v/>
      </c>
      <c r="R300" s="46" t="str">
        <f t="array" ref="R300">IF('.'!R300="","",'.'!R300&amp;IF(VLOOKUP('.'!R300,Recipes!$A:$D,4,FALSE)="",""," ["&amp;VLOOKUP('.'!R300,Recipes!$A:$D,4,FALSE)&amp;"]"))</f>
        <v/>
      </c>
      <c r="S300" s="46" t="str">
        <f t="array" ref="S300">IF('.'!S300="","",'.'!S300&amp;IF(VLOOKUP('.'!S300,Recipes!$A:$D,4,FALSE)="",""," ["&amp;VLOOKUP('.'!S300,Recipes!$A:$D,4,FALSE)&amp;"]"))</f>
        <v/>
      </c>
      <c r="T300" s="46" t="str">
        <f t="array" ref="T300">IF('.'!T300="","",'.'!T300&amp;IF(VLOOKUP('.'!T300,Recipes!$A:$D,4,FALSE)="",""," ["&amp;VLOOKUP('.'!T300,Recipes!$A:$D,4,FALSE)&amp;"]"))</f>
        <v/>
      </c>
      <c r="U300" s="46" t="str">
        <f t="array" ref="U300">IF('.'!U300="","",'.'!U300&amp;IF(VLOOKUP('.'!U300,Recipes!$A:$D,4,FALSE)="",""," ["&amp;VLOOKUP('.'!U300,Recipes!$A:$D,4,FALSE)&amp;"]"))</f>
        <v/>
      </c>
      <c r="V300" s="46" t="str">
        <f t="array" ref="V300">IF('.'!V300="","",'.'!V300&amp;IF(VLOOKUP('.'!V300,Recipes!$A:$D,4,FALSE)="",""," ["&amp;VLOOKUP('.'!V300,Recipes!$A:$D,4,FALSE)&amp;"]"))</f>
        <v/>
      </c>
      <c r="W300" s="46" t="str">
        <f t="array" ref="W300">IF('.'!W300="","",'.'!W300&amp;IF(VLOOKUP('.'!W300,Recipes!$A:$D,4,FALSE)="",""," ["&amp;VLOOKUP('.'!W300,Recipes!$A:$D,4,FALSE)&amp;"]"))</f>
        <v/>
      </c>
      <c r="X300" s="46" t="str">
        <f t="array" ref="X300">IF('.'!X300="","",'.'!X300&amp;IF(VLOOKUP('.'!X300,Recipes!$A:$D,4,FALSE)="",""," ["&amp;VLOOKUP('.'!X300,Recipes!$A:$D,4,FALSE)&amp;"]"))</f>
        <v/>
      </c>
      <c r="Y300" s="46" t="str">
        <f t="array" ref="Y300">IF('.'!Y300="","",'.'!Y300&amp;IF(VLOOKUP('.'!Y300,Recipes!$A:$D,4,FALSE)="",""," ["&amp;VLOOKUP('.'!Y300,Recipes!$A:$D,4,FALSE)&amp;"]"))</f>
        <v/>
      </c>
      <c r="Z300" s="46" t="str">
        <f t="array" ref="Z300">IF('.'!Z300="","",'.'!Z300&amp;IF(VLOOKUP('.'!Z300,Recipes!$A:$D,4,FALSE)="",""," ["&amp;VLOOKUP('.'!Z300,Recipes!$A:$D,4,FALSE)&amp;"]"))</f>
        <v/>
      </c>
      <c r="AA300" s="46" t="str">
        <f t="array" ref="AA300">IF('.'!AA300="","",'.'!AA300&amp;IF(VLOOKUP('.'!AA300,Recipes!$A:$D,4,FALSE)="",""," ["&amp;VLOOKUP('.'!AA300,Recipes!$A:$D,4,FALSE)&amp;"]"))</f>
        <v/>
      </c>
      <c r="AB300" s="46" t="str">
        <f t="array" ref="AB300">IF('.'!AB300="","",'.'!AB300&amp;IF(VLOOKUP('.'!AB300,Recipes!$A:$D,4,FALSE)="",""," ["&amp;VLOOKUP('.'!AB300,Recipes!$A:$D,4,FALSE)&amp;"]"))</f>
        <v/>
      </c>
      <c r="AC300" s="46" t="str">
        <f t="array" ref="AC300">IF('.'!AC300="","",'.'!AC300&amp;IF(VLOOKUP('.'!AC300,Recipes!$A:$D,4,FALSE)="",""," ["&amp;VLOOKUP('.'!AC300,Recipes!$A:$D,4,FALSE)&amp;"]"))</f>
        <v/>
      </c>
      <c r="AD300" s="46" t="str">
        <f t="array" ref="AD300">IF('.'!AD300="","",'.'!AD300&amp;IF(VLOOKUP('.'!AD300,Recipes!$A:$D,4,FALSE)="",""," ["&amp;VLOOKUP('.'!AD300,Recipes!$A:$D,4,FALSE)&amp;"]"))</f>
        <v/>
      </c>
      <c r="AE300" s="47"/>
      <c r="AF300" s="47"/>
      <c r="AG300" s="47"/>
      <c r="AH300" s="47"/>
      <c r="AI300" s="47"/>
      <c r="AJ300" s="47"/>
      <c r="AK300" s="47"/>
      <c r="AL300" s="47"/>
      <c r="AM300" s="47"/>
      <c r="AN300" s="47"/>
      <c r="AO300" s="47"/>
      <c r="AP300" s="47"/>
      <c r="AQ300" s="47"/>
      <c r="AR300" s="47"/>
      <c r="AS300" s="47"/>
      <c r="AT300" s="47"/>
      <c r="AU300" s="47"/>
      <c r="AV300" s="47"/>
      <c r="AW300" s="47"/>
      <c r="AX300" s="47"/>
      <c r="AY300" s="47"/>
      <c r="AZ300" s="47"/>
      <c r="BA300" s="47"/>
      <c r="BB300" s="47"/>
      <c r="BC300" s="47"/>
      <c r="BD300" s="47"/>
      <c r="BE300" s="47"/>
      <c r="BF300" s="47"/>
      <c r="BG300" s="47"/>
      <c r="BH300" s="47"/>
      <c r="BI300" s="47"/>
      <c r="BJ300" s="47"/>
      <c r="BK300" s="47"/>
      <c r="BL300" s="47"/>
      <c r="BM300" s="47"/>
      <c r="BN300" s="47"/>
      <c r="BO300" s="47"/>
      <c r="BP300" s="47"/>
      <c r="BQ300" s="47"/>
      <c r="BR300" s="47"/>
      <c r="BS300" s="47"/>
      <c r="BT300" s="47"/>
      <c r="BU300" s="47"/>
      <c r="BV300" s="47"/>
      <c r="BW300" s="47"/>
      <c r="BX300" s="47"/>
      <c r="BY300" s="47"/>
      <c r="BZ300" s="47"/>
    </row>
    <row r="301" spans="1:78" ht="13">
      <c r="A301" s="48" t="str">
        <f ca="1">'.'!A301</f>
        <v>Medium Water Resistance Potion</v>
      </c>
      <c r="B301" s="46" t="str">
        <f t="array" aca="1" ref="B301" ca="1">IF('.'!B301="","",'.'!B301&amp;IF(VLOOKUP('.'!B301,Recipes!$A:$D,4,FALSE)="",""," ["&amp;VLOOKUP('.'!B301,Recipes!$A:$D,4,FALSE)&amp;"]"))</f>
        <v>Large Water Resistance Potion [55]</v>
      </c>
      <c r="C301" s="46" t="str">
        <f t="array" ref="C301">IF('.'!C301="","",'.'!C301&amp;IF(VLOOKUP('.'!C301,Recipes!$A:$D,4,FALSE)="",""," ["&amp;VLOOKUP('.'!C301,Recipes!$A:$D,4,FALSE)&amp;"]"))</f>
        <v/>
      </c>
      <c r="D301" s="46" t="str">
        <f t="array" ref="D301">IF('.'!D301="","",'.'!D301&amp;IF(VLOOKUP('.'!D301,Recipes!$A:$D,4,FALSE)="",""," ["&amp;VLOOKUP('.'!D301,Recipes!$A:$D,4,FALSE)&amp;"]"))</f>
        <v/>
      </c>
      <c r="E301" s="46" t="str">
        <f t="array" ref="E301">IF('.'!E301="","",'.'!E301&amp;IF(VLOOKUP('.'!E301,Recipes!$A:$D,4,FALSE)="",""," ["&amp;VLOOKUP('.'!E301,Recipes!$A:$D,4,FALSE)&amp;"]"))</f>
        <v/>
      </c>
      <c r="F301" s="46" t="str">
        <f t="array" ref="F301">IF('.'!F301="","",'.'!F301&amp;IF(VLOOKUP('.'!F301,Recipes!$A:$D,4,FALSE)="",""," ["&amp;VLOOKUP('.'!F301,Recipes!$A:$D,4,FALSE)&amp;"]"))</f>
        <v/>
      </c>
      <c r="G301" s="46" t="str">
        <f t="array" ref="G301">IF('.'!G301="","",'.'!G301&amp;IF(VLOOKUP('.'!G301,Recipes!$A:$D,4,FALSE)="",""," ["&amp;VLOOKUP('.'!G301,Recipes!$A:$D,4,FALSE)&amp;"]"))</f>
        <v/>
      </c>
      <c r="H301" s="46" t="str">
        <f t="array" ref="H301">IF('.'!H301="","",'.'!H301&amp;IF(VLOOKUP('.'!H301,Recipes!$A:$D,4,FALSE)="",""," ["&amp;VLOOKUP('.'!H301,Recipes!$A:$D,4,FALSE)&amp;"]"))</f>
        <v/>
      </c>
      <c r="I301" s="46" t="str">
        <f t="array" ref="I301">IF('.'!I301="","",'.'!I301&amp;IF(VLOOKUP('.'!I301,Recipes!$A:$D,4,FALSE)="",""," ["&amp;VLOOKUP('.'!I301,Recipes!$A:$D,4,FALSE)&amp;"]"))</f>
        <v/>
      </c>
      <c r="J301" s="46" t="str">
        <f t="array" ref="J301">IF('.'!J301="","",'.'!J301&amp;IF(VLOOKUP('.'!J301,Recipes!$A:$D,4,FALSE)="",""," ["&amp;VLOOKUP('.'!J301,Recipes!$A:$D,4,FALSE)&amp;"]"))</f>
        <v/>
      </c>
      <c r="K301" s="46" t="str">
        <f t="array" ref="K301">IF('.'!K301="","",'.'!K301&amp;IF(VLOOKUP('.'!K301,Recipes!$A:$D,4,FALSE)="",""," ["&amp;VLOOKUP('.'!K301,Recipes!$A:$D,4,FALSE)&amp;"]"))</f>
        <v/>
      </c>
      <c r="L301" s="46" t="str">
        <f t="array" ref="L301">IF('.'!L301="","",'.'!L301&amp;IF(VLOOKUP('.'!L301,Recipes!$A:$D,4,FALSE)="",""," ["&amp;VLOOKUP('.'!L301,Recipes!$A:$D,4,FALSE)&amp;"]"))</f>
        <v/>
      </c>
      <c r="M301" s="46" t="str">
        <f t="array" ref="M301">IF('.'!M301="","",'.'!M301&amp;IF(VLOOKUP('.'!M301,Recipes!$A:$D,4,FALSE)="",""," ["&amp;VLOOKUP('.'!M301,Recipes!$A:$D,4,FALSE)&amp;"]"))</f>
        <v/>
      </c>
      <c r="N301" s="46" t="str">
        <f t="array" ref="N301">IF('.'!N301="","",'.'!N301&amp;IF(VLOOKUP('.'!N301,Recipes!$A:$D,4,FALSE)="",""," ["&amp;VLOOKUP('.'!N301,Recipes!$A:$D,4,FALSE)&amp;"]"))</f>
        <v/>
      </c>
      <c r="O301" s="46" t="str">
        <f t="array" ref="O301">IF('.'!O301="","",'.'!O301&amp;IF(VLOOKUP('.'!O301,Recipes!$A:$D,4,FALSE)="",""," ["&amp;VLOOKUP('.'!O301,Recipes!$A:$D,4,FALSE)&amp;"]"))</f>
        <v/>
      </c>
      <c r="P301" s="46" t="str">
        <f t="array" ref="P301">IF('.'!P301="","",'.'!P301&amp;IF(VLOOKUP('.'!P301,Recipes!$A:$D,4,FALSE)="",""," ["&amp;VLOOKUP('.'!P301,Recipes!$A:$D,4,FALSE)&amp;"]"))</f>
        <v/>
      </c>
      <c r="Q301" s="46" t="str">
        <f t="array" ref="Q301">IF('.'!Q301="","",'.'!Q301&amp;IF(VLOOKUP('.'!Q301,Recipes!$A:$D,4,FALSE)="",""," ["&amp;VLOOKUP('.'!Q301,Recipes!$A:$D,4,FALSE)&amp;"]"))</f>
        <v/>
      </c>
      <c r="R301" s="46" t="str">
        <f t="array" ref="R301">IF('.'!R301="","",'.'!R301&amp;IF(VLOOKUP('.'!R301,Recipes!$A:$D,4,FALSE)="",""," ["&amp;VLOOKUP('.'!R301,Recipes!$A:$D,4,FALSE)&amp;"]"))</f>
        <v/>
      </c>
      <c r="S301" s="46" t="str">
        <f t="array" ref="S301">IF('.'!S301="","",'.'!S301&amp;IF(VLOOKUP('.'!S301,Recipes!$A:$D,4,FALSE)="",""," ["&amp;VLOOKUP('.'!S301,Recipes!$A:$D,4,FALSE)&amp;"]"))</f>
        <v/>
      </c>
      <c r="T301" s="46" t="str">
        <f t="array" ref="T301">IF('.'!T301="","",'.'!T301&amp;IF(VLOOKUP('.'!T301,Recipes!$A:$D,4,FALSE)="",""," ["&amp;VLOOKUP('.'!T301,Recipes!$A:$D,4,FALSE)&amp;"]"))</f>
        <v/>
      </c>
      <c r="U301" s="46" t="str">
        <f t="array" ref="U301">IF('.'!U301="","",'.'!U301&amp;IF(VLOOKUP('.'!U301,Recipes!$A:$D,4,FALSE)="",""," ["&amp;VLOOKUP('.'!U301,Recipes!$A:$D,4,FALSE)&amp;"]"))</f>
        <v/>
      </c>
      <c r="V301" s="46" t="str">
        <f t="array" ref="V301">IF('.'!V301="","",'.'!V301&amp;IF(VLOOKUP('.'!V301,Recipes!$A:$D,4,FALSE)="",""," ["&amp;VLOOKUP('.'!V301,Recipes!$A:$D,4,FALSE)&amp;"]"))</f>
        <v/>
      </c>
      <c r="W301" s="46" t="str">
        <f t="array" ref="W301">IF('.'!W301="","",'.'!W301&amp;IF(VLOOKUP('.'!W301,Recipes!$A:$D,4,FALSE)="",""," ["&amp;VLOOKUP('.'!W301,Recipes!$A:$D,4,FALSE)&amp;"]"))</f>
        <v/>
      </c>
      <c r="X301" s="46" t="str">
        <f t="array" ref="X301">IF('.'!X301="","",'.'!X301&amp;IF(VLOOKUP('.'!X301,Recipes!$A:$D,4,FALSE)="",""," ["&amp;VLOOKUP('.'!X301,Recipes!$A:$D,4,FALSE)&amp;"]"))</f>
        <v/>
      </c>
      <c r="Y301" s="46" t="str">
        <f t="array" ref="Y301">IF('.'!Y301="","",'.'!Y301&amp;IF(VLOOKUP('.'!Y301,Recipes!$A:$D,4,FALSE)="",""," ["&amp;VLOOKUP('.'!Y301,Recipes!$A:$D,4,FALSE)&amp;"]"))</f>
        <v/>
      </c>
      <c r="Z301" s="46" t="str">
        <f t="array" ref="Z301">IF('.'!Z301="","",'.'!Z301&amp;IF(VLOOKUP('.'!Z301,Recipes!$A:$D,4,FALSE)="",""," ["&amp;VLOOKUP('.'!Z301,Recipes!$A:$D,4,FALSE)&amp;"]"))</f>
        <v/>
      </c>
      <c r="AA301" s="46" t="str">
        <f t="array" ref="AA301">IF('.'!AA301="","",'.'!AA301&amp;IF(VLOOKUP('.'!AA301,Recipes!$A:$D,4,FALSE)="",""," ["&amp;VLOOKUP('.'!AA301,Recipes!$A:$D,4,FALSE)&amp;"]"))</f>
        <v/>
      </c>
      <c r="AB301" s="46" t="str">
        <f t="array" ref="AB301">IF('.'!AB301="","",'.'!AB301&amp;IF(VLOOKUP('.'!AB301,Recipes!$A:$D,4,FALSE)="",""," ["&amp;VLOOKUP('.'!AB301,Recipes!$A:$D,4,FALSE)&amp;"]"))</f>
        <v/>
      </c>
      <c r="AC301" s="46" t="str">
        <f t="array" ref="AC301">IF('.'!AC301="","",'.'!AC301&amp;IF(VLOOKUP('.'!AC301,Recipes!$A:$D,4,FALSE)="",""," ["&amp;VLOOKUP('.'!AC301,Recipes!$A:$D,4,FALSE)&amp;"]"))</f>
        <v/>
      </c>
      <c r="AD301" s="46" t="str">
        <f t="array" ref="AD301">IF('.'!AD301="","",'.'!AD301&amp;IF(VLOOKUP('.'!AD301,Recipes!$A:$D,4,FALSE)="",""," ["&amp;VLOOKUP('.'!AD301,Recipes!$A:$D,4,FALSE)&amp;"]"))</f>
        <v/>
      </c>
      <c r="AE301" s="47"/>
      <c r="AF301" s="47"/>
      <c r="AG301" s="47"/>
      <c r="AH301" s="47"/>
      <c r="AI301" s="47"/>
      <c r="AJ301" s="47"/>
      <c r="AK301" s="47"/>
      <c r="AL301" s="47"/>
      <c r="AM301" s="47"/>
      <c r="AN301" s="47"/>
      <c r="AO301" s="47"/>
      <c r="AP301" s="47"/>
      <c r="AQ301" s="47"/>
      <c r="AR301" s="47"/>
      <c r="AS301" s="47"/>
      <c r="AT301" s="47"/>
      <c r="AU301" s="47"/>
      <c r="AV301" s="47"/>
      <c r="AW301" s="47"/>
      <c r="AX301" s="47"/>
      <c r="AY301" s="47"/>
      <c r="AZ301" s="47"/>
      <c r="BA301" s="47"/>
      <c r="BB301" s="47"/>
      <c r="BC301" s="47"/>
      <c r="BD301" s="47"/>
      <c r="BE301" s="47"/>
      <c r="BF301" s="47"/>
      <c r="BG301" s="47"/>
      <c r="BH301" s="47"/>
      <c r="BI301" s="47"/>
      <c r="BJ301" s="47"/>
      <c r="BK301" s="47"/>
      <c r="BL301" s="47"/>
      <c r="BM301" s="47"/>
      <c r="BN301" s="47"/>
      <c r="BO301" s="47"/>
      <c r="BP301" s="47"/>
      <c r="BQ301" s="47"/>
      <c r="BR301" s="47"/>
      <c r="BS301" s="47"/>
      <c r="BT301" s="47"/>
      <c r="BU301" s="47"/>
      <c r="BV301" s="47"/>
      <c r="BW301" s="47"/>
      <c r="BX301" s="47"/>
      <c r="BY301" s="47"/>
      <c r="BZ301" s="47"/>
    </row>
    <row r="302" spans="1:78" ht="13">
      <c r="A302" s="48" t="str">
        <f ca="1">'.'!A302</f>
        <v>Medusa Head Scroll</v>
      </c>
      <c r="B302" s="46" t="str">
        <f t="array" aca="1" ref="B302" ca="1">IF('.'!B302="","",'.'!B302&amp;IF(VLOOKUP('.'!B302,Recipes!$A:$D,4,FALSE)="",""," ["&amp;VLOOKUP('.'!B302,Recipes!$A:$D,4,FALSE)&amp;"]"))</f>
        <v>Medusa Head Skillbook [-60]</v>
      </c>
      <c r="C302" s="46" t="str">
        <f t="array" ref="C302">IF('.'!C302="","",'.'!C302&amp;IF(VLOOKUP('.'!C302,Recipes!$A:$D,4,FALSE)="",""," ["&amp;VLOOKUP('.'!C302,Recipes!$A:$D,4,FALSE)&amp;"]"))</f>
        <v/>
      </c>
      <c r="D302" s="46" t="str">
        <f t="array" ref="D302">IF('.'!D302="","",'.'!D302&amp;IF(VLOOKUP('.'!D302,Recipes!$A:$D,4,FALSE)="",""," ["&amp;VLOOKUP('.'!D302,Recipes!$A:$D,4,FALSE)&amp;"]"))</f>
        <v/>
      </c>
      <c r="E302" s="46" t="str">
        <f t="array" ref="E302">IF('.'!E302="","",'.'!E302&amp;IF(VLOOKUP('.'!E302,Recipes!$A:$D,4,FALSE)="",""," ["&amp;VLOOKUP('.'!E302,Recipes!$A:$D,4,FALSE)&amp;"]"))</f>
        <v/>
      </c>
      <c r="F302" s="46" t="str">
        <f t="array" ref="F302">IF('.'!F302="","",'.'!F302&amp;IF(VLOOKUP('.'!F302,Recipes!$A:$D,4,FALSE)="",""," ["&amp;VLOOKUP('.'!F302,Recipes!$A:$D,4,FALSE)&amp;"]"))</f>
        <v/>
      </c>
      <c r="G302" s="46" t="str">
        <f t="array" ref="G302">IF('.'!G302="","",'.'!G302&amp;IF(VLOOKUP('.'!G302,Recipes!$A:$D,4,FALSE)="",""," ["&amp;VLOOKUP('.'!G302,Recipes!$A:$D,4,FALSE)&amp;"]"))</f>
        <v/>
      </c>
      <c r="H302" s="46" t="str">
        <f t="array" ref="H302">IF('.'!H302="","",'.'!H302&amp;IF(VLOOKUP('.'!H302,Recipes!$A:$D,4,FALSE)="",""," ["&amp;VLOOKUP('.'!H302,Recipes!$A:$D,4,FALSE)&amp;"]"))</f>
        <v/>
      </c>
      <c r="I302" s="46" t="str">
        <f t="array" ref="I302">IF('.'!I302="","",'.'!I302&amp;IF(VLOOKUP('.'!I302,Recipes!$A:$D,4,FALSE)="",""," ["&amp;VLOOKUP('.'!I302,Recipes!$A:$D,4,FALSE)&amp;"]"))</f>
        <v/>
      </c>
      <c r="J302" s="46" t="str">
        <f t="array" ref="J302">IF('.'!J302="","",'.'!J302&amp;IF(VLOOKUP('.'!J302,Recipes!$A:$D,4,FALSE)="",""," ["&amp;VLOOKUP('.'!J302,Recipes!$A:$D,4,FALSE)&amp;"]"))</f>
        <v/>
      </c>
      <c r="K302" s="46" t="str">
        <f t="array" ref="K302">IF('.'!K302="","",'.'!K302&amp;IF(VLOOKUP('.'!K302,Recipes!$A:$D,4,FALSE)="",""," ["&amp;VLOOKUP('.'!K302,Recipes!$A:$D,4,FALSE)&amp;"]"))</f>
        <v/>
      </c>
      <c r="L302" s="46" t="str">
        <f t="array" ref="L302">IF('.'!L302="","",'.'!L302&amp;IF(VLOOKUP('.'!L302,Recipes!$A:$D,4,FALSE)="",""," ["&amp;VLOOKUP('.'!L302,Recipes!$A:$D,4,FALSE)&amp;"]"))</f>
        <v/>
      </c>
      <c r="M302" s="46" t="str">
        <f t="array" ref="M302">IF('.'!M302="","",'.'!M302&amp;IF(VLOOKUP('.'!M302,Recipes!$A:$D,4,FALSE)="",""," ["&amp;VLOOKUP('.'!M302,Recipes!$A:$D,4,FALSE)&amp;"]"))</f>
        <v/>
      </c>
      <c r="N302" s="46" t="str">
        <f t="array" ref="N302">IF('.'!N302="","",'.'!N302&amp;IF(VLOOKUP('.'!N302,Recipes!$A:$D,4,FALSE)="",""," ["&amp;VLOOKUP('.'!N302,Recipes!$A:$D,4,FALSE)&amp;"]"))</f>
        <v/>
      </c>
      <c r="O302" s="46" t="str">
        <f t="array" ref="O302">IF('.'!O302="","",'.'!O302&amp;IF(VLOOKUP('.'!O302,Recipes!$A:$D,4,FALSE)="",""," ["&amp;VLOOKUP('.'!O302,Recipes!$A:$D,4,FALSE)&amp;"]"))</f>
        <v/>
      </c>
      <c r="P302" s="46" t="str">
        <f t="array" ref="P302">IF('.'!P302="","",'.'!P302&amp;IF(VLOOKUP('.'!P302,Recipes!$A:$D,4,FALSE)="",""," ["&amp;VLOOKUP('.'!P302,Recipes!$A:$D,4,FALSE)&amp;"]"))</f>
        <v/>
      </c>
      <c r="Q302" s="46" t="str">
        <f t="array" ref="Q302">IF('.'!Q302="","",'.'!Q302&amp;IF(VLOOKUP('.'!Q302,Recipes!$A:$D,4,FALSE)="",""," ["&amp;VLOOKUP('.'!Q302,Recipes!$A:$D,4,FALSE)&amp;"]"))</f>
        <v/>
      </c>
      <c r="R302" s="46" t="str">
        <f t="array" ref="R302">IF('.'!R302="","",'.'!R302&amp;IF(VLOOKUP('.'!R302,Recipes!$A:$D,4,FALSE)="",""," ["&amp;VLOOKUP('.'!R302,Recipes!$A:$D,4,FALSE)&amp;"]"))</f>
        <v/>
      </c>
      <c r="S302" s="46" t="str">
        <f t="array" ref="S302">IF('.'!S302="","",'.'!S302&amp;IF(VLOOKUP('.'!S302,Recipes!$A:$D,4,FALSE)="",""," ["&amp;VLOOKUP('.'!S302,Recipes!$A:$D,4,FALSE)&amp;"]"))</f>
        <v/>
      </c>
      <c r="T302" s="46" t="str">
        <f t="array" ref="T302">IF('.'!T302="","",'.'!T302&amp;IF(VLOOKUP('.'!T302,Recipes!$A:$D,4,FALSE)="",""," ["&amp;VLOOKUP('.'!T302,Recipes!$A:$D,4,FALSE)&amp;"]"))</f>
        <v/>
      </c>
      <c r="U302" s="46" t="str">
        <f t="array" ref="U302">IF('.'!U302="","",'.'!U302&amp;IF(VLOOKUP('.'!U302,Recipes!$A:$D,4,FALSE)="",""," ["&amp;VLOOKUP('.'!U302,Recipes!$A:$D,4,FALSE)&amp;"]"))</f>
        <v/>
      </c>
      <c r="V302" s="46" t="str">
        <f t="array" ref="V302">IF('.'!V302="","",'.'!V302&amp;IF(VLOOKUP('.'!V302,Recipes!$A:$D,4,FALSE)="",""," ["&amp;VLOOKUP('.'!V302,Recipes!$A:$D,4,FALSE)&amp;"]"))</f>
        <v/>
      </c>
      <c r="W302" s="46" t="str">
        <f t="array" ref="W302">IF('.'!W302="","",'.'!W302&amp;IF(VLOOKUP('.'!W302,Recipes!$A:$D,4,FALSE)="",""," ["&amp;VLOOKUP('.'!W302,Recipes!$A:$D,4,FALSE)&amp;"]"))</f>
        <v/>
      </c>
      <c r="X302" s="46" t="str">
        <f t="array" ref="X302">IF('.'!X302="","",'.'!X302&amp;IF(VLOOKUP('.'!X302,Recipes!$A:$D,4,FALSE)="",""," ["&amp;VLOOKUP('.'!X302,Recipes!$A:$D,4,FALSE)&amp;"]"))</f>
        <v/>
      </c>
      <c r="Y302" s="46" t="str">
        <f t="array" ref="Y302">IF('.'!Y302="","",'.'!Y302&amp;IF(VLOOKUP('.'!Y302,Recipes!$A:$D,4,FALSE)="",""," ["&amp;VLOOKUP('.'!Y302,Recipes!$A:$D,4,FALSE)&amp;"]"))</f>
        <v/>
      </c>
      <c r="Z302" s="46" t="str">
        <f t="array" ref="Z302">IF('.'!Z302="","",'.'!Z302&amp;IF(VLOOKUP('.'!Z302,Recipes!$A:$D,4,FALSE)="",""," ["&amp;VLOOKUP('.'!Z302,Recipes!$A:$D,4,FALSE)&amp;"]"))</f>
        <v/>
      </c>
      <c r="AA302" s="46" t="str">
        <f t="array" ref="AA302">IF('.'!AA302="","",'.'!AA302&amp;IF(VLOOKUP('.'!AA302,Recipes!$A:$D,4,FALSE)="",""," ["&amp;VLOOKUP('.'!AA302,Recipes!$A:$D,4,FALSE)&amp;"]"))</f>
        <v/>
      </c>
      <c r="AB302" s="46" t="str">
        <f t="array" ref="AB302">IF('.'!AB302="","",'.'!AB302&amp;IF(VLOOKUP('.'!AB302,Recipes!$A:$D,4,FALSE)="",""," ["&amp;VLOOKUP('.'!AB302,Recipes!$A:$D,4,FALSE)&amp;"]"))</f>
        <v/>
      </c>
      <c r="AC302" s="46" t="str">
        <f t="array" ref="AC302">IF('.'!AC302="","",'.'!AC302&amp;IF(VLOOKUP('.'!AC302,Recipes!$A:$D,4,FALSE)="",""," ["&amp;VLOOKUP('.'!AC302,Recipes!$A:$D,4,FALSE)&amp;"]"))</f>
        <v/>
      </c>
      <c r="AD302" s="46" t="str">
        <f t="array" ref="AD302">IF('.'!AD302="","",'.'!AD302&amp;IF(VLOOKUP('.'!AD302,Recipes!$A:$D,4,FALSE)="",""," ["&amp;VLOOKUP('.'!AD302,Recipes!$A:$D,4,FALSE)&amp;"]"))</f>
        <v/>
      </c>
      <c r="AE302" s="47"/>
      <c r="AF302" s="47"/>
      <c r="AG302" s="47"/>
      <c r="AH302" s="47"/>
      <c r="AI302" s="47"/>
      <c r="AJ302" s="47"/>
      <c r="AK302" s="47"/>
      <c r="AL302" s="47"/>
      <c r="AM302" s="47"/>
      <c r="AN302" s="47"/>
      <c r="AO302" s="47"/>
      <c r="AP302" s="47"/>
      <c r="AQ302" s="47"/>
      <c r="AR302" s="47"/>
      <c r="AS302" s="47"/>
      <c r="AT302" s="47"/>
      <c r="AU302" s="47"/>
      <c r="AV302" s="47"/>
      <c r="AW302" s="47"/>
      <c r="AX302" s="47"/>
      <c r="AY302" s="47"/>
      <c r="AZ302" s="47"/>
      <c r="BA302" s="47"/>
      <c r="BB302" s="47"/>
      <c r="BC302" s="47"/>
      <c r="BD302" s="47"/>
      <c r="BE302" s="47"/>
      <c r="BF302" s="47"/>
      <c r="BG302" s="47"/>
      <c r="BH302" s="47"/>
      <c r="BI302" s="47"/>
      <c r="BJ302" s="47"/>
      <c r="BK302" s="47"/>
      <c r="BL302" s="47"/>
      <c r="BM302" s="47"/>
      <c r="BN302" s="47"/>
      <c r="BO302" s="47"/>
      <c r="BP302" s="47"/>
      <c r="BQ302" s="47"/>
      <c r="BR302" s="47"/>
      <c r="BS302" s="47"/>
      <c r="BT302" s="47"/>
      <c r="BU302" s="47"/>
      <c r="BV302" s="47"/>
      <c r="BW302" s="47"/>
      <c r="BX302" s="47"/>
      <c r="BY302" s="47"/>
      <c r="BZ302" s="47"/>
    </row>
    <row r="303" spans="1:78" ht="13">
      <c r="A303" s="48" t="str">
        <f ca="1">'.'!A303</f>
        <v>Mend Metal Scroll</v>
      </c>
      <c r="B303" s="46" t="str">
        <f t="array" aca="1" ref="B303" ca="1">IF('.'!B303="","",'.'!B303&amp;IF(VLOOKUP('.'!B303,Recipes!$A:$D,4,FALSE)="",""," ["&amp;VLOOKUP('.'!B303,Recipes!$A:$D,4,FALSE)&amp;"]"))</f>
        <v>Mend Metal Skillbook [-160]</v>
      </c>
      <c r="C303" s="46" t="str">
        <f t="array" ref="C303">IF('.'!C303="","",'.'!C303&amp;IF(VLOOKUP('.'!C303,Recipes!$A:$D,4,FALSE)="",""," ["&amp;VLOOKUP('.'!C303,Recipes!$A:$D,4,FALSE)&amp;"]"))</f>
        <v/>
      </c>
      <c r="D303" s="46" t="str">
        <f t="array" ref="D303">IF('.'!D303="","",'.'!D303&amp;IF(VLOOKUP('.'!D303,Recipes!$A:$D,4,FALSE)="",""," ["&amp;VLOOKUP('.'!D303,Recipes!$A:$D,4,FALSE)&amp;"]"))</f>
        <v/>
      </c>
      <c r="E303" s="46" t="str">
        <f t="array" ref="E303">IF('.'!E303="","",'.'!E303&amp;IF(VLOOKUP('.'!E303,Recipes!$A:$D,4,FALSE)="",""," ["&amp;VLOOKUP('.'!E303,Recipes!$A:$D,4,FALSE)&amp;"]"))</f>
        <v/>
      </c>
      <c r="F303" s="46" t="str">
        <f t="array" ref="F303">IF('.'!F303="","",'.'!F303&amp;IF(VLOOKUP('.'!F303,Recipes!$A:$D,4,FALSE)="",""," ["&amp;VLOOKUP('.'!F303,Recipes!$A:$D,4,FALSE)&amp;"]"))</f>
        <v/>
      </c>
      <c r="G303" s="46" t="str">
        <f t="array" ref="G303">IF('.'!G303="","",'.'!G303&amp;IF(VLOOKUP('.'!G303,Recipes!$A:$D,4,FALSE)="",""," ["&amp;VLOOKUP('.'!G303,Recipes!$A:$D,4,FALSE)&amp;"]"))</f>
        <v/>
      </c>
      <c r="H303" s="46" t="str">
        <f t="array" ref="H303">IF('.'!H303="","",'.'!H303&amp;IF(VLOOKUP('.'!H303,Recipes!$A:$D,4,FALSE)="",""," ["&amp;VLOOKUP('.'!H303,Recipes!$A:$D,4,FALSE)&amp;"]"))</f>
        <v/>
      </c>
      <c r="I303" s="46" t="str">
        <f t="array" ref="I303">IF('.'!I303="","",'.'!I303&amp;IF(VLOOKUP('.'!I303,Recipes!$A:$D,4,FALSE)="",""," ["&amp;VLOOKUP('.'!I303,Recipes!$A:$D,4,FALSE)&amp;"]"))</f>
        <v/>
      </c>
      <c r="J303" s="46" t="str">
        <f t="array" ref="J303">IF('.'!J303="","",'.'!J303&amp;IF(VLOOKUP('.'!J303,Recipes!$A:$D,4,FALSE)="",""," ["&amp;VLOOKUP('.'!J303,Recipes!$A:$D,4,FALSE)&amp;"]"))</f>
        <v/>
      </c>
      <c r="K303" s="46" t="str">
        <f t="array" ref="K303">IF('.'!K303="","",'.'!K303&amp;IF(VLOOKUP('.'!K303,Recipes!$A:$D,4,FALSE)="",""," ["&amp;VLOOKUP('.'!K303,Recipes!$A:$D,4,FALSE)&amp;"]"))</f>
        <v/>
      </c>
      <c r="L303" s="46" t="str">
        <f t="array" ref="L303">IF('.'!L303="","",'.'!L303&amp;IF(VLOOKUP('.'!L303,Recipes!$A:$D,4,FALSE)="",""," ["&amp;VLOOKUP('.'!L303,Recipes!$A:$D,4,FALSE)&amp;"]"))</f>
        <v/>
      </c>
      <c r="M303" s="46" t="str">
        <f t="array" ref="M303">IF('.'!M303="","",'.'!M303&amp;IF(VLOOKUP('.'!M303,Recipes!$A:$D,4,FALSE)="",""," ["&amp;VLOOKUP('.'!M303,Recipes!$A:$D,4,FALSE)&amp;"]"))</f>
        <v/>
      </c>
      <c r="N303" s="46" t="str">
        <f t="array" ref="N303">IF('.'!N303="","",'.'!N303&amp;IF(VLOOKUP('.'!N303,Recipes!$A:$D,4,FALSE)="",""," ["&amp;VLOOKUP('.'!N303,Recipes!$A:$D,4,FALSE)&amp;"]"))</f>
        <v/>
      </c>
      <c r="O303" s="46" t="str">
        <f t="array" ref="O303">IF('.'!O303="","",'.'!O303&amp;IF(VLOOKUP('.'!O303,Recipes!$A:$D,4,FALSE)="",""," ["&amp;VLOOKUP('.'!O303,Recipes!$A:$D,4,FALSE)&amp;"]"))</f>
        <v/>
      </c>
      <c r="P303" s="46" t="str">
        <f t="array" ref="P303">IF('.'!P303="","",'.'!P303&amp;IF(VLOOKUP('.'!P303,Recipes!$A:$D,4,FALSE)="",""," ["&amp;VLOOKUP('.'!P303,Recipes!$A:$D,4,FALSE)&amp;"]"))</f>
        <v/>
      </c>
      <c r="Q303" s="46" t="str">
        <f t="array" ref="Q303">IF('.'!Q303="","",'.'!Q303&amp;IF(VLOOKUP('.'!Q303,Recipes!$A:$D,4,FALSE)="",""," ["&amp;VLOOKUP('.'!Q303,Recipes!$A:$D,4,FALSE)&amp;"]"))</f>
        <v/>
      </c>
      <c r="R303" s="46" t="str">
        <f t="array" ref="R303">IF('.'!R303="","",'.'!R303&amp;IF(VLOOKUP('.'!R303,Recipes!$A:$D,4,FALSE)="",""," ["&amp;VLOOKUP('.'!R303,Recipes!$A:$D,4,FALSE)&amp;"]"))</f>
        <v/>
      </c>
      <c r="S303" s="46" t="str">
        <f t="array" ref="S303">IF('.'!S303="","",'.'!S303&amp;IF(VLOOKUP('.'!S303,Recipes!$A:$D,4,FALSE)="",""," ["&amp;VLOOKUP('.'!S303,Recipes!$A:$D,4,FALSE)&amp;"]"))</f>
        <v/>
      </c>
      <c r="T303" s="46" t="str">
        <f t="array" ref="T303">IF('.'!T303="","",'.'!T303&amp;IF(VLOOKUP('.'!T303,Recipes!$A:$D,4,FALSE)="",""," ["&amp;VLOOKUP('.'!T303,Recipes!$A:$D,4,FALSE)&amp;"]"))</f>
        <v/>
      </c>
      <c r="U303" s="46" t="str">
        <f t="array" ref="U303">IF('.'!U303="","",'.'!U303&amp;IF(VLOOKUP('.'!U303,Recipes!$A:$D,4,FALSE)="",""," ["&amp;VLOOKUP('.'!U303,Recipes!$A:$D,4,FALSE)&amp;"]"))</f>
        <v/>
      </c>
      <c r="V303" s="46" t="str">
        <f t="array" ref="V303">IF('.'!V303="","",'.'!V303&amp;IF(VLOOKUP('.'!V303,Recipes!$A:$D,4,FALSE)="",""," ["&amp;VLOOKUP('.'!V303,Recipes!$A:$D,4,FALSE)&amp;"]"))</f>
        <v/>
      </c>
      <c r="W303" s="46" t="str">
        <f t="array" ref="W303">IF('.'!W303="","",'.'!W303&amp;IF(VLOOKUP('.'!W303,Recipes!$A:$D,4,FALSE)="",""," ["&amp;VLOOKUP('.'!W303,Recipes!$A:$D,4,FALSE)&amp;"]"))</f>
        <v/>
      </c>
      <c r="X303" s="46" t="str">
        <f t="array" ref="X303">IF('.'!X303="","",'.'!X303&amp;IF(VLOOKUP('.'!X303,Recipes!$A:$D,4,FALSE)="",""," ["&amp;VLOOKUP('.'!X303,Recipes!$A:$D,4,FALSE)&amp;"]"))</f>
        <v/>
      </c>
      <c r="Y303" s="46" t="str">
        <f t="array" ref="Y303">IF('.'!Y303="","",'.'!Y303&amp;IF(VLOOKUP('.'!Y303,Recipes!$A:$D,4,FALSE)="",""," ["&amp;VLOOKUP('.'!Y303,Recipes!$A:$D,4,FALSE)&amp;"]"))</f>
        <v/>
      </c>
      <c r="Z303" s="46" t="str">
        <f t="array" ref="Z303">IF('.'!Z303="","",'.'!Z303&amp;IF(VLOOKUP('.'!Z303,Recipes!$A:$D,4,FALSE)="",""," ["&amp;VLOOKUP('.'!Z303,Recipes!$A:$D,4,FALSE)&amp;"]"))</f>
        <v/>
      </c>
      <c r="AA303" s="46" t="str">
        <f t="array" ref="AA303">IF('.'!AA303="","",'.'!AA303&amp;IF(VLOOKUP('.'!AA303,Recipes!$A:$D,4,FALSE)="",""," ["&amp;VLOOKUP('.'!AA303,Recipes!$A:$D,4,FALSE)&amp;"]"))</f>
        <v/>
      </c>
      <c r="AB303" s="46" t="str">
        <f t="array" ref="AB303">IF('.'!AB303="","",'.'!AB303&amp;IF(VLOOKUP('.'!AB303,Recipes!$A:$D,4,FALSE)="",""," ["&amp;VLOOKUP('.'!AB303,Recipes!$A:$D,4,FALSE)&amp;"]"))</f>
        <v/>
      </c>
      <c r="AC303" s="46" t="str">
        <f t="array" ref="AC303">IF('.'!AC303="","",'.'!AC303&amp;IF(VLOOKUP('.'!AC303,Recipes!$A:$D,4,FALSE)="",""," ["&amp;VLOOKUP('.'!AC303,Recipes!$A:$D,4,FALSE)&amp;"]"))</f>
        <v/>
      </c>
      <c r="AD303" s="46" t="str">
        <f t="array" ref="AD303">IF('.'!AD303="","",'.'!AD303&amp;IF(VLOOKUP('.'!AD303,Recipes!$A:$D,4,FALSE)="",""," ["&amp;VLOOKUP('.'!AD303,Recipes!$A:$D,4,FALSE)&amp;"]"))</f>
        <v/>
      </c>
      <c r="AE303" s="47"/>
      <c r="AF303" s="47"/>
      <c r="AG303" s="47"/>
      <c r="AH303" s="47"/>
      <c r="AI303" s="47"/>
      <c r="AJ303" s="47"/>
      <c r="AK303" s="47"/>
      <c r="AL303" s="47"/>
      <c r="AM303" s="47"/>
      <c r="AN303" s="47"/>
      <c r="AO303" s="47"/>
      <c r="AP303" s="47"/>
      <c r="AQ303" s="47"/>
      <c r="AR303" s="47"/>
      <c r="AS303" s="47"/>
      <c r="AT303" s="47"/>
      <c r="AU303" s="47"/>
      <c r="AV303" s="47"/>
      <c r="AW303" s="47"/>
      <c r="AX303" s="47"/>
      <c r="AY303" s="47"/>
      <c r="AZ303" s="47"/>
      <c r="BA303" s="47"/>
      <c r="BB303" s="47"/>
      <c r="BC303" s="47"/>
      <c r="BD303" s="47"/>
      <c r="BE303" s="47"/>
      <c r="BF303" s="47"/>
      <c r="BG303" s="47"/>
      <c r="BH303" s="47"/>
      <c r="BI303" s="47"/>
      <c r="BJ303" s="47"/>
      <c r="BK303" s="47"/>
      <c r="BL303" s="47"/>
      <c r="BM303" s="47"/>
      <c r="BN303" s="47"/>
      <c r="BO303" s="47"/>
      <c r="BP303" s="47"/>
      <c r="BQ303" s="47"/>
      <c r="BR303" s="47"/>
      <c r="BS303" s="47"/>
      <c r="BT303" s="47"/>
      <c r="BU303" s="47"/>
      <c r="BV303" s="47"/>
      <c r="BW303" s="47"/>
      <c r="BX303" s="47"/>
      <c r="BY303" s="47"/>
      <c r="BZ303" s="47"/>
    </row>
    <row r="304" spans="1:78" ht="13">
      <c r="A304" s="48" t="str">
        <f ca="1">'.'!A304</f>
        <v>Metal</v>
      </c>
      <c r="B304" s="46" t="e">
        <f t="array" aca="1" ref="B304" ca="1">IF('.'!B304="","",'.'!B304&amp;IF(VLOOKUP('.'!B304,Recipes!$A:$D,4,FALSE)="",""," ["&amp;VLOOKUP('.'!B304,Recipes!$A:$D,4,FALSE)&amp;"]"))</f>
        <v>#VALUE!</v>
      </c>
      <c r="C304" s="46" t="e">
        <f t="array" aca="1" ref="C304" ca="1">IF('.'!C304="","",'.'!C304&amp;IF(VLOOKUP('.'!C304,Recipes!$A:$D,4,FALSE)="",""," ["&amp;VLOOKUP('.'!C304,Recipes!$A:$D,4,FALSE)&amp;"]"))</f>
        <v>#VALUE!</v>
      </c>
      <c r="D304" s="46" t="str">
        <f t="array" ref="D304">IF('.'!D304="","",'.'!D304&amp;IF(VLOOKUP('.'!D304,Recipes!$A:$D,4,FALSE)="",""," ["&amp;VLOOKUP('.'!D304,Recipes!$A:$D,4,FALSE)&amp;"]"))</f>
        <v/>
      </c>
      <c r="E304" s="46" t="str">
        <f t="array" ref="E304">IF('.'!E304="","",'.'!E304&amp;IF(VLOOKUP('.'!E304,Recipes!$A:$D,4,FALSE)="",""," ["&amp;VLOOKUP('.'!E304,Recipes!$A:$D,4,FALSE)&amp;"]"))</f>
        <v/>
      </c>
      <c r="F304" s="46" t="str">
        <f t="array" ref="F304">IF('.'!F304="","",'.'!F304&amp;IF(VLOOKUP('.'!F304,Recipes!$A:$D,4,FALSE)="",""," ["&amp;VLOOKUP('.'!F304,Recipes!$A:$D,4,FALSE)&amp;"]"))</f>
        <v/>
      </c>
      <c r="G304" s="46" t="str">
        <f t="array" ref="G304">IF('.'!G304="","",'.'!G304&amp;IF(VLOOKUP('.'!G304,Recipes!$A:$D,4,FALSE)="",""," ["&amp;VLOOKUP('.'!G304,Recipes!$A:$D,4,FALSE)&amp;"]"))</f>
        <v/>
      </c>
      <c r="H304" s="46" t="str">
        <f t="array" ref="H304">IF('.'!H304="","",'.'!H304&amp;IF(VLOOKUP('.'!H304,Recipes!$A:$D,4,FALSE)="",""," ["&amp;VLOOKUP('.'!H304,Recipes!$A:$D,4,FALSE)&amp;"]"))</f>
        <v/>
      </c>
      <c r="I304" s="46" t="str">
        <f t="array" ref="I304">IF('.'!I304="","",'.'!I304&amp;IF(VLOOKUP('.'!I304,Recipes!$A:$D,4,FALSE)="",""," ["&amp;VLOOKUP('.'!I304,Recipes!$A:$D,4,FALSE)&amp;"]"))</f>
        <v/>
      </c>
      <c r="J304" s="46" t="str">
        <f t="array" ref="J304">IF('.'!J304="","",'.'!J304&amp;IF(VLOOKUP('.'!J304,Recipes!$A:$D,4,FALSE)="",""," ["&amp;VLOOKUP('.'!J304,Recipes!$A:$D,4,FALSE)&amp;"]"))</f>
        <v/>
      </c>
      <c r="K304" s="46" t="str">
        <f t="array" ref="K304">IF('.'!K304="","",'.'!K304&amp;IF(VLOOKUP('.'!K304,Recipes!$A:$D,4,FALSE)="",""," ["&amp;VLOOKUP('.'!K304,Recipes!$A:$D,4,FALSE)&amp;"]"))</f>
        <v/>
      </c>
      <c r="L304" s="46" t="str">
        <f t="array" ref="L304">IF('.'!L304="","",'.'!L304&amp;IF(VLOOKUP('.'!L304,Recipes!$A:$D,4,FALSE)="",""," ["&amp;VLOOKUP('.'!L304,Recipes!$A:$D,4,FALSE)&amp;"]"))</f>
        <v/>
      </c>
      <c r="M304" s="46" t="str">
        <f t="array" ref="M304">IF('.'!M304="","",'.'!M304&amp;IF(VLOOKUP('.'!M304,Recipes!$A:$D,4,FALSE)="",""," ["&amp;VLOOKUP('.'!M304,Recipes!$A:$D,4,FALSE)&amp;"]"))</f>
        <v/>
      </c>
      <c r="N304" s="46" t="str">
        <f t="array" ref="N304">IF('.'!N304="","",'.'!N304&amp;IF(VLOOKUP('.'!N304,Recipes!$A:$D,4,FALSE)="",""," ["&amp;VLOOKUP('.'!N304,Recipes!$A:$D,4,FALSE)&amp;"]"))</f>
        <v/>
      </c>
      <c r="O304" s="46" t="str">
        <f t="array" ref="O304">IF('.'!O304="","",'.'!O304&amp;IF(VLOOKUP('.'!O304,Recipes!$A:$D,4,FALSE)="",""," ["&amp;VLOOKUP('.'!O304,Recipes!$A:$D,4,FALSE)&amp;"]"))</f>
        <v/>
      </c>
      <c r="P304" s="46" t="str">
        <f t="array" ref="P304">IF('.'!P304="","",'.'!P304&amp;IF(VLOOKUP('.'!P304,Recipes!$A:$D,4,FALSE)="",""," ["&amp;VLOOKUP('.'!P304,Recipes!$A:$D,4,FALSE)&amp;"]"))</f>
        <v/>
      </c>
      <c r="Q304" s="46" t="str">
        <f t="array" ref="Q304">IF('.'!Q304="","",'.'!Q304&amp;IF(VLOOKUP('.'!Q304,Recipes!$A:$D,4,FALSE)="",""," ["&amp;VLOOKUP('.'!Q304,Recipes!$A:$D,4,FALSE)&amp;"]"))</f>
        <v/>
      </c>
      <c r="R304" s="46" t="str">
        <f t="array" ref="R304">IF('.'!R304="","",'.'!R304&amp;IF(VLOOKUP('.'!R304,Recipes!$A:$D,4,FALSE)="",""," ["&amp;VLOOKUP('.'!R304,Recipes!$A:$D,4,FALSE)&amp;"]"))</f>
        <v/>
      </c>
      <c r="S304" s="46" t="str">
        <f t="array" ref="S304">IF('.'!S304="","",'.'!S304&amp;IF(VLOOKUP('.'!S304,Recipes!$A:$D,4,FALSE)="",""," ["&amp;VLOOKUP('.'!S304,Recipes!$A:$D,4,FALSE)&amp;"]"))</f>
        <v/>
      </c>
      <c r="T304" s="46" t="str">
        <f t="array" ref="T304">IF('.'!T304="","",'.'!T304&amp;IF(VLOOKUP('.'!T304,Recipes!$A:$D,4,FALSE)="",""," ["&amp;VLOOKUP('.'!T304,Recipes!$A:$D,4,FALSE)&amp;"]"))</f>
        <v/>
      </c>
      <c r="U304" s="46" t="str">
        <f t="array" ref="U304">IF('.'!U304="","",'.'!U304&amp;IF(VLOOKUP('.'!U304,Recipes!$A:$D,4,FALSE)="",""," ["&amp;VLOOKUP('.'!U304,Recipes!$A:$D,4,FALSE)&amp;"]"))</f>
        <v/>
      </c>
      <c r="V304" s="46" t="str">
        <f t="array" ref="V304">IF('.'!V304="","",'.'!V304&amp;IF(VLOOKUP('.'!V304,Recipes!$A:$D,4,FALSE)="",""," ["&amp;VLOOKUP('.'!V304,Recipes!$A:$D,4,FALSE)&amp;"]"))</f>
        <v/>
      </c>
      <c r="W304" s="46" t="str">
        <f t="array" ref="W304">IF('.'!W304="","",'.'!W304&amp;IF(VLOOKUP('.'!W304,Recipes!$A:$D,4,FALSE)="",""," ["&amp;VLOOKUP('.'!W304,Recipes!$A:$D,4,FALSE)&amp;"]"))</f>
        <v/>
      </c>
      <c r="X304" s="46" t="str">
        <f t="array" ref="X304">IF('.'!X304="","",'.'!X304&amp;IF(VLOOKUP('.'!X304,Recipes!$A:$D,4,FALSE)="",""," ["&amp;VLOOKUP('.'!X304,Recipes!$A:$D,4,FALSE)&amp;"]"))</f>
        <v/>
      </c>
      <c r="Y304" s="46" t="str">
        <f t="array" ref="Y304">IF('.'!Y304="","",'.'!Y304&amp;IF(VLOOKUP('.'!Y304,Recipes!$A:$D,4,FALSE)="",""," ["&amp;VLOOKUP('.'!Y304,Recipes!$A:$D,4,FALSE)&amp;"]"))</f>
        <v/>
      </c>
      <c r="Z304" s="46" t="str">
        <f t="array" ref="Z304">IF('.'!Z304="","",'.'!Z304&amp;IF(VLOOKUP('.'!Z304,Recipes!$A:$D,4,FALSE)="",""," ["&amp;VLOOKUP('.'!Z304,Recipes!$A:$D,4,FALSE)&amp;"]"))</f>
        <v/>
      </c>
      <c r="AA304" s="46" t="str">
        <f t="array" ref="AA304">IF('.'!AA304="","",'.'!AA304&amp;IF(VLOOKUP('.'!AA304,Recipes!$A:$D,4,FALSE)="",""," ["&amp;VLOOKUP('.'!AA304,Recipes!$A:$D,4,FALSE)&amp;"]"))</f>
        <v/>
      </c>
      <c r="AB304" s="46" t="str">
        <f t="array" ref="AB304">IF('.'!AB304="","",'.'!AB304&amp;IF(VLOOKUP('.'!AB304,Recipes!$A:$D,4,FALSE)="",""," ["&amp;VLOOKUP('.'!AB304,Recipes!$A:$D,4,FALSE)&amp;"]"))</f>
        <v/>
      </c>
      <c r="AC304" s="46" t="str">
        <f t="array" ref="AC304">IF('.'!AC304="","",'.'!AC304&amp;IF(VLOOKUP('.'!AC304,Recipes!$A:$D,4,FALSE)="",""," ["&amp;VLOOKUP('.'!AC304,Recipes!$A:$D,4,FALSE)&amp;"]"))</f>
        <v/>
      </c>
      <c r="AD304" s="46" t="str">
        <f t="array" ref="AD304">IF('.'!AD304="","",'.'!AD304&amp;IF(VLOOKUP('.'!AD304,Recipes!$A:$D,4,FALSE)="",""," ["&amp;VLOOKUP('.'!AD304,Recipes!$A:$D,4,FALSE)&amp;"]"))</f>
        <v/>
      </c>
      <c r="AE304" s="47"/>
      <c r="AF304" s="47"/>
      <c r="AG304" s="47"/>
      <c r="AH304" s="47"/>
      <c r="AI304" s="47"/>
      <c r="AJ304" s="47"/>
      <c r="AK304" s="47"/>
      <c r="AL304" s="47"/>
      <c r="AM304" s="47"/>
      <c r="AN304" s="47"/>
      <c r="AO304" s="47"/>
      <c r="AP304" s="47"/>
      <c r="AQ304" s="47"/>
      <c r="AR304" s="47"/>
      <c r="AS304" s="47"/>
      <c r="AT304" s="47"/>
      <c r="AU304" s="47"/>
      <c r="AV304" s="47"/>
      <c r="AW304" s="47"/>
      <c r="AX304" s="47"/>
      <c r="AY304" s="47"/>
      <c r="AZ304" s="47"/>
      <c r="BA304" s="47"/>
      <c r="BB304" s="47"/>
      <c r="BC304" s="47"/>
      <c r="BD304" s="47"/>
      <c r="BE304" s="47"/>
      <c r="BF304" s="47"/>
      <c r="BG304" s="47"/>
      <c r="BH304" s="47"/>
      <c r="BI304" s="47"/>
      <c r="BJ304" s="47"/>
      <c r="BK304" s="47"/>
      <c r="BL304" s="47"/>
      <c r="BM304" s="47"/>
      <c r="BN304" s="47"/>
      <c r="BO304" s="47"/>
      <c r="BP304" s="47"/>
      <c r="BQ304" s="47"/>
      <c r="BR304" s="47"/>
      <c r="BS304" s="47"/>
      <c r="BT304" s="47"/>
      <c r="BU304" s="47"/>
      <c r="BV304" s="47"/>
      <c r="BW304" s="47"/>
      <c r="BX304" s="47"/>
      <c r="BY304" s="47"/>
      <c r="BZ304" s="47"/>
    </row>
    <row r="305" spans="1:78" ht="13">
      <c r="A305" s="48" t="str">
        <f ca="1">'.'!A305</f>
        <v>Metal Scraps</v>
      </c>
      <c r="B305" s="46" t="str">
        <f t="array" aca="1" ref="B305" ca="1">IF('.'!B305="","",'.'!B305&amp;IF(VLOOKUP('.'!B305,Recipes!$A:$D,4,FALSE)="",""," ["&amp;VLOOKUP('.'!B305,Recipes!$A:$D,4,FALSE)&amp;"]"))</f>
        <v>Armour of the Eternals [V]</v>
      </c>
      <c r="C305" s="46" t="str">
        <f t="array" aca="1" ref="C305" ca="1">IF('.'!C305="","",'.'!C305&amp;IF(VLOOKUP('.'!C305,Recipes!$A:$D,4,FALSE)="",""," ["&amp;VLOOKUP('.'!C305,Recipes!$A:$D,4,FALSE)&amp;"]"))</f>
        <v>Handmade Mail Armour [V]</v>
      </c>
      <c r="D305" s="46" t="str">
        <f t="array" aca="1" ref="D305" ca="1">IF('.'!D305="","",'.'!D305&amp;IF(VLOOKUP('.'!D305,Recipes!$A:$D,4,FALSE)="",""," ["&amp;VLOOKUP('.'!D305,Recipes!$A:$D,4,FALSE)&amp;"]"))</f>
        <v>Makeshift Shield [V]</v>
      </c>
      <c r="E305" s="46" t="str">
        <f t="array" aca="1" ref="E305" ca="1">IF('.'!E305="","",'.'!E305&amp;IF(VLOOKUP('.'!E305,Recipes!$A:$D,4,FALSE)="",""," ["&amp;VLOOKUP('.'!E305,Recipes!$A:$D,4,FALSE)&amp;"]"))</f>
        <v>Handmade Sword [V]</v>
      </c>
      <c r="F305" s="46" t="str">
        <f t="array" ref="F305">IF('.'!F305="","",'.'!F305&amp;IF(VLOOKUP('.'!F305,Recipes!$A:$D,4,FALSE)="",""," ["&amp;VLOOKUP('.'!F305,Recipes!$A:$D,4,FALSE)&amp;"]"))</f>
        <v/>
      </c>
      <c r="G305" s="46" t="str">
        <f t="array" ref="G305">IF('.'!G305="","",'.'!G305&amp;IF(VLOOKUP('.'!G305,Recipes!$A:$D,4,FALSE)="",""," ["&amp;VLOOKUP('.'!G305,Recipes!$A:$D,4,FALSE)&amp;"]"))</f>
        <v/>
      </c>
      <c r="H305" s="46" t="str">
        <f t="array" ref="H305">IF('.'!H305="","",'.'!H305&amp;IF(VLOOKUP('.'!H305,Recipes!$A:$D,4,FALSE)="",""," ["&amp;VLOOKUP('.'!H305,Recipes!$A:$D,4,FALSE)&amp;"]"))</f>
        <v/>
      </c>
      <c r="I305" s="46" t="str">
        <f t="array" ref="I305">IF('.'!I305="","",'.'!I305&amp;IF(VLOOKUP('.'!I305,Recipes!$A:$D,4,FALSE)="",""," ["&amp;VLOOKUP('.'!I305,Recipes!$A:$D,4,FALSE)&amp;"]"))</f>
        <v/>
      </c>
      <c r="J305" s="46" t="str">
        <f t="array" ref="J305">IF('.'!J305="","",'.'!J305&amp;IF(VLOOKUP('.'!J305,Recipes!$A:$D,4,FALSE)="",""," ["&amp;VLOOKUP('.'!J305,Recipes!$A:$D,4,FALSE)&amp;"]"))</f>
        <v/>
      </c>
      <c r="K305" s="46" t="str">
        <f t="array" ref="K305">IF('.'!K305="","",'.'!K305&amp;IF(VLOOKUP('.'!K305,Recipes!$A:$D,4,FALSE)="",""," ["&amp;VLOOKUP('.'!K305,Recipes!$A:$D,4,FALSE)&amp;"]"))</f>
        <v/>
      </c>
      <c r="L305" s="46" t="str">
        <f t="array" ref="L305">IF('.'!L305="","",'.'!L305&amp;IF(VLOOKUP('.'!L305,Recipes!$A:$D,4,FALSE)="",""," ["&amp;VLOOKUP('.'!L305,Recipes!$A:$D,4,FALSE)&amp;"]"))</f>
        <v/>
      </c>
      <c r="M305" s="46" t="str">
        <f t="array" ref="M305">IF('.'!M305="","",'.'!M305&amp;IF(VLOOKUP('.'!M305,Recipes!$A:$D,4,FALSE)="",""," ["&amp;VLOOKUP('.'!M305,Recipes!$A:$D,4,FALSE)&amp;"]"))</f>
        <v/>
      </c>
      <c r="N305" s="46" t="str">
        <f t="array" ref="N305">IF('.'!N305="","",'.'!N305&amp;IF(VLOOKUP('.'!N305,Recipes!$A:$D,4,FALSE)="",""," ["&amp;VLOOKUP('.'!N305,Recipes!$A:$D,4,FALSE)&amp;"]"))</f>
        <v/>
      </c>
      <c r="O305" s="46" t="str">
        <f t="array" ref="O305">IF('.'!O305="","",'.'!O305&amp;IF(VLOOKUP('.'!O305,Recipes!$A:$D,4,FALSE)="",""," ["&amp;VLOOKUP('.'!O305,Recipes!$A:$D,4,FALSE)&amp;"]"))</f>
        <v/>
      </c>
      <c r="P305" s="46" t="str">
        <f t="array" ref="P305">IF('.'!P305="","",'.'!P305&amp;IF(VLOOKUP('.'!P305,Recipes!$A:$D,4,FALSE)="",""," ["&amp;VLOOKUP('.'!P305,Recipes!$A:$D,4,FALSE)&amp;"]"))</f>
        <v/>
      </c>
      <c r="Q305" s="46" t="str">
        <f t="array" ref="Q305">IF('.'!Q305="","",'.'!Q305&amp;IF(VLOOKUP('.'!Q305,Recipes!$A:$D,4,FALSE)="",""," ["&amp;VLOOKUP('.'!Q305,Recipes!$A:$D,4,FALSE)&amp;"]"))</f>
        <v/>
      </c>
      <c r="R305" s="46" t="str">
        <f t="array" ref="R305">IF('.'!R305="","",'.'!R305&amp;IF(VLOOKUP('.'!R305,Recipes!$A:$D,4,FALSE)="",""," ["&amp;VLOOKUP('.'!R305,Recipes!$A:$D,4,FALSE)&amp;"]"))</f>
        <v/>
      </c>
      <c r="S305" s="46" t="str">
        <f t="array" ref="S305">IF('.'!S305="","",'.'!S305&amp;IF(VLOOKUP('.'!S305,Recipes!$A:$D,4,FALSE)="",""," ["&amp;VLOOKUP('.'!S305,Recipes!$A:$D,4,FALSE)&amp;"]"))</f>
        <v/>
      </c>
      <c r="T305" s="46" t="str">
        <f t="array" ref="T305">IF('.'!T305="","",'.'!T305&amp;IF(VLOOKUP('.'!T305,Recipes!$A:$D,4,FALSE)="",""," ["&amp;VLOOKUP('.'!T305,Recipes!$A:$D,4,FALSE)&amp;"]"))</f>
        <v/>
      </c>
      <c r="U305" s="46" t="str">
        <f t="array" ref="U305">IF('.'!U305="","",'.'!U305&amp;IF(VLOOKUP('.'!U305,Recipes!$A:$D,4,FALSE)="",""," ["&amp;VLOOKUP('.'!U305,Recipes!$A:$D,4,FALSE)&amp;"]"))</f>
        <v/>
      </c>
      <c r="V305" s="46" t="str">
        <f t="array" ref="V305">IF('.'!V305="","",'.'!V305&amp;IF(VLOOKUP('.'!V305,Recipes!$A:$D,4,FALSE)="",""," ["&amp;VLOOKUP('.'!V305,Recipes!$A:$D,4,FALSE)&amp;"]"))</f>
        <v/>
      </c>
      <c r="W305" s="46" t="str">
        <f t="array" ref="W305">IF('.'!W305="","",'.'!W305&amp;IF(VLOOKUP('.'!W305,Recipes!$A:$D,4,FALSE)="",""," ["&amp;VLOOKUP('.'!W305,Recipes!$A:$D,4,FALSE)&amp;"]"))</f>
        <v/>
      </c>
      <c r="X305" s="46" t="str">
        <f t="array" ref="X305">IF('.'!X305="","",'.'!X305&amp;IF(VLOOKUP('.'!X305,Recipes!$A:$D,4,FALSE)="",""," ["&amp;VLOOKUP('.'!X305,Recipes!$A:$D,4,FALSE)&amp;"]"))</f>
        <v/>
      </c>
      <c r="Y305" s="46" t="str">
        <f t="array" ref="Y305">IF('.'!Y305="","",'.'!Y305&amp;IF(VLOOKUP('.'!Y305,Recipes!$A:$D,4,FALSE)="",""," ["&amp;VLOOKUP('.'!Y305,Recipes!$A:$D,4,FALSE)&amp;"]"))</f>
        <v/>
      </c>
      <c r="Z305" s="46" t="str">
        <f t="array" ref="Z305">IF('.'!Z305="","",'.'!Z305&amp;IF(VLOOKUP('.'!Z305,Recipes!$A:$D,4,FALSE)="",""," ["&amp;VLOOKUP('.'!Z305,Recipes!$A:$D,4,FALSE)&amp;"]"))</f>
        <v/>
      </c>
      <c r="AA305" s="46" t="str">
        <f t="array" ref="AA305">IF('.'!AA305="","",'.'!AA305&amp;IF(VLOOKUP('.'!AA305,Recipes!$A:$D,4,FALSE)="",""," ["&amp;VLOOKUP('.'!AA305,Recipes!$A:$D,4,FALSE)&amp;"]"))</f>
        <v/>
      </c>
      <c r="AB305" s="46" t="str">
        <f t="array" ref="AB305">IF('.'!AB305="","",'.'!AB305&amp;IF(VLOOKUP('.'!AB305,Recipes!$A:$D,4,FALSE)="",""," ["&amp;VLOOKUP('.'!AB305,Recipes!$A:$D,4,FALSE)&amp;"]"))</f>
        <v/>
      </c>
      <c r="AC305" s="46" t="str">
        <f t="array" ref="AC305">IF('.'!AC305="","",'.'!AC305&amp;IF(VLOOKUP('.'!AC305,Recipes!$A:$D,4,FALSE)="",""," ["&amp;VLOOKUP('.'!AC305,Recipes!$A:$D,4,FALSE)&amp;"]"))</f>
        <v/>
      </c>
      <c r="AD305" s="46" t="str">
        <f t="array" ref="AD305">IF('.'!AD305="","",'.'!AD305&amp;IF(VLOOKUP('.'!AD305,Recipes!$A:$D,4,FALSE)="",""," ["&amp;VLOOKUP('.'!AD305,Recipes!$A:$D,4,FALSE)&amp;"]"))</f>
        <v/>
      </c>
      <c r="AE305" s="47"/>
      <c r="AF305" s="47"/>
      <c r="AG305" s="47"/>
      <c r="AH305" s="47"/>
      <c r="AI305" s="47"/>
      <c r="AJ305" s="47"/>
      <c r="AK305" s="47"/>
      <c r="AL305" s="47"/>
      <c r="AM305" s="47"/>
      <c r="AN305" s="47"/>
      <c r="AO305" s="47"/>
      <c r="AP305" s="47"/>
      <c r="AQ305" s="47"/>
      <c r="AR305" s="47"/>
      <c r="AS305" s="47"/>
      <c r="AT305" s="47"/>
      <c r="AU305" s="47"/>
      <c r="AV305" s="47"/>
      <c r="AW305" s="47"/>
      <c r="AX305" s="47"/>
      <c r="AY305" s="47"/>
      <c r="AZ305" s="47"/>
      <c r="BA305" s="47"/>
      <c r="BB305" s="47"/>
      <c r="BC305" s="47"/>
      <c r="BD305" s="47"/>
      <c r="BE305" s="47"/>
      <c r="BF305" s="47"/>
      <c r="BG305" s="47"/>
      <c r="BH305" s="47"/>
      <c r="BI305" s="47"/>
      <c r="BJ305" s="47"/>
      <c r="BK305" s="47"/>
      <c r="BL305" s="47"/>
      <c r="BM305" s="47"/>
      <c r="BN305" s="47"/>
      <c r="BO305" s="47"/>
      <c r="BP305" s="47"/>
      <c r="BQ305" s="47"/>
      <c r="BR305" s="47"/>
      <c r="BS305" s="47"/>
      <c r="BT305" s="47"/>
      <c r="BU305" s="47"/>
      <c r="BV305" s="47"/>
      <c r="BW305" s="47"/>
      <c r="BX305" s="47"/>
      <c r="BY305" s="47"/>
      <c r="BZ305" s="47"/>
    </row>
    <row r="306" spans="1:78" ht="13">
      <c r="A306" s="48" t="str">
        <f ca="1">'.'!A306</f>
        <v>Meteor Shower Scroll</v>
      </c>
      <c r="B306" s="46" t="str">
        <f t="array" aca="1" ref="B306" ca="1">IF('.'!B306="","",'.'!B306&amp;IF(VLOOKUP('.'!B306,Recipes!$A:$D,4,FALSE)="",""," ["&amp;VLOOKUP('.'!B306,Recipes!$A:$D,4,FALSE)&amp;"]"))</f>
        <v>Meteor Shower Skillbook [2600]</v>
      </c>
      <c r="C306" s="46" t="str">
        <f t="array" ref="C306">IF('.'!C306="","",'.'!C306&amp;IF(VLOOKUP('.'!C306,Recipes!$A:$D,4,FALSE)="",""," ["&amp;VLOOKUP('.'!C306,Recipes!$A:$D,4,FALSE)&amp;"]"))</f>
        <v/>
      </c>
      <c r="D306" s="46" t="str">
        <f t="array" ref="D306">IF('.'!D306="","",'.'!D306&amp;IF(VLOOKUP('.'!D306,Recipes!$A:$D,4,FALSE)="",""," ["&amp;VLOOKUP('.'!D306,Recipes!$A:$D,4,FALSE)&amp;"]"))</f>
        <v/>
      </c>
      <c r="E306" s="46" t="str">
        <f t="array" ref="E306">IF('.'!E306="","",'.'!E306&amp;IF(VLOOKUP('.'!E306,Recipes!$A:$D,4,FALSE)="",""," ["&amp;VLOOKUP('.'!E306,Recipes!$A:$D,4,FALSE)&amp;"]"))</f>
        <v/>
      </c>
      <c r="F306" s="46" t="str">
        <f t="array" ref="F306">IF('.'!F306="","",'.'!F306&amp;IF(VLOOKUP('.'!F306,Recipes!$A:$D,4,FALSE)="",""," ["&amp;VLOOKUP('.'!F306,Recipes!$A:$D,4,FALSE)&amp;"]"))</f>
        <v/>
      </c>
      <c r="G306" s="46" t="str">
        <f t="array" ref="G306">IF('.'!G306="","",'.'!G306&amp;IF(VLOOKUP('.'!G306,Recipes!$A:$D,4,FALSE)="",""," ["&amp;VLOOKUP('.'!G306,Recipes!$A:$D,4,FALSE)&amp;"]"))</f>
        <v/>
      </c>
      <c r="H306" s="46" t="str">
        <f t="array" ref="H306">IF('.'!H306="","",'.'!H306&amp;IF(VLOOKUP('.'!H306,Recipes!$A:$D,4,FALSE)="",""," ["&amp;VLOOKUP('.'!H306,Recipes!$A:$D,4,FALSE)&amp;"]"))</f>
        <v/>
      </c>
      <c r="I306" s="46" t="str">
        <f t="array" ref="I306">IF('.'!I306="","",'.'!I306&amp;IF(VLOOKUP('.'!I306,Recipes!$A:$D,4,FALSE)="",""," ["&amp;VLOOKUP('.'!I306,Recipes!$A:$D,4,FALSE)&amp;"]"))</f>
        <v/>
      </c>
      <c r="J306" s="46" t="str">
        <f t="array" ref="J306">IF('.'!J306="","",'.'!J306&amp;IF(VLOOKUP('.'!J306,Recipes!$A:$D,4,FALSE)="",""," ["&amp;VLOOKUP('.'!J306,Recipes!$A:$D,4,FALSE)&amp;"]"))</f>
        <v/>
      </c>
      <c r="K306" s="46" t="str">
        <f t="array" ref="K306">IF('.'!K306="","",'.'!K306&amp;IF(VLOOKUP('.'!K306,Recipes!$A:$D,4,FALSE)="",""," ["&amp;VLOOKUP('.'!K306,Recipes!$A:$D,4,FALSE)&amp;"]"))</f>
        <v/>
      </c>
      <c r="L306" s="46" t="str">
        <f t="array" ref="L306">IF('.'!L306="","",'.'!L306&amp;IF(VLOOKUP('.'!L306,Recipes!$A:$D,4,FALSE)="",""," ["&amp;VLOOKUP('.'!L306,Recipes!$A:$D,4,FALSE)&amp;"]"))</f>
        <v/>
      </c>
      <c r="M306" s="46" t="str">
        <f t="array" ref="M306">IF('.'!M306="","",'.'!M306&amp;IF(VLOOKUP('.'!M306,Recipes!$A:$D,4,FALSE)="",""," ["&amp;VLOOKUP('.'!M306,Recipes!$A:$D,4,FALSE)&amp;"]"))</f>
        <v/>
      </c>
      <c r="N306" s="46" t="str">
        <f t="array" ref="N306">IF('.'!N306="","",'.'!N306&amp;IF(VLOOKUP('.'!N306,Recipes!$A:$D,4,FALSE)="",""," ["&amp;VLOOKUP('.'!N306,Recipes!$A:$D,4,FALSE)&amp;"]"))</f>
        <v/>
      </c>
      <c r="O306" s="46" t="str">
        <f t="array" ref="O306">IF('.'!O306="","",'.'!O306&amp;IF(VLOOKUP('.'!O306,Recipes!$A:$D,4,FALSE)="",""," ["&amp;VLOOKUP('.'!O306,Recipes!$A:$D,4,FALSE)&amp;"]"))</f>
        <v/>
      </c>
      <c r="P306" s="46" t="str">
        <f t="array" ref="P306">IF('.'!P306="","",'.'!P306&amp;IF(VLOOKUP('.'!P306,Recipes!$A:$D,4,FALSE)="",""," ["&amp;VLOOKUP('.'!P306,Recipes!$A:$D,4,FALSE)&amp;"]"))</f>
        <v/>
      </c>
      <c r="Q306" s="46" t="str">
        <f t="array" ref="Q306">IF('.'!Q306="","",'.'!Q306&amp;IF(VLOOKUP('.'!Q306,Recipes!$A:$D,4,FALSE)="",""," ["&amp;VLOOKUP('.'!Q306,Recipes!$A:$D,4,FALSE)&amp;"]"))</f>
        <v/>
      </c>
      <c r="R306" s="46" t="str">
        <f t="array" ref="R306">IF('.'!R306="","",'.'!R306&amp;IF(VLOOKUP('.'!R306,Recipes!$A:$D,4,FALSE)="",""," ["&amp;VLOOKUP('.'!R306,Recipes!$A:$D,4,FALSE)&amp;"]"))</f>
        <v/>
      </c>
      <c r="S306" s="46" t="str">
        <f t="array" ref="S306">IF('.'!S306="","",'.'!S306&amp;IF(VLOOKUP('.'!S306,Recipes!$A:$D,4,FALSE)="",""," ["&amp;VLOOKUP('.'!S306,Recipes!$A:$D,4,FALSE)&amp;"]"))</f>
        <v/>
      </c>
      <c r="T306" s="46" t="str">
        <f t="array" ref="T306">IF('.'!T306="","",'.'!T306&amp;IF(VLOOKUP('.'!T306,Recipes!$A:$D,4,FALSE)="",""," ["&amp;VLOOKUP('.'!T306,Recipes!$A:$D,4,FALSE)&amp;"]"))</f>
        <v/>
      </c>
      <c r="U306" s="46" t="str">
        <f t="array" ref="U306">IF('.'!U306="","",'.'!U306&amp;IF(VLOOKUP('.'!U306,Recipes!$A:$D,4,FALSE)="",""," ["&amp;VLOOKUP('.'!U306,Recipes!$A:$D,4,FALSE)&amp;"]"))</f>
        <v/>
      </c>
      <c r="V306" s="46" t="str">
        <f t="array" ref="V306">IF('.'!V306="","",'.'!V306&amp;IF(VLOOKUP('.'!V306,Recipes!$A:$D,4,FALSE)="",""," ["&amp;VLOOKUP('.'!V306,Recipes!$A:$D,4,FALSE)&amp;"]"))</f>
        <v/>
      </c>
      <c r="W306" s="46" t="str">
        <f t="array" ref="W306">IF('.'!W306="","",'.'!W306&amp;IF(VLOOKUP('.'!W306,Recipes!$A:$D,4,FALSE)="",""," ["&amp;VLOOKUP('.'!W306,Recipes!$A:$D,4,FALSE)&amp;"]"))</f>
        <v/>
      </c>
      <c r="X306" s="46" t="str">
        <f t="array" ref="X306">IF('.'!X306="","",'.'!X306&amp;IF(VLOOKUP('.'!X306,Recipes!$A:$D,4,FALSE)="",""," ["&amp;VLOOKUP('.'!X306,Recipes!$A:$D,4,FALSE)&amp;"]"))</f>
        <v/>
      </c>
      <c r="Y306" s="46" t="str">
        <f t="array" ref="Y306">IF('.'!Y306="","",'.'!Y306&amp;IF(VLOOKUP('.'!Y306,Recipes!$A:$D,4,FALSE)="",""," ["&amp;VLOOKUP('.'!Y306,Recipes!$A:$D,4,FALSE)&amp;"]"))</f>
        <v/>
      </c>
      <c r="Z306" s="46" t="str">
        <f t="array" ref="Z306">IF('.'!Z306="","",'.'!Z306&amp;IF(VLOOKUP('.'!Z306,Recipes!$A:$D,4,FALSE)="",""," ["&amp;VLOOKUP('.'!Z306,Recipes!$A:$D,4,FALSE)&amp;"]"))</f>
        <v/>
      </c>
      <c r="AA306" s="46" t="str">
        <f t="array" ref="AA306">IF('.'!AA306="","",'.'!AA306&amp;IF(VLOOKUP('.'!AA306,Recipes!$A:$D,4,FALSE)="",""," ["&amp;VLOOKUP('.'!AA306,Recipes!$A:$D,4,FALSE)&amp;"]"))</f>
        <v/>
      </c>
      <c r="AB306" s="46" t="str">
        <f t="array" ref="AB306">IF('.'!AB306="","",'.'!AB306&amp;IF(VLOOKUP('.'!AB306,Recipes!$A:$D,4,FALSE)="",""," ["&amp;VLOOKUP('.'!AB306,Recipes!$A:$D,4,FALSE)&amp;"]"))</f>
        <v/>
      </c>
      <c r="AC306" s="46" t="str">
        <f t="array" ref="AC306">IF('.'!AC306="","",'.'!AC306&amp;IF(VLOOKUP('.'!AC306,Recipes!$A:$D,4,FALSE)="",""," ["&amp;VLOOKUP('.'!AC306,Recipes!$A:$D,4,FALSE)&amp;"]"))</f>
        <v/>
      </c>
      <c r="AD306" s="46" t="str">
        <f t="array" ref="AD306">IF('.'!AD306="","",'.'!AD306&amp;IF(VLOOKUP('.'!AD306,Recipes!$A:$D,4,FALSE)="",""," ["&amp;VLOOKUP('.'!AD306,Recipes!$A:$D,4,FALSE)&amp;"]"))</f>
        <v/>
      </c>
      <c r="AE306" s="47"/>
      <c r="AF306" s="47"/>
      <c r="AG306" s="47"/>
      <c r="AH306" s="47"/>
      <c r="AI306" s="47"/>
      <c r="AJ306" s="47"/>
      <c r="AK306" s="47"/>
      <c r="AL306" s="47"/>
      <c r="AM306" s="47"/>
      <c r="AN306" s="47"/>
      <c r="AO306" s="47"/>
      <c r="AP306" s="47"/>
      <c r="AQ306" s="47"/>
      <c r="AR306" s="47"/>
      <c r="AS306" s="47"/>
      <c r="AT306" s="47"/>
      <c r="AU306" s="47"/>
      <c r="AV306" s="47"/>
      <c r="AW306" s="47"/>
      <c r="AX306" s="47"/>
      <c r="AY306" s="47"/>
      <c r="AZ306" s="47"/>
      <c r="BA306" s="47"/>
      <c r="BB306" s="47"/>
      <c r="BC306" s="47"/>
      <c r="BD306" s="47"/>
      <c r="BE306" s="47"/>
      <c r="BF306" s="47"/>
      <c r="BG306" s="47"/>
      <c r="BH306" s="47"/>
      <c r="BI306" s="47"/>
      <c r="BJ306" s="47"/>
      <c r="BK306" s="47"/>
      <c r="BL306" s="47"/>
      <c r="BM306" s="47"/>
      <c r="BN306" s="47"/>
      <c r="BO306" s="47"/>
      <c r="BP306" s="47"/>
      <c r="BQ306" s="47"/>
      <c r="BR306" s="47"/>
      <c r="BS306" s="47"/>
      <c r="BT306" s="47"/>
      <c r="BU306" s="47"/>
      <c r="BV306" s="47"/>
      <c r="BW306" s="47"/>
      <c r="BX306" s="47"/>
      <c r="BY306" s="47"/>
      <c r="BZ306" s="47"/>
    </row>
    <row r="307" spans="1:78" ht="13">
      <c r="A307" s="48" t="str">
        <f ca="1">'.'!A307</f>
        <v>Milk</v>
      </c>
      <c r="B307" s="46" t="e">
        <f t="array" aca="1" ref="B307" ca="1">IF('.'!B307="","",'.'!B307&amp;IF(VLOOKUP('.'!B307,Recipes!$A:$D,4,FALSE)="",""," ["&amp;VLOOKUP('.'!B307,Recipes!$A:$D,4,FALSE)&amp;"]"))</f>
        <v>#VALUE!</v>
      </c>
      <c r="C307" s="46" t="str">
        <f t="array" aca="1" ref="C307" ca="1">IF('.'!C307="","",'.'!C307&amp;IF(VLOOKUP('.'!C307,Recipes!$A:$D,4,FALSE)="",""," ["&amp;VLOOKUP('.'!C307,Recipes!$A:$D,4,FALSE)&amp;"]"))</f>
        <v>Mashed Potatoes [1]</v>
      </c>
      <c r="D307" s="46" t="e">
        <f t="array" aca="1" ref="D307" ca="1">IF('.'!D307="","",'.'!D307&amp;IF(VLOOKUP('.'!D307,Recipes!$A:$D,4,FALSE)="",""," ["&amp;VLOOKUP('.'!D307,Recipes!$A:$D,4,FALSE)&amp;"]"))</f>
        <v>#VALUE!</v>
      </c>
      <c r="E307" s="46" t="str">
        <f t="array" aca="1" ref="E307" ca="1">IF('.'!E307="","",'.'!E307&amp;IF(VLOOKUP('.'!E307,Recipes!$A:$D,4,FALSE)="",""," ["&amp;VLOOKUP('.'!E307,Recipes!$A:$D,4,FALSE)&amp;"]"))</f>
        <v>Potato Porridge [6]</v>
      </c>
      <c r="F307" s="46" t="e">
        <f t="array" aca="1" ref="F307" ca="1">IF('.'!F307="","",'.'!F307&amp;IF(VLOOKUP('.'!F307,Recipes!$A:$D,4,FALSE)="",""," ["&amp;VLOOKUP('.'!F307,Recipes!$A:$D,4,FALSE)&amp;"]"))</f>
        <v>#VALUE!</v>
      </c>
      <c r="G307" s="46" t="str">
        <f t="array" ref="G307">IF('.'!G307="","",'.'!G307&amp;IF(VLOOKUP('.'!G307,Recipes!$A:$D,4,FALSE)="",""," ["&amp;VLOOKUP('.'!G307,Recipes!$A:$D,4,FALSE)&amp;"]"))</f>
        <v/>
      </c>
      <c r="H307" s="46" t="str">
        <f t="array" ref="H307">IF('.'!H307="","",'.'!H307&amp;IF(VLOOKUP('.'!H307,Recipes!$A:$D,4,FALSE)="",""," ["&amp;VLOOKUP('.'!H307,Recipes!$A:$D,4,FALSE)&amp;"]"))</f>
        <v/>
      </c>
      <c r="I307" s="46" t="str">
        <f t="array" ref="I307">IF('.'!I307="","",'.'!I307&amp;IF(VLOOKUP('.'!I307,Recipes!$A:$D,4,FALSE)="",""," ["&amp;VLOOKUP('.'!I307,Recipes!$A:$D,4,FALSE)&amp;"]"))</f>
        <v/>
      </c>
      <c r="J307" s="46" t="str">
        <f t="array" ref="J307">IF('.'!J307="","",'.'!J307&amp;IF(VLOOKUP('.'!J307,Recipes!$A:$D,4,FALSE)="",""," ["&amp;VLOOKUP('.'!J307,Recipes!$A:$D,4,FALSE)&amp;"]"))</f>
        <v/>
      </c>
      <c r="K307" s="46" t="str">
        <f t="array" ref="K307">IF('.'!K307="","",'.'!K307&amp;IF(VLOOKUP('.'!K307,Recipes!$A:$D,4,FALSE)="",""," ["&amp;VLOOKUP('.'!K307,Recipes!$A:$D,4,FALSE)&amp;"]"))</f>
        <v/>
      </c>
      <c r="L307" s="46" t="str">
        <f t="array" ref="L307">IF('.'!L307="","",'.'!L307&amp;IF(VLOOKUP('.'!L307,Recipes!$A:$D,4,FALSE)="",""," ["&amp;VLOOKUP('.'!L307,Recipes!$A:$D,4,FALSE)&amp;"]"))</f>
        <v/>
      </c>
      <c r="M307" s="46" t="str">
        <f t="array" ref="M307">IF('.'!M307="","",'.'!M307&amp;IF(VLOOKUP('.'!M307,Recipes!$A:$D,4,FALSE)="",""," ["&amp;VLOOKUP('.'!M307,Recipes!$A:$D,4,FALSE)&amp;"]"))</f>
        <v/>
      </c>
      <c r="N307" s="46" t="str">
        <f t="array" ref="N307">IF('.'!N307="","",'.'!N307&amp;IF(VLOOKUP('.'!N307,Recipes!$A:$D,4,FALSE)="",""," ["&amp;VLOOKUP('.'!N307,Recipes!$A:$D,4,FALSE)&amp;"]"))</f>
        <v/>
      </c>
      <c r="O307" s="46" t="str">
        <f t="array" ref="O307">IF('.'!O307="","",'.'!O307&amp;IF(VLOOKUP('.'!O307,Recipes!$A:$D,4,FALSE)="",""," ["&amp;VLOOKUP('.'!O307,Recipes!$A:$D,4,FALSE)&amp;"]"))</f>
        <v/>
      </c>
      <c r="P307" s="46" t="str">
        <f t="array" ref="P307">IF('.'!P307="","",'.'!P307&amp;IF(VLOOKUP('.'!P307,Recipes!$A:$D,4,FALSE)="",""," ["&amp;VLOOKUP('.'!P307,Recipes!$A:$D,4,FALSE)&amp;"]"))</f>
        <v/>
      </c>
      <c r="Q307" s="46" t="str">
        <f t="array" ref="Q307">IF('.'!Q307="","",'.'!Q307&amp;IF(VLOOKUP('.'!Q307,Recipes!$A:$D,4,FALSE)="",""," ["&amp;VLOOKUP('.'!Q307,Recipes!$A:$D,4,FALSE)&amp;"]"))</f>
        <v/>
      </c>
      <c r="R307" s="46" t="str">
        <f t="array" ref="R307">IF('.'!R307="","",'.'!R307&amp;IF(VLOOKUP('.'!R307,Recipes!$A:$D,4,FALSE)="",""," ["&amp;VLOOKUP('.'!R307,Recipes!$A:$D,4,FALSE)&amp;"]"))</f>
        <v/>
      </c>
      <c r="S307" s="46" t="str">
        <f t="array" ref="S307">IF('.'!S307="","",'.'!S307&amp;IF(VLOOKUP('.'!S307,Recipes!$A:$D,4,FALSE)="",""," ["&amp;VLOOKUP('.'!S307,Recipes!$A:$D,4,FALSE)&amp;"]"))</f>
        <v/>
      </c>
      <c r="T307" s="46" t="str">
        <f t="array" ref="T307">IF('.'!T307="","",'.'!T307&amp;IF(VLOOKUP('.'!T307,Recipes!$A:$D,4,FALSE)="",""," ["&amp;VLOOKUP('.'!T307,Recipes!$A:$D,4,FALSE)&amp;"]"))</f>
        <v/>
      </c>
      <c r="U307" s="46" t="str">
        <f t="array" ref="U307">IF('.'!U307="","",'.'!U307&amp;IF(VLOOKUP('.'!U307,Recipes!$A:$D,4,FALSE)="",""," ["&amp;VLOOKUP('.'!U307,Recipes!$A:$D,4,FALSE)&amp;"]"))</f>
        <v/>
      </c>
      <c r="V307" s="46" t="str">
        <f t="array" ref="V307">IF('.'!V307="","",'.'!V307&amp;IF(VLOOKUP('.'!V307,Recipes!$A:$D,4,FALSE)="",""," ["&amp;VLOOKUP('.'!V307,Recipes!$A:$D,4,FALSE)&amp;"]"))</f>
        <v/>
      </c>
      <c r="W307" s="46" t="str">
        <f t="array" ref="W307">IF('.'!W307="","",'.'!W307&amp;IF(VLOOKUP('.'!W307,Recipes!$A:$D,4,FALSE)="",""," ["&amp;VLOOKUP('.'!W307,Recipes!$A:$D,4,FALSE)&amp;"]"))</f>
        <v/>
      </c>
      <c r="X307" s="46" t="str">
        <f t="array" ref="X307">IF('.'!X307="","",'.'!X307&amp;IF(VLOOKUP('.'!X307,Recipes!$A:$D,4,FALSE)="",""," ["&amp;VLOOKUP('.'!X307,Recipes!$A:$D,4,FALSE)&amp;"]"))</f>
        <v/>
      </c>
      <c r="Y307" s="46" t="str">
        <f t="array" ref="Y307">IF('.'!Y307="","",'.'!Y307&amp;IF(VLOOKUP('.'!Y307,Recipes!$A:$D,4,FALSE)="",""," ["&amp;VLOOKUP('.'!Y307,Recipes!$A:$D,4,FALSE)&amp;"]"))</f>
        <v/>
      </c>
      <c r="Z307" s="46" t="str">
        <f t="array" ref="Z307">IF('.'!Z307="","",'.'!Z307&amp;IF(VLOOKUP('.'!Z307,Recipes!$A:$D,4,FALSE)="",""," ["&amp;VLOOKUP('.'!Z307,Recipes!$A:$D,4,FALSE)&amp;"]"))</f>
        <v/>
      </c>
      <c r="AA307" s="46" t="str">
        <f t="array" ref="AA307">IF('.'!AA307="","",'.'!AA307&amp;IF(VLOOKUP('.'!AA307,Recipes!$A:$D,4,FALSE)="",""," ["&amp;VLOOKUP('.'!AA307,Recipes!$A:$D,4,FALSE)&amp;"]"))</f>
        <v/>
      </c>
      <c r="AB307" s="46" t="str">
        <f t="array" ref="AB307">IF('.'!AB307="","",'.'!AB307&amp;IF(VLOOKUP('.'!AB307,Recipes!$A:$D,4,FALSE)="",""," ["&amp;VLOOKUP('.'!AB307,Recipes!$A:$D,4,FALSE)&amp;"]"))</f>
        <v/>
      </c>
      <c r="AC307" s="46" t="str">
        <f t="array" ref="AC307">IF('.'!AC307="","",'.'!AC307&amp;IF(VLOOKUP('.'!AC307,Recipes!$A:$D,4,FALSE)="",""," ["&amp;VLOOKUP('.'!AC307,Recipes!$A:$D,4,FALSE)&amp;"]"))</f>
        <v/>
      </c>
      <c r="AD307" s="46" t="str">
        <f t="array" ref="AD307">IF('.'!AD307="","",'.'!AD307&amp;IF(VLOOKUP('.'!AD307,Recipes!$A:$D,4,FALSE)="",""," ["&amp;VLOOKUP('.'!AD307,Recipes!$A:$D,4,FALSE)&amp;"]"))</f>
        <v/>
      </c>
      <c r="AE307" s="47"/>
      <c r="AF307" s="47"/>
      <c r="AG307" s="47"/>
      <c r="AH307" s="47"/>
      <c r="AI307" s="47"/>
      <c r="AJ307" s="47"/>
      <c r="AK307" s="47"/>
      <c r="AL307" s="47"/>
      <c r="AM307" s="47"/>
      <c r="AN307" s="47"/>
      <c r="AO307" s="47"/>
      <c r="AP307" s="47"/>
      <c r="AQ307" s="47"/>
      <c r="AR307" s="47"/>
      <c r="AS307" s="47"/>
      <c r="AT307" s="47"/>
      <c r="AU307" s="47"/>
      <c r="AV307" s="47"/>
      <c r="AW307" s="47"/>
      <c r="AX307" s="47"/>
      <c r="AY307" s="47"/>
      <c r="AZ307" s="47"/>
      <c r="BA307" s="47"/>
      <c r="BB307" s="47"/>
      <c r="BC307" s="47"/>
      <c r="BD307" s="47"/>
      <c r="BE307" s="47"/>
      <c r="BF307" s="47"/>
      <c r="BG307" s="47"/>
      <c r="BH307" s="47"/>
      <c r="BI307" s="47"/>
      <c r="BJ307" s="47"/>
      <c r="BK307" s="47"/>
      <c r="BL307" s="47"/>
      <c r="BM307" s="47"/>
      <c r="BN307" s="47"/>
      <c r="BO307" s="47"/>
      <c r="BP307" s="47"/>
      <c r="BQ307" s="47"/>
      <c r="BR307" s="47"/>
      <c r="BS307" s="47"/>
      <c r="BT307" s="47"/>
      <c r="BU307" s="47"/>
      <c r="BV307" s="47"/>
      <c r="BW307" s="47"/>
      <c r="BX307" s="47"/>
      <c r="BY307" s="47"/>
      <c r="BZ307" s="47"/>
    </row>
    <row r="308" spans="1:78" ht="13">
      <c r="A308" s="48" t="str">
        <f ca="1">'.'!A308</f>
        <v>Milk Churn</v>
      </c>
      <c r="B308" s="46" t="str">
        <f t="array" aca="1" ref="B308" ca="1">IF('.'!B308="","",'.'!B308&amp;IF(VLOOKUP('.'!B308,Recipes!$A:$D,4,FALSE)="",""," ["&amp;VLOOKUP('.'!B308,Recipes!$A:$D,4,FALSE)&amp;"]"))</f>
        <v>Milk [-1]</v>
      </c>
      <c r="C308" s="46" t="str">
        <f t="array" ref="C308">IF('.'!C308="","",'.'!C308&amp;IF(VLOOKUP('.'!C308,Recipes!$A:$D,4,FALSE)="",""," ["&amp;VLOOKUP('.'!C308,Recipes!$A:$D,4,FALSE)&amp;"]"))</f>
        <v/>
      </c>
      <c r="D308" s="46" t="str">
        <f t="array" ref="D308">IF('.'!D308="","",'.'!D308&amp;IF(VLOOKUP('.'!D308,Recipes!$A:$D,4,FALSE)="",""," ["&amp;VLOOKUP('.'!D308,Recipes!$A:$D,4,FALSE)&amp;"]"))</f>
        <v/>
      </c>
      <c r="E308" s="46" t="str">
        <f t="array" ref="E308">IF('.'!E308="","",'.'!E308&amp;IF(VLOOKUP('.'!E308,Recipes!$A:$D,4,FALSE)="",""," ["&amp;VLOOKUP('.'!E308,Recipes!$A:$D,4,FALSE)&amp;"]"))</f>
        <v/>
      </c>
      <c r="F308" s="46" t="str">
        <f t="array" ref="F308">IF('.'!F308="","",'.'!F308&amp;IF(VLOOKUP('.'!F308,Recipes!$A:$D,4,FALSE)="",""," ["&amp;VLOOKUP('.'!F308,Recipes!$A:$D,4,FALSE)&amp;"]"))</f>
        <v/>
      </c>
      <c r="G308" s="46" t="str">
        <f t="array" ref="G308">IF('.'!G308="","",'.'!G308&amp;IF(VLOOKUP('.'!G308,Recipes!$A:$D,4,FALSE)="",""," ["&amp;VLOOKUP('.'!G308,Recipes!$A:$D,4,FALSE)&amp;"]"))</f>
        <v/>
      </c>
      <c r="H308" s="46" t="str">
        <f t="array" ref="H308">IF('.'!H308="","",'.'!H308&amp;IF(VLOOKUP('.'!H308,Recipes!$A:$D,4,FALSE)="",""," ["&amp;VLOOKUP('.'!H308,Recipes!$A:$D,4,FALSE)&amp;"]"))</f>
        <v/>
      </c>
      <c r="I308" s="46" t="str">
        <f t="array" ref="I308">IF('.'!I308="","",'.'!I308&amp;IF(VLOOKUP('.'!I308,Recipes!$A:$D,4,FALSE)="",""," ["&amp;VLOOKUP('.'!I308,Recipes!$A:$D,4,FALSE)&amp;"]"))</f>
        <v/>
      </c>
      <c r="J308" s="46" t="str">
        <f t="array" ref="J308">IF('.'!J308="","",'.'!J308&amp;IF(VLOOKUP('.'!J308,Recipes!$A:$D,4,FALSE)="",""," ["&amp;VLOOKUP('.'!J308,Recipes!$A:$D,4,FALSE)&amp;"]"))</f>
        <v/>
      </c>
      <c r="K308" s="46" t="str">
        <f t="array" ref="K308">IF('.'!K308="","",'.'!K308&amp;IF(VLOOKUP('.'!K308,Recipes!$A:$D,4,FALSE)="",""," ["&amp;VLOOKUP('.'!K308,Recipes!$A:$D,4,FALSE)&amp;"]"))</f>
        <v/>
      </c>
      <c r="L308" s="46" t="str">
        <f t="array" ref="L308">IF('.'!L308="","",'.'!L308&amp;IF(VLOOKUP('.'!L308,Recipes!$A:$D,4,FALSE)="",""," ["&amp;VLOOKUP('.'!L308,Recipes!$A:$D,4,FALSE)&amp;"]"))</f>
        <v/>
      </c>
      <c r="M308" s="46" t="str">
        <f t="array" ref="M308">IF('.'!M308="","",'.'!M308&amp;IF(VLOOKUP('.'!M308,Recipes!$A:$D,4,FALSE)="",""," ["&amp;VLOOKUP('.'!M308,Recipes!$A:$D,4,FALSE)&amp;"]"))</f>
        <v/>
      </c>
      <c r="N308" s="46" t="str">
        <f t="array" ref="N308">IF('.'!N308="","",'.'!N308&amp;IF(VLOOKUP('.'!N308,Recipes!$A:$D,4,FALSE)="",""," ["&amp;VLOOKUP('.'!N308,Recipes!$A:$D,4,FALSE)&amp;"]"))</f>
        <v/>
      </c>
      <c r="O308" s="46" t="str">
        <f t="array" ref="O308">IF('.'!O308="","",'.'!O308&amp;IF(VLOOKUP('.'!O308,Recipes!$A:$D,4,FALSE)="",""," ["&amp;VLOOKUP('.'!O308,Recipes!$A:$D,4,FALSE)&amp;"]"))</f>
        <v/>
      </c>
      <c r="P308" s="46" t="str">
        <f t="array" ref="P308">IF('.'!P308="","",'.'!P308&amp;IF(VLOOKUP('.'!P308,Recipes!$A:$D,4,FALSE)="",""," ["&amp;VLOOKUP('.'!P308,Recipes!$A:$D,4,FALSE)&amp;"]"))</f>
        <v/>
      </c>
      <c r="Q308" s="46" t="str">
        <f t="array" ref="Q308">IF('.'!Q308="","",'.'!Q308&amp;IF(VLOOKUP('.'!Q308,Recipes!$A:$D,4,FALSE)="",""," ["&amp;VLOOKUP('.'!Q308,Recipes!$A:$D,4,FALSE)&amp;"]"))</f>
        <v/>
      </c>
      <c r="R308" s="46" t="str">
        <f t="array" ref="R308">IF('.'!R308="","",'.'!R308&amp;IF(VLOOKUP('.'!R308,Recipes!$A:$D,4,FALSE)="",""," ["&amp;VLOOKUP('.'!R308,Recipes!$A:$D,4,FALSE)&amp;"]"))</f>
        <v/>
      </c>
      <c r="S308" s="46" t="str">
        <f t="array" ref="S308">IF('.'!S308="","",'.'!S308&amp;IF(VLOOKUP('.'!S308,Recipes!$A:$D,4,FALSE)="",""," ["&amp;VLOOKUP('.'!S308,Recipes!$A:$D,4,FALSE)&amp;"]"))</f>
        <v/>
      </c>
      <c r="T308" s="46" t="str">
        <f t="array" ref="T308">IF('.'!T308="","",'.'!T308&amp;IF(VLOOKUP('.'!T308,Recipes!$A:$D,4,FALSE)="",""," ["&amp;VLOOKUP('.'!T308,Recipes!$A:$D,4,FALSE)&amp;"]"))</f>
        <v/>
      </c>
      <c r="U308" s="46" t="str">
        <f t="array" ref="U308">IF('.'!U308="","",'.'!U308&amp;IF(VLOOKUP('.'!U308,Recipes!$A:$D,4,FALSE)="",""," ["&amp;VLOOKUP('.'!U308,Recipes!$A:$D,4,FALSE)&amp;"]"))</f>
        <v/>
      </c>
      <c r="V308" s="46" t="str">
        <f t="array" ref="V308">IF('.'!V308="","",'.'!V308&amp;IF(VLOOKUP('.'!V308,Recipes!$A:$D,4,FALSE)="",""," ["&amp;VLOOKUP('.'!V308,Recipes!$A:$D,4,FALSE)&amp;"]"))</f>
        <v/>
      </c>
      <c r="W308" s="46" t="str">
        <f t="array" ref="W308">IF('.'!W308="","",'.'!W308&amp;IF(VLOOKUP('.'!W308,Recipes!$A:$D,4,FALSE)="",""," ["&amp;VLOOKUP('.'!W308,Recipes!$A:$D,4,FALSE)&amp;"]"))</f>
        <v/>
      </c>
      <c r="X308" s="46" t="str">
        <f t="array" ref="X308">IF('.'!X308="","",'.'!X308&amp;IF(VLOOKUP('.'!X308,Recipes!$A:$D,4,FALSE)="",""," ["&amp;VLOOKUP('.'!X308,Recipes!$A:$D,4,FALSE)&amp;"]"))</f>
        <v/>
      </c>
      <c r="Y308" s="46" t="str">
        <f t="array" ref="Y308">IF('.'!Y308="","",'.'!Y308&amp;IF(VLOOKUP('.'!Y308,Recipes!$A:$D,4,FALSE)="",""," ["&amp;VLOOKUP('.'!Y308,Recipes!$A:$D,4,FALSE)&amp;"]"))</f>
        <v/>
      </c>
      <c r="Z308" s="46" t="str">
        <f t="array" ref="Z308">IF('.'!Z308="","",'.'!Z308&amp;IF(VLOOKUP('.'!Z308,Recipes!$A:$D,4,FALSE)="",""," ["&amp;VLOOKUP('.'!Z308,Recipes!$A:$D,4,FALSE)&amp;"]"))</f>
        <v/>
      </c>
      <c r="AA308" s="46" t="str">
        <f t="array" ref="AA308">IF('.'!AA308="","",'.'!AA308&amp;IF(VLOOKUP('.'!AA308,Recipes!$A:$D,4,FALSE)="",""," ["&amp;VLOOKUP('.'!AA308,Recipes!$A:$D,4,FALSE)&amp;"]"))</f>
        <v/>
      </c>
      <c r="AB308" s="46" t="str">
        <f t="array" ref="AB308">IF('.'!AB308="","",'.'!AB308&amp;IF(VLOOKUP('.'!AB308,Recipes!$A:$D,4,FALSE)="",""," ["&amp;VLOOKUP('.'!AB308,Recipes!$A:$D,4,FALSE)&amp;"]"))</f>
        <v/>
      </c>
      <c r="AC308" s="46" t="str">
        <f t="array" ref="AC308">IF('.'!AC308="","",'.'!AC308&amp;IF(VLOOKUP('.'!AC308,Recipes!$A:$D,4,FALSE)="",""," ["&amp;VLOOKUP('.'!AC308,Recipes!$A:$D,4,FALSE)&amp;"]"))</f>
        <v/>
      </c>
      <c r="AD308" s="46" t="str">
        <f t="array" ref="AD308">IF('.'!AD308="","",'.'!AD308&amp;IF(VLOOKUP('.'!AD308,Recipes!$A:$D,4,FALSE)="",""," ["&amp;VLOOKUP('.'!AD308,Recipes!$A:$D,4,FALSE)&amp;"]"))</f>
        <v/>
      </c>
      <c r="AE308" s="47"/>
      <c r="AF308" s="47"/>
      <c r="AG308" s="47"/>
      <c r="AH308" s="47"/>
      <c r="AI308" s="47"/>
      <c r="AJ308" s="47"/>
      <c r="AK308" s="47"/>
      <c r="AL308" s="47"/>
      <c r="AM308" s="47"/>
      <c r="AN308" s="47"/>
      <c r="AO308" s="47"/>
      <c r="AP308" s="47"/>
      <c r="AQ308" s="47"/>
      <c r="AR308" s="47"/>
      <c r="AS308" s="47"/>
      <c r="AT308" s="47"/>
      <c r="AU308" s="47"/>
      <c r="AV308" s="47"/>
      <c r="AW308" s="47"/>
      <c r="AX308" s="47"/>
      <c r="AY308" s="47"/>
      <c r="AZ308" s="47"/>
      <c r="BA308" s="47"/>
      <c r="BB308" s="47"/>
      <c r="BC308" s="47"/>
      <c r="BD308" s="47"/>
      <c r="BE308" s="47"/>
      <c r="BF308" s="47"/>
      <c r="BG308" s="47"/>
      <c r="BH308" s="47"/>
      <c r="BI308" s="47"/>
      <c r="BJ308" s="47"/>
      <c r="BK308" s="47"/>
      <c r="BL308" s="47"/>
      <c r="BM308" s="47"/>
      <c r="BN308" s="47"/>
      <c r="BO308" s="47"/>
      <c r="BP308" s="47"/>
      <c r="BQ308" s="47"/>
      <c r="BR308" s="47"/>
      <c r="BS308" s="47"/>
      <c r="BT308" s="47"/>
      <c r="BU308" s="47"/>
      <c r="BV308" s="47"/>
      <c r="BW308" s="47"/>
      <c r="BX308" s="47"/>
      <c r="BY308" s="47"/>
      <c r="BZ308" s="47"/>
    </row>
    <row r="309" spans="1:78" ht="13">
      <c r="A309" s="48" t="str">
        <f ca="1">'.'!A309</f>
        <v>Minor Healing Potion</v>
      </c>
      <c r="B309" s="46" t="str">
        <f t="array" aca="1" ref="B309" ca="1">IF('.'!B309="","",'.'!B309&amp;IF(VLOOKUP('.'!B309,Recipes!$A:$D,4,FALSE)="",""," ["&amp;VLOOKUP('.'!B309,Recipes!$A:$D,4,FALSE)&amp;"]"))</f>
        <v>Medium Healing Potion [-40]</v>
      </c>
      <c r="C309" s="46" t="str">
        <f t="array" aca="1" ref="C309" ca="1">IF('.'!C309="","",'.'!C309&amp;IF(VLOOKUP('.'!C309,Recipes!$A:$D,4,FALSE)="",""," ["&amp;VLOOKUP('.'!C309,Recipes!$A:$D,4,FALSE)&amp;"]"))</f>
        <v>Small Poison Bottle [-10]</v>
      </c>
      <c r="D309" s="46" t="str">
        <f t="array" ref="D309">IF('.'!D309="","",'.'!D309&amp;IF(VLOOKUP('.'!D309,Recipes!$A:$D,4,FALSE)="",""," ["&amp;VLOOKUP('.'!D309,Recipes!$A:$D,4,FALSE)&amp;"]"))</f>
        <v/>
      </c>
      <c r="E309" s="46" t="str">
        <f t="array" ref="E309">IF('.'!E309="","",'.'!E309&amp;IF(VLOOKUP('.'!E309,Recipes!$A:$D,4,FALSE)="",""," ["&amp;VLOOKUP('.'!E309,Recipes!$A:$D,4,FALSE)&amp;"]"))</f>
        <v/>
      </c>
      <c r="F309" s="46" t="str">
        <f t="array" ref="F309">IF('.'!F309="","",'.'!F309&amp;IF(VLOOKUP('.'!F309,Recipes!$A:$D,4,FALSE)="",""," ["&amp;VLOOKUP('.'!F309,Recipes!$A:$D,4,FALSE)&amp;"]"))</f>
        <v/>
      </c>
      <c r="G309" s="46" t="str">
        <f t="array" ref="G309">IF('.'!G309="","",'.'!G309&amp;IF(VLOOKUP('.'!G309,Recipes!$A:$D,4,FALSE)="",""," ["&amp;VLOOKUP('.'!G309,Recipes!$A:$D,4,FALSE)&amp;"]"))</f>
        <v/>
      </c>
      <c r="H309" s="46" t="str">
        <f t="array" ref="H309">IF('.'!H309="","",'.'!H309&amp;IF(VLOOKUP('.'!H309,Recipes!$A:$D,4,FALSE)="",""," ["&amp;VLOOKUP('.'!H309,Recipes!$A:$D,4,FALSE)&amp;"]"))</f>
        <v/>
      </c>
      <c r="I309" s="46" t="str">
        <f t="array" ref="I309">IF('.'!I309="","",'.'!I309&amp;IF(VLOOKUP('.'!I309,Recipes!$A:$D,4,FALSE)="",""," ["&amp;VLOOKUP('.'!I309,Recipes!$A:$D,4,FALSE)&amp;"]"))</f>
        <v/>
      </c>
      <c r="J309" s="46" t="str">
        <f t="array" ref="J309">IF('.'!J309="","",'.'!J309&amp;IF(VLOOKUP('.'!J309,Recipes!$A:$D,4,FALSE)="",""," ["&amp;VLOOKUP('.'!J309,Recipes!$A:$D,4,FALSE)&amp;"]"))</f>
        <v/>
      </c>
      <c r="K309" s="46" t="str">
        <f t="array" ref="K309">IF('.'!K309="","",'.'!K309&amp;IF(VLOOKUP('.'!K309,Recipes!$A:$D,4,FALSE)="",""," ["&amp;VLOOKUP('.'!K309,Recipes!$A:$D,4,FALSE)&amp;"]"))</f>
        <v/>
      </c>
      <c r="L309" s="46" t="str">
        <f t="array" ref="L309">IF('.'!L309="","",'.'!L309&amp;IF(VLOOKUP('.'!L309,Recipes!$A:$D,4,FALSE)="",""," ["&amp;VLOOKUP('.'!L309,Recipes!$A:$D,4,FALSE)&amp;"]"))</f>
        <v/>
      </c>
      <c r="M309" s="46" t="str">
        <f t="array" ref="M309">IF('.'!M309="","",'.'!M309&amp;IF(VLOOKUP('.'!M309,Recipes!$A:$D,4,FALSE)="",""," ["&amp;VLOOKUP('.'!M309,Recipes!$A:$D,4,FALSE)&amp;"]"))</f>
        <v/>
      </c>
      <c r="N309" s="46" t="str">
        <f t="array" ref="N309">IF('.'!N309="","",'.'!N309&amp;IF(VLOOKUP('.'!N309,Recipes!$A:$D,4,FALSE)="",""," ["&amp;VLOOKUP('.'!N309,Recipes!$A:$D,4,FALSE)&amp;"]"))</f>
        <v/>
      </c>
      <c r="O309" s="46" t="str">
        <f t="array" ref="O309">IF('.'!O309="","",'.'!O309&amp;IF(VLOOKUP('.'!O309,Recipes!$A:$D,4,FALSE)="",""," ["&amp;VLOOKUP('.'!O309,Recipes!$A:$D,4,FALSE)&amp;"]"))</f>
        <v/>
      </c>
      <c r="P309" s="46" t="str">
        <f t="array" ref="P309">IF('.'!P309="","",'.'!P309&amp;IF(VLOOKUP('.'!P309,Recipes!$A:$D,4,FALSE)="",""," ["&amp;VLOOKUP('.'!P309,Recipes!$A:$D,4,FALSE)&amp;"]"))</f>
        <v/>
      </c>
      <c r="Q309" s="46" t="str">
        <f t="array" ref="Q309">IF('.'!Q309="","",'.'!Q309&amp;IF(VLOOKUP('.'!Q309,Recipes!$A:$D,4,FALSE)="",""," ["&amp;VLOOKUP('.'!Q309,Recipes!$A:$D,4,FALSE)&amp;"]"))</f>
        <v/>
      </c>
      <c r="R309" s="46" t="str">
        <f t="array" ref="R309">IF('.'!R309="","",'.'!R309&amp;IF(VLOOKUP('.'!R309,Recipes!$A:$D,4,FALSE)="",""," ["&amp;VLOOKUP('.'!R309,Recipes!$A:$D,4,FALSE)&amp;"]"))</f>
        <v/>
      </c>
      <c r="S309" s="46" t="str">
        <f t="array" ref="S309">IF('.'!S309="","",'.'!S309&amp;IF(VLOOKUP('.'!S309,Recipes!$A:$D,4,FALSE)="",""," ["&amp;VLOOKUP('.'!S309,Recipes!$A:$D,4,FALSE)&amp;"]"))</f>
        <v/>
      </c>
      <c r="T309" s="46" t="str">
        <f t="array" ref="T309">IF('.'!T309="","",'.'!T309&amp;IF(VLOOKUP('.'!T309,Recipes!$A:$D,4,FALSE)="",""," ["&amp;VLOOKUP('.'!T309,Recipes!$A:$D,4,FALSE)&amp;"]"))</f>
        <v/>
      </c>
      <c r="U309" s="46" t="str">
        <f t="array" ref="U309">IF('.'!U309="","",'.'!U309&amp;IF(VLOOKUP('.'!U309,Recipes!$A:$D,4,FALSE)="",""," ["&amp;VLOOKUP('.'!U309,Recipes!$A:$D,4,FALSE)&amp;"]"))</f>
        <v/>
      </c>
      <c r="V309" s="46" t="str">
        <f t="array" ref="V309">IF('.'!V309="","",'.'!V309&amp;IF(VLOOKUP('.'!V309,Recipes!$A:$D,4,FALSE)="",""," ["&amp;VLOOKUP('.'!V309,Recipes!$A:$D,4,FALSE)&amp;"]"))</f>
        <v/>
      </c>
      <c r="W309" s="46" t="str">
        <f t="array" ref="W309">IF('.'!W309="","",'.'!W309&amp;IF(VLOOKUP('.'!W309,Recipes!$A:$D,4,FALSE)="",""," ["&amp;VLOOKUP('.'!W309,Recipes!$A:$D,4,FALSE)&amp;"]"))</f>
        <v/>
      </c>
      <c r="X309" s="46" t="str">
        <f t="array" ref="X309">IF('.'!X309="","",'.'!X309&amp;IF(VLOOKUP('.'!X309,Recipes!$A:$D,4,FALSE)="",""," ["&amp;VLOOKUP('.'!X309,Recipes!$A:$D,4,FALSE)&amp;"]"))</f>
        <v/>
      </c>
      <c r="Y309" s="46" t="str">
        <f t="array" ref="Y309">IF('.'!Y309="","",'.'!Y309&amp;IF(VLOOKUP('.'!Y309,Recipes!$A:$D,4,FALSE)="",""," ["&amp;VLOOKUP('.'!Y309,Recipes!$A:$D,4,FALSE)&amp;"]"))</f>
        <v/>
      </c>
      <c r="Z309" s="46" t="str">
        <f t="array" ref="Z309">IF('.'!Z309="","",'.'!Z309&amp;IF(VLOOKUP('.'!Z309,Recipes!$A:$D,4,FALSE)="",""," ["&amp;VLOOKUP('.'!Z309,Recipes!$A:$D,4,FALSE)&amp;"]"))</f>
        <v/>
      </c>
      <c r="AA309" s="46" t="str">
        <f t="array" ref="AA309">IF('.'!AA309="","",'.'!AA309&amp;IF(VLOOKUP('.'!AA309,Recipes!$A:$D,4,FALSE)="",""," ["&amp;VLOOKUP('.'!AA309,Recipes!$A:$D,4,FALSE)&amp;"]"))</f>
        <v/>
      </c>
      <c r="AB309" s="46" t="str">
        <f t="array" ref="AB309">IF('.'!AB309="","",'.'!AB309&amp;IF(VLOOKUP('.'!AB309,Recipes!$A:$D,4,FALSE)="",""," ["&amp;VLOOKUP('.'!AB309,Recipes!$A:$D,4,FALSE)&amp;"]"))</f>
        <v/>
      </c>
      <c r="AC309" s="46" t="str">
        <f t="array" ref="AC309">IF('.'!AC309="","",'.'!AC309&amp;IF(VLOOKUP('.'!AC309,Recipes!$A:$D,4,FALSE)="",""," ["&amp;VLOOKUP('.'!AC309,Recipes!$A:$D,4,FALSE)&amp;"]"))</f>
        <v/>
      </c>
      <c r="AD309" s="46" t="str">
        <f t="array" ref="AD309">IF('.'!AD309="","",'.'!AD309&amp;IF(VLOOKUP('.'!AD309,Recipes!$A:$D,4,FALSE)="",""," ["&amp;VLOOKUP('.'!AD309,Recipes!$A:$D,4,FALSE)&amp;"]"))</f>
        <v/>
      </c>
      <c r="AE309" s="47"/>
      <c r="AF309" s="47"/>
      <c r="AG309" s="47"/>
      <c r="AH309" s="47"/>
      <c r="AI309" s="47"/>
      <c r="AJ309" s="47"/>
      <c r="AK309" s="47"/>
      <c r="AL309" s="47"/>
      <c r="AM309" s="47"/>
      <c r="AN309" s="47"/>
      <c r="AO309" s="47"/>
      <c r="AP309" s="47"/>
      <c r="AQ309" s="47"/>
      <c r="AR309" s="47"/>
      <c r="AS309" s="47"/>
      <c r="AT309" s="47"/>
      <c r="AU309" s="47"/>
      <c r="AV309" s="47"/>
      <c r="AW309" s="47"/>
      <c r="AX309" s="47"/>
      <c r="AY309" s="47"/>
      <c r="AZ309" s="47"/>
      <c r="BA309" s="47"/>
      <c r="BB309" s="47"/>
      <c r="BC309" s="47"/>
      <c r="BD309" s="47"/>
      <c r="BE309" s="47"/>
      <c r="BF309" s="47"/>
      <c r="BG309" s="47"/>
      <c r="BH309" s="47"/>
      <c r="BI309" s="47"/>
      <c r="BJ309" s="47"/>
      <c r="BK309" s="47"/>
      <c r="BL309" s="47"/>
      <c r="BM309" s="47"/>
      <c r="BN309" s="47"/>
      <c r="BO309" s="47"/>
      <c r="BP309" s="47"/>
      <c r="BQ309" s="47"/>
      <c r="BR309" s="47"/>
      <c r="BS309" s="47"/>
      <c r="BT309" s="47"/>
      <c r="BU309" s="47"/>
      <c r="BV309" s="47"/>
      <c r="BW309" s="47"/>
      <c r="BX309" s="47"/>
      <c r="BY309" s="47"/>
      <c r="BZ309" s="47"/>
    </row>
    <row r="310" spans="1:78" ht="13">
      <c r="A310" s="48" t="str">
        <f ca="1">'.'!A310</f>
        <v>Minor Resist All Potion</v>
      </c>
      <c r="B310" s="46" t="str">
        <f t="array" aca="1" ref="B310" ca="1">IF('.'!B310="","",'.'!B310&amp;IF(VLOOKUP('.'!B310,Recipes!$A:$D,4,FALSE)="",""," ["&amp;VLOOKUP('.'!B310,Recipes!$A:$D,4,FALSE)&amp;"]"))</f>
        <v>Medium Resist All Potion [-25]</v>
      </c>
      <c r="C310" s="46" t="str">
        <f t="array" ref="C310">IF('.'!C310="","",'.'!C310&amp;IF(VLOOKUP('.'!C310,Recipes!$A:$D,4,FALSE)="",""," ["&amp;VLOOKUP('.'!C310,Recipes!$A:$D,4,FALSE)&amp;"]"))</f>
        <v/>
      </c>
      <c r="D310" s="46" t="str">
        <f t="array" ref="D310">IF('.'!D310="","",'.'!D310&amp;IF(VLOOKUP('.'!D310,Recipes!$A:$D,4,FALSE)="",""," ["&amp;VLOOKUP('.'!D310,Recipes!$A:$D,4,FALSE)&amp;"]"))</f>
        <v/>
      </c>
      <c r="E310" s="46" t="str">
        <f t="array" ref="E310">IF('.'!E310="","",'.'!E310&amp;IF(VLOOKUP('.'!E310,Recipes!$A:$D,4,FALSE)="",""," ["&amp;VLOOKUP('.'!E310,Recipes!$A:$D,4,FALSE)&amp;"]"))</f>
        <v/>
      </c>
      <c r="F310" s="46" t="str">
        <f t="array" ref="F310">IF('.'!F310="","",'.'!F310&amp;IF(VLOOKUP('.'!F310,Recipes!$A:$D,4,FALSE)="",""," ["&amp;VLOOKUP('.'!F310,Recipes!$A:$D,4,FALSE)&amp;"]"))</f>
        <v/>
      </c>
      <c r="G310" s="46" t="str">
        <f t="array" ref="G310">IF('.'!G310="","",'.'!G310&amp;IF(VLOOKUP('.'!G310,Recipes!$A:$D,4,FALSE)="",""," ["&amp;VLOOKUP('.'!G310,Recipes!$A:$D,4,FALSE)&amp;"]"))</f>
        <v/>
      </c>
      <c r="H310" s="46" t="str">
        <f t="array" ref="H310">IF('.'!H310="","",'.'!H310&amp;IF(VLOOKUP('.'!H310,Recipes!$A:$D,4,FALSE)="",""," ["&amp;VLOOKUP('.'!H310,Recipes!$A:$D,4,FALSE)&amp;"]"))</f>
        <v/>
      </c>
      <c r="I310" s="46" t="str">
        <f t="array" ref="I310">IF('.'!I310="","",'.'!I310&amp;IF(VLOOKUP('.'!I310,Recipes!$A:$D,4,FALSE)="",""," ["&amp;VLOOKUP('.'!I310,Recipes!$A:$D,4,FALSE)&amp;"]"))</f>
        <v/>
      </c>
      <c r="J310" s="46" t="str">
        <f t="array" ref="J310">IF('.'!J310="","",'.'!J310&amp;IF(VLOOKUP('.'!J310,Recipes!$A:$D,4,FALSE)="",""," ["&amp;VLOOKUP('.'!J310,Recipes!$A:$D,4,FALSE)&amp;"]"))</f>
        <v/>
      </c>
      <c r="K310" s="46" t="str">
        <f t="array" ref="K310">IF('.'!K310="","",'.'!K310&amp;IF(VLOOKUP('.'!K310,Recipes!$A:$D,4,FALSE)="",""," ["&amp;VLOOKUP('.'!K310,Recipes!$A:$D,4,FALSE)&amp;"]"))</f>
        <v/>
      </c>
      <c r="L310" s="46" t="str">
        <f t="array" ref="L310">IF('.'!L310="","",'.'!L310&amp;IF(VLOOKUP('.'!L310,Recipes!$A:$D,4,FALSE)="",""," ["&amp;VLOOKUP('.'!L310,Recipes!$A:$D,4,FALSE)&amp;"]"))</f>
        <v/>
      </c>
      <c r="M310" s="46" t="str">
        <f t="array" ref="M310">IF('.'!M310="","",'.'!M310&amp;IF(VLOOKUP('.'!M310,Recipes!$A:$D,4,FALSE)="",""," ["&amp;VLOOKUP('.'!M310,Recipes!$A:$D,4,FALSE)&amp;"]"))</f>
        <v/>
      </c>
      <c r="N310" s="46" t="str">
        <f t="array" ref="N310">IF('.'!N310="","",'.'!N310&amp;IF(VLOOKUP('.'!N310,Recipes!$A:$D,4,FALSE)="",""," ["&amp;VLOOKUP('.'!N310,Recipes!$A:$D,4,FALSE)&amp;"]"))</f>
        <v/>
      </c>
      <c r="O310" s="46" t="str">
        <f t="array" ref="O310">IF('.'!O310="","",'.'!O310&amp;IF(VLOOKUP('.'!O310,Recipes!$A:$D,4,FALSE)="",""," ["&amp;VLOOKUP('.'!O310,Recipes!$A:$D,4,FALSE)&amp;"]"))</f>
        <v/>
      </c>
      <c r="P310" s="46" t="str">
        <f t="array" ref="P310">IF('.'!P310="","",'.'!P310&amp;IF(VLOOKUP('.'!P310,Recipes!$A:$D,4,FALSE)="",""," ["&amp;VLOOKUP('.'!P310,Recipes!$A:$D,4,FALSE)&amp;"]"))</f>
        <v/>
      </c>
      <c r="Q310" s="46" t="str">
        <f t="array" ref="Q310">IF('.'!Q310="","",'.'!Q310&amp;IF(VLOOKUP('.'!Q310,Recipes!$A:$D,4,FALSE)="",""," ["&amp;VLOOKUP('.'!Q310,Recipes!$A:$D,4,FALSE)&amp;"]"))</f>
        <v/>
      </c>
      <c r="R310" s="46" t="str">
        <f t="array" ref="R310">IF('.'!R310="","",'.'!R310&amp;IF(VLOOKUP('.'!R310,Recipes!$A:$D,4,FALSE)="",""," ["&amp;VLOOKUP('.'!R310,Recipes!$A:$D,4,FALSE)&amp;"]"))</f>
        <v/>
      </c>
      <c r="S310" s="46" t="str">
        <f t="array" ref="S310">IF('.'!S310="","",'.'!S310&amp;IF(VLOOKUP('.'!S310,Recipes!$A:$D,4,FALSE)="",""," ["&amp;VLOOKUP('.'!S310,Recipes!$A:$D,4,FALSE)&amp;"]"))</f>
        <v/>
      </c>
      <c r="T310" s="46" t="str">
        <f t="array" ref="T310">IF('.'!T310="","",'.'!T310&amp;IF(VLOOKUP('.'!T310,Recipes!$A:$D,4,FALSE)="",""," ["&amp;VLOOKUP('.'!T310,Recipes!$A:$D,4,FALSE)&amp;"]"))</f>
        <v/>
      </c>
      <c r="U310" s="46" t="str">
        <f t="array" ref="U310">IF('.'!U310="","",'.'!U310&amp;IF(VLOOKUP('.'!U310,Recipes!$A:$D,4,FALSE)="",""," ["&amp;VLOOKUP('.'!U310,Recipes!$A:$D,4,FALSE)&amp;"]"))</f>
        <v/>
      </c>
      <c r="V310" s="46" t="str">
        <f t="array" ref="V310">IF('.'!V310="","",'.'!V310&amp;IF(VLOOKUP('.'!V310,Recipes!$A:$D,4,FALSE)="",""," ["&amp;VLOOKUP('.'!V310,Recipes!$A:$D,4,FALSE)&amp;"]"))</f>
        <v/>
      </c>
      <c r="W310" s="46" t="str">
        <f t="array" ref="W310">IF('.'!W310="","",'.'!W310&amp;IF(VLOOKUP('.'!W310,Recipes!$A:$D,4,FALSE)="",""," ["&amp;VLOOKUP('.'!W310,Recipes!$A:$D,4,FALSE)&amp;"]"))</f>
        <v/>
      </c>
      <c r="X310" s="46" t="str">
        <f t="array" ref="X310">IF('.'!X310="","",'.'!X310&amp;IF(VLOOKUP('.'!X310,Recipes!$A:$D,4,FALSE)="",""," ["&amp;VLOOKUP('.'!X310,Recipes!$A:$D,4,FALSE)&amp;"]"))</f>
        <v/>
      </c>
      <c r="Y310" s="46" t="str">
        <f t="array" ref="Y310">IF('.'!Y310="","",'.'!Y310&amp;IF(VLOOKUP('.'!Y310,Recipes!$A:$D,4,FALSE)="",""," ["&amp;VLOOKUP('.'!Y310,Recipes!$A:$D,4,FALSE)&amp;"]"))</f>
        <v/>
      </c>
      <c r="Z310" s="46" t="str">
        <f t="array" ref="Z310">IF('.'!Z310="","",'.'!Z310&amp;IF(VLOOKUP('.'!Z310,Recipes!$A:$D,4,FALSE)="",""," ["&amp;VLOOKUP('.'!Z310,Recipes!$A:$D,4,FALSE)&amp;"]"))</f>
        <v/>
      </c>
      <c r="AA310" s="46" t="str">
        <f t="array" ref="AA310">IF('.'!AA310="","",'.'!AA310&amp;IF(VLOOKUP('.'!AA310,Recipes!$A:$D,4,FALSE)="",""," ["&amp;VLOOKUP('.'!AA310,Recipes!$A:$D,4,FALSE)&amp;"]"))</f>
        <v/>
      </c>
      <c r="AB310" s="46" t="str">
        <f t="array" ref="AB310">IF('.'!AB310="","",'.'!AB310&amp;IF(VLOOKUP('.'!AB310,Recipes!$A:$D,4,FALSE)="",""," ["&amp;VLOOKUP('.'!AB310,Recipes!$A:$D,4,FALSE)&amp;"]"))</f>
        <v/>
      </c>
      <c r="AC310" s="46" t="str">
        <f t="array" ref="AC310">IF('.'!AC310="","",'.'!AC310&amp;IF(VLOOKUP('.'!AC310,Recipes!$A:$D,4,FALSE)="",""," ["&amp;VLOOKUP('.'!AC310,Recipes!$A:$D,4,FALSE)&amp;"]"))</f>
        <v/>
      </c>
      <c r="AD310" s="46" t="str">
        <f t="array" ref="AD310">IF('.'!AD310="","",'.'!AD310&amp;IF(VLOOKUP('.'!AD310,Recipes!$A:$D,4,FALSE)="",""," ["&amp;VLOOKUP('.'!AD310,Recipes!$A:$D,4,FALSE)&amp;"]"))</f>
        <v/>
      </c>
      <c r="AE310" s="47"/>
      <c r="AF310" s="47"/>
      <c r="AG310" s="47"/>
      <c r="AH310" s="47"/>
      <c r="AI310" s="47"/>
      <c r="AJ310" s="47"/>
      <c r="AK310" s="47"/>
      <c r="AL310" s="47"/>
      <c r="AM310" s="47"/>
      <c r="AN310" s="47"/>
      <c r="AO310" s="47"/>
      <c r="AP310" s="47"/>
      <c r="AQ310" s="47"/>
      <c r="AR310" s="47"/>
      <c r="AS310" s="47"/>
      <c r="AT310" s="47"/>
      <c r="AU310" s="47"/>
      <c r="AV310" s="47"/>
      <c r="AW310" s="47"/>
      <c r="AX310" s="47"/>
      <c r="AY310" s="47"/>
      <c r="AZ310" s="47"/>
      <c r="BA310" s="47"/>
      <c r="BB310" s="47"/>
      <c r="BC310" s="47"/>
      <c r="BD310" s="47"/>
      <c r="BE310" s="47"/>
      <c r="BF310" s="47"/>
      <c r="BG310" s="47"/>
      <c r="BH310" s="47"/>
      <c r="BI310" s="47"/>
      <c r="BJ310" s="47"/>
      <c r="BK310" s="47"/>
      <c r="BL310" s="47"/>
      <c r="BM310" s="47"/>
      <c r="BN310" s="47"/>
      <c r="BO310" s="47"/>
      <c r="BP310" s="47"/>
      <c r="BQ310" s="47"/>
      <c r="BR310" s="47"/>
      <c r="BS310" s="47"/>
      <c r="BT310" s="47"/>
      <c r="BU310" s="47"/>
      <c r="BV310" s="47"/>
      <c r="BW310" s="47"/>
      <c r="BX310" s="47"/>
      <c r="BY310" s="47"/>
      <c r="BZ310" s="47"/>
    </row>
    <row r="311" spans="1:78" ht="13">
      <c r="A311" s="48" t="str">
        <f ca="1">'.'!A311</f>
        <v>Mortar and Pestle</v>
      </c>
      <c r="B311" s="46" t="str">
        <f t="array" aca="1" ref="B311" ca="1">IF('.'!B311="","",'.'!B311&amp;IF(VLOOKUP('.'!B311,Recipes!$A:$D,4,FALSE)="",""," ["&amp;VLOOKUP('.'!B311,Recipes!$A:$D,4,FALSE)&amp;"]"))</f>
        <v>Flour [-2]</v>
      </c>
      <c r="C311" s="46" t="str">
        <f t="array" aca="1" ref="C311" ca="1">IF('.'!C311="","",'.'!C311&amp;IF(VLOOKUP('.'!C311,Recipes!$A:$D,4,FALSE)="",""," ["&amp;VLOOKUP('.'!C311,Recipes!$A:$D,4,FALSE)&amp;"]"))</f>
        <v>Bone Dust [100]</v>
      </c>
      <c r="D311" s="46" t="str">
        <f t="array" aca="1" ref="D311" ca="1">IF('.'!D311="","",'.'!D311&amp;IF(VLOOKUP('.'!D311,Recipes!$A:$D,4,FALSE)="",""," ["&amp;VLOOKUP('.'!D311,Recipes!$A:$D,4,FALSE)&amp;"]"))</f>
        <v>Pouch of Superior Stardust [200]</v>
      </c>
      <c r="E311" s="46" t="str">
        <f t="array" aca="1" ref="E311" ca="1">IF('.'!E311="","",'.'!E311&amp;IF(VLOOKUP('.'!E311,Recipes!$A:$D,4,FALSE)="",""," ["&amp;VLOOKUP('.'!E311,Recipes!$A:$D,4,FALSE)&amp;"]"))</f>
        <v>Stardust [80]</v>
      </c>
      <c r="F311" s="46" t="str">
        <f t="array" ref="F311">IF('.'!F311="","",'.'!F311&amp;IF(VLOOKUP('.'!F311,Recipes!$A:$D,4,FALSE)="",""," ["&amp;VLOOKUP('.'!F311,Recipes!$A:$D,4,FALSE)&amp;"]"))</f>
        <v/>
      </c>
      <c r="G311" s="46" t="str">
        <f t="array" ref="G311">IF('.'!G311="","",'.'!G311&amp;IF(VLOOKUP('.'!G311,Recipes!$A:$D,4,FALSE)="",""," ["&amp;VLOOKUP('.'!G311,Recipes!$A:$D,4,FALSE)&amp;"]"))</f>
        <v/>
      </c>
      <c r="H311" s="46" t="str">
        <f t="array" ref="H311">IF('.'!H311="","",'.'!H311&amp;IF(VLOOKUP('.'!H311,Recipes!$A:$D,4,FALSE)="",""," ["&amp;VLOOKUP('.'!H311,Recipes!$A:$D,4,FALSE)&amp;"]"))</f>
        <v/>
      </c>
      <c r="I311" s="46" t="str">
        <f t="array" ref="I311">IF('.'!I311="","",'.'!I311&amp;IF(VLOOKUP('.'!I311,Recipes!$A:$D,4,FALSE)="",""," ["&amp;VLOOKUP('.'!I311,Recipes!$A:$D,4,FALSE)&amp;"]"))</f>
        <v/>
      </c>
      <c r="J311" s="46" t="str">
        <f t="array" ref="J311">IF('.'!J311="","",'.'!J311&amp;IF(VLOOKUP('.'!J311,Recipes!$A:$D,4,FALSE)="",""," ["&amp;VLOOKUP('.'!J311,Recipes!$A:$D,4,FALSE)&amp;"]"))</f>
        <v/>
      </c>
      <c r="K311" s="46" t="str">
        <f t="array" ref="K311">IF('.'!K311="","",'.'!K311&amp;IF(VLOOKUP('.'!K311,Recipes!$A:$D,4,FALSE)="",""," ["&amp;VLOOKUP('.'!K311,Recipes!$A:$D,4,FALSE)&amp;"]"))</f>
        <v/>
      </c>
      <c r="L311" s="46" t="str">
        <f t="array" ref="L311">IF('.'!L311="","",'.'!L311&amp;IF(VLOOKUP('.'!L311,Recipes!$A:$D,4,FALSE)="",""," ["&amp;VLOOKUP('.'!L311,Recipes!$A:$D,4,FALSE)&amp;"]"))</f>
        <v/>
      </c>
      <c r="M311" s="46" t="str">
        <f t="array" ref="M311">IF('.'!M311="","",'.'!M311&amp;IF(VLOOKUP('.'!M311,Recipes!$A:$D,4,FALSE)="",""," ["&amp;VLOOKUP('.'!M311,Recipes!$A:$D,4,FALSE)&amp;"]"))</f>
        <v/>
      </c>
      <c r="N311" s="46" t="str">
        <f t="array" ref="N311">IF('.'!N311="","",'.'!N311&amp;IF(VLOOKUP('.'!N311,Recipes!$A:$D,4,FALSE)="",""," ["&amp;VLOOKUP('.'!N311,Recipes!$A:$D,4,FALSE)&amp;"]"))</f>
        <v/>
      </c>
      <c r="O311" s="46" t="str">
        <f t="array" ref="O311">IF('.'!O311="","",'.'!O311&amp;IF(VLOOKUP('.'!O311,Recipes!$A:$D,4,FALSE)="",""," ["&amp;VLOOKUP('.'!O311,Recipes!$A:$D,4,FALSE)&amp;"]"))</f>
        <v/>
      </c>
      <c r="P311" s="46" t="str">
        <f t="array" ref="P311">IF('.'!P311="","",'.'!P311&amp;IF(VLOOKUP('.'!P311,Recipes!$A:$D,4,FALSE)="",""," ["&amp;VLOOKUP('.'!P311,Recipes!$A:$D,4,FALSE)&amp;"]"))</f>
        <v/>
      </c>
      <c r="Q311" s="46" t="str">
        <f t="array" ref="Q311">IF('.'!Q311="","",'.'!Q311&amp;IF(VLOOKUP('.'!Q311,Recipes!$A:$D,4,FALSE)="",""," ["&amp;VLOOKUP('.'!Q311,Recipes!$A:$D,4,FALSE)&amp;"]"))</f>
        <v/>
      </c>
      <c r="R311" s="46" t="str">
        <f t="array" ref="R311">IF('.'!R311="","",'.'!R311&amp;IF(VLOOKUP('.'!R311,Recipes!$A:$D,4,FALSE)="",""," ["&amp;VLOOKUP('.'!R311,Recipes!$A:$D,4,FALSE)&amp;"]"))</f>
        <v/>
      </c>
      <c r="S311" s="46" t="str">
        <f t="array" ref="S311">IF('.'!S311="","",'.'!S311&amp;IF(VLOOKUP('.'!S311,Recipes!$A:$D,4,FALSE)="",""," ["&amp;VLOOKUP('.'!S311,Recipes!$A:$D,4,FALSE)&amp;"]"))</f>
        <v/>
      </c>
      <c r="T311" s="46" t="str">
        <f t="array" ref="T311">IF('.'!T311="","",'.'!T311&amp;IF(VLOOKUP('.'!T311,Recipes!$A:$D,4,FALSE)="",""," ["&amp;VLOOKUP('.'!T311,Recipes!$A:$D,4,FALSE)&amp;"]"))</f>
        <v/>
      </c>
      <c r="U311" s="46" t="str">
        <f t="array" ref="U311">IF('.'!U311="","",'.'!U311&amp;IF(VLOOKUP('.'!U311,Recipes!$A:$D,4,FALSE)="",""," ["&amp;VLOOKUP('.'!U311,Recipes!$A:$D,4,FALSE)&amp;"]"))</f>
        <v/>
      </c>
      <c r="V311" s="46" t="str">
        <f t="array" ref="V311">IF('.'!V311="","",'.'!V311&amp;IF(VLOOKUP('.'!V311,Recipes!$A:$D,4,FALSE)="",""," ["&amp;VLOOKUP('.'!V311,Recipes!$A:$D,4,FALSE)&amp;"]"))</f>
        <v/>
      </c>
      <c r="W311" s="46" t="str">
        <f t="array" ref="W311">IF('.'!W311="","",'.'!W311&amp;IF(VLOOKUP('.'!W311,Recipes!$A:$D,4,FALSE)="",""," ["&amp;VLOOKUP('.'!W311,Recipes!$A:$D,4,FALSE)&amp;"]"))</f>
        <v/>
      </c>
      <c r="X311" s="46" t="str">
        <f t="array" ref="X311">IF('.'!X311="","",'.'!X311&amp;IF(VLOOKUP('.'!X311,Recipes!$A:$D,4,FALSE)="",""," ["&amp;VLOOKUP('.'!X311,Recipes!$A:$D,4,FALSE)&amp;"]"))</f>
        <v/>
      </c>
      <c r="Y311" s="46" t="str">
        <f t="array" ref="Y311">IF('.'!Y311="","",'.'!Y311&amp;IF(VLOOKUP('.'!Y311,Recipes!$A:$D,4,FALSE)="",""," ["&amp;VLOOKUP('.'!Y311,Recipes!$A:$D,4,FALSE)&amp;"]"))</f>
        <v/>
      </c>
      <c r="Z311" s="46" t="str">
        <f t="array" ref="Z311">IF('.'!Z311="","",'.'!Z311&amp;IF(VLOOKUP('.'!Z311,Recipes!$A:$D,4,FALSE)="",""," ["&amp;VLOOKUP('.'!Z311,Recipes!$A:$D,4,FALSE)&amp;"]"))</f>
        <v/>
      </c>
      <c r="AA311" s="46" t="str">
        <f t="array" ref="AA311">IF('.'!AA311="","",'.'!AA311&amp;IF(VLOOKUP('.'!AA311,Recipes!$A:$D,4,FALSE)="",""," ["&amp;VLOOKUP('.'!AA311,Recipes!$A:$D,4,FALSE)&amp;"]"))</f>
        <v/>
      </c>
      <c r="AB311" s="46" t="str">
        <f t="array" ref="AB311">IF('.'!AB311="","",'.'!AB311&amp;IF(VLOOKUP('.'!AB311,Recipes!$A:$D,4,FALSE)="",""," ["&amp;VLOOKUP('.'!AB311,Recipes!$A:$D,4,FALSE)&amp;"]"))</f>
        <v/>
      </c>
      <c r="AC311" s="46" t="str">
        <f t="array" ref="AC311">IF('.'!AC311="","",'.'!AC311&amp;IF(VLOOKUP('.'!AC311,Recipes!$A:$D,4,FALSE)="",""," ["&amp;VLOOKUP('.'!AC311,Recipes!$A:$D,4,FALSE)&amp;"]"))</f>
        <v/>
      </c>
      <c r="AD311" s="46" t="str">
        <f t="array" ref="AD311">IF('.'!AD311="","",'.'!AD311&amp;IF(VLOOKUP('.'!AD311,Recipes!$A:$D,4,FALSE)="",""," ["&amp;VLOOKUP('.'!AD311,Recipes!$A:$D,4,FALSE)&amp;"]"))</f>
        <v/>
      </c>
      <c r="AE311" s="47"/>
      <c r="AF311" s="47"/>
      <c r="AG311" s="47"/>
      <c r="AH311" s="47"/>
      <c r="AI311" s="47"/>
      <c r="AJ311" s="47"/>
      <c r="AK311" s="47"/>
      <c r="AL311" s="47"/>
      <c r="AM311" s="47"/>
      <c r="AN311" s="47"/>
      <c r="AO311" s="47"/>
      <c r="AP311" s="47"/>
      <c r="AQ311" s="47"/>
      <c r="AR311" s="47"/>
      <c r="AS311" s="47"/>
      <c r="AT311" s="47"/>
      <c r="AU311" s="47"/>
      <c r="AV311" s="47"/>
      <c r="AW311" s="47"/>
      <c r="AX311" s="47"/>
      <c r="AY311" s="47"/>
      <c r="AZ311" s="47"/>
      <c r="BA311" s="47"/>
      <c r="BB311" s="47"/>
      <c r="BC311" s="47"/>
      <c r="BD311" s="47"/>
      <c r="BE311" s="47"/>
      <c r="BF311" s="47"/>
      <c r="BG311" s="47"/>
      <c r="BH311" s="47"/>
      <c r="BI311" s="47"/>
      <c r="BJ311" s="47"/>
      <c r="BK311" s="47"/>
      <c r="BL311" s="47"/>
      <c r="BM311" s="47"/>
      <c r="BN311" s="47"/>
      <c r="BO311" s="47"/>
      <c r="BP311" s="47"/>
      <c r="BQ311" s="47"/>
      <c r="BR311" s="47"/>
      <c r="BS311" s="47"/>
      <c r="BT311" s="47"/>
      <c r="BU311" s="47"/>
      <c r="BV311" s="47"/>
      <c r="BW311" s="47"/>
      <c r="BX311" s="47"/>
      <c r="BY311" s="47"/>
      <c r="BZ311" s="47"/>
    </row>
    <row r="312" spans="1:78" ht="13">
      <c r="A312" s="48" t="str">
        <f ca="1">'.'!A312</f>
        <v>Mosquito Swarm Scroll</v>
      </c>
      <c r="B312" s="46" t="str">
        <f t="array" aca="1" ref="B312" ca="1">IF('.'!B312="","",'.'!B312&amp;IF(VLOOKUP('.'!B312,Recipes!$A:$D,4,FALSE)="",""," ["&amp;VLOOKUP('.'!B312,Recipes!$A:$D,4,FALSE)&amp;"]"))</f>
        <v>Mosquito Swarm Skillbook [-130]</v>
      </c>
      <c r="C312" s="46" t="str">
        <f t="array" ref="C312">IF('.'!C312="","",'.'!C312&amp;IF(VLOOKUP('.'!C312,Recipes!$A:$D,4,FALSE)="",""," ["&amp;VLOOKUP('.'!C312,Recipes!$A:$D,4,FALSE)&amp;"]"))</f>
        <v/>
      </c>
      <c r="D312" s="46" t="str">
        <f t="array" ref="D312">IF('.'!D312="","",'.'!D312&amp;IF(VLOOKUP('.'!D312,Recipes!$A:$D,4,FALSE)="",""," ["&amp;VLOOKUP('.'!D312,Recipes!$A:$D,4,FALSE)&amp;"]"))</f>
        <v/>
      </c>
      <c r="E312" s="46" t="str">
        <f t="array" ref="E312">IF('.'!E312="","",'.'!E312&amp;IF(VLOOKUP('.'!E312,Recipes!$A:$D,4,FALSE)="",""," ["&amp;VLOOKUP('.'!E312,Recipes!$A:$D,4,FALSE)&amp;"]"))</f>
        <v/>
      </c>
      <c r="F312" s="46" t="str">
        <f t="array" ref="F312">IF('.'!F312="","",'.'!F312&amp;IF(VLOOKUP('.'!F312,Recipes!$A:$D,4,FALSE)="",""," ["&amp;VLOOKUP('.'!F312,Recipes!$A:$D,4,FALSE)&amp;"]"))</f>
        <v/>
      </c>
      <c r="G312" s="46" t="str">
        <f t="array" ref="G312">IF('.'!G312="","",'.'!G312&amp;IF(VLOOKUP('.'!G312,Recipes!$A:$D,4,FALSE)="",""," ["&amp;VLOOKUP('.'!G312,Recipes!$A:$D,4,FALSE)&amp;"]"))</f>
        <v/>
      </c>
      <c r="H312" s="46" t="str">
        <f t="array" ref="H312">IF('.'!H312="","",'.'!H312&amp;IF(VLOOKUP('.'!H312,Recipes!$A:$D,4,FALSE)="",""," ["&amp;VLOOKUP('.'!H312,Recipes!$A:$D,4,FALSE)&amp;"]"))</f>
        <v/>
      </c>
      <c r="I312" s="46" t="str">
        <f t="array" ref="I312">IF('.'!I312="","",'.'!I312&amp;IF(VLOOKUP('.'!I312,Recipes!$A:$D,4,FALSE)="",""," ["&amp;VLOOKUP('.'!I312,Recipes!$A:$D,4,FALSE)&amp;"]"))</f>
        <v/>
      </c>
      <c r="J312" s="46" t="str">
        <f t="array" ref="J312">IF('.'!J312="","",'.'!J312&amp;IF(VLOOKUP('.'!J312,Recipes!$A:$D,4,FALSE)="",""," ["&amp;VLOOKUP('.'!J312,Recipes!$A:$D,4,FALSE)&amp;"]"))</f>
        <v/>
      </c>
      <c r="K312" s="46" t="str">
        <f t="array" ref="K312">IF('.'!K312="","",'.'!K312&amp;IF(VLOOKUP('.'!K312,Recipes!$A:$D,4,FALSE)="",""," ["&amp;VLOOKUP('.'!K312,Recipes!$A:$D,4,FALSE)&amp;"]"))</f>
        <v/>
      </c>
      <c r="L312" s="46" t="str">
        <f t="array" ref="L312">IF('.'!L312="","",'.'!L312&amp;IF(VLOOKUP('.'!L312,Recipes!$A:$D,4,FALSE)="",""," ["&amp;VLOOKUP('.'!L312,Recipes!$A:$D,4,FALSE)&amp;"]"))</f>
        <v/>
      </c>
      <c r="M312" s="46" t="str">
        <f t="array" ref="M312">IF('.'!M312="","",'.'!M312&amp;IF(VLOOKUP('.'!M312,Recipes!$A:$D,4,FALSE)="",""," ["&amp;VLOOKUP('.'!M312,Recipes!$A:$D,4,FALSE)&amp;"]"))</f>
        <v/>
      </c>
      <c r="N312" s="46" t="str">
        <f t="array" ref="N312">IF('.'!N312="","",'.'!N312&amp;IF(VLOOKUP('.'!N312,Recipes!$A:$D,4,FALSE)="",""," ["&amp;VLOOKUP('.'!N312,Recipes!$A:$D,4,FALSE)&amp;"]"))</f>
        <v/>
      </c>
      <c r="O312" s="46" t="str">
        <f t="array" ref="O312">IF('.'!O312="","",'.'!O312&amp;IF(VLOOKUP('.'!O312,Recipes!$A:$D,4,FALSE)="",""," ["&amp;VLOOKUP('.'!O312,Recipes!$A:$D,4,FALSE)&amp;"]"))</f>
        <v/>
      </c>
      <c r="P312" s="46" t="str">
        <f t="array" ref="P312">IF('.'!P312="","",'.'!P312&amp;IF(VLOOKUP('.'!P312,Recipes!$A:$D,4,FALSE)="",""," ["&amp;VLOOKUP('.'!P312,Recipes!$A:$D,4,FALSE)&amp;"]"))</f>
        <v/>
      </c>
      <c r="Q312" s="46" t="str">
        <f t="array" ref="Q312">IF('.'!Q312="","",'.'!Q312&amp;IF(VLOOKUP('.'!Q312,Recipes!$A:$D,4,FALSE)="",""," ["&amp;VLOOKUP('.'!Q312,Recipes!$A:$D,4,FALSE)&amp;"]"))</f>
        <v/>
      </c>
      <c r="R312" s="46" t="str">
        <f t="array" ref="R312">IF('.'!R312="","",'.'!R312&amp;IF(VLOOKUP('.'!R312,Recipes!$A:$D,4,FALSE)="",""," ["&amp;VLOOKUP('.'!R312,Recipes!$A:$D,4,FALSE)&amp;"]"))</f>
        <v/>
      </c>
      <c r="S312" s="46" t="str">
        <f t="array" ref="S312">IF('.'!S312="","",'.'!S312&amp;IF(VLOOKUP('.'!S312,Recipes!$A:$D,4,FALSE)="",""," ["&amp;VLOOKUP('.'!S312,Recipes!$A:$D,4,FALSE)&amp;"]"))</f>
        <v/>
      </c>
      <c r="T312" s="46" t="str">
        <f t="array" ref="T312">IF('.'!T312="","",'.'!T312&amp;IF(VLOOKUP('.'!T312,Recipes!$A:$D,4,FALSE)="",""," ["&amp;VLOOKUP('.'!T312,Recipes!$A:$D,4,FALSE)&amp;"]"))</f>
        <v/>
      </c>
      <c r="U312" s="46" t="str">
        <f t="array" ref="U312">IF('.'!U312="","",'.'!U312&amp;IF(VLOOKUP('.'!U312,Recipes!$A:$D,4,FALSE)="",""," ["&amp;VLOOKUP('.'!U312,Recipes!$A:$D,4,FALSE)&amp;"]"))</f>
        <v/>
      </c>
      <c r="V312" s="46" t="str">
        <f t="array" ref="V312">IF('.'!V312="","",'.'!V312&amp;IF(VLOOKUP('.'!V312,Recipes!$A:$D,4,FALSE)="",""," ["&amp;VLOOKUP('.'!V312,Recipes!$A:$D,4,FALSE)&amp;"]"))</f>
        <v/>
      </c>
      <c r="W312" s="46" t="str">
        <f t="array" ref="W312">IF('.'!W312="","",'.'!W312&amp;IF(VLOOKUP('.'!W312,Recipes!$A:$D,4,FALSE)="",""," ["&amp;VLOOKUP('.'!W312,Recipes!$A:$D,4,FALSE)&amp;"]"))</f>
        <v/>
      </c>
      <c r="X312" s="46" t="str">
        <f t="array" ref="X312">IF('.'!X312="","",'.'!X312&amp;IF(VLOOKUP('.'!X312,Recipes!$A:$D,4,FALSE)="",""," ["&amp;VLOOKUP('.'!X312,Recipes!$A:$D,4,FALSE)&amp;"]"))</f>
        <v/>
      </c>
      <c r="Y312" s="46" t="str">
        <f t="array" ref="Y312">IF('.'!Y312="","",'.'!Y312&amp;IF(VLOOKUP('.'!Y312,Recipes!$A:$D,4,FALSE)="",""," ["&amp;VLOOKUP('.'!Y312,Recipes!$A:$D,4,FALSE)&amp;"]"))</f>
        <v/>
      </c>
      <c r="Z312" s="46" t="str">
        <f t="array" ref="Z312">IF('.'!Z312="","",'.'!Z312&amp;IF(VLOOKUP('.'!Z312,Recipes!$A:$D,4,FALSE)="",""," ["&amp;VLOOKUP('.'!Z312,Recipes!$A:$D,4,FALSE)&amp;"]"))</f>
        <v/>
      </c>
      <c r="AA312" s="46" t="str">
        <f t="array" ref="AA312">IF('.'!AA312="","",'.'!AA312&amp;IF(VLOOKUP('.'!AA312,Recipes!$A:$D,4,FALSE)="",""," ["&amp;VLOOKUP('.'!AA312,Recipes!$A:$D,4,FALSE)&amp;"]"))</f>
        <v/>
      </c>
      <c r="AB312" s="46" t="str">
        <f t="array" ref="AB312">IF('.'!AB312="","",'.'!AB312&amp;IF(VLOOKUP('.'!AB312,Recipes!$A:$D,4,FALSE)="",""," ["&amp;VLOOKUP('.'!AB312,Recipes!$A:$D,4,FALSE)&amp;"]"))</f>
        <v/>
      </c>
      <c r="AC312" s="46" t="str">
        <f t="array" ref="AC312">IF('.'!AC312="","",'.'!AC312&amp;IF(VLOOKUP('.'!AC312,Recipes!$A:$D,4,FALSE)="",""," ["&amp;VLOOKUP('.'!AC312,Recipes!$A:$D,4,FALSE)&amp;"]"))</f>
        <v/>
      </c>
      <c r="AD312" s="46" t="str">
        <f t="array" ref="AD312">IF('.'!AD312="","",'.'!AD312&amp;IF(VLOOKUP('.'!AD312,Recipes!$A:$D,4,FALSE)="",""," ["&amp;VLOOKUP('.'!AD312,Recipes!$A:$D,4,FALSE)&amp;"]"))</f>
        <v/>
      </c>
      <c r="AE312" s="47"/>
      <c r="AF312" s="47"/>
      <c r="AG312" s="47"/>
      <c r="AH312" s="47"/>
      <c r="AI312" s="47"/>
      <c r="AJ312" s="47"/>
      <c r="AK312" s="47"/>
      <c r="AL312" s="47"/>
      <c r="AM312" s="47"/>
      <c r="AN312" s="47"/>
      <c r="AO312" s="47"/>
      <c r="AP312" s="47"/>
      <c r="AQ312" s="47"/>
      <c r="AR312" s="47"/>
      <c r="AS312" s="47"/>
      <c r="AT312" s="47"/>
      <c r="AU312" s="47"/>
      <c r="AV312" s="47"/>
      <c r="AW312" s="47"/>
      <c r="AX312" s="47"/>
      <c r="AY312" s="47"/>
      <c r="AZ312" s="47"/>
      <c r="BA312" s="47"/>
      <c r="BB312" s="47"/>
      <c r="BC312" s="47"/>
      <c r="BD312" s="47"/>
      <c r="BE312" s="47"/>
      <c r="BF312" s="47"/>
      <c r="BG312" s="47"/>
      <c r="BH312" s="47"/>
      <c r="BI312" s="47"/>
      <c r="BJ312" s="47"/>
      <c r="BK312" s="47"/>
      <c r="BL312" s="47"/>
      <c r="BM312" s="47"/>
      <c r="BN312" s="47"/>
      <c r="BO312" s="47"/>
      <c r="BP312" s="47"/>
      <c r="BQ312" s="47"/>
      <c r="BR312" s="47"/>
      <c r="BS312" s="47"/>
      <c r="BT312" s="47"/>
      <c r="BU312" s="47"/>
      <c r="BV312" s="47"/>
      <c r="BW312" s="47"/>
      <c r="BX312" s="47"/>
      <c r="BY312" s="47"/>
      <c r="BZ312" s="47"/>
    </row>
    <row r="313" spans="1:78" ht="13">
      <c r="A313" s="48" t="str">
        <f ca="1">'.'!A313</f>
        <v>Mug of Water</v>
      </c>
      <c r="B313" s="46" t="str">
        <f t="array" aca="1" ref="B313" ca="1">IF('.'!B313="","",'.'!B313&amp;IF(VLOOKUP('.'!B313,Recipes!$A:$D,4,FALSE)="",""," ["&amp;VLOOKUP('.'!B313,Recipes!$A:$D,4,FALSE)&amp;"]"))</f>
        <v>Mug of Tea [-3]</v>
      </c>
      <c r="C313" s="46" t="str">
        <f t="array" ref="C313">IF('.'!C313="","",'.'!C313&amp;IF(VLOOKUP('.'!C313,Recipes!$A:$D,4,FALSE)="",""," ["&amp;VLOOKUP('.'!C313,Recipes!$A:$D,4,FALSE)&amp;"]"))</f>
        <v/>
      </c>
      <c r="D313" s="46" t="str">
        <f t="array" ref="D313">IF('.'!D313="","",'.'!D313&amp;IF(VLOOKUP('.'!D313,Recipes!$A:$D,4,FALSE)="",""," ["&amp;VLOOKUP('.'!D313,Recipes!$A:$D,4,FALSE)&amp;"]"))</f>
        <v/>
      </c>
      <c r="E313" s="46" t="str">
        <f t="array" ref="E313">IF('.'!E313="","",'.'!E313&amp;IF(VLOOKUP('.'!E313,Recipes!$A:$D,4,FALSE)="",""," ["&amp;VLOOKUP('.'!E313,Recipes!$A:$D,4,FALSE)&amp;"]"))</f>
        <v/>
      </c>
      <c r="F313" s="46" t="str">
        <f t="array" ref="F313">IF('.'!F313="","",'.'!F313&amp;IF(VLOOKUP('.'!F313,Recipes!$A:$D,4,FALSE)="",""," ["&amp;VLOOKUP('.'!F313,Recipes!$A:$D,4,FALSE)&amp;"]"))</f>
        <v/>
      </c>
      <c r="G313" s="46" t="str">
        <f t="array" ref="G313">IF('.'!G313="","",'.'!G313&amp;IF(VLOOKUP('.'!G313,Recipes!$A:$D,4,FALSE)="",""," ["&amp;VLOOKUP('.'!G313,Recipes!$A:$D,4,FALSE)&amp;"]"))</f>
        <v/>
      </c>
      <c r="H313" s="46" t="str">
        <f t="array" ref="H313">IF('.'!H313="","",'.'!H313&amp;IF(VLOOKUP('.'!H313,Recipes!$A:$D,4,FALSE)="",""," ["&amp;VLOOKUP('.'!H313,Recipes!$A:$D,4,FALSE)&amp;"]"))</f>
        <v/>
      </c>
      <c r="I313" s="46" t="str">
        <f t="array" ref="I313">IF('.'!I313="","",'.'!I313&amp;IF(VLOOKUP('.'!I313,Recipes!$A:$D,4,FALSE)="",""," ["&amp;VLOOKUP('.'!I313,Recipes!$A:$D,4,FALSE)&amp;"]"))</f>
        <v/>
      </c>
      <c r="J313" s="46" t="str">
        <f t="array" ref="J313">IF('.'!J313="","",'.'!J313&amp;IF(VLOOKUP('.'!J313,Recipes!$A:$D,4,FALSE)="",""," ["&amp;VLOOKUP('.'!J313,Recipes!$A:$D,4,FALSE)&amp;"]"))</f>
        <v/>
      </c>
      <c r="K313" s="46" t="str">
        <f t="array" ref="K313">IF('.'!K313="","",'.'!K313&amp;IF(VLOOKUP('.'!K313,Recipes!$A:$D,4,FALSE)="",""," ["&amp;VLOOKUP('.'!K313,Recipes!$A:$D,4,FALSE)&amp;"]"))</f>
        <v/>
      </c>
      <c r="L313" s="46" t="str">
        <f t="array" ref="L313">IF('.'!L313="","",'.'!L313&amp;IF(VLOOKUP('.'!L313,Recipes!$A:$D,4,FALSE)="",""," ["&amp;VLOOKUP('.'!L313,Recipes!$A:$D,4,FALSE)&amp;"]"))</f>
        <v/>
      </c>
      <c r="M313" s="46" t="str">
        <f t="array" ref="M313">IF('.'!M313="","",'.'!M313&amp;IF(VLOOKUP('.'!M313,Recipes!$A:$D,4,FALSE)="",""," ["&amp;VLOOKUP('.'!M313,Recipes!$A:$D,4,FALSE)&amp;"]"))</f>
        <v/>
      </c>
      <c r="N313" s="46" t="str">
        <f t="array" ref="N313">IF('.'!N313="","",'.'!N313&amp;IF(VLOOKUP('.'!N313,Recipes!$A:$D,4,FALSE)="",""," ["&amp;VLOOKUP('.'!N313,Recipes!$A:$D,4,FALSE)&amp;"]"))</f>
        <v/>
      </c>
      <c r="O313" s="46" t="str">
        <f t="array" ref="O313">IF('.'!O313="","",'.'!O313&amp;IF(VLOOKUP('.'!O313,Recipes!$A:$D,4,FALSE)="",""," ["&amp;VLOOKUP('.'!O313,Recipes!$A:$D,4,FALSE)&amp;"]"))</f>
        <v/>
      </c>
      <c r="P313" s="46" t="str">
        <f t="array" ref="P313">IF('.'!P313="","",'.'!P313&amp;IF(VLOOKUP('.'!P313,Recipes!$A:$D,4,FALSE)="",""," ["&amp;VLOOKUP('.'!P313,Recipes!$A:$D,4,FALSE)&amp;"]"))</f>
        <v/>
      </c>
      <c r="Q313" s="46" t="str">
        <f t="array" ref="Q313">IF('.'!Q313="","",'.'!Q313&amp;IF(VLOOKUP('.'!Q313,Recipes!$A:$D,4,FALSE)="",""," ["&amp;VLOOKUP('.'!Q313,Recipes!$A:$D,4,FALSE)&amp;"]"))</f>
        <v/>
      </c>
      <c r="R313" s="46" t="str">
        <f t="array" ref="R313">IF('.'!R313="","",'.'!R313&amp;IF(VLOOKUP('.'!R313,Recipes!$A:$D,4,FALSE)="",""," ["&amp;VLOOKUP('.'!R313,Recipes!$A:$D,4,FALSE)&amp;"]"))</f>
        <v/>
      </c>
      <c r="S313" s="46" t="str">
        <f t="array" ref="S313">IF('.'!S313="","",'.'!S313&amp;IF(VLOOKUP('.'!S313,Recipes!$A:$D,4,FALSE)="",""," ["&amp;VLOOKUP('.'!S313,Recipes!$A:$D,4,FALSE)&amp;"]"))</f>
        <v/>
      </c>
      <c r="T313" s="46" t="str">
        <f t="array" ref="T313">IF('.'!T313="","",'.'!T313&amp;IF(VLOOKUP('.'!T313,Recipes!$A:$D,4,FALSE)="",""," ["&amp;VLOOKUP('.'!T313,Recipes!$A:$D,4,FALSE)&amp;"]"))</f>
        <v/>
      </c>
      <c r="U313" s="46" t="str">
        <f t="array" ref="U313">IF('.'!U313="","",'.'!U313&amp;IF(VLOOKUP('.'!U313,Recipes!$A:$D,4,FALSE)="",""," ["&amp;VLOOKUP('.'!U313,Recipes!$A:$D,4,FALSE)&amp;"]"))</f>
        <v/>
      </c>
      <c r="V313" s="46" t="str">
        <f t="array" ref="V313">IF('.'!V313="","",'.'!V313&amp;IF(VLOOKUP('.'!V313,Recipes!$A:$D,4,FALSE)="",""," ["&amp;VLOOKUP('.'!V313,Recipes!$A:$D,4,FALSE)&amp;"]"))</f>
        <v/>
      </c>
      <c r="W313" s="46" t="str">
        <f t="array" ref="W313">IF('.'!W313="","",'.'!W313&amp;IF(VLOOKUP('.'!W313,Recipes!$A:$D,4,FALSE)="",""," ["&amp;VLOOKUP('.'!W313,Recipes!$A:$D,4,FALSE)&amp;"]"))</f>
        <v/>
      </c>
      <c r="X313" s="46" t="str">
        <f t="array" ref="X313">IF('.'!X313="","",'.'!X313&amp;IF(VLOOKUP('.'!X313,Recipes!$A:$D,4,FALSE)="",""," ["&amp;VLOOKUP('.'!X313,Recipes!$A:$D,4,FALSE)&amp;"]"))</f>
        <v/>
      </c>
      <c r="Y313" s="46" t="str">
        <f t="array" ref="Y313">IF('.'!Y313="","",'.'!Y313&amp;IF(VLOOKUP('.'!Y313,Recipes!$A:$D,4,FALSE)="",""," ["&amp;VLOOKUP('.'!Y313,Recipes!$A:$D,4,FALSE)&amp;"]"))</f>
        <v/>
      </c>
      <c r="Z313" s="46" t="str">
        <f t="array" ref="Z313">IF('.'!Z313="","",'.'!Z313&amp;IF(VLOOKUP('.'!Z313,Recipes!$A:$D,4,FALSE)="",""," ["&amp;VLOOKUP('.'!Z313,Recipes!$A:$D,4,FALSE)&amp;"]"))</f>
        <v/>
      </c>
      <c r="AA313" s="46" t="str">
        <f t="array" ref="AA313">IF('.'!AA313="","",'.'!AA313&amp;IF(VLOOKUP('.'!AA313,Recipes!$A:$D,4,FALSE)="",""," ["&amp;VLOOKUP('.'!AA313,Recipes!$A:$D,4,FALSE)&amp;"]"))</f>
        <v/>
      </c>
      <c r="AB313" s="46" t="str">
        <f t="array" ref="AB313">IF('.'!AB313="","",'.'!AB313&amp;IF(VLOOKUP('.'!AB313,Recipes!$A:$D,4,FALSE)="",""," ["&amp;VLOOKUP('.'!AB313,Recipes!$A:$D,4,FALSE)&amp;"]"))</f>
        <v/>
      </c>
      <c r="AC313" s="46" t="str">
        <f t="array" ref="AC313">IF('.'!AC313="","",'.'!AC313&amp;IF(VLOOKUP('.'!AC313,Recipes!$A:$D,4,FALSE)="",""," ["&amp;VLOOKUP('.'!AC313,Recipes!$A:$D,4,FALSE)&amp;"]"))</f>
        <v/>
      </c>
      <c r="AD313" s="46" t="str">
        <f t="array" ref="AD313">IF('.'!AD313="","",'.'!AD313&amp;IF(VLOOKUP('.'!AD313,Recipes!$A:$D,4,FALSE)="",""," ["&amp;VLOOKUP('.'!AD313,Recipes!$A:$D,4,FALSE)&amp;"]"))</f>
        <v/>
      </c>
      <c r="AE313" s="47"/>
      <c r="AF313" s="47"/>
      <c r="AG313" s="47"/>
      <c r="AH313" s="47"/>
      <c r="AI313" s="47"/>
      <c r="AJ313" s="47"/>
      <c r="AK313" s="47"/>
      <c r="AL313" s="47"/>
      <c r="AM313" s="47"/>
      <c r="AN313" s="47"/>
      <c r="AO313" s="47"/>
      <c r="AP313" s="47"/>
      <c r="AQ313" s="47"/>
      <c r="AR313" s="47"/>
      <c r="AS313" s="47"/>
      <c r="AT313" s="47"/>
      <c r="AU313" s="47"/>
      <c r="AV313" s="47"/>
      <c r="AW313" s="47"/>
      <c r="AX313" s="47"/>
      <c r="AY313" s="47"/>
      <c r="AZ313" s="47"/>
      <c r="BA313" s="47"/>
      <c r="BB313" s="47"/>
      <c r="BC313" s="47"/>
      <c r="BD313" s="47"/>
      <c r="BE313" s="47"/>
      <c r="BF313" s="47"/>
      <c r="BG313" s="47"/>
      <c r="BH313" s="47"/>
      <c r="BI313" s="47"/>
      <c r="BJ313" s="47"/>
      <c r="BK313" s="47"/>
      <c r="BL313" s="47"/>
      <c r="BM313" s="47"/>
      <c r="BN313" s="47"/>
      <c r="BO313" s="47"/>
      <c r="BP313" s="47"/>
      <c r="BQ313" s="47"/>
      <c r="BR313" s="47"/>
      <c r="BS313" s="47"/>
      <c r="BT313" s="47"/>
      <c r="BU313" s="47"/>
      <c r="BV313" s="47"/>
      <c r="BW313" s="47"/>
      <c r="BX313" s="47"/>
      <c r="BY313" s="47"/>
      <c r="BZ313" s="47"/>
    </row>
    <row r="314" spans="1:78" ht="13">
      <c r="A314" s="48" t="str">
        <f ca="1">'.'!A314</f>
        <v>Mystical Rune Frame</v>
      </c>
      <c r="B314" s="46" t="str">
        <f t="array" aca="1" ref="B314" ca="1">IF('.'!B314="","",'.'!B314&amp;IF(VLOOKUP('.'!B314,Recipes!$A:$D,4,FALSE)="",""," ["&amp;VLOOKUP('.'!B314,Recipes!$A:$D,4,FALSE)&amp;"]"))</f>
        <v>Mystical Giant Flame Rune [0]</v>
      </c>
      <c r="C314" s="46" t="str">
        <f t="array" aca="1" ref="C314" ca="1">IF('.'!C314="","",'.'!C314&amp;IF(VLOOKUP('.'!C314,Recipes!$A:$D,4,FALSE)="",""," ["&amp;VLOOKUP('.'!C314,Recipes!$A:$D,4,FALSE)&amp;"]"))</f>
        <v>Mystical Large Flame Rune [0]</v>
      </c>
      <c r="D314" s="46" t="str">
        <f t="array" aca="1" ref="D314" ca="1">IF('.'!D314="","",'.'!D314&amp;IF(VLOOKUP('.'!D314,Recipes!$A:$D,4,FALSE)="",""," ["&amp;VLOOKUP('.'!D314,Recipes!$A:$D,4,FALSE)&amp;"]"))</f>
        <v>Mystical Medium Flame Rune [0]</v>
      </c>
      <c r="E314" s="46" t="str">
        <f t="array" aca="1" ref="E314" ca="1">IF('.'!E314="","",'.'!E314&amp;IF(VLOOKUP('.'!E314,Recipes!$A:$D,4,FALSE)="",""," ["&amp;VLOOKUP('.'!E314,Recipes!$A:$D,4,FALSE)&amp;"]"))</f>
        <v>Mystical Small Flame Rune [0]</v>
      </c>
      <c r="F314" s="46" t="str">
        <f t="array" aca="1" ref="F314" ca="1">IF('.'!F314="","",'.'!F314&amp;IF(VLOOKUP('.'!F314,Recipes!$A:$D,4,FALSE)="",""," ["&amp;VLOOKUP('.'!F314,Recipes!$A:$D,4,FALSE)&amp;"]"))</f>
        <v>Mystical Giant Frost Rune [0]</v>
      </c>
      <c r="G314" s="46" t="str">
        <f t="array" aca="1" ref="G314" ca="1">IF('.'!G314="","",'.'!G314&amp;IF(VLOOKUP('.'!G314,Recipes!$A:$D,4,FALSE)="",""," ["&amp;VLOOKUP('.'!G314,Recipes!$A:$D,4,FALSE)&amp;"]"))</f>
        <v>Mystical Large Frost Rune [0]</v>
      </c>
      <c r="H314" s="46" t="str">
        <f t="array" aca="1" ref="H314" ca="1">IF('.'!H314="","",'.'!H314&amp;IF(VLOOKUP('.'!H314,Recipes!$A:$D,4,FALSE)="",""," ["&amp;VLOOKUP('.'!H314,Recipes!$A:$D,4,FALSE)&amp;"]"))</f>
        <v>Mystical Medium Frost Rune [0]</v>
      </c>
      <c r="I314" s="46" t="str">
        <f t="array" aca="1" ref="I314" ca="1">IF('.'!I314="","",'.'!I314&amp;IF(VLOOKUP('.'!I314,Recipes!$A:$D,4,FALSE)="",""," ["&amp;VLOOKUP('.'!I314,Recipes!$A:$D,4,FALSE)&amp;"]"))</f>
        <v>Mystical Small Frost Rune [0]</v>
      </c>
      <c r="J314" s="46" t="str">
        <f t="array" aca="1" ref="J314" ca="1">IF('.'!J314="","",'.'!J314&amp;IF(VLOOKUP('.'!J314,Recipes!$A:$D,4,FALSE)="",""," ["&amp;VLOOKUP('.'!J314,Recipes!$A:$D,4,FALSE)&amp;"]"))</f>
        <v>Mystical Giant Masterwork Rune [0]</v>
      </c>
      <c r="K314" s="46" t="str">
        <f t="array" aca="1" ref="K314" ca="1">IF('.'!K314="","",'.'!K314&amp;IF(VLOOKUP('.'!K314,Recipes!$A:$D,4,FALSE)="",""," ["&amp;VLOOKUP('.'!K314,Recipes!$A:$D,4,FALSE)&amp;"]"))</f>
        <v>Mystical Large Masterwork Rune [0]</v>
      </c>
      <c r="L314" s="46" t="str">
        <f t="array" aca="1" ref="L314" ca="1">IF('.'!L314="","",'.'!L314&amp;IF(VLOOKUP('.'!L314,Recipes!$A:$D,4,FALSE)="",""," ["&amp;VLOOKUP('.'!L314,Recipes!$A:$D,4,FALSE)&amp;"]"))</f>
        <v>Mystical Medium Masterwork Rune [0]</v>
      </c>
      <c r="M314" s="46" t="str">
        <f t="array" aca="1" ref="M314" ca="1">IF('.'!M314="","",'.'!M314&amp;IF(VLOOKUP('.'!M314,Recipes!$A:$D,4,FALSE)="",""," ["&amp;VLOOKUP('.'!M314,Recipes!$A:$D,4,FALSE)&amp;"]"))</f>
        <v>Mystical Small Masterwork Rune [0]</v>
      </c>
      <c r="N314" s="46" t="str">
        <f t="array" aca="1" ref="N314" ca="1">IF('.'!N314="","",'.'!N314&amp;IF(VLOOKUP('.'!N314,Recipes!$A:$D,4,FALSE)="",""," ["&amp;VLOOKUP('.'!N314,Recipes!$A:$D,4,FALSE)&amp;"]"))</f>
        <v>Mystical Giant Rock Rune [0]</v>
      </c>
      <c r="O314" s="46" t="str">
        <f t="array" aca="1" ref="O314" ca="1">IF('.'!O314="","",'.'!O314&amp;IF(VLOOKUP('.'!O314,Recipes!$A:$D,4,FALSE)="",""," ["&amp;VLOOKUP('.'!O314,Recipes!$A:$D,4,FALSE)&amp;"]"))</f>
        <v>Mystical Large Rock Rune [0]</v>
      </c>
      <c r="P314" s="46" t="str">
        <f t="array" aca="1" ref="P314" ca="1">IF('.'!P314="","",'.'!P314&amp;IF(VLOOKUP('.'!P314,Recipes!$A:$D,4,FALSE)="",""," ["&amp;VLOOKUP('.'!P314,Recipes!$A:$D,4,FALSE)&amp;"]"))</f>
        <v>Mystical Medium Rock Rune [0]</v>
      </c>
      <c r="Q314" s="46" t="str">
        <f t="array" aca="1" ref="Q314" ca="1">IF('.'!Q314="","",'.'!Q314&amp;IF(VLOOKUP('.'!Q314,Recipes!$A:$D,4,FALSE)="",""," ["&amp;VLOOKUP('.'!Q314,Recipes!$A:$D,4,FALSE)&amp;"]"))</f>
        <v>Mystical Small Rock Rune [0]</v>
      </c>
      <c r="R314" s="46" t="str">
        <f t="array" aca="1" ref="R314" ca="1">IF('.'!R314="","",'.'!R314&amp;IF(VLOOKUP('.'!R314,Recipes!$A:$D,4,FALSE)="",""," ["&amp;VLOOKUP('.'!R314,Recipes!$A:$D,4,FALSE)&amp;"]"))</f>
        <v>Mystical Giant Thunder Rune [0]</v>
      </c>
      <c r="S314" s="46" t="str">
        <f t="array" aca="1" ref="S314" ca="1">IF('.'!S314="","",'.'!S314&amp;IF(VLOOKUP('.'!S314,Recipes!$A:$D,4,FALSE)="",""," ["&amp;VLOOKUP('.'!S314,Recipes!$A:$D,4,FALSE)&amp;"]"))</f>
        <v>Mystical Large Thunder Rune [0]</v>
      </c>
      <c r="T314" s="46" t="str">
        <f t="array" aca="1" ref="T314" ca="1">IF('.'!T314="","",'.'!T314&amp;IF(VLOOKUP('.'!T314,Recipes!$A:$D,4,FALSE)="",""," ["&amp;VLOOKUP('.'!T314,Recipes!$A:$D,4,FALSE)&amp;"]"))</f>
        <v>Mystical Medium Thunder Rune [0]</v>
      </c>
      <c r="U314" s="46" t="str">
        <f t="array" aca="1" ref="U314" ca="1">IF('.'!U314="","",'.'!U314&amp;IF(VLOOKUP('.'!U314,Recipes!$A:$D,4,FALSE)="",""," ["&amp;VLOOKUP('.'!U314,Recipes!$A:$D,4,FALSE)&amp;"]"))</f>
        <v>Mystical Small Thunder Rune [0]</v>
      </c>
      <c r="V314" s="46" t="str">
        <f t="array" aca="1" ref="V314" ca="1">IF('.'!V314="","",'.'!V314&amp;IF(VLOOKUP('.'!V314,Recipes!$A:$D,4,FALSE)="",""," ["&amp;VLOOKUP('.'!V314,Recipes!$A:$D,4,FALSE)&amp;"]"))</f>
        <v>Mystical Giant Venom Rune [0]</v>
      </c>
      <c r="W314" s="46" t="str">
        <f t="array" aca="1" ref="W314" ca="1">IF('.'!W314="","",'.'!W314&amp;IF(VLOOKUP('.'!W314,Recipes!$A:$D,4,FALSE)="",""," ["&amp;VLOOKUP('.'!W314,Recipes!$A:$D,4,FALSE)&amp;"]"))</f>
        <v>Mystical Large Venom Rune [0]</v>
      </c>
      <c r="X314" s="46" t="str">
        <f t="array" aca="1" ref="X314" ca="1">IF('.'!X314="","",'.'!X314&amp;IF(VLOOKUP('.'!X314,Recipes!$A:$D,4,FALSE)="",""," ["&amp;VLOOKUP('.'!X314,Recipes!$A:$D,4,FALSE)&amp;"]"))</f>
        <v>Mystical Medium Venom Rune [0]</v>
      </c>
      <c r="Y314" s="46" t="str">
        <f t="array" aca="1" ref="Y314" ca="1">IF('.'!Y314="","",'.'!Y314&amp;IF(VLOOKUP('.'!Y314,Recipes!$A:$D,4,FALSE)="",""," ["&amp;VLOOKUP('.'!Y314,Recipes!$A:$D,4,FALSE)&amp;"]"))</f>
        <v>Mystical Small Venom Rune [0]</v>
      </c>
      <c r="Z314" s="46" t="str">
        <f t="array" ref="Z314">IF('.'!Z314="","",'.'!Z314&amp;IF(VLOOKUP('.'!Z314,Recipes!$A:$D,4,FALSE)="",""," ["&amp;VLOOKUP('.'!Z314,Recipes!$A:$D,4,FALSE)&amp;"]"))</f>
        <v/>
      </c>
      <c r="AA314" s="46" t="str">
        <f t="array" ref="AA314">IF('.'!AA314="","",'.'!AA314&amp;IF(VLOOKUP('.'!AA314,Recipes!$A:$D,4,FALSE)="",""," ["&amp;VLOOKUP('.'!AA314,Recipes!$A:$D,4,FALSE)&amp;"]"))</f>
        <v/>
      </c>
      <c r="AB314" s="46" t="str">
        <f t="array" ref="AB314">IF('.'!AB314="","",'.'!AB314&amp;IF(VLOOKUP('.'!AB314,Recipes!$A:$D,4,FALSE)="",""," ["&amp;VLOOKUP('.'!AB314,Recipes!$A:$D,4,FALSE)&amp;"]"))</f>
        <v/>
      </c>
      <c r="AC314" s="46" t="str">
        <f t="array" ref="AC314">IF('.'!AC314="","",'.'!AC314&amp;IF(VLOOKUP('.'!AC314,Recipes!$A:$D,4,FALSE)="",""," ["&amp;VLOOKUP('.'!AC314,Recipes!$A:$D,4,FALSE)&amp;"]"))</f>
        <v/>
      </c>
      <c r="AD314" s="46" t="str">
        <f t="array" ref="AD314">IF('.'!AD314="","",'.'!AD314&amp;IF(VLOOKUP('.'!AD314,Recipes!$A:$D,4,FALSE)="",""," ["&amp;VLOOKUP('.'!AD314,Recipes!$A:$D,4,FALSE)&amp;"]"))</f>
        <v/>
      </c>
      <c r="AE314" s="47"/>
      <c r="AF314" s="47"/>
      <c r="AG314" s="47"/>
      <c r="AH314" s="47"/>
      <c r="AI314" s="47"/>
      <c r="AJ314" s="47"/>
      <c r="AK314" s="47"/>
      <c r="AL314" s="47"/>
      <c r="AM314" s="47"/>
      <c r="AN314" s="47"/>
      <c r="AO314" s="47"/>
      <c r="AP314" s="47"/>
      <c r="AQ314" s="47"/>
      <c r="AR314" s="47"/>
      <c r="AS314" s="47"/>
      <c r="AT314" s="47"/>
      <c r="AU314" s="47"/>
      <c r="AV314" s="47"/>
      <c r="AW314" s="47"/>
      <c r="AX314" s="47"/>
      <c r="AY314" s="47"/>
      <c r="AZ314" s="47"/>
      <c r="BA314" s="47"/>
      <c r="BB314" s="47"/>
      <c r="BC314" s="47"/>
      <c r="BD314" s="47"/>
      <c r="BE314" s="47"/>
      <c r="BF314" s="47"/>
      <c r="BG314" s="47"/>
      <c r="BH314" s="47"/>
      <c r="BI314" s="47"/>
      <c r="BJ314" s="47"/>
      <c r="BK314" s="47"/>
      <c r="BL314" s="47"/>
      <c r="BM314" s="47"/>
      <c r="BN314" s="47"/>
      <c r="BO314" s="47"/>
      <c r="BP314" s="47"/>
      <c r="BQ314" s="47"/>
      <c r="BR314" s="47"/>
      <c r="BS314" s="47"/>
      <c r="BT314" s="47"/>
      <c r="BU314" s="47"/>
      <c r="BV314" s="47"/>
      <c r="BW314" s="47"/>
      <c r="BX314" s="47"/>
      <c r="BY314" s="47"/>
      <c r="BZ314" s="47"/>
    </row>
    <row r="315" spans="1:78" ht="13">
      <c r="A315" s="48" t="str">
        <f ca="1">'.'!A315</f>
        <v>Nails</v>
      </c>
      <c r="B315" s="46" t="str">
        <f t="array" aca="1" ref="B315" ca="1">IF('.'!B315="","",'.'!B315&amp;IF(VLOOKUP('.'!B315,Recipes!$A:$D,4,FALSE)="",""," ["&amp;VLOOKUP('.'!B315,Recipes!$A:$D,4,FALSE)&amp;"]"))</f>
        <v>Slipping Immunity [-1]</v>
      </c>
      <c r="C315" s="46" t="str">
        <f t="array" aca="1" ref="C315" ca="1">IF('.'!C315="","",'.'!C315&amp;IF(VLOOKUP('.'!C315,Recipes!$A:$D,4,FALSE)="",""," ["&amp;VLOOKUP('.'!C315,Recipes!$A:$D,4,FALSE)&amp;"]"))</f>
        <v>Nailbomb Grenade [9]</v>
      </c>
      <c r="D315" s="46" t="str">
        <f t="array" aca="1" ref="D315" ca="1">IF('.'!D315="","",'.'!D315&amp;IF(VLOOKUP('.'!D315,Recipes!$A:$D,4,FALSE)="",""," ["&amp;VLOOKUP('.'!D315,Recipes!$A:$D,4,FALSE)&amp;"]"))</f>
        <v>Laser Ray Scroll [139]</v>
      </c>
      <c r="E315" s="46" t="str">
        <f t="array" aca="1" ref="E315" ca="1">IF('.'!E315="","",'.'!E315&amp;IF(VLOOKUP('.'!E315,Recipes!$A:$D,4,FALSE)="",""," ["&amp;VLOOKUP('.'!E315,Recipes!$A:$D,4,FALSE)&amp;"]"))</f>
        <v>Lockpick [12]</v>
      </c>
      <c r="F315" s="46" t="str">
        <f t="array" ref="F315">IF('.'!F315="","",'.'!F315&amp;IF(VLOOKUP('.'!F315,Recipes!$A:$D,4,FALSE)="",""," ["&amp;VLOOKUP('.'!F315,Recipes!$A:$D,4,FALSE)&amp;"]"))</f>
        <v/>
      </c>
      <c r="G315" s="46" t="str">
        <f t="array" ref="G315">IF('.'!G315="","",'.'!G315&amp;IF(VLOOKUP('.'!G315,Recipes!$A:$D,4,FALSE)="",""," ["&amp;VLOOKUP('.'!G315,Recipes!$A:$D,4,FALSE)&amp;"]"))</f>
        <v/>
      </c>
      <c r="H315" s="46" t="str">
        <f t="array" ref="H315">IF('.'!H315="","",'.'!H315&amp;IF(VLOOKUP('.'!H315,Recipes!$A:$D,4,FALSE)="",""," ["&amp;VLOOKUP('.'!H315,Recipes!$A:$D,4,FALSE)&amp;"]"))</f>
        <v/>
      </c>
      <c r="I315" s="46" t="str">
        <f t="array" ref="I315">IF('.'!I315="","",'.'!I315&amp;IF(VLOOKUP('.'!I315,Recipes!$A:$D,4,FALSE)="",""," ["&amp;VLOOKUP('.'!I315,Recipes!$A:$D,4,FALSE)&amp;"]"))</f>
        <v/>
      </c>
      <c r="J315" s="46" t="str">
        <f t="array" ref="J315">IF('.'!J315="","",'.'!J315&amp;IF(VLOOKUP('.'!J315,Recipes!$A:$D,4,FALSE)="",""," ["&amp;VLOOKUP('.'!J315,Recipes!$A:$D,4,FALSE)&amp;"]"))</f>
        <v/>
      </c>
      <c r="K315" s="46" t="str">
        <f t="array" ref="K315">IF('.'!K315="","",'.'!K315&amp;IF(VLOOKUP('.'!K315,Recipes!$A:$D,4,FALSE)="",""," ["&amp;VLOOKUP('.'!K315,Recipes!$A:$D,4,FALSE)&amp;"]"))</f>
        <v/>
      </c>
      <c r="L315" s="46" t="str">
        <f t="array" ref="L315">IF('.'!L315="","",'.'!L315&amp;IF(VLOOKUP('.'!L315,Recipes!$A:$D,4,FALSE)="",""," ["&amp;VLOOKUP('.'!L315,Recipes!$A:$D,4,FALSE)&amp;"]"))</f>
        <v/>
      </c>
      <c r="M315" s="46" t="str">
        <f t="array" ref="M315">IF('.'!M315="","",'.'!M315&amp;IF(VLOOKUP('.'!M315,Recipes!$A:$D,4,FALSE)="",""," ["&amp;VLOOKUP('.'!M315,Recipes!$A:$D,4,FALSE)&amp;"]"))</f>
        <v/>
      </c>
      <c r="N315" s="46" t="str">
        <f t="array" ref="N315">IF('.'!N315="","",'.'!N315&amp;IF(VLOOKUP('.'!N315,Recipes!$A:$D,4,FALSE)="",""," ["&amp;VLOOKUP('.'!N315,Recipes!$A:$D,4,FALSE)&amp;"]"))</f>
        <v/>
      </c>
      <c r="O315" s="46" t="str">
        <f t="array" ref="O315">IF('.'!O315="","",'.'!O315&amp;IF(VLOOKUP('.'!O315,Recipes!$A:$D,4,FALSE)="",""," ["&amp;VLOOKUP('.'!O315,Recipes!$A:$D,4,FALSE)&amp;"]"))</f>
        <v/>
      </c>
      <c r="P315" s="46" t="str">
        <f t="array" ref="P315">IF('.'!P315="","",'.'!P315&amp;IF(VLOOKUP('.'!P315,Recipes!$A:$D,4,FALSE)="",""," ["&amp;VLOOKUP('.'!P315,Recipes!$A:$D,4,FALSE)&amp;"]"))</f>
        <v/>
      </c>
      <c r="Q315" s="46" t="str">
        <f t="array" ref="Q315">IF('.'!Q315="","",'.'!Q315&amp;IF(VLOOKUP('.'!Q315,Recipes!$A:$D,4,FALSE)="",""," ["&amp;VLOOKUP('.'!Q315,Recipes!$A:$D,4,FALSE)&amp;"]"))</f>
        <v/>
      </c>
      <c r="R315" s="46" t="str">
        <f t="array" ref="R315">IF('.'!R315="","",'.'!R315&amp;IF(VLOOKUP('.'!R315,Recipes!$A:$D,4,FALSE)="",""," ["&amp;VLOOKUP('.'!R315,Recipes!$A:$D,4,FALSE)&amp;"]"))</f>
        <v/>
      </c>
      <c r="S315" s="46" t="str">
        <f t="array" ref="S315">IF('.'!S315="","",'.'!S315&amp;IF(VLOOKUP('.'!S315,Recipes!$A:$D,4,FALSE)="",""," ["&amp;VLOOKUP('.'!S315,Recipes!$A:$D,4,FALSE)&amp;"]"))</f>
        <v/>
      </c>
      <c r="T315" s="46" t="str">
        <f t="array" ref="T315">IF('.'!T315="","",'.'!T315&amp;IF(VLOOKUP('.'!T315,Recipes!$A:$D,4,FALSE)="",""," ["&amp;VLOOKUP('.'!T315,Recipes!$A:$D,4,FALSE)&amp;"]"))</f>
        <v/>
      </c>
      <c r="U315" s="46" t="str">
        <f t="array" ref="U315">IF('.'!U315="","",'.'!U315&amp;IF(VLOOKUP('.'!U315,Recipes!$A:$D,4,FALSE)="",""," ["&amp;VLOOKUP('.'!U315,Recipes!$A:$D,4,FALSE)&amp;"]"))</f>
        <v/>
      </c>
      <c r="V315" s="46" t="str">
        <f t="array" ref="V315">IF('.'!V315="","",'.'!V315&amp;IF(VLOOKUP('.'!V315,Recipes!$A:$D,4,FALSE)="",""," ["&amp;VLOOKUP('.'!V315,Recipes!$A:$D,4,FALSE)&amp;"]"))</f>
        <v/>
      </c>
      <c r="W315" s="46" t="str">
        <f t="array" ref="W315">IF('.'!W315="","",'.'!W315&amp;IF(VLOOKUP('.'!W315,Recipes!$A:$D,4,FALSE)="",""," ["&amp;VLOOKUP('.'!W315,Recipes!$A:$D,4,FALSE)&amp;"]"))</f>
        <v/>
      </c>
      <c r="X315" s="46" t="str">
        <f t="array" ref="X315">IF('.'!X315="","",'.'!X315&amp;IF(VLOOKUP('.'!X315,Recipes!$A:$D,4,FALSE)="",""," ["&amp;VLOOKUP('.'!X315,Recipes!$A:$D,4,FALSE)&amp;"]"))</f>
        <v/>
      </c>
      <c r="Y315" s="46" t="str">
        <f t="array" ref="Y315">IF('.'!Y315="","",'.'!Y315&amp;IF(VLOOKUP('.'!Y315,Recipes!$A:$D,4,FALSE)="",""," ["&amp;VLOOKUP('.'!Y315,Recipes!$A:$D,4,FALSE)&amp;"]"))</f>
        <v/>
      </c>
      <c r="Z315" s="46" t="str">
        <f t="array" ref="Z315">IF('.'!Z315="","",'.'!Z315&amp;IF(VLOOKUP('.'!Z315,Recipes!$A:$D,4,FALSE)="",""," ["&amp;VLOOKUP('.'!Z315,Recipes!$A:$D,4,FALSE)&amp;"]"))</f>
        <v/>
      </c>
      <c r="AA315" s="46" t="str">
        <f t="array" ref="AA315">IF('.'!AA315="","",'.'!AA315&amp;IF(VLOOKUP('.'!AA315,Recipes!$A:$D,4,FALSE)="",""," ["&amp;VLOOKUP('.'!AA315,Recipes!$A:$D,4,FALSE)&amp;"]"))</f>
        <v/>
      </c>
      <c r="AB315" s="46" t="str">
        <f t="array" ref="AB315">IF('.'!AB315="","",'.'!AB315&amp;IF(VLOOKUP('.'!AB315,Recipes!$A:$D,4,FALSE)="",""," ["&amp;VLOOKUP('.'!AB315,Recipes!$A:$D,4,FALSE)&amp;"]"))</f>
        <v/>
      </c>
      <c r="AC315" s="46" t="str">
        <f t="array" ref="AC315">IF('.'!AC315="","",'.'!AC315&amp;IF(VLOOKUP('.'!AC315,Recipes!$A:$D,4,FALSE)="",""," ["&amp;VLOOKUP('.'!AC315,Recipes!$A:$D,4,FALSE)&amp;"]"))</f>
        <v/>
      </c>
      <c r="AD315" s="46" t="str">
        <f t="array" ref="AD315">IF('.'!AD315="","",'.'!AD315&amp;IF(VLOOKUP('.'!AD315,Recipes!$A:$D,4,FALSE)="",""," ["&amp;VLOOKUP('.'!AD315,Recipes!$A:$D,4,FALSE)&amp;"]"))</f>
        <v/>
      </c>
      <c r="AE315" s="47"/>
      <c r="AF315" s="47"/>
      <c r="AG315" s="47"/>
      <c r="AH315" s="47"/>
      <c r="AI315" s="47"/>
      <c r="AJ315" s="47"/>
      <c r="AK315" s="47"/>
      <c r="AL315" s="47"/>
      <c r="AM315" s="47"/>
      <c r="AN315" s="47"/>
      <c r="AO315" s="47"/>
      <c r="AP315" s="47"/>
      <c r="AQ315" s="47"/>
      <c r="AR315" s="47"/>
      <c r="AS315" s="47"/>
      <c r="AT315" s="47"/>
      <c r="AU315" s="47"/>
      <c r="AV315" s="47"/>
      <c r="AW315" s="47"/>
      <c r="AX315" s="47"/>
      <c r="AY315" s="47"/>
      <c r="AZ315" s="47"/>
      <c r="BA315" s="47"/>
      <c r="BB315" s="47"/>
      <c r="BC315" s="47"/>
      <c r="BD315" s="47"/>
      <c r="BE315" s="47"/>
      <c r="BF315" s="47"/>
      <c r="BG315" s="47"/>
      <c r="BH315" s="47"/>
      <c r="BI315" s="47"/>
      <c r="BJ315" s="47"/>
      <c r="BK315" s="47"/>
      <c r="BL315" s="47"/>
      <c r="BM315" s="47"/>
      <c r="BN315" s="47"/>
      <c r="BO315" s="47"/>
      <c r="BP315" s="47"/>
      <c r="BQ315" s="47"/>
      <c r="BR315" s="47"/>
      <c r="BS315" s="47"/>
      <c r="BT315" s="47"/>
      <c r="BU315" s="47"/>
      <c r="BV315" s="47"/>
      <c r="BW315" s="47"/>
      <c r="BX315" s="47"/>
      <c r="BY315" s="47"/>
      <c r="BZ315" s="47"/>
    </row>
    <row r="316" spans="1:78" ht="13">
      <c r="A316" s="48" t="str">
        <f ca="1">'.'!A316</f>
        <v>Needle</v>
      </c>
      <c r="B316" s="46" t="str">
        <f t="array" aca="1" ref="B316" ca="1">IF('.'!B316="","",'.'!B316&amp;IF(VLOOKUP('.'!B316,Recipes!$A:$D,4,FALSE)="",""," ["&amp;VLOOKUP('.'!B316,Recipes!$A:$D,4,FALSE)&amp;"]"))</f>
        <v>Flaming Crescendo Scroll [14]</v>
      </c>
      <c r="C316" s="46" t="str">
        <f t="array" aca="1" ref="C316" ca="1">IF('.'!C316="","",'.'!C316&amp;IF(VLOOKUP('.'!C316,Recipes!$A:$D,4,FALSE)="",""," ["&amp;VLOOKUP('.'!C316,Recipes!$A:$D,4,FALSE)&amp;"]"))</f>
        <v>Needle and Thread [0]</v>
      </c>
      <c r="D316" s="46" t="str">
        <f t="array" aca="1" ref="D316" ca="1">IF('.'!D316="","",'.'!D316&amp;IF(VLOOKUP('.'!D316,Recipes!$A:$D,4,FALSE)="",""," ["&amp;VLOOKUP('.'!D316,Recipes!$A:$D,4,FALSE)&amp;"]"))</f>
        <v>Lockpick [12]</v>
      </c>
      <c r="E316" s="46" t="str">
        <f t="array" ref="E316">IF('.'!E316="","",'.'!E316&amp;IF(VLOOKUP('.'!E316,Recipes!$A:$D,4,FALSE)="",""," ["&amp;VLOOKUP('.'!E316,Recipes!$A:$D,4,FALSE)&amp;"]"))</f>
        <v/>
      </c>
      <c r="F316" s="46" t="str">
        <f t="array" ref="F316">IF('.'!F316="","",'.'!F316&amp;IF(VLOOKUP('.'!F316,Recipes!$A:$D,4,FALSE)="",""," ["&amp;VLOOKUP('.'!F316,Recipes!$A:$D,4,FALSE)&amp;"]"))</f>
        <v/>
      </c>
      <c r="G316" s="46" t="str">
        <f t="array" ref="G316">IF('.'!G316="","",'.'!G316&amp;IF(VLOOKUP('.'!G316,Recipes!$A:$D,4,FALSE)="",""," ["&amp;VLOOKUP('.'!G316,Recipes!$A:$D,4,FALSE)&amp;"]"))</f>
        <v/>
      </c>
      <c r="H316" s="46" t="str">
        <f t="array" ref="H316">IF('.'!H316="","",'.'!H316&amp;IF(VLOOKUP('.'!H316,Recipes!$A:$D,4,FALSE)="",""," ["&amp;VLOOKUP('.'!H316,Recipes!$A:$D,4,FALSE)&amp;"]"))</f>
        <v/>
      </c>
      <c r="I316" s="46" t="str">
        <f t="array" ref="I316">IF('.'!I316="","",'.'!I316&amp;IF(VLOOKUP('.'!I316,Recipes!$A:$D,4,FALSE)="",""," ["&amp;VLOOKUP('.'!I316,Recipes!$A:$D,4,FALSE)&amp;"]"))</f>
        <v/>
      </c>
      <c r="J316" s="46" t="str">
        <f t="array" ref="J316">IF('.'!J316="","",'.'!J316&amp;IF(VLOOKUP('.'!J316,Recipes!$A:$D,4,FALSE)="",""," ["&amp;VLOOKUP('.'!J316,Recipes!$A:$D,4,FALSE)&amp;"]"))</f>
        <v/>
      </c>
      <c r="K316" s="46" t="str">
        <f t="array" ref="K316">IF('.'!K316="","",'.'!K316&amp;IF(VLOOKUP('.'!K316,Recipes!$A:$D,4,FALSE)="",""," ["&amp;VLOOKUP('.'!K316,Recipes!$A:$D,4,FALSE)&amp;"]"))</f>
        <v/>
      </c>
      <c r="L316" s="46" t="str">
        <f t="array" ref="L316">IF('.'!L316="","",'.'!L316&amp;IF(VLOOKUP('.'!L316,Recipes!$A:$D,4,FALSE)="",""," ["&amp;VLOOKUP('.'!L316,Recipes!$A:$D,4,FALSE)&amp;"]"))</f>
        <v/>
      </c>
      <c r="M316" s="46" t="str">
        <f t="array" ref="M316">IF('.'!M316="","",'.'!M316&amp;IF(VLOOKUP('.'!M316,Recipes!$A:$D,4,FALSE)="",""," ["&amp;VLOOKUP('.'!M316,Recipes!$A:$D,4,FALSE)&amp;"]"))</f>
        <v/>
      </c>
      <c r="N316" s="46" t="str">
        <f t="array" ref="N316">IF('.'!N316="","",'.'!N316&amp;IF(VLOOKUP('.'!N316,Recipes!$A:$D,4,FALSE)="",""," ["&amp;VLOOKUP('.'!N316,Recipes!$A:$D,4,FALSE)&amp;"]"))</f>
        <v/>
      </c>
      <c r="O316" s="46" t="str">
        <f t="array" ref="O316">IF('.'!O316="","",'.'!O316&amp;IF(VLOOKUP('.'!O316,Recipes!$A:$D,4,FALSE)="",""," ["&amp;VLOOKUP('.'!O316,Recipes!$A:$D,4,FALSE)&amp;"]"))</f>
        <v/>
      </c>
      <c r="P316" s="46" t="str">
        <f t="array" ref="P316">IF('.'!P316="","",'.'!P316&amp;IF(VLOOKUP('.'!P316,Recipes!$A:$D,4,FALSE)="",""," ["&amp;VLOOKUP('.'!P316,Recipes!$A:$D,4,FALSE)&amp;"]"))</f>
        <v/>
      </c>
      <c r="Q316" s="46" t="str">
        <f t="array" ref="Q316">IF('.'!Q316="","",'.'!Q316&amp;IF(VLOOKUP('.'!Q316,Recipes!$A:$D,4,FALSE)="",""," ["&amp;VLOOKUP('.'!Q316,Recipes!$A:$D,4,FALSE)&amp;"]"))</f>
        <v/>
      </c>
      <c r="R316" s="46" t="str">
        <f t="array" ref="R316">IF('.'!R316="","",'.'!R316&amp;IF(VLOOKUP('.'!R316,Recipes!$A:$D,4,FALSE)="",""," ["&amp;VLOOKUP('.'!R316,Recipes!$A:$D,4,FALSE)&amp;"]"))</f>
        <v/>
      </c>
      <c r="S316" s="46" t="str">
        <f t="array" ref="S316">IF('.'!S316="","",'.'!S316&amp;IF(VLOOKUP('.'!S316,Recipes!$A:$D,4,FALSE)="",""," ["&amp;VLOOKUP('.'!S316,Recipes!$A:$D,4,FALSE)&amp;"]"))</f>
        <v/>
      </c>
      <c r="T316" s="46" t="str">
        <f t="array" ref="T316">IF('.'!T316="","",'.'!T316&amp;IF(VLOOKUP('.'!T316,Recipes!$A:$D,4,FALSE)="",""," ["&amp;VLOOKUP('.'!T316,Recipes!$A:$D,4,FALSE)&amp;"]"))</f>
        <v/>
      </c>
      <c r="U316" s="46" t="str">
        <f t="array" ref="U316">IF('.'!U316="","",'.'!U316&amp;IF(VLOOKUP('.'!U316,Recipes!$A:$D,4,FALSE)="",""," ["&amp;VLOOKUP('.'!U316,Recipes!$A:$D,4,FALSE)&amp;"]"))</f>
        <v/>
      </c>
      <c r="V316" s="46" t="str">
        <f t="array" ref="V316">IF('.'!V316="","",'.'!V316&amp;IF(VLOOKUP('.'!V316,Recipes!$A:$D,4,FALSE)="",""," ["&amp;VLOOKUP('.'!V316,Recipes!$A:$D,4,FALSE)&amp;"]"))</f>
        <v/>
      </c>
      <c r="W316" s="46" t="str">
        <f t="array" ref="W316">IF('.'!W316="","",'.'!W316&amp;IF(VLOOKUP('.'!W316,Recipes!$A:$D,4,FALSE)="",""," ["&amp;VLOOKUP('.'!W316,Recipes!$A:$D,4,FALSE)&amp;"]"))</f>
        <v/>
      </c>
      <c r="X316" s="46" t="str">
        <f t="array" ref="X316">IF('.'!X316="","",'.'!X316&amp;IF(VLOOKUP('.'!X316,Recipes!$A:$D,4,FALSE)="",""," ["&amp;VLOOKUP('.'!X316,Recipes!$A:$D,4,FALSE)&amp;"]"))</f>
        <v/>
      </c>
      <c r="Y316" s="46" t="str">
        <f t="array" ref="Y316">IF('.'!Y316="","",'.'!Y316&amp;IF(VLOOKUP('.'!Y316,Recipes!$A:$D,4,FALSE)="",""," ["&amp;VLOOKUP('.'!Y316,Recipes!$A:$D,4,FALSE)&amp;"]"))</f>
        <v/>
      </c>
      <c r="Z316" s="46" t="str">
        <f t="array" ref="Z316">IF('.'!Z316="","",'.'!Z316&amp;IF(VLOOKUP('.'!Z316,Recipes!$A:$D,4,FALSE)="",""," ["&amp;VLOOKUP('.'!Z316,Recipes!$A:$D,4,FALSE)&amp;"]"))</f>
        <v/>
      </c>
      <c r="AA316" s="46" t="str">
        <f t="array" ref="AA316">IF('.'!AA316="","",'.'!AA316&amp;IF(VLOOKUP('.'!AA316,Recipes!$A:$D,4,FALSE)="",""," ["&amp;VLOOKUP('.'!AA316,Recipes!$A:$D,4,FALSE)&amp;"]"))</f>
        <v/>
      </c>
      <c r="AB316" s="46" t="str">
        <f t="array" ref="AB316">IF('.'!AB316="","",'.'!AB316&amp;IF(VLOOKUP('.'!AB316,Recipes!$A:$D,4,FALSE)="",""," ["&amp;VLOOKUP('.'!AB316,Recipes!$A:$D,4,FALSE)&amp;"]"))</f>
        <v/>
      </c>
      <c r="AC316" s="46" t="str">
        <f t="array" ref="AC316">IF('.'!AC316="","",'.'!AC316&amp;IF(VLOOKUP('.'!AC316,Recipes!$A:$D,4,FALSE)="",""," ["&amp;VLOOKUP('.'!AC316,Recipes!$A:$D,4,FALSE)&amp;"]"))</f>
        <v/>
      </c>
      <c r="AD316" s="46" t="str">
        <f t="array" ref="AD316">IF('.'!AD316="","",'.'!AD316&amp;IF(VLOOKUP('.'!AD316,Recipes!$A:$D,4,FALSE)="",""," ["&amp;VLOOKUP('.'!AD316,Recipes!$A:$D,4,FALSE)&amp;"]"))</f>
        <v/>
      </c>
      <c r="AE316" s="47"/>
      <c r="AF316" s="47"/>
      <c r="AG316" s="47"/>
      <c r="AH316" s="47"/>
      <c r="AI316" s="47"/>
      <c r="AJ316" s="47"/>
      <c r="AK316" s="47"/>
      <c r="AL316" s="47"/>
      <c r="AM316" s="47"/>
      <c r="AN316" s="47"/>
      <c r="AO316" s="47"/>
      <c r="AP316" s="47"/>
      <c r="AQ316" s="47"/>
      <c r="AR316" s="47"/>
      <c r="AS316" s="47"/>
      <c r="AT316" s="47"/>
      <c r="AU316" s="47"/>
      <c r="AV316" s="47"/>
      <c r="AW316" s="47"/>
      <c r="AX316" s="47"/>
      <c r="AY316" s="47"/>
      <c r="AZ316" s="47"/>
      <c r="BA316" s="47"/>
      <c r="BB316" s="47"/>
      <c r="BC316" s="47"/>
      <c r="BD316" s="47"/>
      <c r="BE316" s="47"/>
      <c r="BF316" s="47"/>
      <c r="BG316" s="47"/>
      <c r="BH316" s="47"/>
      <c r="BI316" s="47"/>
      <c r="BJ316" s="47"/>
      <c r="BK316" s="47"/>
      <c r="BL316" s="47"/>
      <c r="BM316" s="47"/>
      <c r="BN316" s="47"/>
      <c r="BO316" s="47"/>
      <c r="BP316" s="47"/>
      <c r="BQ316" s="47"/>
      <c r="BR316" s="47"/>
      <c r="BS316" s="47"/>
      <c r="BT316" s="47"/>
      <c r="BU316" s="47"/>
      <c r="BV316" s="47"/>
      <c r="BW316" s="47"/>
      <c r="BX316" s="47"/>
      <c r="BY316" s="47"/>
      <c r="BZ316" s="47"/>
    </row>
    <row r="317" spans="1:78" ht="13">
      <c r="A317" s="48" t="str">
        <f ca="1">'.'!A317</f>
        <v>Needle and Thread</v>
      </c>
      <c r="B317" s="46" t="str">
        <f t="array" aca="1" ref="B317" ca="1">IF('.'!B317="","",'.'!B317&amp;IF(VLOOKUP('.'!B317,Recipes!$A:$D,4,FALSE)="",""," ["&amp;VLOOKUP('.'!B317,Recipes!$A:$D,4,FALSE)&amp;"]"))</f>
        <v>Handmade Cloth Shirt [V]</v>
      </c>
      <c r="C317" s="46" t="str">
        <f t="array" aca="1" ref="C317" ca="1">IF('.'!C317="","",'.'!C317&amp;IF(VLOOKUP('.'!C317,Recipes!$A:$D,4,FALSE)="",""," ["&amp;VLOOKUP('.'!C317,Recipes!$A:$D,4,FALSE)&amp;"]"))</f>
        <v>Handmade Leather Armour [V]</v>
      </c>
      <c r="D317" s="46" t="str">
        <f t="array" aca="1" ref="D317" ca="1">IF('.'!D317="","",'.'!D317&amp;IF(VLOOKUP('.'!D317,Recipes!$A:$D,4,FALSE)="",""," ["&amp;VLOOKUP('.'!D317,Recipes!$A:$D,4,FALSE)&amp;"]"))</f>
        <v>Handmade Mage Armour [V]</v>
      </c>
      <c r="E317" s="46" t="str">
        <f t="array" aca="1" ref="E317" ca="1">IF('.'!E317="","",'.'!E317&amp;IF(VLOOKUP('.'!E317,Recipes!$A:$D,4,FALSE)="",""," ["&amp;VLOOKUP('.'!E317,Recipes!$A:$D,4,FALSE)&amp;"]"))</f>
        <v>Handmade Mail Armour [V]</v>
      </c>
      <c r="F317" s="46" t="str">
        <f t="array" ref="F317">IF('.'!F317="","",'.'!F317&amp;IF(VLOOKUP('.'!F317,Recipes!$A:$D,4,FALSE)="",""," ["&amp;VLOOKUP('.'!F317,Recipes!$A:$D,4,FALSE)&amp;"]"))</f>
        <v/>
      </c>
      <c r="G317" s="46" t="str">
        <f t="array" ref="G317">IF('.'!G317="","",'.'!G317&amp;IF(VLOOKUP('.'!G317,Recipes!$A:$D,4,FALSE)="",""," ["&amp;VLOOKUP('.'!G317,Recipes!$A:$D,4,FALSE)&amp;"]"))</f>
        <v/>
      </c>
      <c r="H317" s="46" t="str">
        <f t="array" ref="H317">IF('.'!H317="","",'.'!H317&amp;IF(VLOOKUP('.'!H317,Recipes!$A:$D,4,FALSE)="",""," ["&amp;VLOOKUP('.'!H317,Recipes!$A:$D,4,FALSE)&amp;"]"))</f>
        <v/>
      </c>
      <c r="I317" s="46" t="str">
        <f t="array" ref="I317">IF('.'!I317="","",'.'!I317&amp;IF(VLOOKUP('.'!I317,Recipes!$A:$D,4,FALSE)="",""," ["&amp;VLOOKUP('.'!I317,Recipes!$A:$D,4,FALSE)&amp;"]"))</f>
        <v/>
      </c>
      <c r="J317" s="46" t="str">
        <f t="array" ref="J317">IF('.'!J317="","",'.'!J317&amp;IF(VLOOKUP('.'!J317,Recipes!$A:$D,4,FALSE)="",""," ["&amp;VLOOKUP('.'!J317,Recipes!$A:$D,4,FALSE)&amp;"]"))</f>
        <v/>
      </c>
      <c r="K317" s="46" t="str">
        <f t="array" ref="K317">IF('.'!K317="","",'.'!K317&amp;IF(VLOOKUP('.'!K317,Recipes!$A:$D,4,FALSE)="",""," ["&amp;VLOOKUP('.'!K317,Recipes!$A:$D,4,FALSE)&amp;"]"))</f>
        <v/>
      </c>
      <c r="L317" s="46" t="str">
        <f t="array" ref="L317">IF('.'!L317="","",'.'!L317&amp;IF(VLOOKUP('.'!L317,Recipes!$A:$D,4,FALSE)="",""," ["&amp;VLOOKUP('.'!L317,Recipes!$A:$D,4,FALSE)&amp;"]"))</f>
        <v/>
      </c>
      <c r="M317" s="46" t="str">
        <f t="array" ref="M317">IF('.'!M317="","",'.'!M317&amp;IF(VLOOKUP('.'!M317,Recipes!$A:$D,4,FALSE)="",""," ["&amp;VLOOKUP('.'!M317,Recipes!$A:$D,4,FALSE)&amp;"]"))</f>
        <v/>
      </c>
      <c r="N317" s="46" t="str">
        <f t="array" ref="N317">IF('.'!N317="","",'.'!N317&amp;IF(VLOOKUP('.'!N317,Recipes!$A:$D,4,FALSE)="",""," ["&amp;VLOOKUP('.'!N317,Recipes!$A:$D,4,FALSE)&amp;"]"))</f>
        <v/>
      </c>
      <c r="O317" s="46" t="str">
        <f t="array" ref="O317">IF('.'!O317="","",'.'!O317&amp;IF(VLOOKUP('.'!O317,Recipes!$A:$D,4,FALSE)="",""," ["&amp;VLOOKUP('.'!O317,Recipes!$A:$D,4,FALSE)&amp;"]"))</f>
        <v/>
      </c>
      <c r="P317" s="46" t="str">
        <f t="array" ref="P317">IF('.'!P317="","",'.'!P317&amp;IF(VLOOKUP('.'!P317,Recipes!$A:$D,4,FALSE)="",""," ["&amp;VLOOKUP('.'!P317,Recipes!$A:$D,4,FALSE)&amp;"]"))</f>
        <v/>
      </c>
      <c r="Q317" s="46" t="str">
        <f t="array" ref="Q317">IF('.'!Q317="","",'.'!Q317&amp;IF(VLOOKUP('.'!Q317,Recipes!$A:$D,4,FALSE)="",""," ["&amp;VLOOKUP('.'!Q317,Recipes!$A:$D,4,FALSE)&amp;"]"))</f>
        <v/>
      </c>
      <c r="R317" s="46" t="str">
        <f t="array" ref="R317">IF('.'!R317="","",'.'!R317&amp;IF(VLOOKUP('.'!R317,Recipes!$A:$D,4,FALSE)="",""," ["&amp;VLOOKUP('.'!R317,Recipes!$A:$D,4,FALSE)&amp;"]"))</f>
        <v/>
      </c>
      <c r="S317" s="46" t="str">
        <f t="array" ref="S317">IF('.'!S317="","",'.'!S317&amp;IF(VLOOKUP('.'!S317,Recipes!$A:$D,4,FALSE)="",""," ["&amp;VLOOKUP('.'!S317,Recipes!$A:$D,4,FALSE)&amp;"]"))</f>
        <v/>
      </c>
      <c r="T317" s="46" t="str">
        <f t="array" ref="T317">IF('.'!T317="","",'.'!T317&amp;IF(VLOOKUP('.'!T317,Recipes!$A:$D,4,FALSE)="",""," ["&amp;VLOOKUP('.'!T317,Recipes!$A:$D,4,FALSE)&amp;"]"))</f>
        <v/>
      </c>
      <c r="U317" s="46" t="str">
        <f t="array" ref="U317">IF('.'!U317="","",'.'!U317&amp;IF(VLOOKUP('.'!U317,Recipes!$A:$D,4,FALSE)="",""," ["&amp;VLOOKUP('.'!U317,Recipes!$A:$D,4,FALSE)&amp;"]"))</f>
        <v/>
      </c>
      <c r="V317" s="46" t="str">
        <f t="array" ref="V317">IF('.'!V317="","",'.'!V317&amp;IF(VLOOKUP('.'!V317,Recipes!$A:$D,4,FALSE)="",""," ["&amp;VLOOKUP('.'!V317,Recipes!$A:$D,4,FALSE)&amp;"]"))</f>
        <v/>
      </c>
      <c r="W317" s="46" t="str">
        <f t="array" ref="W317">IF('.'!W317="","",'.'!W317&amp;IF(VLOOKUP('.'!W317,Recipes!$A:$D,4,FALSE)="",""," ["&amp;VLOOKUP('.'!W317,Recipes!$A:$D,4,FALSE)&amp;"]"))</f>
        <v/>
      </c>
      <c r="X317" s="46" t="str">
        <f t="array" ref="X317">IF('.'!X317="","",'.'!X317&amp;IF(VLOOKUP('.'!X317,Recipes!$A:$D,4,FALSE)="",""," ["&amp;VLOOKUP('.'!X317,Recipes!$A:$D,4,FALSE)&amp;"]"))</f>
        <v/>
      </c>
      <c r="Y317" s="46" t="str">
        <f t="array" ref="Y317">IF('.'!Y317="","",'.'!Y317&amp;IF(VLOOKUP('.'!Y317,Recipes!$A:$D,4,FALSE)="",""," ["&amp;VLOOKUP('.'!Y317,Recipes!$A:$D,4,FALSE)&amp;"]"))</f>
        <v/>
      </c>
      <c r="Z317" s="46" t="str">
        <f t="array" ref="Z317">IF('.'!Z317="","",'.'!Z317&amp;IF(VLOOKUP('.'!Z317,Recipes!$A:$D,4,FALSE)="",""," ["&amp;VLOOKUP('.'!Z317,Recipes!$A:$D,4,FALSE)&amp;"]"))</f>
        <v/>
      </c>
      <c r="AA317" s="46" t="str">
        <f t="array" ref="AA317">IF('.'!AA317="","",'.'!AA317&amp;IF(VLOOKUP('.'!AA317,Recipes!$A:$D,4,FALSE)="",""," ["&amp;VLOOKUP('.'!AA317,Recipes!$A:$D,4,FALSE)&amp;"]"))</f>
        <v/>
      </c>
      <c r="AB317" s="46" t="str">
        <f t="array" ref="AB317">IF('.'!AB317="","",'.'!AB317&amp;IF(VLOOKUP('.'!AB317,Recipes!$A:$D,4,FALSE)="",""," ["&amp;VLOOKUP('.'!AB317,Recipes!$A:$D,4,FALSE)&amp;"]"))</f>
        <v/>
      </c>
      <c r="AC317" s="46" t="str">
        <f t="array" ref="AC317">IF('.'!AC317="","",'.'!AC317&amp;IF(VLOOKUP('.'!AC317,Recipes!$A:$D,4,FALSE)="",""," ["&amp;VLOOKUP('.'!AC317,Recipes!$A:$D,4,FALSE)&amp;"]"))</f>
        <v/>
      </c>
      <c r="AD317" s="46" t="str">
        <f t="array" ref="AD317">IF('.'!AD317="","",'.'!AD317&amp;IF(VLOOKUP('.'!AD317,Recipes!$A:$D,4,FALSE)="",""," ["&amp;VLOOKUP('.'!AD317,Recipes!$A:$D,4,FALSE)&amp;"]"))</f>
        <v/>
      </c>
      <c r="AE317" s="47"/>
      <c r="AF317" s="47"/>
      <c r="AG317" s="47"/>
      <c r="AH317" s="47"/>
      <c r="AI317" s="47"/>
      <c r="AJ317" s="47"/>
      <c r="AK317" s="47"/>
      <c r="AL317" s="47"/>
      <c r="AM317" s="47"/>
      <c r="AN317" s="47"/>
      <c r="AO317" s="47"/>
      <c r="AP317" s="47"/>
      <c r="AQ317" s="47"/>
      <c r="AR317" s="47"/>
      <c r="AS317" s="47"/>
      <c r="AT317" s="47"/>
      <c r="AU317" s="47"/>
      <c r="AV317" s="47"/>
      <c r="AW317" s="47"/>
      <c r="AX317" s="47"/>
      <c r="AY317" s="47"/>
      <c r="AZ317" s="47"/>
      <c r="BA317" s="47"/>
      <c r="BB317" s="47"/>
      <c r="BC317" s="47"/>
      <c r="BD317" s="47"/>
      <c r="BE317" s="47"/>
      <c r="BF317" s="47"/>
      <c r="BG317" s="47"/>
      <c r="BH317" s="47"/>
      <c r="BI317" s="47"/>
      <c r="BJ317" s="47"/>
      <c r="BK317" s="47"/>
      <c r="BL317" s="47"/>
      <c r="BM317" s="47"/>
      <c r="BN317" s="47"/>
      <c r="BO317" s="47"/>
      <c r="BP317" s="47"/>
      <c r="BQ317" s="47"/>
      <c r="BR317" s="47"/>
      <c r="BS317" s="47"/>
      <c r="BT317" s="47"/>
      <c r="BU317" s="47"/>
      <c r="BV317" s="47"/>
      <c r="BW317" s="47"/>
      <c r="BX317" s="47"/>
      <c r="BY317" s="47"/>
      <c r="BZ317" s="47"/>
    </row>
    <row r="318" spans="1:78" ht="13">
      <c r="A318" s="48" t="str">
        <f ca="1">'.'!A318</f>
        <v>Netherswap Scroll</v>
      </c>
      <c r="B318" s="46" t="str">
        <f t="array" aca="1" ref="B318" ca="1">IF('.'!B318="","",'.'!B318&amp;IF(VLOOKUP('.'!B318,Recipes!$A:$D,4,FALSE)="",""," ["&amp;VLOOKUP('.'!B318,Recipes!$A:$D,4,FALSE)&amp;"]"))</f>
        <v>Netherswap Skillbook [-160]</v>
      </c>
      <c r="C318" s="46" t="str">
        <f t="array" ref="C318">IF('.'!C318="","",'.'!C318&amp;IF(VLOOKUP('.'!C318,Recipes!$A:$D,4,FALSE)="",""," ["&amp;VLOOKUP('.'!C318,Recipes!$A:$D,4,FALSE)&amp;"]"))</f>
        <v/>
      </c>
      <c r="D318" s="46" t="str">
        <f t="array" ref="D318">IF('.'!D318="","",'.'!D318&amp;IF(VLOOKUP('.'!D318,Recipes!$A:$D,4,FALSE)="",""," ["&amp;VLOOKUP('.'!D318,Recipes!$A:$D,4,FALSE)&amp;"]"))</f>
        <v/>
      </c>
      <c r="E318" s="46" t="str">
        <f t="array" ref="E318">IF('.'!E318="","",'.'!E318&amp;IF(VLOOKUP('.'!E318,Recipes!$A:$D,4,FALSE)="",""," ["&amp;VLOOKUP('.'!E318,Recipes!$A:$D,4,FALSE)&amp;"]"))</f>
        <v/>
      </c>
      <c r="F318" s="46" t="str">
        <f t="array" ref="F318">IF('.'!F318="","",'.'!F318&amp;IF(VLOOKUP('.'!F318,Recipes!$A:$D,4,FALSE)="",""," ["&amp;VLOOKUP('.'!F318,Recipes!$A:$D,4,FALSE)&amp;"]"))</f>
        <v/>
      </c>
      <c r="G318" s="46" t="str">
        <f t="array" ref="G318">IF('.'!G318="","",'.'!G318&amp;IF(VLOOKUP('.'!G318,Recipes!$A:$D,4,FALSE)="",""," ["&amp;VLOOKUP('.'!G318,Recipes!$A:$D,4,FALSE)&amp;"]"))</f>
        <v/>
      </c>
      <c r="H318" s="46" t="str">
        <f t="array" ref="H318">IF('.'!H318="","",'.'!H318&amp;IF(VLOOKUP('.'!H318,Recipes!$A:$D,4,FALSE)="",""," ["&amp;VLOOKUP('.'!H318,Recipes!$A:$D,4,FALSE)&amp;"]"))</f>
        <v/>
      </c>
      <c r="I318" s="46" t="str">
        <f t="array" ref="I318">IF('.'!I318="","",'.'!I318&amp;IF(VLOOKUP('.'!I318,Recipes!$A:$D,4,FALSE)="",""," ["&amp;VLOOKUP('.'!I318,Recipes!$A:$D,4,FALSE)&amp;"]"))</f>
        <v/>
      </c>
      <c r="J318" s="46" t="str">
        <f t="array" ref="J318">IF('.'!J318="","",'.'!J318&amp;IF(VLOOKUP('.'!J318,Recipes!$A:$D,4,FALSE)="",""," ["&amp;VLOOKUP('.'!J318,Recipes!$A:$D,4,FALSE)&amp;"]"))</f>
        <v/>
      </c>
      <c r="K318" s="46" t="str">
        <f t="array" ref="K318">IF('.'!K318="","",'.'!K318&amp;IF(VLOOKUP('.'!K318,Recipes!$A:$D,4,FALSE)="",""," ["&amp;VLOOKUP('.'!K318,Recipes!$A:$D,4,FALSE)&amp;"]"))</f>
        <v/>
      </c>
      <c r="L318" s="46" t="str">
        <f t="array" ref="L318">IF('.'!L318="","",'.'!L318&amp;IF(VLOOKUP('.'!L318,Recipes!$A:$D,4,FALSE)="",""," ["&amp;VLOOKUP('.'!L318,Recipes!$A:$D,4,FALSE)&amp;"]"))</f>
        <v/>
      </c>
      <c r="M318" s="46" t="str">
        <f t="array" ref="M318">IF('.'!M318="","",'.'!M318&amp;IF(VLOOKUP('.'!M318,Recipes!$A:$D,4,FALSE)="",""," ["&amp;VLOOKUP('.'!M318,Recipes!$A:$D,4,FALSE)&amp;"]"))</f>
        <v/>
      </c>
      <c r="N318" s="46" t="str">
        <f t="array" ref="N318">IF('.'!N318="","",'.'!N318&amp;IF(VLOOKUP('.'!N318,Recipes!$A:$D,4,FALSE)="",""," ["&amp;VLOOKUP('.'!N318,Recipes!$A:$D,4,FALSE)&amp;"]"))</f>
        <v/>
      </c>
      <c r="O318" s="46" t="str">
        <f t="array" ref="O318">IF('.'!O318="","",'.'!O318&amp;IF(VLOOKUP('.'!O318,Recipes!$A:$D,4,FALSE)="",""," ["&amp;VLOOKUP('.'!O318,Recipes!$A:$D,4,FALSE)&amp;"]"))</f>
        <v/>
      </c>
      <c r="P318" s="46" t="str">
        <f t="array" ref="P318">IF('.'!P318="","",'.'!P318&amp;IF(VLOOKUP('.'!P318,Recipes!$A:$D,4,FALSE)="",""," ["&amp;VLOOKUP('.'!P318,Recipes!$A:$D,4,FALSE)&amp;"]"))</f>
        <v/>
      </c>
      <c r="Q318" s="46" t="str">
        <f t="array" ref="Q318">IF('.'!Q318="","",'.'!Q318&amp;IF(VLOOKUP('.'!Q318,Recipes!$A:$D,4,FALSE)="",""," ["&amp;VLOOKUP('.'!Q318,Recipes!$A:$D,4,FALSE)&amp;"]"))</f>
        <v/>
      </c>
      <c r="R318" s="46" t="str">
        <f t="array" ref="R318">IF('.'!R318="","",'.'!R318&amp;IF(VLOOKUP('.'!R318,Recipes!$A:$D,4,FALSE)="",""," ["&amp;VLOOKUP('.'!R318,Recipes!$A:$D,4,FALSE)&amp;"]"))</f>
        <v/>
      </c>
      <c r="S318" s="46" t="str">
        <f t="array" ref="S318">IF('.'!S318="","",'.'!S318&amp;IF(VLOOKUP('.'!S318,Recipes!$A:$D,4,FALSE)="",""," ["&amp;VLOOKUP('.'!S318,Recipes!$A:$D,4,FALSE)&amp;"]"))</f>
        <v/>
      </c>
      <c r="T318" s="46" t="str">
        <f t="array" ref="T318">IF('.'!T318="","",'.'!T318&amp;IF(VLOOKUP('.'!T318,Recipes!$A:$D,4,FALSE)="",""," ["&amp;VLOOKUP('.'!T318,Recipes!$A:$D,4,FALSE)&amp;"]"))</f>
        <v/>
      </c>
      <c r="U318" s="46" t="str">
        <f t="array" ref="U318">IF('.'!U318="","",'.'!U318&amp;IF(VLOOKUP('.'!U318,Recipes!$A:$D,4,FALSE)="",""," ["&amp;VLOOKUP('.'!U318,Recipes!$A:$D,4,FALSE)&amp;"]"))</f>
        <v/>
      </c>
      <c r="V318" s="46" t="str">
        <f t="array" ref="V318">IF('.'!V318="","",'.'!V318&amp;IF(VLOOKUP('.'!V318,Recipes!$A:$D,4,FALSE)="",""," ["&amp;VLOOKUP('.'!V318,Recipes!$A:$D,4,FALSE)&amp;"]"))</f>
        <v/>
      </c>
      <c r="W318" s="46" t="str">
        <f t="array" ref="W318">IF('.'!W318="","",'.'!W318&amp;IF(VLOOKUP('.'!W318,Recipes!$A:$D,4,FALSE)="",""," ["&amp;VLOOKUP('.'!W318,Recipes!$A:$D,4,FALSE)&amp;"]"))</f>
        <v/>
      </c>
      <c r="X318" s="46" t="str">
        <f t="array" ref="X318">IF('.'!X318="","",'.'!X318&amp;IF(VLOOKUP('.'!X318,Recipes!$A:$D,4,FALSE)="",""," ["&amp;VLOOKUP('.'!X318,Recipes!$A:$D,4,FALSE)&amp;"]"))</f>
        <v/>
      </c>
      <c r="Y318" s="46" t="str">
        <f t="array" ref="Y318">IF('.'!Y318="","",'.'!Y318&amp;IF(VLOOKUP('.'!Y318,Recipes!$A:$D,4,FALSE)="",""," ["&amp;VLOOKUP('.'!Y318,Recipes!$A:$D,4,FALSE)&amp;"]"))</f>
        <v/>
      </c>
      <c r="Z318" s="46" t="str">
        <f t="array" ref="Z318">IF('.'!Z318="","",'.'!Z318&amp;IF(VLOOKUP('.'!Z318,Recipes!$A:$D,4,FALSE)="",""," ["&amp;VLOOKUP('.'!Z318,Recipes!$A:$D,4,FALSE)&amp;"]"))</f>
        <v/>
      </c>
      <c r="AA318" s="46" t="str">
        <f t="array" ref="AA318">IF('.'!AA318="","",'.'!AA318&amp;IF(VLOOKUP('.'!AA318,Recipes!$A:$D,4,FALSE)="",""," ["&amp;VLOOKUP('.'!AA318,Recipes!$A:$D,4,FALSE)&amp;"]"))</f>
        <v/>
      </c>
      <c r="AB318" s="46" t="str">
        <f t="array" ref="AB318">IF('.'!AB318="","",'.'!AB318&amp;IF(VLOOKUP('.'!AB318,Recipes!$A:$D,4,FALSE)="",""," ["&amp;VLOOKUP('.'!AB318,Recipes!$A:$D,4,FALSE)&amp;"]"))</f>
        <v/>
      </c>
      <c r="AC318" s="46" t="str">
        <f t="array" ref="AC318">IF('.'!AC318="","",'.'!AC318&amp;IF(VLOOKUP('.'!AC318,Recipes!$A:$D,4,FALSE)="",""," ["&amp;VLOOKUP('.'!AC318,Recipes!$A:$D,4,FALSE)&amp;"]"))</f>
        <v/>
      </c>
      <c r="AD318" s="46" t="str">
        <f t="array" ref="AD318">IF('.'!AD318="","",'.'!AD318&amp;IF(VLOOKUP('.'!AD318,Recipes!$A:$D,4,FALSE)="",""," ["&amp;VLOOKUP('.'!AD318,Recipes!$A:$D,4,FALSE)&amp;"]"))</f>
        <v/>
      </c>
      <c r="AE318" s="47"/>
      <c r="AF318" s="47"/>
      <c r="AG318" s="47"/>
      <c r="AH318" s="47"/>
      <c r="AI318" s="47"/>
      <c r="AJ318" s="47"/>
      <c r="AK318" s="47"/>
      <c r="AL318" s="47"/>
      <c r="AM318" s="47"/>
      <c r="AN318" s="47"/>
      <c r="AO318" s="47"/>
      <c r="AP318" s="47"/>
      <c r="AQ318" s="47"/>
      <c r="AR318" s="47"/>
      <c r="AS318" s="47"/>
      <c r="AT318" s="47"/>
      <c r="AU318" s="47"/>
      <c r="AV318" s="47"/>
      <c r="AW318" s="47"/>
      <c r="AX318" s="47"/>
      <c r="AY318" s="47"/>
      <c r="AZ318" s="47"/>
      <c r="BA318" s="47"/>
      <c r="BB318" s="47"/>
      <c r="BC318" s="47"/>
      <c r="BD318" s="47"/>
      <c r="BE318" s="47"/>
      <c r="BF318" s="47"/>
      <c r="BG318" s="47"/>
      <c r="BH318" s="47"/>
      <c r="BI318" s="47"/>
      <c r="BJ318" s="47"/>
      <c r="BK318" s="47"/>
      <c r="BL318" s="47"/>
      <c r="BM318" s="47"/>
      <c r="BN318" s="47"/>
      <c r="BO318" s="47"/>
      <c r="BP318" s="47"/>
      <c r="BQ318" s="47"/>
      <c r="BR318" s="47"/>
      <c r="BS318" s="47"/>
      <c r="BT318" s="47"/>
      <c r="BU318" s="47"/>
      <c r="BV318" s="47"/>
      <c r="BW318" s="47"/>
      <c r="BX318" s="47"/>
      <c r="BY318" s="47"/>
      <c r="BZ318" s="47"/>
    </row>
    <row r="319" spans="1:78" ht="13">
      <c r="A319" s="48" t="str">
        <f ca="1">'.'!A319</f>
        <v>Oil</v>
      </c>
      <c r="B319" s="46" t="str">
        <f t="array" aca="1" ref="B319" ca="1">IF('.'!B319="","",'.'!B319&amp;IF(VLOOKUP('.'!B319,Recipes!$A:$D,4,FALSE)="",""," ["&amp;VLOOKUP('.'!B319,Recipes!$A:$D,4,FALSE)&amp;"]"))</f>
        <v>Slowdown Arrow [9]</v>
      </c>
      <c r="C319" s="46" t="str">
        <f t="array" aca="1" ref="C319" ca="1">IF('.'!C319="","",'.'!C319&amp;IF(VLOOKUP('.'!C319,Recipes!$A:$D,4,FALSE)="",""," ["&amp;VLOOKUP('.'!C319,Recipes!$A:$D,4,FALSE)&amp;"]"))</f>
        <v>Explosive Arrowhead [105]</v>
      </c>
      <c r="D319" s="46" t="str">
        <f t="array" aca="1" ref="D319" ca="1">IF('.'!D319="","",'.'!D319&amp;IF(VLOOKUP('.'!D319,Recipes!$A:$D,4,FALSE)="",""," ["&amp;VLOOKUP('.'!D319,Recipes!$A:$D,4,FALSE)&amp;"]"))</f>
        <v>Slowdown Arrowhead [28]</v>
      </c>
      <c r="E319" s="46" t="str">
        <f t="array" aca="1" ref="E319" ca="1">IF('.'!E319="","",'.'!E319&amp;IF(VLOOKUP('.'!E319,Recipes!$A:$D,4,FALSE)="",""," ["&amp;VLOOKUP('.'!E319,Recipes!$A:$D,4,FALSE)&amp;"]"))</f>
        <v>Oil Flask [5]</v>
      </c>
      <c r="F319" s="46" t="str">
        <f t="array" aca="1" ref="F319" ca="1">IF('.'!F319="","",'.'!F319&amp;IF(VLOOKUP('.'!F319,Recipes!$A:$D,4,FALSE)="",""," ["&amp;VLOOKUP('.'!F319,Recipes!$A:$D,4,FALSE)&amp;"]"))</f>
        <v>Bottle Filled With Oil [2]</v>
      </c>
      <c r="G319" s="46" t="e">
        <f t="array" aca="1" ref="G319" ca="1">IF('.'!G319="","",'.'!G319&amp;IF(VLOOKUP('.'!G319,Recipes!$A:$D,4,FALSE)="",""," ["&amp;VLOOKUP('.'!G319,Recipes!$A:$D,4,FALSE)&amp;"]"))</f>
        <v>#VALUE!</v>
      </c>
      <c r="H319" s="46" t="e">
        <f t="array" aca="1" ref="H319" ca="1">IF('.'!H319="","",'.'!H319&amp;IF(VLOOKUP('.'!H319,Recipes!$A:$D,4,FALSE)="",""," ["&amp;VLOOKUP('.'!H319,Recipes!$A:$D,4,FALSE)&amp;"]"))</f>
        <v>#VALUE!</v>
      </c>
      <c r="I319" s="46" t="str">
        <f t="array" ref="I319">IF('.'!I319="","",'.'!I319&amp;IF(VLOOKUP('.'!I319,Recipes!$A:$D,4,FALSE)="",""," ["&amp;VLOOKUP('.'!I319,Recipes!$A:$D,4,FALSE)&amp;"]"))</f>
        <v/>
      </c>
      <c r="J319" s="46" t="str">
        <f t="array" ref="J319">IF('.'!J319="","",'.'!J319&amp;IF(VLOOKUP('.'!J319,Recipes!$A:$D,4,FALSE)="",""," ["&amp;VLOOKUP('.'!J319,Recipes!$A:$D,4,FALSE)&amp;"]"))</f>
        <v/>
      </c>
      <c r="K319" s="46" t="str">
        <f t="array" ref="K319">IF('.'!K319="","",'.'!K319&amp;IF(VLOOKUP('.'!K319,Recipes!$A:$D,4,FALSE)="",""," ["&amp;VLOOKUP('.'!K319,Recipes!$A:$D,4,FALSE)&amp;"]"))</f>
        <v/>
      </c>
      <c r="L319" s="46" t="str">
        <f t="array" ref="L319">IF('.'!L319="","",'.'!L319&amp;IF(VLOOKUP('.'!L319,Recipes!$A:$D,4,FALSE)="",""," ["&amp;VLOOKUP('.'!L319,Recipes!$A:$D,4,FALSE)&amp;"]"))</f>
        <v/>
      </c>
      <c r="M319" s="46" t="str">
        <f t="array" ref="M319">IF('.'!M319="","",'.'!M319&amp;IF(VLOOKUP('.'!M319,Recipes!$A:$D,4,FALSE)="",""," ["&amp;VLOOKUP('.'!M319,Recipes!$A:$D,4,FALSE)&amp;"]"))</f>
        <v/>
      </c>
      <c r="N319" s="46" t="str">
        <f t="array" ref="N319">IF('.'!N319="","",'.'!N319&amp;IF(VLOOKUP('.'!N319,Recipes!$A:$D,4,FALSE)="",""," ["&amp;VLOOKUP('.'!N319,Recipes!$A:$D,4,FALSE)&amp;"]"))</f>
        <v/>
      </c>
      <c r="O319" s="46" t="str">
        <f t="array" ref="O319">IF('.'!O319="","",'.'!O319&amp;IF(VLOOKUP('.'!O319,Recipes!$A:$D,4,FALSE)="",""," ["&amp;VLOOKUP('.'!O319,Recipes!$A:$D,4,FALSE)&amp;"]"))</f>
        <v/>
      </c>
      <c r="P319" s="46" t="str">
        <f t="array" ref="P319">IF('.'!P319="","",'.'!P319&amp;IF(VLOOKUP('.'!P319,Recipes!$A:$D,4,FALSE)="",""," ["&amp;VLOOKUP('.'!P319,Recipes!$A:$D,4,FALSE)&amp;"]"))</f>
        <v/>
      </c>
      <c r="Q319" s="46" t="str">
        <f t="array" ref="Q319">IF('.'!Q319="","",'.'!Q319&amp;IF(VLOOKUP('.'!Q319,Recipes!$A:$D,4,FALSE)="",""," ["&amp;VLOOKUP('.'!Q319,Recipes!$A:$D,4,FALSE)&amp;"]"))</f>
        <v/>
      </c>
      <c r="R319" s="46" t="str">
        <f t="array" ref="R319">IF('.'!R319="","",'.'!R319&amp;IF(VLOOKUP('.'!R319,Recipes!$A:$D,4,FALSE)="",""," ["&amp;VLOOKUP('.'!R319,Recipes!$A:$D,4,FALSE)&amp;"]"))</f>
        <v/>
      </c>
      <c r="S319" s="46" t="str">
        <f t="array" ref="S319">IF('.'!S319="","",'.'!S319&amp;IF(VLOOKUP('.'!S319,Recipes!$A:$D,4,FALSE)="",""," ["&amp;VLOOKUP('.'!S319,Recipes!$A:$D,4,FALSE)&amp;"]"))</f>
        <v/>
      </c>
      <c r="T319" s="46" t="str">
        <f t="array" ref="T319">IF('.'!T319="","",'.'!T319&amp;IF(VLOOKUP('.'!T319,Recipes!$A:$D,4,FALSE)="",""," ["&amp;VLOOKUP('.'!T319,Recipes!$A:$D,4,FALSE)&amp;"]"))</f>
        <v/>
      </c>
      <c r="U319" s="46" t="str">
        <f t="array" ref="U319">IF('.'!U319="","",'.'!U319&amp;IF(VLOOKUP('.'!U319,Recipes!$A:$D,4,FALSE)="",""," ["&amp;VLOOKUP('.'!U319,Recipes!$A:$D,4,FALSE)&amp;"]"))</f>
        <v/>
      </c>
      <c r="V319" s="46" t="str">
        <f t="array" ref="V319">IF('.'!V319="","",'.'!V319&amp;IF(VLOOKUP('.'!V319,Recipes!$A:$D,4,FALSE)="",""," ["&amp;VLOOKUP('.'!V319,Recipes!$A:$D,4,FALSE)&amp;"]"))</f>
        <v/>
      </c>
      <c r="W319" s="46" t="str">
        <f t="array" ref="W319">IF('.'!W319="","",'.'!W319&amp;IF(VLOOKUP('.'!W319,Recipes!$A:$D,4,FALSE)="",""," ["&amp;VLOOKUP('.'!W319,Recipes!$A:$D,4,FALSE)&amp;"]"))</f>
        <v/>
      </c>
      <c r="X319" s="46" t="str">
        <f t="array" ref="X319">IF('.'!X319="","",'.'!X319&amp;IF(VLOOKUP('.'!X319,Recipes!$A:$D,4,FALSE)="",""," ["&amp;VLOOKUP('.'!X319,Recipes!$A:$D,4,FALSE)&amp;"]"))</f>
        <v/>
      </c>
      <c r="Y319" s="46" t="str">
        <f t="array" ref="Y319">IF('.'!Y319="","",'.'!Y319&amp;IF(VLOOKUP('.'!Y319,Recipes!$A:$D,4,FALSE)="",""," ["&amp;VLOOKUP('.'!Y319,Recipes!$A:$D,4,FALSE)&amp;"]"))</f>
        <v/>
      </c>
      <c r="Z319" s="46" t="str">
        <f t="array" ref="Z319">IF('.'!Z319="","",'.'!Z319&amp;IF(VLOOKUP('.'!Z319,Recipes!$A:$D,4,FALSE)="",""," ["&amp;VLOOKUP('.'!Z319,Recipes!$A:$D,4,FALSE)&amp;"]"))</f>
        <v/>
      </c>
      <c r="AA319" s="46" t="str">
        <f t="array" ref="AA319">IF('.'!AA319="","",'.'!AA319&amp;IF(VLOOKUP('.'!AA319,Recipes!$A:$D,4,FALSE)="",""," ["&amp;VLOOKUP('.'!AA319,Recipes!$A:$D,4,FALSE)&amp;"]"))</f>
        <v/>
      </c>
      <c r="AB319" s="46" t="str">
        <f t="array" ref="AB319">IF('.'!AB319="","",'.'!AB319&amp;IF(VLOOKUP('.'!AB319,Recipes!$A:$D,4,FALSE)="",""," ["&amp;VLOOKUP('.'!AB319,Recipes!$A:$D,4,FALSE)&amp;"]"))</f>
        <v/>
      </c>
      <c r="AC319" s="46" t="str">
        <f t="array" ref="AC319">IF('.'!AC319="","",'.'!AC319&amp;IF(VLOOKUP('.'!AC319,Recipes!$A:$D,4,FALSE)="",""," ["&amp;VLOOKUP('.'!AC319,Recipes!$A:$D,4,FALSE)&amp;"]"))</f>
        <v/>
      </c>
      <c r="AD319" s="46" t="str">
        <f t="array" ref="AD319">IF('.'!AD319="","",'.'!AD319&amp;IF(VLOOKUP('.'!AD319,Recipes!$A:$D,4,FALSE)="",""," ["&amp;VLOOKUP('.'!AD319,Recipes!$A:$D,4,FALSE)&amp;"]"))</f>
        <v/>
      </c>
      <c r="AE319" s="47"/>
      <c r="AF319" s="47"/>
      <c r="AG319" s="47"/>
      <c r="AH319" s="47"/>
      <c r="AI319" s="47"/>
      <c r="AJ319" s="47"/>
      <c r="AK319" s="47"/>
      <c r="AL319" s="47"/>
      <c r="AM319" s="47"/>
      <c r="AN319" s="47"/>
      <c r="AO319" s="47"/>
      <c r="AP319" s="47"/>
      <c r="AQ319" s="47"/>
      <c r="AR319" s="47"/>
      <c r="AS319" s="47"/>
      <c r="AT319" s="47"/>
      <c r="AU319" s="47"/>
      <c r="AV319" s="47"/>
      <c r="AW319" s="47"/>
      <c r="AX319" s="47"/>
      <c r="AY319" s="47"/>
      <c r="AZ319" s="47"/>
      <c r="BA319" s="47"/>
      <c r="BB319" s="47"/>
      <c r="BC319" s="47"/>
      <c r="BD319" s="47"/>
      <c r="BE319" s="47"/>
      <c r="BF319" s="47"/>
      <c r="BG319" s="47"/>
      <c r="BH319" s="47"/>
      <c r="BI319" s="47"/>
      <c r="BJ319" s="47"/>
      <c r="BK319" s="47"/>
      <c r="BL319" s="47"/>
      <c r="BM319" s="47"/>
      <c r="BN319" s="47"/>
      <c r="BO319" s="47"/>
      <c r="BP319" s="47"/>
      <c r="BQ319" s="47"/>
      <c r="BR319" s="47"/>
      <c r="BS319" s="47"/>
      <c r="BT319" s="47"/>
      <c r="BU319" s="47"/>
      <c r="BV319" s="47"/>
      <c r="BW319" s="47"/>
      <c r="BX319" s="47"/>
      <c r="BY319" s="47"/>
      <c r="BZ319" s="47"/>
    </row>
    <row r="320" spans="1:78" ht="13">
      <c r="A320" s="48" t="str">
        <f ca="1">'.'!A320</f>
        <v>Oil Flask</v>
      </c>
      <c r="B320" s="46" t="str">
        <f t="array" aca="1" ref="B320" ca="1">IF('.'!B320="","",'.'!B320&amp;IF(VLOOKUP('.'!B320,Recipes!$A:$D,4,FALSE)="",""," ["&amp;VLOOKUP('.'!B320,Recipes!$A:$D,4,FALSE)&amp;"]"))</f>
        <v>Blessed Oil Flask [-530]</v>
      </c>
      <c r="C320" s="46" t="str">
        <f t="array" ref="C320">IF('.'!C320="","",'.'!C320&amp;IF(VLOOKUP('.'!C320,Recipes!$A:$D,4,FALSE)="",""," ["&amp;VLOOKUP('.'!C320,Recipes!$A:$D,4,FALSE)&amp;"]"))</f>
        <v/>
      </c>
      <c r="D320" s="46" t="str">
        <f t="array" ref="D320">IF('.'!D320="","",'.'!D320&amp;IF(VLOOKUP('.'!D320,Recipes!$A:$D,4,FALSE)="",""," ["&amp;VLOOKUP('.'!D320,Recipes!$A:$D,4,FALSE)&amp;"]"))</f>
        <v/>
      </c>
      <c r="E320" s="46" t="str">
        <f t="array" ref="E320">IF('.'!E320="","",'.'!E320&amp;IF(VLOOKUP('.'!E320,Recipes!$A:$D,4,FALSE)="",""," ["&amp;VLOOKUP('.'!E320,Recipes!$A:$D,4,FALSE)&amp;"]"))</f>
        <v/>
      </c>
      <c r="F320" s="46" t="str">
        <f t="array" ref="F320">IF('.'!F320="","",'.'!F320&amp;IF(VLOOKUP('.'!F320,Recipes!$A:$D,4,FALSE)="",""," ["&amp;VLOOKUP('.'!F320,Recipes!$A:$D,4,FALSE)&amp;"]"))</f>
        <v/>
      </c>
      <c r="G320" s="46" t="str">
        <f t="array" ref="G320">IF('.'!G320="","",'.'!G320&amp;IF(VLOOKUP('.'!G320,Recipes!$A:$D,4,FALSE)="",""," ["&amp;VLOOKUP('.'!G320,Recipes!$A:$D,4,FALSE)&amp;"]"))</f>
        <v/>
      </c>
      <c r="H320" s="46" t="str">
        <f t="array" ref="H320">IF('.'!H320="","",'.'!H320&amp;IF(VLOOKUP('.'!H320,Recipes!$A:$D,4,FALSE)="",""," ["&amp;VLOOKUP('.'!H320,Recipes!$A:$D,4,FALSE)&amp;"]"))</f>
        <v/>
      </c>
      <c r="I320" s="46" t="str">
        <f t="array" ref="I320">IF('.'!I320="","",'.'!I320&amp;IF(VLOOKUP('.'!I320,Recipes!$A:$D,4,FALSE)="",""," ["&amp;VLOOKUP('.'!I320,Recipes!$A:$D,4,FALSE)&amp;"]"))</f>
        <v/>
      </c>
      <c r="J320" s="46" t="str">
        <f t="array" ref="J320">IF('.'!J320="","",'.'!J320&amp;IF(VLOOKUP('.'!J320,Recipes!$A:$D,4,FALSE)="",""," ["&amp;VLOOKUP('.'!J320,Recipes!$A:$D,4,FALSE)&amp;"]"))</f>
        <v/>
      </c>
      <c r="K320" s="46" t="str">
        <f t="array" ref="K320">IF('.'!K320="","",'.'!K320&amp;IF(VLOOKUP('.'!K320,Recipes!$A:$D,4,FALSE)="",""," ["&amp;VLOOKUP('.'!K320,Recipes!$A:$D,4,FALSE)&amp;"]"))</f>
        <v/>
      </c>
      <c r="L320" s="46" t="str">
        <f t="array" ref="L320">IF('.'!L320="","",'.'!L320&amp;IF(VLOOKUP('.'!L320,Recipes!$A:$D,4,FALSE)="",""," ["&amp;VLOOKUP('.'!L320,Recipes!$A:$D,4,FALSE)&amp;"]"))</f>
        <v/>
      </c>
      <c r="M320" s="46" t="str">
        <f t="array" ref="M320">IF('.'!M320="","",'.'!M320&amp;IF(VLOOKUP('.'!M320,Recipes!$A:$D,4,FALSE)="",""," ["&amp;VLOOKUP('.'!M320,Recipes!$A:$D,4,FALSE)&amp;"]"))</f>
        <v/>
      </c>
      <c r="N320" s="46" t="str">
        <f t="array" ref="N320">IF('.'!N320="","",'.'!N320&amp;IF(VLOOKUP('.'!N320,Recipes!$A:$D,4,FALSE)="",""," ["&amp;VLOOKUP('.'!N320,Recipes!$A:$D,4,FALSE)&amp;"]"))</f>
        <v/>
      </c>
      <c r="O320" s="46" t="str">
        <f t="array" ref="O320">IF('.'!O320="","",'.'!O320&amp;IF(VLOOKUP('.'!O320,Recipes!$A:$D,4,FALSE)="",""," ["&amp;VLOOKUP('.'!O320,Recipes!$A:$D,4,FALSE)&amp;"]"))</f>
        <v/>
      </c>
      <c r="P320" s="46" t="str">
        <f t="array" ref="P320">IF('.'!P320="","",'.'!P320&amp;IF(VLOOKUP('.'!P320,Recipes!$A:$D,4,FALSE)="",""," ["&amp;VLOOKUP('.'!P320,Recipes!$A:$D,4,FALSE)&amp;"]"))</f>
        <v/>
      </c>
      <c r="Q320" s="46" t="str">
        <f t="array" ref="Q320">IF('.'!Q320="","",'.'!Q320&amp;IF(VLOOKUP('.'!Q320,Recipes!$A:$D,4,FALSE)="",""," ["&amp;VLOOKUP('.'!Q320,Recipes!$A:$D,4,FALSE)&amp;"]"))</f>
        <v/>
      </c>
      <c r="R320" s="46" t="str">
        <f t="array" ref="R320">IF('.'!R320="","",'.'!R320&amp;IF(VLOOKUP('.'!R320,Recipes!$A:$D,4,FALSE)="",""," ["&amp;VLOOKUP('.'!R320,Recipes!$A:$D,4,FALSE)&amp;"]"))</f>
        <v/>
      </c>
      <c r="S320" s="46" t="str">
        <f t="array" ref="S320">IF('.'!S320="","",'.'!S320&amp;IF(VLOOKUP('.'!S320,Recipes!$A:$D,4,FALSE)="",""," ["&amp;VLOOKUP('.'!S320,Recipes!$A:$D,4,FALSE)&amp;"]"))</f>
        <v/>
      </c>
      <c r="T320" s="46" t="str">
        <f t="array" ref="T320">IF('.'!T320="","",'.'!T320&amp;IF(VLOOKUP('.'!T320,Recipes!$A:$D,4,FALSE)="",""," ["&amp;VLOOKUP('.'!T320,Recipes!$A:$D,4,FALSE)&amp;"]"))</f>
        <v/>
      </c>
      <c r="U320" s="46" t="str">
        <f t="array" ref="U320">IF('.'!U320="","",'.'!U320&amp;IF(VLOOKUP('.'!U320,Recipes!$A:$D,4,FALSE)="",""," ["&amp;VLOOKUP('.'!U320,Recipes!$A:$D,4,FALSE)&amp;"]"))</f>
        <v/>
      </c>
      <c r="V320" s="46" t="str">
        <f t="array" ref="V320">IF('.'!V320="","",'.'!V320&amp;IF(VLOOKUP('.'!V320,Recipes!$A:$D,4,FALSE)="",""," ["&amp;VLOOKUP('.'!V320,Recipes!$A:$D,4,FALSE)&amp;"]"))</f>
        <v/>
      </c>
      <c r="W320" s="46" t="str">
        <f t="array" ref="W320">IF('.'!W320="","",'.'!W320&amp;IF(VLOOKUP('.'!W320,Recipes!$A:$D,4,FALSE)="",""," ["&amp;VLOOKUP('.'!W320,Recipes!$A:$D,4,FALSE)&amp;"]"))</f>
        <v/>
      </c>
      <c r="X320" s="46" t="str">
        <f t="array" ref="X320">IF('.'!X320="","",'.'!X320&amp;IF(VLOOKUP('.'!X320,Recipes!$A:$D,4,FALSE)="",""," ["&amp;VLOOKUP('.'!X320,Recipes!$A:$D,4,FALSE)&amp;"]"))</f>
        <v/>
      </c>
      <c r="Y320" s="46" t="str">
        <f t="array" ref="Y320">IF('.'!Y320="","",'.'!Y320&amp;IF(VLOOKUP('.'!Y320,Recipes!$A:$D,4,FALSE)="",""," ["&amp;VLOOKUP('.'!Y320,Recipes!$A:$D,4,FALSE)&amp;"]"))</f>
        <v/>
      </c>
      <c r="Z320" s="46" t="str">
        <f t="array" ref="Z320">IF('.'!Z320="","",'.'!Z320&amp;IF(VLOOKUP('.'!Z320,Recipes!$A:$D,4,FALSE)="",""," ["&amp;VLOOKUP('.'!Z320,Recipes!$A:$D,4,FALSE)&amp;"]"))</f>
        <v/>
      </c>
      <c r="AA320" s="46" t="str">
        <f t="array" ref="AA320">IF('.'!AA320="","",'.'!AA320&amp;IF(VLOOKUP('.'!AA320,Recipes!$A:$D,4,FALSE)="",""," ["&amp;VLOOKUP('.'!AA320,Recipes!$A:$D,4,FALSE)&amp;"]"))</f>
        <v/>
      </c>
      <c r="AB320" s="46" t="str">
        <f t="array" ref="AB320">IF('.'!AB320="","",'.'!AB320&amp;IF(VLOOKUP('.'!AB320,Recipes!$A:$D,4,FALSE)="",""," ["&amp;VLOOKUP('.'!AB320,Recipes!$A:$D,4,FALSE)&amp;"]"))</f>
        <v/>
      </c>
      <c r="AC320" s="46" t="str">
        <f t="array" ref="AC320">IF('.'!AC320="","",'.'!AC320&amp;IF(VLOOKUP('.'!AC320,Recipes!$A:$D,4,FALSE)="",""," ["&amp;VLOOKUP('.'!AC320,Recipes!$A:$D,4,FALSE)&amp;"]"))</f>
        <v/>
      </c>
      <c r="AD320" s="46" t="str">
        <f t="array" ref="AD320">IF('.'!AD320="","",'.'!AD320&amp;IF(VLOOKUP('.'!AD320,Recipes!$A:$D,4,FALSE)="",""," ["&amp;VLOOKUP('.'!AD320,Recipes!$A:$D,4,FALSE)&amp;"]"))</f>
        <v/>
      </c>
      <c r="AE320" s="47"/>
      <c r="AF320" s="47"/>
      <c r="AG320" s="47"/>
      <c r="AH320" s="47"/>
      <c r="AI320" s="47"/>
      <c r="AJ320" s="47"/>
      <c r="AK320" s="47"/>
      <c r="AL320" s="47"/>
      <c r="AM320" s="47"/>
      <c r="AN320" s="47"/>
      <c r="AO320" s="47"/>
      <c r="AP320" s="47"/>
      <c r="AQ320" s="47"/>
      <c r="AR320" s="47"/>
      <c r="AS320" s="47"/>
      <c r="AT320" s="47"/>
      <c r="AU320" s="47"/>
      <c r="AV320" s="47"/>
      <c r="AW320" s="47"/>
      <c r="AX320" s="47"/>
      <c r="AY320" s="47"/>
      <c r="AZ320" s="47"/>
      <c r="BA320" s="47"/>
      <c r="BB320" s="47"/>
      <c r="BC320" s="47"/>
      <c r="BD320" s="47"/>
      <c r="BE320" s="47"/>
      <c r="BF320" s="47"/>
      <c r="BG320" s="47"/>
      <c r="BH320" s="47"/>
      <c r="BI320" s="47"/>
      <c r="BJ320" s="47"/>
      <c r="BK320" s="47"/>
      <c r="BL320" s="47"/>
      <c r="BM320" s="47"/>
      <c r="BN320" s="47"/>
      <c r="BO320" s="47"/>
      <c r="BP320" s="47"/>
      <c r="BQ320" s="47"/>
      <c r="BR320" s="47"/>
      <c r="BS320" s="47"/>
      <c r="BT320" s="47"/>
      <c r="BU320" s="47"/>
      <c r="BV320" s="47"/>
      <c r="BW320" s="47"/>
      <c r="BX320" s="47"/>
      <c r="BY320" s="47"/>
      <c r="BZ320" s="47"/>
    </row>
    <row r="321" spans="1:78" ht="13">
      <c r="A321" s="48" t="str">
        <f ca="1">'.'!A321</f>
        <v>Oil Pump</v>
      </c>
      <c r="B321" s="46" t="str">
        <f t="array" aca="1" ref="B321" ca="1">IF('.'!B321="","",'.'!B321&amp;IF(VLOOKUP('.'!B321,Recipes!$A:$D,4,FALSE)="",""," ["&amp;VLOOKUP('.'!B321,Recipes!$A:$D,4,FALSE)&amp;"]"))</f>
        <v>Oil Barrel [-1]</v>
      </c>
      <c r="C321" s="46" t="str">
        <f t="array" ref="C321">IF('.'!C321="","",'.'!C321&amp;IF(VLOOKUP('.'!C321,Recipes!$A:$D,4,FALSE)="",""," ["&amp;VLOOKUP('.'!C321,Recipes!$A:$D,4,FALSE)&amp;"]"))</f>
        <v/>
      </c>
      <c r="D321" s="46" t="str">
        <f t="array" ref="D321">IF('.'!D321="","",'.'!D321&amp;IF(VLOOKUP('.'!D321,Recipes!$A:$D,4,FALSE)="",""," ["&amp;VLOOKUP('.'!D321,Recipes!$A:$D,4,FALSE)&amp;"]"))</f>
        <v/>
      </c>
      <c r="E321" s="46" t="str">
        <f t="array" ref="E321">IF('.'!E321="","",'.'!E321&amp;IF(VLOOKUP('.'!E321,Recipes!$A:$D,4,FALSE)="",""," ["&amp;VLOOKUP('.'!E321,Recipes!$A:$D,4,FALSE)&amp;"]"))</f>
        <v/>
      </c>
      <c r="F321" s="46" t="str">
        <f t="array" ref="F321">IF('.'!F321="","",'.'!F321&amp;IF(VLOOKUP('.'!F321,Recipes!$A:$D,4,FALSE)="",""," ["&amp;VLOOKUP('.'!F321,Recipes!$A:$D,4,FALSE)&amp;"]"))</f>
        <v/>
      </c>
      <c r="G321" s="46" t="str">
        <f t="array" ref="G321">IF('.'!G321="","",'.'!G321&amp;IF(VLOOKUP('.'!G321,Recipes!$A:$D,4,FALSE)="",""," ["&amp;VLOOKUP('.'!G321,Recipes!$A:$D,4,FALSE)&amp;"]"))</f>
        <v/>
      </c>
      <c r="H321" s="46" t="str">
        <f t="array" ref="H321">IF('.'!H321="","",'.'!H321&amp;IF(VLOOKUP('.'!H321,Recipes!$A:$D,4,FALSE)="",""," ["&amp;VLOOKUP('.'!H321,Recipes!$A:$D,4,FALSE)&amp;"]"))</f>
        <v/>
      </c>
      <c r="I321" s="46" t="str">
        <f t="array" ref="I321">IF('.'!I321="","",'.'!I321&amp;IF(VLOOKUP('.'!I321,Recipes!$A:$D,4,FALSE)="",""," ["&amp;VLOOKUP('.'!I321,Recipes!$A:$D,4,FALSE)&amp;"]"))</f>
        <v/>
      </c>
      <c r="J321" s="46" t="str">
        <f t="array" ref="J321">IF('.'!J321="","",'.'!J321&amp;IF(VLOOKUP('.'!J321,Recipes!$A:$D,4,FALSE)="",""," ["&amp;VLOOKUP('.'!J321,Recipes!$A:$D,4,FALSE)&amp;"]"))</f>
        <v/>
      </c>
      <c r="K321" s="46" t="str">
        <f t="array" ref="K321">IF('.'!K321="","",'.'!K321&amp;IF(VLOOKUP('.'!K321,Recipes!$A:$D,4,FALSE)="",""," ["&amp;VLOOKUP('.'!K321,Recipes!$A:$D,4,FALSE)&amp;"]"))</f>
        <v/>
      </c>
      <c r="L321" s="46" t="str">
        <f t="array" ref="L321">IF('.'!L321="","",'.'!L321&amp;IF(VLOOKUP('.'!L321,Recipes!$A:$D,4,FALSE)="",""," ["&amp;VLOOKUP('.'!L321,Recipes!$A:$D,4,FALSE)&amp;"]"))</f>
        <v/>
      </c>
      <c r="M321" s="46" t="str">
        <f t="array" ref="M321">IF('.'!M321="","",'.'!M321&amp;IF(VLOOKUP('.'!M321,Recipes!$A:$D,4,FALSE)="",""," ["&amp;VLOOKUP('.'!M321,Recipes!$A:$D,4,FALSE)&amp;"]"))</f>
        <v/>
      </c>
      <c r="N321" s="46" t="str">
        <f t="array" ref="N321">IF('.'!N321="","",'.'!N321&amp;IF(VLOOKUP('.'!N321,Recipes!$A:$D,4,FALSE)="",""," ["&amp;VLOOKUP('.'!N321,Recipes!$A:$D,4,FALSE)&amp;"]"))</f>
        <v/>
      </c>
      <c r="O321" s="46" t="str">
        <f t="array" ref="O321">IF('.'!O321="","",'.'!O321&amp;IF(VLOOKUP('.'!O321,Recipes!$A:$D,4,FALSE)="",""," ["&amp;VLOOKUP('.'!O321,Recipes!$A:$D,4,FALSE)&amp;"]"))</f>
        <v/>
      </c>
      <c r="P321" s="46" t="str">
        <f t="array" ref="P321">IF('.'!P321="","",'.'!P321&amp;IF(VLOOKUP('.'!P321,Recipes!$A:$D,4,FALSE)="",""," ["&amp;VLOOKUP('.'!P321,Recipes!$A:$D,4,FALSE)&amp;"]"))</f>
        <v/>
      </c>
      <c r="Q321" s="46" t="str">
        <f t="array" ref="Q321">IF('.'!Q321="","",'.'!Q321&amp;IF(VLOOKUP('.'!Q321,Recipes!$A:$D,4,FALSE)="",""," ["&amp;VLOOKUP('.'!Q321,Recipes!$A:$D,4,FALSE)&amp;"]"))</f>
        <v/>
      </c>
      <c r="R321" s="46" t="str">
        <f t="array" ref="R321">IF('.'!R321="","",'.'!R321&amp;IF(VLOOKUP('.'!R321,Recipes!$A:$D,4,FALSE)="",""," ["&amp;VLOOKUP('.'!R321,Recipes!$A:$D,4,FALSE)&amp;"]"))</f>
        <v/>
      </c>
      <c r="S321" s="46" t="str">
        <f t="array" ref="S321">IF('.'!S321="","",'.'!S321&amp;IF(VLOOKUP('.'!S321,Recipes!$A:$D,4,FALSE)="",""," ["&amp;VLOOKUP('.'!S321,Recipes!$A:$D,4,FALSE)&amp;"]"))</f>
        <v/>
      </c>
      <c r="T321" s="46" t="str">
        <f t="array" ref="T321">IF('.'!T321="","",'.'!T321&amp;IF(VLOOKUP('.'!T321,Recipes!$A:$D,4,FALSE)="",""," ["&amp;VLOOKUP('.'!T321,Recipes!$A:$D,4,FALSE)&amp;"]"))</f>
        <v/>
      </c>
      <c r="U321" s="46" t="str">
        <f t="array" ref="U321">IF('.'!U321="","",'.'!U321&amp;IF(VLOOKUP('.'!U321,Recipes!$A:$D,4,FALSE)="",""," ["&amp;VLOOKUP('.'!U321,Recipes!$A:$D,4,FALSE)&amp;"]"))</f>
        <v/>
      </c>
      <c r="V321" s="46" t="str">
        <f t="array" ref="V321">IF('.'!V321="","",'.'!V321&amp;IF(VLOOKUP('.'!V321,Recipes!$A:$D,4,FALSE)="",""," ["&amp;VLOOKUP('.'!V321,Recipes!$A:$D,4,FALSE)&amp;"]"))</f>
        <v/>
      </c>
      <c r="W321" s="46" t="str">
        <f t="array" ref="W321">IF('.'!W321="","",'.'!W321&amp;IF(VLOOKUP('.'!W321,Recipes!$A:$D,4,FALSE)="",""," ["&amp;VLOOKUP('.'!W321,Recipes!$A:$D,4,FALSE)&amp;"]"))</f>
        <v/>
      </c>
      <c r="X321" s="46" t="str">
        <f t="array" ref="X321">IF('.'!X321="","",'.'!X321&amp;IF(VLOOKUP('.'!X321,Recipes!$A:$D,4,FALSE)="",""," ["&amp;VLOOKUP('.'!X321,Recipes!$A:$D,4,FALSE)&amp;"]"))</f>
        <v/>
      </c>
      <c r="Y321" s="46" t="str">
        <f t="array" ref="Y321">IF('.'!Y321="","",'.'!Y321&amp;IF(VLOOKUP('.'!Y321,Recipes!$A:$D,4,FALSE)="",""," ["&amp;VLOOKUP('.'!Y321,Recipes!$A:$D,4,FALSE)&amp;"]"))</f>
        <v/>
      </c>
      <c r="Z321" s="46" t="str">
        <f t="array" ref="Z321">IF('.'!Z321="","",'.'!Z321&amp;IF(VLOOKUP('.'!Z321,Recipes!$A:$D,4,FALSE)="",""," ["&amp;VLOOKUP('.'!Z321,Recipes!$A:$D,4,FALSE)&amp;"]"))</f>
        <v/>
      </c>
      <c r="AA321" s="46" t="str">
        <f t="array" ref="AA321">IF('.'!AA321="","",'.'!AA321&amp;IF(VLOOKUP('.'!AA321,Recipes!$A:$D,4,FALSE)="",""," ["&amp;VLOOKUP('.'!AA321,Recipes!$A:$D,4,FALSE)&amp;"]"))</f>
        <v/>
      </c>
      <c r="AB321" s="46" t="str">
        <f t="array" ref="AB321">IF('.'!AB321="","",'.'!AB321&amp;IF(VLOOKUP('.'!AB321,Recipes!$A:$D,4,FALSE)="",""," ["&amp;VLOOKUP('.'!AB321,Recipes!$A:$D,4,FALSE)&amp;"]"))</f>
        <v/>
      </c>
      <c r="AC321" s="46" t="str">
        <f t="array" ref="AC321">IF('.'!AC321="","",'.'!AC321&amp;IF(VLOOKUP('.'!AC321,Recipes!$A:$D,4,FALSE)="",""," ["&amp;VLOOKUP('.'!AC321,Recipes!$A:$D,4,FALSE)&amp;"]"))</f>
        <v/>
      </c>
      <c r="AD321" s="46" t="str">
        <f t="array" ref="AD321">IF('.'!AD321="","",'.'!AD321&amp;IF(VLOOKUP('.'!AD321,Recipes!$A:$D,4,FALSE)="",""," ["&amp;VLOOKUP('.'!AD321,Recipes!$A:$D,4,FALSE)&amp;"]"))</f>
        <v/>
      </c>
      <c r="AE321" s="47"/>
      <c r="AF321" s="47"/>
      <c r="AG321" s="47"/>
      <c r="AH321" s="47"/>
      <c r="AI321" s="47"/>
      <c r="AJ321" s="47"/>
      <c r="AK321" s="47"/>
      <c r="AL321" s="47"/>
      <c r="AM321" s="47"/>
      <c r="AN321" s="47"/>
      <c r="AO321" s="47"/>
      <c r="AP321" s="47"/>
      <c r="AQ321" s="47"/>
      <c r="AR321" s="47"/>
      <c r="AS321" s="47"/>
      <c r="AT321" s="47"/>
      <c r="AU321" s="47"/>
      <c r="AV321" s="47"/>
      <c r="AW321" s="47"/>
      <c r="AX321" s="47"/>
      <c r="AY321" s="47"/>
      <c r="AZ321" s="47"/>
      <c r="BA321" s="47"/>
      <c r="BB321" s="47"/>
      <c r="BC321" s="47"/>
      <c r="BD321" s="47"/>
      <c r="BE321" s="47"/>
      <c r="BF321" s="47"/>
      <c r="BG321" s="47"/>
      <c r="BH321" s="47"/>
      <c r="BI321" s="47"/>
      <c r="BJ321" s="47"/>
      <c r="BK321" s="47"/>
      <c r="BL321" s="47"/>
      <c r="BM321" s="47"/>
      <c r="BN321" s="47"/>
      <c r="BO321" s="47"/>
      <c r="BP321" s="47"/>
      <c r="BQ321" s="47"/>
      <c r="BR321" s="47"/>
      <c r="BS321" s="47"/>
      <c r="BT321" s="47"/>
      <c r="BU321" s="47"/>
      <c r="BV321" s="47"/>
      <c r="BW321" s="47"/>
      <c r="BX321" s="47"/>
      <c r="BY321" s="47"/>
      <c r="BZ321" s="47"/>
    </row>
    <row r="322" spans="1:78" ht="13">
      <c r="A322" s="48" t="str">
        <f ca="1">'.'!A322</f>
        <v>Ooze Barrel</v>
      </c>
      <c r="B322" s="46" t="str">
        <f t="array" aca="1" ref="B322" ca="1">IF('.'!B322="","",'.'!B322&amp;IF(VLOOKUP('.'!B322,Recipes!$A:$D,4,FALSE)="",""," ["&amp;VLOOKUP('.'!B322,Recipes!$A:$D,4,FALSE)&amp;"]"))</f>
        <v>Small Poison Bottle [-10]</v>
      </c>
      <c r="C322" s="46" t="str">
        <f t="array" ref="C322">IF('.'!C322="","",'.'!C322&amp;IF(VLOOKUP('.'!C322,Recipes!$A:$D,4,FALSE)="",""," ["&amp;VLOOKUP('.'!C322,Recipes!$A:$D,4,FALSE)&amp;"]"))</f>
        <v/>
      </c>
      <c r="D322" s="46" t="str">
        <f t="array" ref="D322">IF('.'!D322="","",'.'!D322&amp;IF(VLOOKUP('.'!D322,Recipes!$A:$D,4,FALSE)="",""," ["&amp;VLOOKUP('.'!D322,Recipes!$A:$D,4,FALSE)&amp;"]"))</f>
        <v/>
      </c>
      <c r="E322" s="46" t="str">
        <f t="array" ref="E322">IF('.'!E322="","",'.'!E322&amp;IF(VLOOKUP('.'!E322,Recipes!$A:$D,4,FALSE)="",""," ["&amp;VLOOKUP('.'!E322,Recipes!$A:$D,4,FALSE)&amp;"]"))</f>
        <v/>
      </c>
      <c r="F322" s="46" t="str">
        <f t="array" ref="F322">IF('.'!F322="","",'.'!F322&amp;IF(VLOOKUP('.'!F322,Recipes!$A:$D,4,FALSE)="",""," ["&amp;VLOOKUP('.'!F322,Recipes!$A:$D,4,FALSE)&amp;"]"))</f>
        <v/>
      </c>
      <c r="G322" s="46" t="str">
        <f t="array" ref="G322">IF('.'!G322="","",'.'!G322&amp;IF(VLOOKUP('.'!G322,Recipes!$A:$D,4,FALSE)="",""," ["&amp;VLOOKUP('.'!G322,Recipes!$A:$D,4,FALSE)&amp;"]"))</f>
        <v/>
      </c>
      <c r="H322" s="46" t="str">
        <f t="array" ref="H322">IF('.'!H322="","",'.'!H322&amp;IF(VLOOKUP('.'!H322,Recipes!$A:$D,4,FALSE)="",""," ["&amp;VLOOKUP('.'!H322,Recipes!$A:$D,4,FALSE)&amp;"]"))</f>
        <v/>
      </c>
      <c r="I322" s="46" t="str">
        <f t="array" ref="I322">IF('.'!I322="","",'.'!I322&amp;IF(VLOOKUP('.'!I322,Recipes!$A:$D,4,FALSE)="",""," ["&amp;VLOOKUP('.'!I322,Recipes!$A:$D,4,FALSE)&amp;"]"))</f>
        <v/>
      </c>
      <c r="J322" s="46" t="str">
        <f t="array" ref="J322">IF('.'!J322="","",'.'!J322&amp;IF(VLOOKUP('.'!J322,Recipes!$A:$D,4,FALSE)="",""," ["&amp;VLOOKUP('.'!J322,Recipes!$A:$D,4,FALSE)&amp;"]"))</f>
        <v/>
      </c>
      <c r="K322" s="46" t="str">
        <f t="array" ref="K322">IF('.'!K322="","",'.'!K322&amp;IF(VLOOKUP('.'!K322,Recipes!$A:$D,4,FALSE)="",""," ["&amp;VLOOKUP('.'!K322,Recipes!$A:$D,4,FALSE)&amp;"]"))</f>
        <v/>
      </c>
      <c r="L322" s="46" t="str">
        <f t="array" ref="L322">IF('.'!L322="","",'.'!L322&amp;IF(VLOOKUP('.'!L322,Recipes!$A:$D,4,FALSE)="",""," ["&amp;VLOOKUP('.'!L322,Recipes!$A:$D,4,FALSE)&amp;"]"))</f>
        <v/>
      </c>
      <c r="M322" s="46" t="str">
        <f t="array" ref="M322">IF('.'!M322="","",'.'!M322&amp;IF(VLOOKUP('.'!M322,Recipes!$A:$D,4,FALSE)="",""," ["&amp;VLOOKUP('.'!M322,Recipes!$A:$D,4,FALSE)&amp;"]"))</f>
        <v/>
      </c>
      <c r="N322" s="46" t="str">
        <f t="array" ref="N322">IF('.'!N322="","",'.'!N322&amp;IF(VLOOKUP('.'!N322,Recipes!$A:$D,4,FALSE)="",""," ["&amp;VLOOKUP('.'!N322,Recipes!$A:$D,4,FALSE)&amp;"]"))</f>
        <v/>
      </c>
      <c r="O322" s="46" t="str">
        <f t="array" ref="O322">IF('.'!O322="","",'.'!O322&amp;IF(VLOOKUP('.'!O322,Recipes!$A:$D,4,FALSE)="",""," ["&amp;VLOOKUP('.'!O322,Recipes!$A:$D,4,FALSE)&amp;"]"))</f>
        <v/>
      </c>
      <c r="P322" s="46" t="str">
        <f t="array" ref="P322">IF('.'!P322="","",'.'!P322&amp;IF(VLOOKUP('.'!P322,Recipes!$A:$D,4,FALSE)="",""," ["&amp;VLOOKUP('.'!P322,Recipes!$A:$D,4,FALSE)&amp;"]"))</f>
        <v/>
      </c>
      <c r="Q322" s="46" t="str">
        <f t="array" ref="Q322">IF('.'!Q322="","",'.'!Q322&amp;IF(VLOOKUP('.'!Q322,Recipes!$A:$D,4,FALSE)="",""," ["&amp;VLOOKUP('.'!Q322,Recipes!$A:$D,4,FALSE)&amp;"]"))</f>
        <v/>
      </c>
      <c r="R322" s="46" t="str">
        <f t="array" ref="R322">IF('.'!R322="","",'.'!R322&amp;IF(VLOOKUP('.'!R322,Recipes!$A:$D,4,FALSE)="",""," ["&amp;VLOOKUP('.'!R322,Recipes!$A:$D,4,FALSE)&amp;"]"))</f>
        <v/>
      </c>
      <c r="S322" s="46" t="str">
        <f t="array" ref="S322">IF('.'!S322="","",'.'!S322&amp;IF(VLOOKUP('.'!S322,Recipes!$A:$D,4,FALSE)="",""," ["&amp;VLOOKUP('.'!S322,Recipes!$A:$D,4,FALSE)&amp;"]"))</f>
        <v/>
      </c>
      <c r="T322" s="46" t="str">
        <f t="array" ref="T322">IF('.'!T322="","",'.'!T322&amp;IF(VLOOKUP('.'!T322,Recipes!$A:$D,4,FALSE)="",""," ["&amp;VLOOKUP('.'!T322,Recipes!$A:$D,4,FALSE)&amp;"]"))</f>
        <v/>
      </c>
      <c r="U322" s="46" t="str">
        <f t="array" ref="U322">IF('.'!U322="","",'.'!U322&amp;IF(VLOOKUP('.'!U322,Recipes!$A:$D,4,FALSE)="",""," ["&amp;VLOOKUP('.'!U322,Recipes!$A:$D,4,FALSE)&amp;"]"))</f>
        <v/>
      </c>
      <c r="V322" s="46" t="str">
        <f t="array" ref="V322">IF('.'!V322="","",'.'!V322&amp;IF(VLOOKUP('.'!V322,Recipes!$A:$D,4,FALSE)="",""," ["&amp;VLOOKUP('.'!V322,Recipes!$A:$D,4,FALSE)&amp;"]"))</f>
        <v/>
      </c>
      <c r="W322" s="46" t="str">
        <f t="array" ref="W322">IF('.'!W322="","",'.'!W322&amp;IF(VLOOKUP('.'!W322,Recipes!$A:$D,4,FALSE)="",""," ["&amp;VLOOKUP('.'!W322,Recipes!$A:$D,4,FALSE)&amp;"]"))</f>
        <v/>
      </c>
      <c r="X322" s="46" t="str">
        <f t="array" ref="X322">IF('.'!X322="","",'.'!X322&amp;IF(VLOOKUP('.'!X322,Recipes!$A:$D,4,FALSE)="",""," ["&amp;VLOOKUP('.'!X322,Recipes!$A:$D,4,FALSE)&amp;"]"))</f>
        <v/>
      </c>
      <c r="Y322" s="46" t="str">
        <f t="array" ref="Y322">IF('.'!Y322="","",'.'!Y322&amp;IF(VLOOKUP('.'!Y322,Recipes!$A:$D,4,FALSE)="",""," ["&amp;VLOOKUP('.'!Y322,Recipes!$A:$D,4,FALSE)&amp;"]"))</f>
        <v/>
      </c>
      <c r="Z322" s="46" t="str">
        <f t="array" ref="Z322">IF('.'!Z322="","",'.'!Z322&amp;IF(VLOOKUP('.'!Z322,Recipes!$A:$D,4,FALSE)="",""," ["&amp;VLOOKUP('.'!Z322,Recipes!$A:$D,4,FALSE)&amp;"]"))</f>
        <v/>
      </c>
      <c r="AA322" s="46" t="str">
        <f t="array" ref="AA322">IF('.'!AA322="","",'.'!AA322&amp;IF(VLOOKUP('.'!AA322,Recipes!$A:$D,4,FALSE)="",""," ["&amp;VLOOKUP('.'!AA322,Recipes!$A:$D,4,FALSE)&amp;"]"))</f>
        <v/>
      </c>
      <c r="AB322" s="46" t="str">
        <f t="array" ref="AB322">IF('.'!AB322="","",'.'!AB322&amp;IF(VLOOKUP('.'!AB322,Recipes!$A:$D,4,FALSE)="",""," ["&amp;VLOOKUP('.'!AB322,Recipes!$A:$D,4,FALSE)&amp;"]"))</f>
        <v/>
      </c>
      <c r="AC322" s="46" t="str">
        <f t="array" ref="AC322">IF('.'!AC322="","",'.'!AC322&amp;IF(VLOOKUP('.'!AC322,Recipes!$A:$D,4,FALSE)="",""," ["&amp;VLOOKUP('.'!AC322,Recipes!$A:$D,4,FALSE)&amp;"]"))</f>
        <v/>
      </c>
      <c r="AD322" s="46" t="str">
        <f t="array" ref="AD322">IF('.'!AD322="","",'.'!AD322&amp;IF(VLOOKUP('.'!AD322,Recipes!$A:$D,4,FALSE)="",""," ["&amp;VLOOKUP('.'!AD322,Recipes!$A:$D,4,FALSE)&amp;"]"))</f>
        <v/>
      </c>
      <c r="AE322" s="47"/>
      <c r="AF322" s="47"/>
      <c r="AG322" s="47"/>
      <c r="AH322" s="47"/>
      <c r="AI322" s="47"/>
      <c r="AJ322" s="47"/>
      <c r="AK322" s="47"/>
      <c r="AL322" s="47"/>
      <c r="AM322" s="47"/>
      <c r="AN322" s="47"/>
      <c r="AO322" s="47"/>
      <c r="AP322" s="47"/>
      <c r="AQ322" s="47"/>
      <c r="AR322" s="47"/>
      <c r="AS322" s="47"/>
      <c r="AT322" s="47"/>
      <c r="AU322" s="47"/>
      <c r="AV322" s="47"/>
      <c r="AW322" s="47"/>
      <c r="AX322" s="47"/>
      <c r="AY322" s="47"/>
      <c r="AZ322" s="47"/>
      <c r="BA322" s="47"/>
      <c r="BB322" s="47"/>
      <c r="BC322" s="47"/>
      <c r="BD322" s="47"/>
      <c r="BE322" s="47"/>
      <c r="BF322" s="47"/>
      <c r="BG322" s="47"/>
      <c r="BH322" s="47"/>
      <c r="BI322" s="47"/>
      <c r="BJ322" s="47"/>
      <c r="BK322" s="47"/>
      <c r="BL322" s="47"/>
      <c r="BM322" s="47"/>
      <c r="BN322" s="47"/>
      <c r="BO322" s="47"/>
      <c r="BP322" s="47"/>
      <c r="BQ322" s="47"/>
      <c r="BR322" s="47"/>
      <c r="BS322" s="47"/>
      <c r="BT322" s="47"/>
      <c r="BU322" s="47"/>
      <c r="BV322" s="47"/>
      <c r="BW322" s="47"/>
      <c r="BX322" s="47"/>
      <c r="BY322" s="47"/>
      <c r="BZ322" s="47"/>
    </row>
    <row r="323" spans="1:78" ht="13">
      <c r="A323" s="48" t="str">
        <f ca="1">'.'!A323</f>
        <v>Orange</v>
      </c>
      <c r="B323" s="46" t="str">
        <f t="array" aca="1" ref="B323" ca="1">IF('.'!B323="","",'.'!B323&amp;IF(VLOOKUP('.'!B323,Recipes!$A:$D,4,FALSE)="",""," ["&amp;VLOOKUP('.'!B323,Recipes!$A:$D,4,FALSE)&amp;"]"))</f>
        <v>Orange Juice [1]</v>
      </c>
      <c r="C323" s="46" t="str">
        <f t="array" ref="C323">IF('.'!C323="","",'.'!C323&amp;IF(VLOOKUP('.'!C323,Recipes!$A:$D,4,FALSE)="",""," ["&amp;VLOOKUP('.'!C323,Recipes!$A:$D,4,FALSE)&amp;"]"))</f>
        <v/>
      </c>
      <c r="D323" s="46" t="str">
        <f t="array" ref="D323">IF('.'!D323="","",'.'!D323&amp;IF(VLOOKUP('.'!D323,Recipes!$A:$D,4,FALSE)="",""," ["&amp;VLOOKUP('.'!D323,Recipes!$A:$D,4,FALSE)&amp;"]"))</f>
        <v/>
      </c>
      <c r="E323" s="46" t="str">
        <f t="array" ref="E323">IF('.'!E323="","",'.'!E323&amp;IF(VLOOKUP('.'!E323,Recipes!$A:$D,4,FALSE)="",""," ["&amp;VLOOKUP('.'!E323,Recipes!$A:$D,4,FALSE)&amp;"]"))</f>
        <v/>
      </c>
      <c r="F323" s="46" t="str">
        <f t="array" ref="F323">IF('.'!F323="","",'.'!F323&amp;IF(VLOOKUP('.'!F323,Recipes!$A:$D,4,FALSE)="",""," ["&amp;VLOOKUP('.'!F323,Recipes!$A:$D,4,FALSE)&amp;"]"))</f>
        <v/>
      </c>
      <c r="G323" s="46" t="str">
        <f t="array" ref="G323">IF('.'!G323="","",'.'!G323&amp;IF(VLOOKUP('.'!G323,Recipes!$A:$D,4,FALSE)="",""," ["&amp;VLOOKUP('.'!G323,Recipes!$A:$D,4,FALSE)&amp;"]"))</f>
        <v/>
      </c>
      <c r="H323" s="46" t="str">
        <f t="array" ref="H323">IF('.'!H323="","",'.'!H323&amp;IF(VLOOKUP('.'!H323,Recipes!$A:$D,4,FALSE)="",""," ["&amp;VLOOKUP('.'!H323,Recipes!$A:$D,4,FALSE)&amp;"]"))</f>
        <v/>
      </c>
      <c r="I323" s="46" t="str">
        <f t="array" ref="I323">IF('.'!I323="","",'.'!I323&amp;IF(VLOOKUP('.'!I323,Recipes!$A:$D,4,FALSE)="",""," ["&amp;VLOOKUP('.'!I323,Recipes!$A:$D,4,FALSE)&amp;"]"))</f>
        <v/>
      </c>
      <c r="J323" s="46" t="str">
        <f t="array" ref="J323">IF('.'!J323="","",'.'!J323&amp;IF(VLOOKUP('.'!J323,Recipes!$A:$D,4,FALSE)="",""," ["&amp;VLOOKUP('.'!J323,Recipes!$A:$D,4,FALSE)&amp;"]"))</f>
        <v/>
      </c>
      <c r="K323" s="46" t="str">
        <f t="array" ref="K323">IF('.'!K323="","",'.'!K323&amp;IF(VLOOKUP('.'!K323,Recipes!$A:$D,4,FALSE)="",""," ["&amp;VLOOKUP('.'!K323,Recipes!$A:$D,4,FALSE)&amp;"]"))</f>
        <v/>
      </c>
      <c r="L323" s="46" t="str">
        <f t="array" ref="L323">IF('.'!L323="","",'.'!L323&amp;IF(VLOOKUP('.'!L323,Recipes!$A:$D,4,FALSE)="",""," ["&amp;VLOOKUP('.'!L323,Recipes!$A:$D,4,FALSE)&amp;"]"))</f>
        <v/>
      </c>
      <c r="M323" s="46" t="str">
        <f t="array" ref="M323">IF('.'!M323="","",'.'!M323&amp;IF(VLOOKUP('.'!M323,Recipes!$A:$D,4,FALSE)="",""," ["&amp;VLOOKUP('.'!M323,Recipes!$A:$D,4,FALSE)&amp;"]"))</f>
        <v/>
      </c>
      <c r="N323" s="46" t="str">
        <f t="array" ref="N323">IF('.'!N323="","",'.'!N323&amp;IF(VLOOKUP('.'!N323,Recipes!$A:$D,4,FALSE)="",""," ["&amp;VLOOKUP('.'!N323,Recipes!$A:$D,4,FALSE)&amp;"]"))</f>
        <v/>
      </c>
      <c r="O323" s="46" t="str">
        <f t="array" ref="O323">IF('.'!O323="","",'.'!O323&amp;IF(VLOOKUP('.'!O323,Recipes!$A:$D,4,FALSE)="",""," ["&amp;VLOOKUP('.'!O323,Recipes!$A:$D,4,FALSE)&amp;"]"))</f>
        <v/>
      </c>
      <c r="P323" s="46" t="str">
        <f t="array" ref="P323">IF('.'!P323="","",'.'!P323&amp;IF(VLOOKUP('.'!P323,Recipes!$A:$D,4,FALSE)="",""," ["&amp;VLOOKUP('.'!P323,Recipes!$A:$D,4,FALSE)&amp;"]"))</f>
        <v/>
      </c>
      <c r="Q323" s="46" t="str">
        <f t="array" ref="Q323">IF('.'!Q323="","",'.'!Q323&amp;IF(VLOOKUP('.'!Q323,Recipes!$A:$D,4,FALSE)="",""," ["&amp;VLOOKUP('.'!Q323,Recipes!$A:$D,4,FALSE)&amp;"]"))</f>
        <v/>
      </c>
      <c r="R323" s="46" t="str">
        <f t="array" ref="R323">IF('.'!R323="","",'.'!R323&amp;IF(VLOOKUP('.'!R323,Recipes!$A:$D,4,FALSE)="",""," ["&amp;VLOOKUP('.'!R323,Recipes!$A:$D,4,FALSE)&amp;"]"))</f>
        <v/>
      </c>
      <c r="S323" s="46" t="str">
        <f t="array" ref="S323">IF('.'!S323="","",'.'!S323&amp;IF(VLOOKUP('.'!S323,Recipes!$A:$D,4,FALSE)="",""," ["&amp;VLOOKUP('.'!S323,Recipes!$A:$D,4,FALSE)&amp;"]"))</f>
        <v/>
      </c>
      <c r="T323" s="46" t="str">
        <f t="array" ref="T323">IF('.'!T323="","",'.'!T323&amp;IF(VLOOKUP('.'!T323,Recipes!$A:$D,4,FALSE)="",""," ["&amp;VLOOKUP('.'!T323,Recipes!$A:$D,4,FALSE)&amp;"]"))</f>
        <v/>
      </c>
      <c r="U323" s="46" t="str">
        <f t="array" ref="U323">IF('.'!U323="","",'.'!U323&amp;IF(VLOOKUP('.'!U323,Recipes!$A:$D,4,FALSE)="",""," ["&amp;VLOOKUP('.'!U323,Recipes!$A:$D,4,FALSE)&amp;"]"))</f>
        <v/>
      </c>
      <c r="V323" s="46" t="str">
        <f t="array" ref="V323">IF('.'!V323="","",'.'!V323&amp;IF(VLOOKUP('.'!V323,Recipes!$A:$D,4,FALSE)="",""," ["&amp;VLOOKUP('.'!V323,Recipes!$A:$D,4,FALSE)&amp;"]"))</f>
        <v/>
      </c>
      <c r="W323" s="46" t="str">
        <f t="array" ref="W323">IF('.'!W323="","",'.'!W323&amp;IF(VLOOKUP('.'!W323,Recipes!$A:$D,4,FALSE)="",""," ["&amp;VLOOKUP('.'!W323,Recipes!$A:$D,4,FALSE)&amp;"]"))</f>
        <v/>
      </c>
      <c r="X323" s="46" t="str">
        <f t="array" ref="X323">IF('.'!X323="","",'.'!X323&amp;IF(VLOOKUP('.'!X323,Recipes!$A:$D,4,FALSE)="",""," ["&amp;VLOOKUP('.'!X323,Recipes!$A:$D,4,FALSE)&amp;"]"))</f>
        <v/>
      </c>
      <c r="Y323" s="46" t="str">
        <f t="array" ref="Y323">IF('.'!Y323="","",'.'!Y323&amp;IF(VLOOKUP('.'!Y323,Recipes!$A:$D,4,FALSE)="",""," ["&amp;VLOOKUP('.'!Y323,Recipes!$A:$D,4,FALSE)&amp;"]"))</f>
        <v/>
      </c>
      <c r="Z323" s="46" t="str">
        <f t="array" ref="Z323">IF('.'!Z323="","",'.'!Z323&amp;IF(VLOOKUP('.'!Z323,Recipes!$A:$D,4,FALSE)="",""," ["&amp;VLOOKUP('.'!Z323,Recipes!$A:$D,4,FALSE)&amp;"]"))</f>
        <v/>
      </c>
      <c r="AA323" s="46" t="str">
        <f t="array" ref="AA323">IF('.'!AA323="","",'.'!AA323&amp;IF(VLOOKUP('.'!AA323,Recipes!$A:$D,4,FALSE)="",""," ["&amp;VLOOKUP('.'!AA323,Recipes!$A:$D,4,FALSE)&amp;"]"))</f>
        <v/>
      </c>
      <c r="AB323" s="46" t="str">
        <f t="array" ref="AB323">IF('.'!AB323="","",'.'!AB323&amp;IF(VLOOKUP('.'!AB323,Recipes!$A:$D,4,FALSE)="",""," ["&amp;VLOOKUP('.'!AB323,Recipes!$A:$D,4,FALSE)&amp;"]"))</f>
        <v/>
      </c>
      <c r="AC323" s="46" t="str">
        <f t="array" ref="AC323">IF('.'!AC323="","",'.'!AC323&amp;IF(VLOOKUP('.'!AC323,Recipes!$A:$D,4,FALSE)="",""," ["&amp;VLOOKUP('.'!AC323,Recipes!$A:$D,4,FALSE)&amp;"]"))</f>
        <v/>
      </c>
      <c r="AD323" s="46" t="str">
        <f t="array" ref="AD323">IF('.'!AD323="","",'.'!AD323&amp;IF(VLOOKUP('.'!AD323,Recipes!$A:$D,4,FALSE)="",""," ["&amp;VLOOKUP('.'!AD323,Recipes!$A:$D,4,FALSE)&amp;"]"))</f>
        <v/>
      </c>
      <c r="AE323" s="47"/>
      <c r="AF323" s="47"/>
      <c r="AG323" s="47"/>
      <c r="AH323" s="47"/>
      <c r="AI323" s="47"/>
      <c r="AJ323" s="47"/>
      <c r="AK323" s="47"/>
      <c r="AL323" s="47"/>
      <c r="AM323" s="47"/>
      <c r="AN323" s="47"/>
      <c r="AO323" s="47"/>
      <c r="AP323" s="47"/>
      <c r="AQ323" s="47"/>
      <c r="AR323" s="47"/>
      <c r="AS323" s="47"/>
      <c r="AT323" s="47"/>
      <c r="AU323" s="47"/>
      <c r="AV323" s="47"/>
      <c r="AW323" s="47"/>
      <c r="AX323" s="47"/>
      <c r="AY323" s="47"/>
      <c r="AZ323" s="47"/>
      <c r="BA323" s="47"/>
      <c r="BB323" s="47"/>
      <c r="BC323" s="47"/>
      <c r="BD323" s="47"/>
      <c r="BE323" s="47"/>
      <c r="BF323" s="47"/>
      <c r="BG323" s="47"/>
      <c r="BH323" s="47"/>
      <c r="BI323" s="47"/>
      <c r="BJ323" s="47"/>
      <c r="BK323" s="47"/>
      <c r="BL323" s="47"/>
      <c r="BM323" s="47"/>
      <c r="BN323" s="47"/>
      <c r="BO323" s="47"/>
      <c r="BP323" s="47"/>
      <c r="BQ323" s="47"/>
      <c r="BR323" s="47"/>
      <c r="BS323" s="47"/>
      <c r="BT323" s="47"/>
      <c r="BU323" s="47"/>
      <c r="BV323" s="47"/>
      <c r="BW323" s="47"/>
      <c r="BX323" s="47"/>
      <c r="BY323" s="47"/>
      <c r="BZ323" s="47"/>
    </row>
    <row r="324" spans="1:78" ht="13">
      <c r="A324" s="48" t="str">
        <f ca="1">'.'!A324</f>
        <v>Panties</v>
      </c>
      <c r="B324" s="46" t="str">
        <f t="array" aca="1" ref="B324" ca="1">IF('.'!B324="","",'.'!B324&amp;IF(VLOOKUP('.'!B324,Recipes!$A:$D,4,FALSE)="",""," ["&amp;VLOOKUP('.'!B324,Recipes!$A:$D,4,FALSE)&amp;"]"))</f>
        <v>Favourable Wind Scroll [14]</v>
      </c>
      <c r="C324" s="46" t="str">
        <f t="array" ref="C324">IF('.'!C324="","",'.'!C324&amp;IF(VLOOKUP('.'!C324,Recipes!$A:$D,4,FALSE)="",""," ["&amp;VLOOKUP('.'!C324,Recipes!$A:$D,4,FALSE)&amp;"]"))</f>
        <v/>
      </c>
      <c r="D324" s="46" t="str">
        <f t="array" ref="D324">IF('.'!D324="","",'.'!D324&amp;IF(VLOOKUP('.'!D324,Recipes!$A:$D,4,FALSE)="",""," ["&amp;VLOOKUP('.'!D324,Recipes!$A:$D,4,FALSE)&amp;"]"))</f>
        <v/>
      </c>
      <c r="E324" s="46" t="str">
        <f t="array" ref="E324">IF('.'!E324="","",'.'!E324&amp;IF(VLOOKUP('.'!E324,Recipes!$A:$D,4,FALSE)="",""," ["&amp;VLOOKUP('.'!E324,Recipes!$A:$D,4,FALSE)&amp;"]"))</f>
        <v/>
      </c>
      <c r="F324" s="46" t="str">
        <f t="array" ref="F324">IF('.'!F324="","",'.'!F324&amp;IF(VLOOKUP('.'!F324,Recipes!$A:$D,4,FALSE)="",""," ["&amp;VLOOKUP('.'!F324,Recipes!$A:$D,4,FALSE)&amp;"]"))</f>
        <v/>
      </c>
      <c r="G324" s="46" t="str">
        <f t="array" ref="G324">IF('.'!G324="","",'.'!G324&amp;IF(VLOOKUP('.'!G324,Recipes!$A:$D,4,FALSE)="",""," ["&amp;VLOOKUP('.'!G324,Recipes!$A:$D,4,FALSE)&amp;"]"))</f>
        <v/>
      </c>
      <c r="H324" s="46" t="str">
        <f t="array" ref="H324">IF('.'!H324="","",'.'!H324&amp;IF(VLOOKUP('.'!H324,Recipes!$A:$D,4,FALSE)="",""," ["&amp;VLOOKUP('.'!H324,Recipes!$A:$D,4,FALSE)&amp;"]"))</f>
        <v/>
      </c>
      <c r="I324" s="46" t="str">
        <f t="array" ref="I324">IF('.'!I324="","",'.'!I324&amp;IF(VLOOKUP('.'!I324,Recipes!$A:$D,4,FALSE)="",""," ["&amp;VLOOKUP('.'!I324,Recipes!$A:$D,4,FALSE)&amp;"]"))</f>
        <v/>
      </c>
      <c r="J324" s="46" t="str">
        <f t="array" ref="J324">IF('.'!J324="","",'.'!J324&amp;IF(VLOOKUP('.'!J324,Recipes!$A:$D,4,FALSE)="",""," ["&amp;VLOOKUP('.'!J324,Recipes!$A:$D,4,FALSE)&amp;"]"))</f>
        <v/>
      </c>
      <c r="K324" s="46" t="str">
        <f t="array" ref="K324">IF('.'!K324="","",'.'!K324&amp;IF(VLOOKUP('.'!K324,Recipes!$A:$D,4,FALSE)="",""," ["&amp;VLOOKUP('.'!K324,Recipes!$A:$D,4,FALSE)&amp;"]"))</f>
        <v/>
      </c>
      <c r="L324" s="46" t="str">
        <f t="array" ref="L324">IF('.'!L324="","",'.'!L324&amp;IF(VLOOKUP('.'!L324,Recipes!$A:$D,4,FALSE)="",""," ["&amp;VLOOKUP('.'!L324,Recipes!$A:$D,4,FALSE)&amp;"]"))</f>
        <v/>
      </c>
      <c r="M324" s="46" t="str">
        <f t="array" ref="M324">IF('.'!M324="","",'.'!M324&amp;IF(VLOOKUP('.'!M324,Recipes!$A:$D,4,FALSE)="",""," ["&amp;VLOOKUP('.'!M324,Recipes!$A:$D,4,FALSE)&amp;"]"))</f>
        <v/>
      </c>
      <c r="N324" s="46" t="str">
        <f t="array" ref="N324">IF('.'!N324="","",'.'!N324&amp;IF(VLOOKUP('.'!N324,Recipes!$A:$D,4,FALSE)="",""," ["&amp;VLOOKUP('.'!N324,Recipes!$A:$D,4,FALSE)&amp;"]"))</f>
        <v/>
      </c>
      <c r="O324" s="46" t="str">
        <f t="array" ref="O324">IF('.'!O324="","",'.'!O324&amp;IF(VLOOKUP('.'!O324,Recipes!$A:$D,4,FALSE)="",""," ["&amp;VLOOKUP('.'!O324,Recipes!$A:$D,4,FALSE)&amp;"]"))</f>
        <v/>
      </c>
      <c r="P324" s="46" t="str">
        <f t="array" ref="P324">IF('.'!P324="","",'.'!P324&amp;IF(VLOOKUP('.'!P324,Recipes!$A:$D,4,FALSE)="",""," ["&amp;VLOOKUP('.'!P324,Recipes!$A:$D,4,FALSE)&amp;"]"))</f>
        <v/>
      </c>
      <c r="Q324" s="46" t="str">
        <f t="array" ref="Q324">IF('.'!Q324="","",'.'!Q324&amp;IF(VLOOKUP('.'!Q324,Recipes!$A:$D,4,FALSE)="",""," ["&amp;VLOOKUP('.'!Q324,Recipes!$A:$D,4,FALSE)&amp;"]"))</f>
        <v/>
      </c>
      <c r="R324" s="46" t="str">
        <f t="array" ref="R324">IF('.'!R324="","",'.'!R324&amp;IF(VLOOKUP('.'!R324,Recipes!$A:$D,4,FALSE)="",""," ["&amp;VLOOKUP('.'!R324,Recipes!$A:$D,4,FALSE)&amp;"]"))</f>
        <v/>
      </c>
      <c r="S324" s="46" t="str">
        <f t="array" ref="S324">IF('.'!S324="","",'.'!S324&amp;IF(VLOOKUP('.'!S324,Recipes!$A:$D,4,FALSE)="",""," ["&amp;VLOOKUP('.'!S324,Recipes!$A:$D,4,FALSE)&amp;"]"))</f>
        <v/>
      </c>
      <c r="T324" s="46" t="str">
        <f t="array" ref="T324">IF('.'!T324="","",'.'!T324&amp;IF(VLOOKUP('.'!T324,Recipes!$A:$D,4,FALSE)="",""," ["&amp;VLOOKUP('.'!T324,Recipes!$A:$D,4,FALSE)&amp;"]"))</f>
        <v/>
      </c>
      <c r="U324" s="46" t="str">
        <f t="array" ref="U324">IF('.'!U324="","",'.'!U324&amp;IF(VLOOKUP('.'!U324,Recipes!$A:$D,4,FALSE)="",""," ["&amp;VLOOKUP('.'!U324,Recipes!$A:$D,4,FALSE)&amp;"]"))</f>
        <v/>
      </c>
      <c r="V324" s="46" t="str">
        <f t="array" ref="V324">IF('.'!V324="","",'.'!V324&amp;IF(VLOOKUP('.'!V324,Recipes!$A:$D,4,FALSE)="",""," ["&amp;VLOOKUP('.'!V324,Recipes!$A:$D,4,FALSE)&amp;"]"))</f>
        <v/>
      </c>
      <c r="W324" s="46" t="str">
        <f t="array" ref="W324">IF('.'!W324="","",'.'!W324&amp;IF(VLOOKUP('.'!W324,Recipes!$A:$D,4,FALSE)="",""," ["&amp;VLOOKUP('.'!W324,Recipes!$A:$D,4,FALSE)&amp;"]"))</f>
        <v/>
      </c>
      <c r="X324" s="46" t="str">
        <f t="array" ref="X324">IF('.'!X324="","",'.'!X324&amp;IF(VLOOKUP('.'!X324,Recipes!$A:$D,4,FALSE)="",""," ["&amp;VLOOKUP('.'!X324,Recipes!$A:$D,4,FALSE)&amp;"]"))</f>
        <v/>
      </c>
      <c r="Y324" s="46" t="str">
        <f t="array" ref="Y324">IF('.'!Y324="","",'.'!Y324&amp;IF(VLOOKUP('.'!Y324,Recipes!$A:$D,4,FALSE)="",""," ["&amp;VLOOKUP('.'!Y324,Recipes!$A:$D,4,FALSE)&amp;"]"))</f>
        <v/>
      </c>
      <c r="Z324" s="46" t="str">
        <f t="array" ref="Z324">IF('.'!Z324="","",'.'!Z324&amp;IF(VLOOKUP('.'!Z324,Recipes!$A:$D,4,FALSE)="",""," ["&amp;VLOOKUP('.'!Z324,Recipes!$A:$D,4,FALSE)&amp;"]"))</f>
        <v/>
      </c>
      <c r="AA324" s="46" t="str">
        <f t="array" ref="AA324">IF('.'!AA324="","",'.'!AA324&amp;IF(VLOOKUP('.'!AA324,Recipes!$A:$D,4,FALSE)="",""," ["&amp;VLOOKUP('.'!AA324,Recipes!$A:$D,4,FALSE)&amp;"]"))</f>
        <v/>
      </c>
      <c r="AB324" s="46" t="str">
        <f t="array" ref="AB324">IF('.'!AB324="","",'.'!AB324&amp;IF(VLOOKUP('.'!AB324,Recipes!$A:$D,4,FALSE)="",""," ["&amp;VLOOKUP('.'!AB324,Recipes!$A:$D,4,FALSE)&amp;"]"))</f>
        <v/>
      </c>
      <c r="AC324" s="46" t="str">
        <f t="array" ref="AC324">IF('.'!AC324="","",'.'!AC324&amp;IF(VLOOKUP('.'!AC324,Recipes!$A:$D,4,FALSE)="",""," ["&amp;VLOOKUP('.'!AC324,Recipes!$A:$D,4,FALSE)&amp;"]"))</f>
        <v/>
      </c>
      <c r="AD324" s="46" t="str">
        <f t="array" ref="AD324">IF('.'!AD324="","",'.'!AD324&amp;IF(VLOOKUP('.'!AD324,Recipes!$A:$D,4,FALSE)="",""," ["&amp;VLOOKUP('.'!AD324,Recipes!$A:$D,4,FALSE)&amp;"]"))</f>
        <v/>
      </c>
      <c r="AE324" s="47"/>
      <c r="AF324" s="47"/>
      <c r="AG324" s="47"/>
      <c r="AH324" s="47"/>
      <c r="AI324" s="47"/>
      <c r="AJ324" s="47"/>
      <c r="AK324" s="47"/>
      <c r="AL324" s="47"/>
      <c r="AM324" s="47"/>
      <c r="AN324" s="47"/>
      <c r="AO324" s="47"/>
      <c r="AP324" s="47"/>
      <c r="AQ324" s="47"/>
      <c r="AR324" s="47"/>
      <c r="AS324" s="47"/>
      <c r="AT324" s="47"/>
      <c r="AU324" s="47"/>
      <c r="AV324" s="47"/>
      <c r="AW324" s="47"/>
      <c r="AX324" s="47"/>
      <c r="AY324" s="47"/>
      <c r="AZ324" s="47"/>
      <c r="BA324" s="47"/>
      <c r="BB324" s="47"/>
      <c r="BC324" s="47"/>
      <c r="BD324" s="47"/>
      <c r="BE324" s="47"/>
      <c r="BF324" s="47"/>
      <c r="BG324" s="47"/>
      <c r="BH324" s="47"/>
      <c r="BI324" s="47"/>
      <c r="BJ324" s="47"/>
      <c r="BK324" s="47"/>
      <c r="BL324" s="47"/>
      <c r="BM324" s="47"/>
      <c r="BN324" s="47"/>
      <c r="BO324" s="47"/>
      <c r="BP324" s="47"/>
      <c r="BQ324" s="47"/>
      <c r="BR324" s="47"/>
      <c r="BS324" s="47"/>
      <c r="BT324" s="47"/>
      <c r="BU324" s="47"/>
      <c r="BV324" s="47"/>
      <c r="BW324" s="47"/>
      <c r="BX324" s="47"/>
      <c r="BY324" s="47"/>
      <c r="BZ324" s="47"/>
    </row>
    <row r="325" spans="1:78" ht="13">
      <c r="A325" s="48" t="str">
        <f ca="1">'.'!A325</f>
        <v>Pants</v>
      </c>
      <c r="B325" s="46" t="str">
        <f t="array" aca="1" ref="B325" ca="1">IF('.'!B325="","",'.'!B325&amp;IF(VLOOKUP('.'!B325,Recipes!$A:$D,4,FALSE)="",""," ["&amp;VLOOKUP('.'!B325,Recipes!$A:$D,4,FALSE)&amp;"]"))</f>
        <v>Boost Legs [-700]</v>
      </c>
      <c r="C325" s="46" t="str">
        <f t="array" ref="C325">IF('.'!C325="","",'.'!C325&amp;IF(VLOOKUP('.'!C325,Recipes!$A:$D,4,FALSE)="",""," ["&amp;VLOOKUP('.'!C325,Recipes!$A:$D,4,FALSE)&amp;"]"))</f>
        <v/>
      </c>
      <c r="D325" s="46" t="str">
        <f t="array" ref="D325">IF('.'!D325="","",'.'!D325&amp;IF(VLOOKUP('.'!D325,Recipes!$A:$D,4,FALSE)="",""," ["&amp;VLOOKUP('.'!D325,Recipes!$A:$D,4,FALSE)&amp;"]"))</f>
        <v/>
      </c>
      <c r="E325" s="46" t="str">
        <f t="array" ref="E325">IF('.'!E325="","",'.'!E325&amp;IF(VLOOKUP('.'!E325,Recipes!$A:$D,4,FALSE)="",""," ["&amp;VLOOKUP('.'!E325,Recipes!$A:$D,4,FALSE)&amp;"]"))</f>
        <v/>
      </c>
      <c r="F325" s="46" t="str">
        <f t="array" ref="F325">IF('.'!F325="","",'.'!F325&amp;IF(VLOOKUP('.'!F325,Recipes!$A:$D,4,FALSE)="",""," ["&amp;VLOOKUP('.'!F325,Recipes!$A:$D,4,FALSE)&amp;"]"))</f>
        <v/>
      </c>
      <c r="G325" s="46" t="str">
        <f t="array" ref="G325">IF('.'!G325="","",'.'!G325&amp;IF(VLOOKUP('.'!G325,Recipes!$A:$D,4,FALSE)="",""," ["&amp;VLOOKUP('.'!G325,Recipes!$A:$D,4,FALSE)&amp;"]"))</f>
        <v/>
      </c>
      <c r="H325" s="46" t="str">
        <f t="array" ref="H325">IF('.'!H325="","",'.'!H325&amp;IF(VLOOKUP('.'!H325,Recipes!$A:$D,4,FALSE)="",""," ["&amp;VLOOKUP('.'!H325,Recipes!$A:$D,4,FALSE)&amp;"]"))</f>
        <v/>
      </c>
      <c r="I325" s="46" t="str">
        <f t="array" ref="I325">IF('.'!I325="","",'.'!I325&amp;IF(VLOOKUP('.'!I325,Recipes!$A:$D,4,FALSE)="",""," ["&amp;VLOOKUP('.'!I325,Recipes!$A:$D,4,FALSE)&amp;"]"))</f>
        <v/>
      </c>
      <c r="J325" s="46" t="str">
        <f t="array" ref="J325">IF('.'!J325="","",'.'!J325&amp;IF(VLOOKUP('.'!J325,Recipes!$A:$D,4,FALSE)="",""," ["&amp;VLOOKUP('.'!J325,Recipes!$A:$D,4,FALSE)&amp;"]"))</f>
        <v/>
      </c>
      <c r="K325" s="46" t="str">
        <f t="array" ref="K325">IF('.'!K325="","",'.'!K325&amp;IF(VLOOKUP('.'!K325,Recipes!$A:$D,4,FALSE)="",""," ["&amp;VLOOKUP('.'!K325,Recipes!$A:$D,4,FALSE)&amp;"]"))</f>
        <v/>
      </c>
      <c r="L325" s="46" t="str">
        <f t="array" ref="L325">IF('.'!L325="","",'.'!L325&amp;IF(VLOOKUP('.'!L325,Recipes!$A:$D,4,FALSE)="",""," ["&amp;VLOOKUP('.'!L325,Recipes!$A:$D,4,FALSE)&amp;"]"))</f>
        <v/>
      </c>
      <c r="M325" s="46" t="str">
        <f t="array" ref="M325">IF('.'!M325="","",'.'!M325&amp;IF(VLOOKUP('.'!M325,Recipes!$A:$D,4,FALSE)="",""," ["&amp;VLOOKUP('.'!M325,Recipes!$A:$D,4,FALSE)&amp;"]"))</f>
        <v/>
      </c>
      <c r="N325" s="46" t="str">
        <f t="array" ref="N325">IF('.'!N325="","",'.'!N325&amp;IF(VLOOKUP('.'!N325,Recipes!$A:$D,4,FALSE)="",""," ["&amp;VLOOKUP('.'!N325,Recipes!$A:$D,4,FALSE)&amp;"]"))</f>
        <v/>
      </c>
      <c r="O325" s="46" t="str">
        <f t="array" ref="O325">IF('.'!O325="","",'.'!O325&amp;IF(VLOOKUP('.'!O325,Recipes!$A:$D,4,FALSE)="",""," ["&amp;VLOOKUP('.'!O325,Recipes!$A:$D,4,FALSE)&amp;"]"))</f>
        <v/>
      </c>
      <c r="P325" s="46" t="str">
        <f t="array" ref="P325">IF('.'!P325="","",'.'!P325&amp;IF(VLOOKUP('.'!P325,Recipes!$A:$D,4,FALSE)="",""," ["&amp;VLOOKUP('.'!P325,Recipes!$A:$D,4,FALSE)&amp;"]"))</f>
        <v/>
      </c>
      <c r="Q325" s="46" t="str">
        <f t="array" ref="Q325">IF('.'!Q325="","",'.'!Q325&amp;IF(VLOOKUP('.'!Q325,Recipes!$A:$D,4,FALSE)="",""," ["&amp;VLOOKUP('.'!Q325,Recipes!$A:$D,4,FALSE)&amp;"]"))</f>
        <v/>
      </c>
      <c r="R325" s="46" t="str">
        <f t="array" ref="R325">IF('.'!R325="","",'.'!R325&amp;IF(VLOOKUP('.'!R325,Recipes!$A:$D,4,FALSE)="",""," ["&amp;VLOOKUP('.'!R325,Recipes!$A:$D,4,FALSE)&amp;"]"))</f>
        <v/>
      </c>
      <c r="S325" s="46" t="str">
        <f t="array" ref="S325">IF('.'!S325="","",'.'!S325&amp;IF(VLOOKUP('.'!S325,Recipes!$A:$D,4,FALSE)="",""," ["&amp;VLOOKUP('.'!S325,Recipes!$A:$D,4,FALSE)&amp;"]"))</f>
        <v/>
      </c>
      <c r="T325" s="46" t="str">
        <f t="array" ref="T325">IF('.'!T325="","",'.'!T325&amp;IF(VLOOKUP('.'!T325,Recipes!$A:$D,4,FALSE)="",""," ["&amp;VLOOKUP('.'!T325,Recipes!$A:$D,4,FALSE)&amp;"]"))</f>
        <v/>
      </c>
      <c r="U325" s="46" t="str">
        <f t="array" ref="U325">IF('.'!U325="","",'.'!U325&amp;IF(VLOOKUP('.'!U325,Recipes!$A:$D,4,FALSE)="",""," ["&amp;VLOOKUP('.'!U325,Recipes!$A:$D,4,FALSE)&amp;"]"))</f>
        <v/>
      </c>
      <c r="V325" s="46" t="str">
        <f t="array" ref="V325">IF('.'!V325="","",'.'!V325&amp;IF(VLOOKUP('.'!V325,Recipes!$A:$D,4,FALSE)="",""," ["&amp;VLOOKUP('.'!V325,Recipes!$A:$D,4,FALSE)&amp;"]"))</f>
        <v/>
      </c>
      <c r="W325" s="46" t="str">
        <f t="array" ref="W325">IF('.'!W325="","",'.'!W325&amp;IF(VLOOKUP('.'!W325,Recipes!$A:$D,4,FALSE)="",""," ["&amp;VLOOKUP('.'!W325,Recipes!$A:$D,4,FALSE)&amp;"]"))</f>
        <v/>
      </c>
      <c r="X325" s="46" t="str">
        <f t="array" ref="X325">IF('.'!X325="","",'.'!X325&amp;IF(VLOOKUP('.'!X325,Recipes!$A:$D,4,FALSE)="",""," ["&amp;VLOOKUP('.'!X325,Recipes!$A:$D,4,FALSE)&amp;"]"))</f>
        <v/>
      </c>
      <c r="Y325" s="46" t="str">
        <f t="array" ref="Y325">IF('.'!Y325="","",'.'!Y325&amp;IF(VLOOKUP('.'!Y325,Recipes!$A:$D,4,FALSE)="",""," ["&amp;VLOOKUP('.'!Y325,Recipes!$A:$D,4,FALSE)&amp;"]"))</f>
        <v/>
      </c>
      <c r="Z325" s="46" t="str">
        <f t="array" ref="Z325">IF('.'!Z325="","",'.'!Z325&amp;IF(VLOOKUP('.'!Z325,Recipes!$A:$D,4,FALSE)="",""," ["&amp;VLOOKUP('.'!Z325,Recipes!$A:$D,4,FALSE)&amp;"]"))</f>
        <v/>
      </c>
      <c r="AA325" s="46" t="str">
        <f t="array" ref="AA325">IF('.'!AA325="","",'.'!AA325&amp;IF(VLOOKUP('.'!AA325,Recipes!$A:$D,4,FALSE)="",""," ["&amp;VLOOKUP('.'!AA325,Recipes!$A:$D,4,FALSE)&amp;"]"))</f>
        <v/>
      </c>
      <c r="AB325" s="46" t="str">
        <f t="array" ref="AB325">IF('.'!AB325="","",'.'!AB325&amp;IF(VLOOKUP('.'!AB325,Recipes!$A:$D,4,FALSE)="",""," ["&amp;VLOOKUP('.'!AB325,Recipes!$A:$D,4,FALSE)&amp;"]"))</f>
        <v/>
      </c>
      <c r="AC325" s="46" t="str">
        <f t="array" ref="AC325">IF('.'!AC325="","",'.'!AC325&amp;IF(VLOOKUP('.'!AC325,Recipes!$A:$D,4,FALSE)="",""," ["&amp;VLOOKUP('.'!AC325,Recipes!$A:$D,4,FALSE)&amp;"]"))</f>
        <v/>
      </c>
      <c r="AD325" s="46" t="str">
        <f t="array" ref="AD325">IF('.'!AD325="","",'.'!AD325&amp;IF(VLOOKUP('.'!AD325,Recipes!$A:$D,4,FALSE)="",""," ["&amp;VLOOKUP('.'!AD325,Recipes!$A:$D,4,FALSE)&amp;"]"))</f>
        <v/>
      </c>
      <c r="AE325" s="47"/>
      <c r="AF325" s="47"/>
      <c r="AG325" s="47"/>
      <c r="AH325" s="47"/>
      <c r="AI325" s="47"/>
      <c r="AJ325" s="47"/>
      <c r="AK325" s="47"/>
      <c r="AL325" s="47"/>
      <c r="AM325" s="47"/>
      <c r="AN325" s="47"/>
      <c r="AO325" s="47"/>
      <c r="AP325" s="47"/>
      <c r="AQ325" s="47"/>
      <c r="AR325" s="47"/>
      <c r="AS325" s="47"/>
      <c r="AT325" s="47"/>
      <c r="AU325" s="47"/>
      <c r="AV325" s="47"/>
      <c r="AW325" s="47"/>
      <c r="AX325" s="47"/>
      <c r="AY325" s="47"/>
      <c r="AZ325" s="47"/>
      <c r="BA325" s="47"/>
      <c r="BB325" s="47"/>
      <c r="BC325" s="47"/>
      <c r="BD325" s="47"/>
      <c r="BE325" s="47"/>
      <c r="BF325" s="47"/>
      <c r="BG325" s="47"/>
      <c r="BH325" s="47"/>
      <c r="BI325" s="47"/>
      <c r="BJ325" s="47"/>
      <c r="BK325" s="47"/>
      <c r="BL325" s="47"/>
      <c r="BM325" s="47"/>
      <c r="BN325" s="47"/>
      <c r="BO325" s="47"/>
      <c r="BP325" s="47"/>
      <c r="BQ325" s="47"/>
      <c r="BR325" s="47"/>
      <c r="BS325" s="47"/>
      <c r="BT325" s="47"/>
      <c r="BU325" s="47"/>
      <c r="BV325" s="47"/>
      <c r="BW325" s="47"/>
      <c r="BX325" s="47"/>
      <c r="BY325" s="47"/>
      <c r="BZ325" s="47"/>
    </row>
    <row r="326" spans="1:78" ht="13">
      <c r="A326" s="48" t="str">
        <f ca="1">'.'!A326</f>
        <v>Peace of Mind Scroll</v>
      </c>
      <c r="B326" s="46" t="str">
        <f t="array" aca="1" ref="B326" ca="1">IF('.'!B326="","",'.'!B326&amp;IF(VLOOKUP('.'!B326,Recipes!$A:$D,4,FALSE)="",""," ["&amp;VLOOKUP('.'!B326,Recipes!$A:$D,4,FALSE)&amp;"]"))</f>
        <v>Peace of Mind Skillbook [-190]</v>
      </c>
      <c r="C326" s="46" t="str">
        <f t="array" ref="C326">IF('.'!C326="","",'.'!C326&amp;IF(VLOOKUP('.'!C326,Recipes!$A:$D,4,FALSE)="",""," ["&amp;VLOOKUP('.'!C326,Recipes!$A:$D,4,FALSE)&amp;"]"))</f>
        <v/>
      </c>
      <c r="D326" s="46" t="str">
        <f t="array" ref="D326">IF('.'!D326="","",'.'!D326&amp;IF(VLOOKUP('.'!D326,Recipes!$A:$D,4,FALSE)="",""," ["&amp;VLOOKUP('.'!D326,Recipes!$A:$D,4,FALSE)&amp;"]"))</f>
        <v/>
      </c>
      <c r="E326" s="46" t="str">
        <f t="array" ref="E326">IF('.'!E326="","",'.'!E326&amp;IF(VLOOKUP('.'!E326,Recipes!$A:$D,4,FALSE)="",""," ["&amp;VLOOKUP('.'!E326,Recipes!$A:$D,4,FALSE)&amp;"]"))</f>
        <v/>
      </c>
      <c r="F326" s="46" t="str">
        <f t="array" ref="F326">IF('.'!F326="","",'.'!F326&amp;IF(VLOOKUP('.'!F326,Recipes!$A:$D,4,FALSE)="",""," ["&amp;VLOOKUP('.'!F326,Recipes!$A:$D,4,FALSE)&amp;"]"))</f>
        <v/>
      </c>
      <c r="G326" s="46" t="str">
        <f t="array" ref="G326">IF('.'!G326="","",'.'!G326&amp;IF(VLOOKUP('.'!G326,Recipes!$A:$D,4,FALSE)="",""," ["&amp;VLOOKUP('.'!G326,Recipes!$A:$D,4,FALSE)&amp;"]"))</f>
        <v/>
      </c>
      <c r="H326" s="46" t="str">
        <f t="array" ref="H326">IF('.'!H326="","",'.'!H326&amp;IF(VLOOKUP('.'!H326,Recipes!$A:$D,4,FALSE)="",""," ["&amp;VLOOKUP('.'!H326,Recipes!$A:$D,4,FALSE)&amp;"]"))</f>
        <v/>
      </c>
      <c r="I326" s="46" t="str">
        <f t="array" ref="I326">IF('.'!I326="","",'.'!I326&amp;IF(VLOOKUP('.'!I326,Recipes!$A:$D,4,FALSE)="",""," ["&amp;VLOOKUP('.'!I326,Recipes!$A:$D,4,FALSE)&amp;"]"))</f>
        <v/>
      </c>
      <c r="J326" s="46" t="str">
        <f t="array" ref="J326">IF('.'!J326="","",'.'!J326&amp;IF(VLOOKUP('.'!J326,Recipes!$A:$D,4,FALSE)="",""," ["&amp;VLOOKUP('.'!J326,Recipes!$A:$D,4,FALSE)&amp;"]"))</f>
        <v/>
      </c>
      <c r="K326" s="46" t="str">
        <f t="array" ref="K326">IF('.'!K326="","",'.'!K326&amp;IF(VLOOKUP('.'!K326,Recipes!$A:$D,4,FALSE)="",""," ["&amp;VLOOKUP('.'!K326,Recipes!$A:$D,4,FALSE)&amp;"]"))</f>
        <v/>
      </c>
      <c r="L326" s="46" t="str">
        <f t="array" ref="L326">IF('.'!L326="","",'.'!L326&amp;IF(VLOOKUP('.'!L326,Recipes!$A:$D,4,FALSE)="",""," ["&amp;VLOOKUP('.'!L326,Recipes!$A:$D,4,FALSE)&amp;"]"))</f>
        <v/>
      </c>
      <c r="M326" s="46" t="str">
        <f t="array" ref="M326">IF('.'!M326="","",'.'!M326&amp;IF(VLOOKUP('.'!M326,Recipes!$A:$D,4,FALSE)="",""," ["&amp;VLOOKUP('.'!M326,Recipes!$A:$D,4,FALSE)&amp;"]"))</f>
        <v/>
      </c>
      <c r="N326" s="46" t="str">
        <f t="array" ref="N326">IF('.'!N326="","",'.'!N326&amp;IF(VLOOKUP('.'!N326,Recipes!$A:$D,4,FALSE)="",""," ["&amp;VLOOKUP('.'!N326,Recipes!$A:$D,4,FALSE)&amp;"]"))</f>
        <v/>
      </c>
      <c r="O326" s="46" t="str">
        <f t="array" ref="O326">IF('.'!O326="","",'.'!O326&amp;IF(VLOOKUP('.'!O326,Recipes!$A:$D,4,FALSE)="",""," ["&amp;VLOOKUP('.'!O326,Recipes!$A:$D,4,FALSE)&amp;"]"))</f>
        <v/>
      </c>
      <c r="P326" s="46" t="str">
        <f t="array" ref="P326">IF('.'!P326="","",'.'!P326&amp;IF(VLOOKUP('.'!P326,Recipes!$A:$D,4,FALSE)="",""," ["&amp;VLOOKUP('.'!P326,Recipes!$A:$D,4,FALSE)&amp;"]"))</f>
        <v/>
      </c>
      <c r="Q326" s="46" t="str">
        <f t="array" ref="Q326">IF('.'!Q326="","",'.'!Q326&amp;IF(VLOOKUP('.'!Q326,Recipes!$A:$D,4,FALSE)="",""," ["&amp;VLOOKUP('.'!Q326,Recipes!$A:$D,4,FALSE)&amp;"]"))</f>
        <v/>
      </c>
      <c r="R326" s="46" t="str">
        <f t="array" ref="R326">IF('.'!R326="","",'.'!R326&amp;IF(VLOOKUP('.'!R326,Recipes!$A:$D,4,FALSE)="",""," ["&amp;VLOOKUP('.'!R326,Recipes!$A:$D,4,FALSE)&amp;"]"))</f>
        <v/>
      </c>
      <c r="S326" s="46" t="str">
        <f t="array" ref="S326">IF('.'!S326="","",'.'!S326&amp;IF(VLOOKUP('.'!S326,Recipes!$A:$D,4,FALSE)="",""," ["&amp;VLOOKUP('.'!S326,Recipes!$A:$D,4,FALSE)&amp;"]"))</f>
        <v/>
      </c>
      <c r="T326" s="46" t="str">
        <f t="array" ref="T326">IF('.'!T326="","",'.'!T326&amp;IF(VLOOKUP('.'!T326,Recipes!$A:$D,4,FALSE)="",""," ["&amp;VLOOKUP('.'!T326,Recipes!$A:$D,4,FALSE)&amp;"]"))</f>
        <v/>
      </c>
      <c r="U326" s="46" t="str">
        <f t="array" ref="U326">IF('.'!U326="","",'.'!U326&amp;IF(VLOOKUP('.'!U326,Recipes!$A:$D,4,FALSE)="",""," ["&amp;VLOOKUP('.'!U326,Recipes!$A:$D,4,FALSE)&amp;"]"))</f>
        <v/>
      </c>
      <c r="V326" s="46" t="str">
        <f t="array" ref="V326">IF('.'!V326="","",'.'!V326&amp;IF(VLOOKUP('.'!V326,Recipes!$A:$D,4,FALSE)="",""," ["&amp;VLOOKUP('.'!V326,Recipes!$A:$D,4,FALSE)&amp;"]"))</f>
        <v/>
      </c>
      <c r="W326" s="46" t="str">
        <f t="array" ref="W326">IF('.'!W326="","",'.'!W326&amp;IF(VLOOKUP('.'!W326,Recipes!$A:$D,4,FALSE)="",""," ["&amp;VLOOKUP('.'!W326,Recipes!$A:$D,4,FALSE)&amp;"]"))</f>
        <v/>
      </c>
      <c r="X326" s="46" t="str">
        <f t="array" ref="X326">IF('.'!X326="","",'.'!X326&amp;IF(VLOOKUP('.'!X326,Recipes!$A:$D,4,FALSE)="",""," ["&amp;VLOOKUP('.'!X326,Recipes!$A:$D,4,FALSE)&amp;"]"))</f>
        <v/>
      </c>
      <c r="Y326" s="46" t="str">
        <f t="array" ref="Y326">IF('.'!Y326="","",'.'!Y326&amp;IF(VLOOKUP('.'!Y326,Recipes!$A:$D,4,FALSE)="",""," ["&amp;VLOOKUP('.'!Y326,Recipes!$A:$D,4,FALSE)&amp;"]"))</f>
        <v/>
      </c>
      <c r="Z326" s="46" t="str">
        <f t="array" ref="Z326">IF('.'!Z326="","",'.'!Z326&amp;IF(VLOOKUP('.'!Z326,Recipes!$A:$D,4,FALSE)="",""," ["&amp;VLOOKUP('.'!Z326,Recipes!$A:$D,4,FALSE)&amp;"]"))</f>
        <v/>
      </c>
      <c r="AA326" s="46" t="str">
        <f t="array" ref="AA326">IF('.'!AA326="","",'.'!AA326&amp;IF(VLOOKUP('.'!AA326,Recipes!$A:$D,4,FALSE)="",""," ["&amp;VLOOKUP('.'!AA326,Recipes!$A:$D,4,FALSE)&amp;"]"))</f>
        <v/>
      </c>
      <c r="AB326" s="46" t="str">
        <f t="array" ref="AB326">IF('.'!AB326="","",'.'!AB326&amp;IF(VLOOKUP('.'!AB326,Recipes!$A:$D,4,FALSE)="",""," ["&amp;VLOOKUP('.'!AB326,Recipes!$A:$D,4,FALSE)&amp;"]"))</f>
        <v/>
      </c>
      <c r="AC326" s="46" t="str">
        <f t="array" ref="AC326">IF('.'!AC326="","",'.'!AC326&amp;IF(VLOOKUP('.'!AC326,Recipes!$A:$D,4,FALSE)="",""," ["&amp;VLOOKUP('.'!AC326,Recipes!$A:$D,4,FALSE)&amp;"]"))</f>
        <v/>
      </c>
      <c r="AD326" s="46" t="str">
        <f t="array" ref="AD326">IF('.'!AD326="","",'.'!AD326&amp;IF(VLOOKUP('.'!AD326,Recipes!$A:$D,4,FALSE)="",""," ["&amp;VLOOKUP('.'!AD326,Recipes!$A:$D,4,FALSE)&amp;"]"))</f>
        <v/>
      </c>
      <c r="AE326" s="47"/>
      <c r="AF326" s="47"/>
      <c r="AG326" s="47"/>
      <c r="AH326" s="47"/>
      <c r="AI326" s="47"/>
      <c r="AJ326" s="47"/>
      <c r="AK326" s="47"/>
      <c r="AL326" s="47"/>
      <c r="AM326" s="47"/>
      <c r="AN326" s="47"/>
      <c r="AO326" s="47"/>
      <c r="AP326" s="47"/>
      <c r="AQ326" s="47"/>
      <c r="AR326" s="47"/>
      <c r="AS326" s="47"/>
      <c r="AT326" s="47"/>
      <c r="AU326" s="47"/>
      <c r="AV326" s="47"/>
      <c r="AW326" s="47"/>
      <c r="AX326" s="47"/>
      <c r="AY326" s="47"/>
      <c r="AZ326" s="47"/>
      <c r="BA326" s="47"/>
      <c r="BB326" s="47"/>
      <c r="BC326" s="47"/>
      <c r="BD326" s="47"/>
      <c r="BE326" s="47"/>
      <c r="BF326" s="47"/>
      <c r="BG326" s="47"/>
      <c r="BH326" s="47"/>
      <c r="BI326" s="47"/>
      <c r="BJ326" s="47"/>
      <c r="BK326" s="47"/>
      <c r="BL326" s="47"/>
      <c r="BM326" s="47"/>
      <c r="BN326" s="47"/>
      <c r="BO326" s="47"/>
      <c r="BP326" s="47"/>
      <c r="BQ326" s="47"/>
      <c r="BR326" s="47"/>
      <c r="BS326" s="47"/>
      <c r="BT326" s="47"/>
      <c r="BU326" s="47"/>
      <c r="BV326" s="47"/>
      <c r="BW326" s="47"/>
      <c r="BX326" s="47"/>
      <c r="BY326" s="47"/>
      <c r="BZ326" s="47"/>
    </row>
    <row r="327" spans="1:78" ht="13">
      <c r="A327" s="48" t="str">
        <f ca="1">'.'!A327</f>
        <v>Penny Bun Mushroom</v>
      </c>
      <c r="B327" s="46" t="str">
        <f t="array" aca="1" ref="B327" ca="1">IF('.'!B327="","",'.'!B327&amp;IF(VLOOKUP('.'!B327,Recipes!$A:$D,4,FALSE)="",""," ["&amp;VLOOKUP('.'!B327,Recipes!$A:$D,4,FALSE)&amp;"]"))</f>
        <v>Blood Sucker Scroll [-15]</v>
      </c>
      <c r="C327" s="46" t="str">
        <f t="array" aca="1" ref="C327" ca="1">IF('.'!C327="","",'.'!C327&amp;IF(VLOOKUP('.'!C327,Recipes!$A:$D,4,FALSE)="",""," ["&amp;VLOOKUP('.'!C327,Recipes!$A:$D,4,FALSE)&amp;"]"))</f>
        <v>Restoration Scroll [-25]</v>
      </c>
      <c r="D327" s="46" t="str">
        <f t="array" aca="1" ref="D327" ca="1">IF('.'!D327="","",'.'!D327&amp;IF(VLOOKUP('.'!D327,Recipes!$A:$D,4,FALSE)="",""," ["&amp;VLOOKUP('.'!D327,Recipes!$A:$D,4,FALSE)&amp;"]"))</f>
        <v>Minor Healing Potion [-20]</v>
      </c>
      <c r="E327" s="46" t="str">
        <f t="array" ref="E327">IF('.'!E327="","",'.'!E327&amp;IF(VLOOKUP('.'!E327,Recipes!$A:$D,4,FALSE)="",""," ["&amp;VLOOKUP('.'!E327,Recipes!$A:$D,4,FALSE)&amp;"]"))</f>
        <v/>
      </c>
      <c r="F327" s="46" t="str">
        <f t="array" ref="F327">IF('.'!F327="","",'.'!F327&amp;IF(VLOOKUP('.'!F327,Recipes!$A:$D,4,FALSE)="",""," ["&amp;VLOOKUP('.'!F327,Recipes!$A:$D,4,FALSE)&amp;"]"))</f>
        <v/>
      </c>
      <c r="G327" s="46" t="str">
        <f t="array" ref="G327">IF('.'!G327="","",'.'!G327&amp;IF(VLOOKUP('.'!G327,Recipes!$A:$D,4,FALSE)="",""," ["&amp;VLOOKUP('.'!G327,Recipes!$A:$D,4,FALSE)&amp;"]"))</f>
        <v/>
      </c>
      <c r="H327" s="46" t="str">
        <f t="array" ref="H327">IF('.'!H327="","",'.'!H327&amp;IF(VLOOKUP('.'!H327,Recipes!$A:$D,4,FALSE)="",""," ["&amp;VLOOKUP('.'!H327,Recipes!$A:$D,4,FALSE)&amp;"]"))</f>
        <v/>
      </c>
      <c r="I327" s="46" t="str">
        <f t="array" ref="I327">IF('.'!I327="","",'.'!I327&amp;IF(VLOOKUP('.'!I327,Recipes!$A:$D,4,FALSE)="",""," ["&amp;VLOOKUP('.'!I327,Recipes!$A:$D,4,FALSE)&amp;"]"))</f>
        <v/>
      </c>
      <c r="J327" s="46" t="str">
        <f t="array" ref="J327">IF('.'!J327="","",'.'!J327&amp;IF(VLOOKUP('.'!J327,Recipes!$A:$D,4,FALSE)="",""," ["&amp;VLOOKUP('.'!J327,Recipes!$A:$D,4,FALSE)&amp;"]"))</f>
        <v/>
      </c>
      <c r="K327" s="46" t="str">
        <f t="array" ref="K327">IF('.'!K327="","",'.'!K327&amp;IF(VLOOKUP('.'!K327,Recipes!$A:$D,4,FALSE)="",""," ["&amp;VLOOKUP('.'!K327,Recipes!$A:$D,4,FALSE)&amp;"]"))</f>
        <v/>
      </c>
      <c r="L327" s="46" t="str">
        <f t="array" ref="L327">IF('.'!L327="","",'.'!L327&amp;IF(VLOOKUP('.'!L327,Recipes!$A:$D,4,FALSE)="",""," ["&amp;VLOOKUP('.'!L327,Recipes!$A:$D,4,FALSE)&amp;"]"))</f>
        <v/>
      </c>
      <c r="M327" s="46" t="str">
        <f t="array" ref="M327">IF('.'!M327="","",'.'!M327&amp;IF(VLOOKUP('.'!M327,Recipes!$A:$D,4,FALSE)="",""," ["&amp;VLOOKUP('.'!M327,Recipes!$A:$D,4,FALSE)&amp;"]"))</f>
        <v/>
      </c>
      <c r="N327" s="46" t="str">
        <f t="array" ref="N327">IF('.'!N327="","",'.'!N327&amp;IF(VLOOKUP('.'!N327,Recipes!$A:$D,4,FALSE)="",""," ["&amp;VLOOKUP('.'!N327,Recipes!$A:$D,4,FALSE)&amp;"]"))</f>
        <v/>
      </c>
      <c r="O327" s="46" t="str">
        <f t="array" ref="O327">IF('.'!O327="","",'.'!O327&amp;IF(VLOOKUP('.'!O327,Recipes!$A:$D,4,FALSE)="",""," ["&amp;VLOOKUP('.'!O327,Recipes!$A:$D,4,FALSE)&amp;"]"))</f>
        <v/>
      </c>
      <c r="P327" s="46" t="str">
        <f t="array" ref="P327">IF('.'!P327="","",'.'!P327&amp;IF(VLOOKUP('.'!P327,Recipes!$A:$D,4,FALSE)="",""," ["&amp;VLOOKUP('.'!P327,Recipes!$A:$D,4,FALSE)&amp;"]"))</f>
        <v/>
      </c>
      <c r="Q327" s="46" t="str">
        <f t="array" ref="Q327">IF('.'!Q327="","",'.'!Q327&amp;IF(VLOOKUP('.'!Q327,Recipes!$A:$D,4,FALSE)="",""," ["&amp;VLOOKUP('.'!Q327,Recipes!$A:$D,4,FALSE)&amp;"]"))</f>
        <v/>
      </c>
      <c r="R327" s="46" t="str">
        <f t="array" ref="R327">IF('.'!R327="","",'.'!R327&amp;IF(VLOOKUP('.'!R327,Recipes!$A:$D,4,FALSE)="",""," ["&amp;VLOOKUP('.'!R327,Recipes!$A:$D,4,FALSE)&amp;"]"))</f>
        <v/>
      </c>
      <c r="S327" s="46" t="str">
        <f t="array" ref="S327">IF('.'!S327="","",'.'!S327&amp;IF(VLOOKUP('.'!S327,Recipes!$A:$D,4,FALSE)="",""," ["&amp;VLOOKUP('.'!S327,Recipes!$A:$D,4,FALSE)&amp;"]"))</f>
        <v/>
      </c>
      <c r="T327" s="46" t="str">
        <f t="array" ref="T327">IF('.'!T327="","",'.'!T327&amp;IF(VLOOKUP('.'!T327,Recipes!$A:$D,4,FALSE)="",""," ["&amp;VLOOKUP('.'!T327,Recipes!$A:$D,4,FALSE)&amp;"]"))</f>
        <v/>
      </c>
      <c r="U327" s="46" t="str">
        <f t="array" ref="U327">IF('.'!U327="","",'.'!U327&amp;IF(VLOOKUP('.'!U327,Recipes!$A:$D,4,FALSE)="",""," ["&amp;VLOOKUP('.'!U327,Recipes!$A:$D,4,FALSE)&amp;"]"))</f>
        <v/>
      </c>
      <c r="V327" s="46" t="str">
        <f t="array" ref="V327">IF('.'!V327="","",'.'!V327&amp;IF(VLOOKUP('.'!V327,Recipes!$A:$D,4,FALSE)="",""," ["&amp;VLOOKUP('.'!V327,Recipes!$A:$D,4,FALSE)&amp;"]"))</f>
        <v/>
      </c>
      <c r="W327" s="46" t="str">
        <f t="array" ref="W327">IF('.'!W327="","",'.'!W327&amp;IF(VLOOKUP('.'!W327,Recipes!$A:$D,4,FALSE)="",""," ["&amp;VLOOKUP('.'!W327,Recipes!$A:$D,4,FALSE)&amp;"]"))</f>
        <v/>
      </c>
      <c r="X327" s="46" t="str">
        <f t="array" ref="X327">IF('.'!X327="","",'.'!X327&amp;IF(VLOOKUP('.'!X327,Recipes!$A:$D,4,FALSE)="",""," ["&amp;VLOOKUP('.'!X327,Recipes!$A:$D,4,FALSE)&amp;"]"))</f>
        <v/>
      </c>
      <c r="Y327" s="46" t="str">
        <f t="array" ref="Y327">IF('.'!Y327="","",'.'!Y327&amp;IF(VLOOKUP('.'!Y327,Recipes!$A:$D,4,FALSE)="",""," ["&amp;VLOOKUP('.'!Y327,Recipes!$A:$D,4,FALSE)&amp;"]"))</f>
        <v/>
      </c>
      <c r="Z327" s="46" t="str">
        <f t="array" ref="Z327">IF('.'!Z327="","",'.'!Z327&amp;IF(VLOOKUP('.'!Z327,Recipes!$A:$D,4,FALSE)="",""," ["&amp;VLOOKUP('.'!Z327,Recipes!$A:$D,4,FALSE)&amp;"]"))</f>
        <v/>
      </c>
      <c r="AA327" s="46" t="str">
        <f t="array" ref="AA327">IF('.'!AA327="","",'.'!AA327&amp;IF(VLOOKUP('.'!AA327,Recipes!$A:$D,4,FALSE)="",""," ["&amp;VLOOKUP('.'!AA327,Recipes!$A:$D,4,FALSE)&amp;"]"))</f>
        <v/>
      </c>
      <c r="AB327" s="46" t="str">
        <f t="array" ref="AB327">IF('.'!AB327="","",'.'!AB327&amp;IF(VLOOKUP('.'!AB327,Recipes!$A:$D,4,FALSE)="",""," ["&amp;VLOOKUP('.'!AB327,Recipes!$A:$D,4,FALSE)&amp;"]"))</f>
        <v/>
      </c>
      <c r="AC327" s="46" t="str">
        <f t="array" ref="AC327">IF('.'!AC327="","",'.'!AC327&amp;IF(VLOOKUP('.'!AC327,Recipes!$A:$D,4,FALSE)="",""," ["&amp;VLOOKUP('.'!AC327,Recipes!$A:$D,4,FALSE)&amp;"]"))</f>
        <v/>
      </c>
      <c r="AD327" s="46" t="str">
        <f t="array" ref="AD327">IF('.'!AD327="","",'.'!AD327&amp;IF(VLOOKUP('.'!AD327,Recipes!$A:$D,4,FALSE)="",""," ["&amp;VLOOKUP('.'!AD327,Recipes!$A:$D,4,FALSE)&amp;"]"))</f>
        <v/>
      </c>
      <c r="AE327" s="47"/>
      <c r="AF327" s="47"/>
      <c r="AG327" s="47"/>
      <c r="AH327" s="47"/>
      <c r="AI327" s="47"/>
      <c r="AJ327" s="47"/>
      <c r="AK327" s="47"/>
      <c r="AL327" s="47"/>
      <c r="AM327" s="47"/>
      <c r="AN327" s="47"/>
      <c r="AO327" s="47"/>
      <c r="AP327" s="47"/>
      <c r="AQ327" s="47"/>
      <c r="AR327" s="47"/>
      <c r="AS327" s="47"/>
      <c r="AT327" s="47"/>
      <c r="AU327" s="47"/>
      <c r="AV327" s="47"/>
      <c r="AW327" s="47"/>
      <c r="AX327" s="47"/>
      <c r="AY327" s="47"/>
      <c r="AZ327" s="47"/>
      <c r="BA327" s="47"/>
      <c r="BB327" s="47"/>
      <c r="BC327" s="47"/>
      <c r="BD327" s="47"/>
      <c r="BE327" s="47"/>
      <c r="BF327" s="47"/>
      <c r="BG327" s="47"/>
      <c r="BH327" s="47"/>
      <c r="BI327" s="47"/>
      <c r="BJ327" s="47"/>
      <c r="BK327" s="47"/>
      <c r="BL327" s="47"/>
      <c r="BM327" s="47"/>
      <c r="BN327" s="47"/>
      <c r="BO327" s="47"/>
      <c r="BP327" s="47"/>
      <c r="BQ327" s="47"/>
      <c r="BR327" s="47"/>
      <c r="BS327" s="47"/>
      <c r="BT327" s="47"/>
      <c r="BU327" s="47"/>
      <c r="BV327" s="47"/>
      <c r="BW327" s="47"/>
      <c r="BX327" s="47"/>
      <c r="BY327" s="47"/>
      <c r="BZ327" s="47"/>
    </row>
    <row r="328" spans="1:78" ht="13">
      <c r="A328" s="48" t="str">
        <f ca="1">'.'!A328</f>
        <v>Pepper</v>
      </c>
      <c r="B328" s="46" t="str">
        <f t="array" aca="1" ref="B328" ca="1">IF('.'!B328="","",'.'!B328&amp;IF(VLOOKUP('.'!B328,Recipes!$A:$D,4,FALSE)="",""," ["&amp;VLOOKUP('.'!B328,Recipes!$A:$D,4,FALSE)&amp;"]"))</f>
        <v>Dimensional Bolt Scroll [24]</v>
      </c>
      <c r="C328" s="46" t="str">
        <f t="array" ref="C328">IF('.'!C328="","",'.'!C328&amp;IF(VLOOKUP('.'!C328,Recipes!$A:$D,4,FALSE)="",""," ["&amp;VLOOKUP('.'!C328,Recipes!$A:$D,4,FALSE)&amp;"]"))</f>
        <v/>
      </c>
      <c r="D328" s="46" t="str">
        <f t="array" ref="D328">IF('.'!D328="","",'.'!D328&amp;IF(VLOOKUP('.'!D328,Recipes!$A:$D,4,FALSE)="",""," ["&amp;VLOOKUP('.'!D328,Recipes!$A:$D,4,FALSE)&amp;"]"))</f>
        <v/>
      </c>
      <c r="E328" s="46" t="str">
        <f t="array" ref="E328">IF('.'!E328="","",'.'!E328&amp;IF(VLOOKUP('.'!E328,Recipes!$A:$D,4,FALSE)="",""," ["&amp;VLOOKUP('.'!E328,Recipes!$A:$D,4,FALSE)&amp;"]"))</f>
        <v/>
      </c>
      <c r="F328" s="46" t="str">
        <f t="array" ref="F328">IF('.'!F328="","",'.'!F328&amp;IF(VLOOKUP('.'!F328,Recipes!$A:$D,4,FALSE)="",""," ["&amp;VLOOKUP('.'!F328,Recipes!$A:$D,4,FALSE)&amp;"]"))</f>
        <v/>
      </c>
      <c r="G328" s="46" t="str">
        <f t="array" ref="G328">IF('.'!G328="","",'.'!G328&amp;IF(VLOOKUP('.'!G328,Recipes!$A:$D,4,FALSE)="",""," ["&amp;VLOOKUP('.'!G328,Recipes!$A:$D,4,FALSE)&amp;"]"))</f>
        <v/>
      </c>
      <c r="H328" s="46" t="str">
        <f t="array" ref="H328">IF('.'!H328="","",'.'!H328&amp;IF(VLOOKUP('.'!H328,Recipes!$A:$D,4,FALSE)="",""," ["&amp;VLOOKUP('.'!H328,Recipes!$A:$D,4,FALSE)&amp;"]"))</f>
        <v/>
      </c>
      <c r="I328" s="46" t="str">
        <f t="array" ref="I328">IF('.'!I328="","",'.'!I328&amp;IF(VLOOKUP('.'!I328,Recipes!$A:$D,4,FALSE)="",""," ["&amp;VLOOKUP('.'!I328,Recipes!$A:$D,4,FALSE)&amp;"]"))</f>
        <v/>
      </c>
      <c r="J328" s="46" t="str">
        <f t="array" ref="J328">IF('.'!J328="","",'.'!J328&amp;IF(VLOOKUP('.'!J328,Recipes!$A:$D,4,FALSE)="",""," ["&amp;VLOOKUP('.'!J328,Recipes!$A:$D,4,FALSE)&amp;"]"))</f>
        <v/>
      </c>
      <c r="K328" s="46" t="str">
        <f t="array" ref="K328">IF('.'!K328="","",'.'!K328&amp;IF(VLOOKUP('.'!K328,Recipes!$A:$D,4,FALSE)="",""," ["&amp;VLOOKUP('.'!K328,Recipes!$A:$D,4,FALSE)&amp;"]"))</f>
        <v/>
      </c>
      <c r="L328" s="46" t="str">
        <f t="array" ref="L328">IF('.'!L328="","",'.'!L328&amp;IF(VLOOKUP('.'!L328,Recipes!$A:$D,4,FALSE)="",""," ["&amp;VLOOKUP('.'!L328,Recipes!$A:$D,4,FALSE)&amp;"]"))</f>
        <v/>
      </c>
      <c r="M328" s="46" t="str">
        <f t="array" ref="M328">IF('.'!M328="","",'.'!M328&amp;IF(VLOOKUP('.'!M328,Recipes!$A:$D,4,FALSE)="",""," ["&amp;VLOOKUP('.'!M328,Recipes!$A:$D,4,FALSE)&amp;"]"))</f>
        <v/>
      </c>
      <c r="N328" s="46" t="str">
        <f t="array" ref="N328">IF('.'!N328="","",'.'!N328&amp;IF(VLOOKUP('.'!N328,Recipes!$A:$D,4,FALSE)="",""," ["&amp;VLOOKUP('.'!N328,Recipes!$A:$D,4,FALSE)&amp;"]"))</f>
        <v/>
      </c>
      <c r="O328" s="46" t="str">
        <f t="array" ref="O328">IF('.'!O328="","",'.'!O328&amp;IF(VLOOKUP('.'!O328,Recipes!$A:$D,4,FALSE)="",""," ["&amp;VLOOKUP('.'!O328,Recipes!$A:$D,4,FALSE)&amp;"]"))</f>
        <v/>
      </c>
      <c r="P328" s="46" t="str">
        <f t="array" ref="P328">IF('.'!P328="","",'.'!P328&amp;IF(VLOOKUP('.'!P328,Recipes!$A:$D,4,FALSE)="",""," ["&amp;VLOOKUP('.'!P328,Recipes!$A:$D,4,FALSE)&amp;"]"))</f>
        <v/>
      </c>
      <c r="Q328" s="46" t="str">
        <f t="array" ref="Q328">IF('.'!Q328="","",'.'!Q328&amp;IF(VLOOKUP('.'!Q328,Recipes!$A:$D,4,FALSE)="",""," ["&amp;VLOOKUP('.'!Q328,Recipes!$A:$D,4,FALSE)&amp;"]"))</f>
        <v/>
      </c>
      <c r="R328" s="46" t="str">
        <f t="array" ref="R328">IF('.'!R328="","",'.'!R328&amp;IF(VLOOKUP('.'!R328,Recipes!$A:$D,4,FALSE)="",""," ["&amp;VLOOKUP('.'!R328,Recipes!$A:$D,4,FALSE)&amp;"]"))</f>
        <v/>
      </c>
      <c r="S328" s="46" t="str">
        <f t="array" ref="S328">IF('.'!S328="","",'.'!S328&amp;IF(VLOOKUP('.'!S328,Recipes!$A:$D,4,FALSE)="",""," ["&amp;VLOOKUP('.'!S328,Recipes!$A:$D,4,FALSE)&amp;"]"))</f>
        <v/>
      </c>
      <c r="T328" s="46" t="str">
        <f t="array" ref="T328">IF('.'!T328="","",'.'!T328&amp;IF(VLOOKUP('.'!T328,Recipes!$A:$D,4,FALSE)="",""," ["&amp;VLOOKUP('.'!T328,Recipes!$A:$D,4,FALSE)&amp;"]"))</f>
        <v/>
      </c>
      <c r="U328" s="46" t="str">
        <f t="array" ref="U328">IF('.'!U328="","",'.'!U328&amp;IF(VLOOKUP('.'!U328,Recipes!$A:$D,4,FALSE)="",""," ["&amp;VLOOKUP('.'!U328,Recipes!$A:$D,4,FALSE)&amp;"]"))</f>
        <v/>
      </c>
      <c r="V328" s="46" t="str">
        <f t="array" ref="V328">IF('.'!V328="","",'.'!V328&amp;IF(VLOOKUP('.'!V328,Recipes!$A:$D,4,FALSE)="",""," ["&amp;VLOOKUP('.'!V328,Recipes!$A:$D,4,FALSE)&amp;"]"))</f>
        <v/>
      </c>
      <c r="W328" s="46" t="str">
        <f t="array" ref="W328">IF('.'!W328="","",'.'!W328&amp;IF(VLOOKUP('.'!W328,Recipes!$A:$D,4,FALSE)="",""," ["&amp;VLOOKUP('.'!W328,Recipes!$A:$D,4,FALSE)&amp;"]"))</f>
        <v/>
      </c>
      <c r="X328" s="46" t="str">
        <f t="array" ref="X328">IF('.'!X328="","",'.'!X328&amp;IF(VLOOKUP('.'!X328,Recipes!$A:$D,4,FALSE)="",""," ["&amp;VLOOKUP('.'!X328,Recipes!$A:$D,4,FALSE)&amp;"]"))</f>
        <v/>
      </c>
      <c r="Y328" s="46" t="str">
        <f t="array" ref="Y328">IF('.'!Y328="","",'.'!Y328&amp;IF(VLOOKUP('.'!Y328,Recipes!$A:$D,4,FALSE)="",""," ["&amp;VLOOKUP('.'!Y328,Recipes!$A:$D,4,FALSE)&amp;"]"))</f>
        <v/>
      </c>
      <c r="Z328" s="46" t="str">
        <f t="array" ref="Z328">IF('.'!Z328="","",'.'!Z328&amp;IF(VLOOKUP('.'!Z328,Recipes!$A:$D,4,FALSE)="",""," ["&amp;VLOOKUP('.'!Z328,Recipes!$A:$D,4,FALSE)&amp;"]"))</f>
        <v/>
      </c>
      <c r="AA328" s="46" t="str">
        <f t="array" ref="AA328">IF('.'!AA328="","",'.'!AA328&amp;IF(VLOOKUP('.'!AA328,Recipes!$A:$D,4,FALSE)="",""," ["&amp;VLOOKUP('.'!AA328,Recipes!$A:$D,4,FALSE)&amp;"]"))</f>
        <v/>
      </c>
      <c r="AB328" s="46" t="str">
        <f t="array" ref="AB328">IF('.'!AB328="","",'.'!AB328&amp;IF(VLOOKUP('.'!AB328,Recipes!$A:$D,4,FALSE)="",""," ["&amp;VLOOKUP('.'!AB328,Recipes!$A:$D,4,FALSE)&amp;"]"))</f>
        <v/>
      </c>
      <c r="AC328" s="46" t="str">
        <f t="array" ref="AC328">IF('.'!AC328="","",'.'!AC328&amp;IF(VLOOKUP('.'!AC328,Recipes!$A:$D,4,FALSE)="",""," ["&amp;VLOOKUP('.'!AC328,Recipes!$A:$D,4,FALSE)&amp;"]"))</f>
        <v/>
      </c>
      <c r="AD328" s="46" t="str">
        <f t="array" ref="AD328">IF('.'!AD328="","",'.'!AD328&amp;IF(VLOOKUP('.'!AD328,Recipes!$A:$D,4,FALSE)="",""," ["&amp;VLOOKUP('.'!AD328,Recipes!$A:$D,4,FALSE)&amp;"]"))</f>
        <v/>
      </c>
      <c r="AE328" s="47"/>
      <c r="AF328" s="47"/>
      <c r="AG328" s="47"/>
      <c r="AH328" s="47"/>
      <c r="AI328" s="47"/>
      <c r="AJ328" s="47"/>
      <c r="AK328" s="47"/>
      <c r="AL328" s="47"/>
      <c r="AM328" s="47"/>
      <c r="AN328" s="47"/>
      <c r="AO328" s="47"/>
      <c r="AP328" s="47"/>
      <c r="AQ328" s="47"/>
      <c r="AR328" s="47"/>
      <c r="AS328" s="47"/>
      <c r="AT328" s="47"/>
      <c r="AU328" s="47"/>
      <c r="AV328" s="47"/>
      <c r="AW328" s="47"/>
      <c r="AX328" s="47"/>
      <c r="AY328" s="47"/>
      <c r="AZ328" s="47"/>
      <c r="BA328" s="47"/>
      <c r="BB328" s="47"/>
      <c r="BC328" s="47"/>
      <c r="BD328" s="47"/>
      <c r="BE328" s="47"/>
      <c r="BF328" s="47"/>
      <c r="BG328" s="47"/>
      <c r="BH328" s="47"/>
      <c r="BI328" s="47"/>
      <c r="BJ328" s="47"/>
      <c r="BK328" s="47"/>
      <c r="BL328" s="47"/>
      <c r="BM328" s="47"/>
      <c r="BN328" s="47"/>
      <c r="BO328" s="47"/>
      <c r="BP328" s="47"/>
      <c r="BQ328" s="47"/>
      <c r="BR328" s="47"/>
      <c r="BS328" s="47"/>
      <c r="BT328" s="47"/>
      <c r="BU328" s="47"/>
      <c r="BV328" s="47"/>
      <c r="BW328" s="47"/>
      <c r="BX328" s="47"/>
      <c r="BY328" s="47"/>
      <c r="BZ328" s="47"/>
    </row>
    <row r="329" spans="1:78" ht="13">
      <c r="A329" s="48" t="str">
        <f ca="1">'.'!A329</f>
        <v>Physical Armor Potion</v>
      </c>
      <c r="B329" s="46" t="str">
        <f t="array" aca="1" ref="B329" ca="1">IF('.'!B329="","",'.'!B329&amp;IF(VLOOKUP('.'!B329,Recipes!$A:$D,4,FALSE)="",""," ["&amp;VLOOKUP('.'!B329,Recipes!$A:$D,4,FALSE)&amp;"]"))</f>
        <v>Medium Physical Armor Potion [-10]</v>
      </c>
      <c r="C329" s="46" t="str">
        <f t="array" ref="C329">IF('.'!C329="","",'.'!C329&amp;IF(VLOOKUP('.'!C329,Recipes!$A:$D,4,FALSE)="",""," ["&amp;VLOOKUP('.'!C329,Recipes!$A:$D,4,FALSE)&amp;"]"))</f>
        <v/>
      </c>
      <c r="D329" s="46" t="str">
        <f t="array" ref="D329">IF('.'!D329="","",'.'!D329&amp;IF(VLOOKUP('.'!D329,Recipes!$A:$D,4,FALSE)="",""," ["&amp;VLOOKUP('.'!D329,Recipes!$A:$D,4,FALSE)&amp;"]"))</f>
        <v/>
      </c>
      <c r="E329" s="46" t="str">
        <f t="array" ref="E329">IF('.'!E329="","",'.'!E329&amp;IF(VLOOKUP('.'!E329,Recipes!$A:$D,4,FALSE)="",""," ["&amp;VLOOKUP('.'!E329,Recipes!$A:$D,4,FALSE)&amp;"]"))</f>
        <v/>
      </c>
      <c r="F329" s="46" t="str">
        <f t="array" ref="F329">IF('.'!F329="","",'.'!F329&amp;IF(VLOOKUP('.'!F329,Recipes!$A:$D,4,FALSE)="",""," ["&amp;VLOOKUP('.'!F329,Recipes!$A:$D,4,FALSE)&amp;"]"))</f>
        <v/>
      </c>
      <c r="G329" s="46" t="str">
        <f t="array" ref="G329">IF('.'!G329="","",'.'!G329&amp;IF(VLOOKUP('.'!G329,Recipes!$A:$D,4,FALSE)="",""," ["&amp;VLOOKUP('.'!G329,Recipes!$A:$D,4,FALSE)&amp;"]"))</f>
        <v/>
      </c>
      <c r="H329" s="46" t="str">
        <f t="array" ref="H329">IF('.'!H329="","",'.'!H329&amp;IF(VLOOKUP('.'!H329,Recipes!$A:$D,4,FALSE)="",""," ["&amp;VLOOKUP('.'!H329,Recipes!$A:$D,4,FALSE)&amp;"]"))</f>
        <v/>
      </c>
      <c r="I329" s="46" t="str">
        <f t="array" ref="I329">IF('.'!I329="","",'.'!I329&amp;IF(VLOOKUP('.'!I329,Recipes!$A:$D,4,FALSE)="",""," ["&amp;VLOOKUP('.'!I329,Recipes!$A:$D,4,FALSE)&amp;"]"))</f>
        <v/>
      </c>
      <c r="J329" s="46" t="str">
        <f t="array" ref="J329">IF('.'!J329="","",'.'!J329&amp;IF(VLOOKUP('.'!J329,Recipes!$A:$D,4,FALSE)="",""," ["&amp;VLOOKUP('.'!J329,Recipes!$A:$D,4,FALSE)&amp;"]"))</f>
        <v/>
      </c>
      <c r="K329" s="46" t="str">
        <f t="array" ref="K329">IF('.'!K329="","",'.'!K329&amp;IF(VLOOKUP('.'!K329,Recipes!$A:$D,4,FALSE)="",""," ["&amp;VLOOKUP('.'!K329,Recipes!$A:$D,4,FALSE)&amp;"]"))</f>
        <v/>
      </c>
      <c r="L329" s="46" t="str">
        <f t="array" ref="L329">IF('.'!L329="","",'.'!L329&amp;IF(VLOOKUP('.'!L329,Recipes!$A:$D,4,FALSE)="",""," ["&amp;VLOOKUP('.'!L329,Recipes!$A:$D,4,FALSE)&amp;"]"))</f>
        <v/>
      </c>
      <c r="M329" s="46" t="str">
        <f t="array" ref="M329">IF('.'!M329="","",'.'!M329&amp;IF(VLOOKUP('.'!M329,Recipes!$A:$D,4,FALSE)="",""," ["&amp;VLOOKUP('.'!M329,Recipes!$A:$D,4,FALSE)&amp;"]"))</f>
        <v/>
      </c>
      <c r="N329" s="46" t="str">
        <f t="array" ref="N329">IF('.'!N329="","",'.'!N329&amp;IF(VLOOKUP('.'!N329,Recipes!$A:$D,4,FALSE)="",""," ["&amp;VLOOKUP('.'!N329,Recipes!$A:$D,4,FALSE)&amp;"]"))</f>
        <v/>
      </c>
      <c r="O329" s="46" t="str">
        <f t="array" ref="O329">IF('.'!O329="","",'.'!O329&amp;IF(VLOOKUP('.'!O329,Recipes!$A:$D,4,FALSE)="",""," ["&amp;VLOOKUP('.'!O329,Recipes!$A:$D,4,FALSE)&amp;"]"))</f>
        <v/>
      </c>
      <c r="P329" s="46" t="str">
        <f t="array" ref="P329">IF('.'!P329="","",'.'!P329&amp;IF(VLOOKUP('.'!P329,Recipes!$A:$D,4,FALSE)="",""," ["&amp;VLOOKUP('.'!P329,Recipes!$A:$D,4,FALSE)&amp;"]"))</f>
        <v/>
      </c>
      <c r="Q329" s="46" t="str">
        <f t="array" ref="Q329">IF('.'!Q329="","",'.'!Q329&amp;IF(VLOOKUP('.'!Q329,Recipes!$A:$D,4,FALSE)="",""," ["&amp;VLOOKUP('.'!Q329,Recipes!$A:$D,4,FALSE)&amp;"]"))</f>
        <v/>
      </c>
      <c r="R329" s="46" t="str">
        <f t="array" ref="R329">IF('.'!R329="","",'.'!R329&amp;IF(VLOOKUP('.'!R329,Recipes!$A:$D,4,FALSE)="",""," ["&amp;VLOOKUP('.'!R329,Recipes!$A:$D,4,FALSE)&amp;"]"))</f>
        <v/>
      </c>
      <c r="S329" s="46" t="str">
        <f t="array" ref="S329">IF('.'!S329="","",'.'!S329&amp;IF(VLOOKUP('.'!S329,Recipes!$A:$D,4,FALSE)="",""," ["&amp;VLOOKUP('.'!S329,Recipes!$A:$D,4,FALSE)&amp;"]"))</f>
        <v/>
      </c>
      <c r="T329" s="46" t="str">
        <f t="array" ref="T329">IF('.'!T329="","",'.'!T329&amp;IF(VLOOKUP('.'!T329,Recipes!$A:$D,4,FALSE)="",""," ["&amp;VLOOKUP('.'!T329,Recipes!$A:$D,4,FALSE)&amp;"]"))</f>
        <v/>
      </c>
      <c r="U329" s="46" t="str">
        <f t="array" ref="U329">IF('.'!U329="","",'.'!U329&amp;IF(VLOOKUP('.'!U329,Recipes!$A:$D,4,FALSE)="",""," ["&amp;VLOOKUP('.'!U329,Recipes!$A:$D,4,FALSE)&amp;"]"))</f>
        <v/>
      </c>
      <c r="V329" s="46" t="str">
        <f t="array" ref="V329">IF('.'!V329="","",'.'!V329&amp;IF(VLOOKUP('.'!V329,Recipes!$A:$D,4,FALSE)="",""," ["&amp;VLOOKUP('.'!V329,Recipes!$A:$D,4,FALSE)&amp;"]"))</f>
        <v/>
      </c>
      <c r="W329" s="46" t="str">
        <f t="array" ref="W329">IF('.'!W329="","",'.'!W329&amp;IF(VLOOKUP('.'!W329,Recipes!$A:$D,4,FALSE)="",""," ["&amp;VLOOKUP('.'!W329,Recipes!$A:$D,4,FALSE)&amp;"]"))</f>
        <v/>
      </c>
      <c r="X329" s="46" t="str">
        <f t="array" ref="X329">IF('.'!X329="","",'.'!X329&amp;IF(VLOOKUP('.'!X329,Recipes!$A:$D,4,FALSE)="",""," ["&amp;VLOOKUP('.'!X329,Recipes!$A:$D,4,FALSE)&amp;"]"))</f>
        <v/>
      </c>
      <c r="Y329" s="46" t="str">
        <f t="array" ref="Y329">IF('.'!Y329="","",'.'!Y329&amp;IF(VLOOKUP('.'!Y329,Recipes!$A:$D,4,FALSE)="",""," ["&amp;VLOOKUP('.'!Y329,Recipes!$A:$D,4,FALSE)&amp;"]"))</f>
        <v/>
      </c>
      <c r="Z329" s="46" t="str">
        <f t="array" ref="Z329">IF('.'!Z329="","",'.'!Z329&amp;IF(VLOOKUP('.'!Z329,Recipes!$A:$D,4,FALSE)="",""," ["&amp;VLOOKUP('.'!Z329,Recipes!$A:$D,4,FALSE)&amp;"]"))</f>
        <v/>
      </c>
      <c r="AA329" s="46" t="str">
        <f t="array" ref="AA329">IF('.'!AA329="","",'.'!AA329&amp;IF(VLOOKUP('.'!AA329,Recipes!$A:$D,4,FALSE)="",""," ["&amp;VLOOKUP('.'!AA329,Recipes!$A:$D,4,FALSE)&amp;"]"))</f>
        <v/>
      </c>
      <c r="AB329" s="46" t="str">
        <f t="array" ref="AB329">IF('.'!AB329="","",'.'!AB329&amp;IF(VLOOKUP('.'!AB329,Recipes!$A:$D,4,FALSE)="",""," ["&amp;VLOOKUP('.'!AB329,Recipes!$A:$D,4,FALSE)&amp;"]"))</f>
        <v/>
      </c>
      <c r="AC329" s="46" t="str">
        <f t="array" ref="AC329">IF('.'!AC329="","",'.'!AC329&amp;IF(VLOOKUP('.'!AC329,Recipes!$A:$D,4,FALSE)="",""," ["&amp;VLOOKUP('.'!AC329,Recipes!$A:$D,4,FALSE)&amp;"]"))</f>
        <v/>
      </c>
      <c r="AD329" s="46" t="str">
        <f t="array" ref="AD329">IF('.'!AD329="","",'.'!AD329&amp;IF(VLOOKUP('.'!AD329,Recipes!$A:$D,4,FALSE)="",""," ["&amp;VLOOKUP('.'!AD329,Recipes!$A:$D,4,FALSE)&amp;"]"))</f>
        <v/>
      </c>
      <c r="AE329" s="47"/>
      <c r="AF329" s="47"/>
      <c r="AG329" s="47"/>
      <c r="AH329" s="47"/>
      <c r="AI329" s="47"/>
      <c r="AJ329" s="47"/>
      <c r="AK329" s="47"/>
      <c r="AL329" s="47"/>
      <c r="AM329" s="47"/>
      <c r="AN329" s="47"/>
      <c r="AO329" s="47"/>
      <c r="AP329" s="47"/>
      <c r="AQ329" s="47"/>
      <c r="AR329" s="47"/>
      <c r="AS329" s="47"/>
      <c r="AT329" s="47"/>
      <c r="AU329" s="47"/>
      <c r="AV329" s="47"/>
      <c r="AW329" s="47"/>
      <c r="AX329" s="47"/>
      <c r="AY329" s="47"/>
      <c r="AZ329" s="47"/>
      <c r="BA329" s="47"/>
      <c r="BB329" s="47"/>
      <c r="BC329" s="47"/>
      <c r="BD329" s="47"/>
      <c r="BE329" s="47"/>
      <c r="BF329" s="47"/>
      <c r="BG329" s="47"/>
      <c r="BH329" s="47"/>
      <c r="BI329" s="47"/>
      <c r="BJ329" s="47"/>
      <c r="BK329" s="47"/>
      <c r="BL329" s="47"/>
      <c r="BM329" s="47"/>
      <c r="BN329" s="47"/>
      <c r="BO329" s="47"/>
      <c r="BP329" s="47"/>
      <c r="BQ329" s="47"/>
      <c r="BR329" s="47"/>
      <c r="BS329" s="47"/>
      <c r="BT329" s="47"/>
      <c r="BU329" s="47"/>
      <c r="BV329" s="47"/>
      <c r="BW329" s="47"/>
      <c r="BX329" s="47"/>
      <c r="BY329" s="47"/>
      <c r="BZ329" s="47"/>
    </row>
    <row r="330" spans="1:78" ht="13">
      <c r="A330" s="48" t="str">
        <f ca="1">'.'!A330</f>
        <v>Pilgrim Shell</v>
      </c>
      <c r="B330" s="46" t="str">
        <f t="array" aca="1" ref="B330" ca="1">IF('.'!B330="","",'.'!B330&amp;IF(VLOOKUP('.'!B330,Recipes!$A:$D,4,FALSE)="",""," ["&amp;VLOOKUP('.'!B330,Recipes!$A:$D,4,FALSE)&amp;"]"))</f>
        <v>Equalise Scroll [-5]</v>
      </c>
      <c r="C330" s="46" t="str">
        <f t="array" ref="C330">IF('.'!C330="","",'.'!C330&amp;IF(VLOOKUP('.'!C330,Recipes!$A:$D,4,FALSE)="",""," ["&amp;VLOOKUP('.'!C330,Recipes!$A:$D,4,FALSE)&amp;"]"))</f>
        <v/>
      </c>
      <c r="D330" s="46" t="str">
        <f t="array" ref="D330">IF('.'!D330="","",'.'!D330&amp;IF(VLOOKUP('.'!D330,Recipes!$A:$D,4,FALSE)="",""," ["&amp;VLOOKUP('.'!D330,Recipes!$A:$D,4,FALSE)&amp;"]"))</f>
        <v/>
      </c>
      <c r="E330" s="46" t="str">
        <f t="array" ref="E330">IF('.'!E330="","",'.'!E330&amp;IF(VLOOKUP('.'!E330,Recipes!$A:$D,4,FALSE)="",""," ["&amp;VLOOKUP('.'!E330,Recipes!$A:$D,4,FALSE)&amp;"]"))</f>
        <v/>
      </c>
      <c r="F330" s="46" t="str">
        <f t="array" ref="F330">IF('.'!F330="","",'.'!F330&amp;IF(VLOOKUP('.'!F330,Recipes!$A:$D,4,FALSE)="",""," ["&amp;VLOOKUP('.'!F330,Recipes!$A:$D,4,FALSE)&amp;"]"))</f>
        <v/>
      </c>
      <c r="G330" s="46" t="str">
        <f t="array" ref="G330">IF('.'!G330="","",'.'!G330&amp;IF(VLOOKUP('.'!G330,Recipes!$A:$D,4,FALSE)="",""," ["&amp;VLOOKUP('.'!G330,Recipes!$A:$D,4,FALSE)&amp;"]"))</f>
        <v/>
      </c>
      <c r="H330" s="46" t="str">
        <f t="array" ref="H330">IF('.'!H330="","",'.'!H330&amp;IF(VLOOKUP('.'!H330,Recipes!$A:$D,4,FALSE)="",""," ["&amp;VLOOKUP('.'!H330,Recipes!$A:$D,4,FALSE)&amp;"]"))</f>
        <v/>
      </c>
      <c r="I330" s="46" t="str">
        <f t="array" ref="I330">IF('.'!I330="","",'.'!I330&amp;IF(VLOOKUP('.'!I330,Recipes!$A:$D,4,FALSE)="",""," ["&amp;VLOOKUP('.'!I330,Recipes!$A:$D,4,FALSE)&amp;"]"))</f>
        <v/>
      </c>
      <c r="J330" s="46" t="str">
        <f t="array" ref="J330">IF('.'!J330="","",'.'!J330&amp;IF(VLOOKUP('.'!J330,Recipes!$A:$D,4,FALSE)="",""," ["&amp;VLOOKUP('.'!J330,Recipes!$A:$D,4,FALSE)&amp;"]"))</f>
        <v/>
      </c>
      <c r="K330" s="46" t="str">
        <f t="array" ref="K330">IF('.'!K330="","",'.'!K330&amp;IF(VLOOKUP('.'!K330,Recipes!$A:$D,4,FALSE)="",""," ["&amp;VLOOKUP('.'!K330,Recipes!$A:$D,4,FALSE)&amp;"]"))</f>
        <v/>
      </c>
      <c r="L330" s="46" t="str">
        <f t="array" ref="L330">IF('.'!L330="","",'.'!L330&amp;IF(VLOOKUP('.'!L330,Recipes!$A:$D,4,FALSE)="",""," ["&amp;VLOOKUP('.'!L330,Recipes!$A:$D,4,FALSE)&amp;"]"))</f>
        <v/>
      </c>
      <c r="M330" s="46" t="str">
        <f t="array" ref="M330">IF('.'!M330="","",'.'!M330&amp;IF(VLOOKUP('.'!M330,Recipes!$A:$D,4,FALSE)="",""," ["&amp;VLOOKUP('.'!M330,Recipes!$A:$D,4,FALSE)&amp;"]"))</f>
        <v/>
      </c>
      <c r="N330" s="46" t="str">
        <f t="array" ref="N330">IF('.'!N330="","",'.'!N330&amp;IF(VLOOKUP('.'!N330,Recipes!$A:$D,4,FALSE)="",""," ["&amp;VLOOKUP('.'!N330,Recipes!$A:$D,4,FALSE)&amp;"]"))</f>
        <v/>
      </c>
      <c r="O330" s="46" t="str">
        <f t="array" ref="O330">IF('.'!O330="","",'.'!O330&amp;IF(VLOOKUP('.'!O330,Recipes!$A:$D,4,FALSE)="",""," ["&amp;VLOOKUP('.'!O330,Recipes!$A:$D,4,FALSE)&amp;"]"))</f>
        <v/>
      </c>
      <c r="P330" s="46" t="str">
        <f t="array" ref="P330">IF('.'!P330="","",'.'!P330&amp;IF(VLOOKUP('.'!P330,Recipes!$A:$D,4,FALSE)="",""," ["&amp;VLOOKUP('.'!P330,Recipes!$A:$D,4,FALSE)&amp;"]"))</f>
        <v/>
      </c>
      <c r="Q330" s="46" t="str">
        <f t="array" ref="Q330">IF('.'!Q330="","",'.'!Q330&amp;IF(VLOOKUP('.'!Q330,Recipes!$A:$D,4,FALSE)="",""," ["&amp;VLOOKUP('.'!Q330,Recipes!$A:$D,4,FALSE)&amp;"]"))</f>
        <v/>
      </c>
      <c r="R330" s="46" t="str">
        <f t="array" ref="R330">IF('.'!R330="","",'.'!R330&amp;IF(VLOOKUP('.'!R330,Recipes!$A:$D,4,FALSE)="",""," ["&amp;VLOOKUP('.'!R330,Recipes!$A:$D,4,FALSE)&amp;"]"))</f>
        <v/>
      </c>
      <c r="S330" s="46" t="str">
        <f t="array" ref="S330">IF('.'!S330="","",'.'!S330&amp;IF(VLOOKUP('.'!S330,Recipes!$A:$D,4,FALSE)="",""," ["&amp;VLOOKUP('.'!S330,Recipes!$A:$D,4,FALSE)&amp;"]"))</f>
        <v/>
      </c>
      <c r="T330" s="46" t="str">
        <f t="array" ref="T330">IF('.'!T330="","",'.'!T330&amp;IF(VLOOKUP('.'!T330,Recipes!$A:$D,4,FALSE)="",""," ["&amp;VLOOKUP('.'!T330,Recipes!$A:$D,4,FALSE)&amp;"]"))</f>
        <v/>
      </c>
      <c r="U330" s="46" t="str">
        <f t="array" ref="U330">IF('.'!U330="","",'.'!U330&amp;IF(VLOOKUP('.'!U330,Recipes!$A:$D,4,FALSE)="",""," ["&amp;VLOOKUP('.'!U330,Recipes!$A:$D,4,FALSE)&amp;"]"))</f>
        <v/>
      </c>
      <c r="V330" s="46" t="str">
        <f t="array" ref="V330">IF('.'!V330="","",'.'!V330&amp;IF(VLOOKUP('.'!V330,Recipes!$A:$D,4,FALSE)="",""," ["&amp;VLOOKUP('.'!V330,Recipes!$A:$D,4,FALSE)&amp;"]"))</f>
        <v/>
      </c>
      <c r="W330" s="46" t="str">
        <f t="array" ref="W330">IF('.'!W330="","",'.'!W330&amp;IF(VLOOKUP('.'!W330,Recipes!$A:$D,4,FALSE)="",""," ["&amp;VLOOKUP('.'!W330,Recipes!$A:$D,4,FALSE)&amp;"]"))</f>
        <v/>
      </c>
      <c r="X330" s="46" t="str">
        <f t="array" ref="X330">IF('.'!X330="","",'.'!X330&amp;IF(VLOOKUP('.'!X330,Recipes!$A:$D,4,FALSE)="",""," ["&amp;VLOOKUP('.'!X330,Recipes!$A:$D,4,FALSE)&amp;"]"))</f>
        <v/>
      </c>
      <c r="Y330" s="46" t="str">
        <f t="array" ref="Y330">IF('.'!Y330="","",'.'!Y330&amp;IF(VLOOKUP('.'!Y330,Recipes!$A:$D,4,FALSE)="",""," ["&amp;VLOOKUP('.'!Y330,Recipes!$A:$D,4,FALSE)&amp;"]"))</f>
        <v/>
      </c>
      <c r="Z330" s="46" t="str">
        <f t="array" ref="Z330">IF('.'!Z330="","",'.'!Z330&amp;IF(VLOOKUP('.'!Z330,Recipes!$A:$D,4,FALSE)="",""," ["&amp;VLOOKUP('.'!Z330,Recipes!$A:$D,4,FALSE)&amp;"]"))</f>
        <v/>
      </c>
      <c r="AA330" s="46" t="str">
        <f t="array" ref="AA330">IF('.'!AA330="","",'.'!AA330&amp;IF(VLOOKUP('.'!AA330,Recipes!$A:$D,4,FALSE)="",""," ["&amp;VLOOKUP('.'!AA330,Recipes!$A:$D,4,FALSE)&amp;"]"))</f>
        <v/>
      </c>
      <c r="AB330" s="46" t="str">
        <f t="array" ref="AB330">IF('.'!AB330="","",'.'!AB330&amp;IF(VLOOKUP('.'!AB330,Recipes!$A:$D,4,FALSE)="",""," ["&amp;VLOOKUP('.'!AB330,Recipes!$A:$D,4,FALSE)&amp;"]"))</f>
        <v/>
      </c>
      <c r="AC330" s="46" t="str">
        <f t="array" ref="AC330">IF('.'!AC330="","",'.'!AC330&amp;IF(VLOOKUP('.'!AC330,Recipes!$A:$D,4,FALSE)="",""," ["&amp;VLOOKUP('.'!AC330,Recipes!$A:$D,4,FALSE)&amp;"]"))</f>
        <v/>
      </c>
      <c r="AD330" s="46" t="str">
        <f t="array" ref="AD330">IF('.'!AD330="","",'.'!AD330&amp;IF(VLOOKUP('.'!AD330,Recipes!$A:$D,4,FALSE)="",""," ["&amp;VLOOKUP('.'!AD330,Recipes!$A:$D,4,FALSE)&amp;"]"))</f>
        <v/>
      </c>
      <c r="AE330" s="47"/>
      <c r="AF330" s="47"/>
      <c r="AG330" s="47"/>
      <c r="AH330" s="47"/>
      <c r="AI330" s="47"/>
      <c r="AJ330" s="47"/>
      <c r="AK330" s="47"/>
      <c r="AL330" s="47"/>
      <c r="AM330" s="47"/>
      <c r="AN330" s="47"/>
      <c r="AO330" s="47"/>
      <c r="AP330" s="47"/>
      <c r="AQ330" s="47"/>
      <c r="AR330" s="47"/>
      <c r="AS330" s="47"/>
      <c r="AT330" s="47"/>
      <c r="AU330" s="47"/>
      <c r="AV330" s="47"/>
      <c r="AW330" s="47"/>
      <c r="AX330" s="47"/>
      <c r="AY330" s="47"/>
      <c r="AZ330" s="47"/>
      <c r="BA330" s="47"/>
      <c r="BB330" s="47"/>
      <c r="BC330" s="47"/>
      <c r="BD330" s="47"/>
      <c r="BE330" s="47"/>
      <c r="BF330" s="47"/>
      <c r="BG330" s="47"/>
      <c r="BH330" s="47"/>
      <c r="BI330" s="47"/>
      <c r="BJ330" s="47"/>
      <c r="BK330" s="47"/>
      <c r="BL330" s="47"/>
      <c r="BM330" s="47"/>
      <c r="BN330" s="47"/>
      <c r="BO330" s="47"/>
      <c r="BP330" s="47"/>
      <c r="BQ330" s="47"/>
      <c r="BR330" s="47"/>
      <c r="BS330" s="47"/>
      <c r="BT330" s="47"/>
      <c r="BU330" s="47"/>
      <c r="BV330" s="47"/>
      <c r="BW330" s="47"/>
      <c r="BX330" s="47"/>
      <c r="BY330" s="47"/>
      <c r="BZ330" s="47"/>
    </row>
    <row r="331" spans="1:78" ht="13">
      <c r="A331" s="48" t="str">
        <f ca="1">'.'!A331</f>
        <v>Pillow</v>
      </c>
      <c r="B331" s="46" t="str">
        <f t="array" aca="1" ref="B331" ca="1">IF('.'!B331="","",'.'!B331&amp;IF(VLOOKUP('.'!B331,Recipes!$A:$D,4,FALSE)="",""," ["&amp;VLOOKUP('.'!B331,Recipes!$A:$D,4,FALSE)&amp;"]"))</f>
        <v>Feather [0]</v>
      </c>
      <c r="C331" s="46" t="str">
        <f t="array" ref="C331">IF('.'!C331="","",'.'!C331&amp;IF(VLOOKUP('.'!C331,Recipes!$A:$D,4,FALSE)="",""," ["&amp;VLOOKUP('.'!C331,Recipes!$A:$D,4,FALSE)&amp;"]"))</f>
        <v/>
      </c>
      <c r="D331" s="46" t="str">
        <f t="array" ref="D331">IF('.'!D331="","",'.'!D331&amp;IF(VLOOKUP('.'!D331,Recipes!$A:$D,4,FALSE)="",""," ["&amp;VLOOKUP('.'!D331,Recipes!$A:$D,4,FALSE)&amp;"]"))</f>
        <v/>
      </c>
      <c r="E331" s="46" t="str">
        <f t="array" ref="E331">IF('.'!E331="","",'.'!E331&amp;IF(VLOOKUP('.'!E331,Recipes!$A:$D,4,FALSE)="",""," ["&amp;VLOOKUP('.'!E331,Recipes!$A:$D,4,FALSE)&amp;"]"))</f>
        <v/>
      </c>
      <c r="F331" s="46" t="str">
        <f t="array" ref="F331">IF('.'!F331="","",'.'!F331&amp;IF(VLOOKUP('.'!F331,Recipes!$A:$D,4,FALSE)="",""," ["&amp;VLOOKUP('.'!F331,Recipes!$A:$D,4,FALSE)&amp;"]"))</f>
        <v/>
      </c>
      <c r="G331" s="46" t="str">
        <f t="array" ref="G331">IF('.'!G331="","",'.'!G331&amp;IF(VLOOKUP('.'!G331,Recipes!$A:$D,4,FALSE)="",""," ["&amp;VLOOKUP('.'!G331,Recipes!$A:$D,4,FALSE)&amp;"]"))</f>
        <v/>
      </c>
      <c r="H331" s="46" t="str">
        <f t="array" ref="H331">IF('.'!H331="","",'.'!H331&amp;IF(VLOOKUP('.'!H331,Recipes!$A:$D,4,FALSE)="",""," ["&amp;VLOOKUP('.'!H331,Recipes!$A:$D,4,FALSE)&amp;"]"))</f>
        <v/>
      </c>
      <c r="I331" s="46" t="str">
        <f t="array" ref="I331">IF('.'!I331="","",'.'!I331&amp;IF(VLOOKUP('.'!I331,Recipes!$A:$D,4,FALSE)="",""," ["&amp;VLOOKUP('.'!I331,Recipes!$A:$D,4,FALSE)&amp;"]"))</f>
        <v/>
      </c>
      <c r="J331" s="46" t="str">
        <f t="array" ref="J331">IF('.'!J331="","",'.'!J331&amp;IF(VLOOKUP('.'!J331,Recipes!$A:$D,4,FALSE)="",""," ["&amp;VLOOKUP('.'!J331,Recipes!$A:$D,4,FALSE)&amp;"]"))</f>
        <v/>
      </c>
      <c r="K331" s="46" t="str">
        <f t="array" ref="K331">IF('.'!K331="","",'.'!K331&amp;IF(VLOOKUP('.'!K331,Recipes!$A:$D,4,FALSE)="",""," ["&amp;VLOOKUP('.'!K331,Recipes!$A:$D,4,FALSE)&amp;"]"))</f>
        <v/>
      </c>
      <c r="L331" s="46" t="str">
        <f t="array" ref="L331">IF('.'!L331="","",'.'!L331&amp;IF(VLOOKUP('.'!L331,Recipes!$A:$D,4,FALSE)="",""," ["&amp;VLOOKUP('.'!L331,Recipes!$A:$D,4,FALSE)&amp;"]"))</f>
        <v/>
      </c>
      <c r="M331" s="46" t="str">
        <f t="array" ref="M331">IF('.'!M331="","",'.'!M331&amp;IF(VLOOKUP('.'!M331,Recipes!$A:$D,4,FALSE)="",""," ["&amp;VLOOKUP('.'!M331,Recipes!$A:$D,4,FALSE)&amp;"]"))</f>
        <v/>
      </c>
      <c r="N331" s="46" t="str">
        <f t="array" ref="N331">IF('.'!N331="","",'.'!N331&amp;IF(VLOOKUP('.'!N331,Recipes!$A:$D,4,FALSE)="",""," ["&amp;VLOOKUP('.'!N331,Recipes!$A:$D,4,FALSE)&amp;"]"))</f>
        <v/>
      </c>
      <c r="O331" s="46" t="str">
        <f t="array" ref="O331">IF('.'!O331="","",'.'!O331&amp;IF(VLOOKUP('.'!O331,Recipes!$A:$D,4,FALSE)="",""," ["&amp;VLOOKUP('.'!O331,Recipes!$A:$D,4,FALSE)&amp;"]"))</f>
        <v/>
      </c>
      <c r="P331" s="46" t="str">
        <f t="array" ref="P331">IF('.'!P331="","",'.'!P331&amp;IF(VLOOKUP('.'!P331,Recipes!$A:$D,4,FALSE)="",""," ["&amp;VLOOKUP('.'!P331,Recipes!$A:$D,4,FALSE)&amp;"]"))</f>
        <v/>
      </c>
      <c r="Q331" s="46" t="str">
        <f t="array" ref="Q331">IF('.'!Q331="","",'.'!Q331&amp;IF(VLOOKUP('.'!Q331,Recipes!$A:$D,4,FALSE)="",""," ["&amp;VLOOKUP('.'!Q331,Recipes!$A:$D,4,FALSE)&amp;"]"))</f>
        <v/>
      </c>
      <c r="R331" s="46" t="str">
        <f t="array" ref="R331">IF('.'!R331="","",'.'!R331&amp;IF(VLOOKUP('.'!R331,Recipes!$A:$D,4,FALSE)="",""," ["&amp;VLOOKUP('.'!R331,Recipes!$A:$D,4,FALSE)&amp;"]"))</f>
        <v/>
      </c>
      <c r="S331" s="46" t="str">
        <f t="array" ref="S331">IF('.'!S331="","",'.'!S331&amp;IF(VLOOKUP('.'!S331,Recipes!$A:$D,4,FALSE)="",""," ["&amp;VLOOKUP('.'!S331,Recipes!$A:$D,4,FALSE)&amp;"]"))</f>
        <v/>
      </c>
      <c r="T331" s="46" t="str">
        <f t="array" ref="T331">IF('.'!T331="","",'.'!T331&amp;IF(VLOOKUP('.'!T331,Recipes!$A:$D,4,FALSE)="",""," ["&amp;VLOOKUP('.'!T331,Recipes!$A:$D,4,FALSE)&amp;"]"))</f>
        <v/>
      </c>
      <c r="U331" s="46" t="str">
        <f t="array" ref="U331">IF('.'!U331="","",'.'!U331&amp;IF(VLOOKUP('.'!U331,Recipes!$A:$D,4,FALSE)="",""," ["&amp;VLOOKUP('.'!U331,Recipes!$A:$D,4,FALSE)&amp;"]"))</f>
        <v/>
      </c>
      <c r="V331" s="46" t="str">
        <f t="array" ref="V331">IF('.'!V331="","",'.'!V331&amp;IF(VLOOKUP('.'!V331,Recipes!$A:$D,4,FALSE)="",""," ["&amp;VLOOKUP('.'!V331,Recipes!$A:$D,4,FALSE)&amp;"]"))</f>
        <v/>
      </c>
      <c r="W331" s="46" t="str">
        <f t="array" ref="W331">IF('.'!W331="","",'.'!W331&amp;IF(VLOOKUP('.'!W331,Recipes!$A:$D,4,FALSE)="",""," ["&amp;VLOOKUP('.'!W331,Recipes!$A:$D,4,FALSE)&amp;"]"))</f>
        <v/>
      </c>
      <c r="X331" s="46" t="str">
        <f t="array" ref="X331">IF('.'!X331="","",'.'!X331&amp;IF(VLOOKUP('.'!X331,Recipes!$A:$D,4,FALSE)="",""," ["&amp;VLOOKUP('.'!X331,Recipes!$A:$D,4,FALSE)&amp;"]"))</f>
        <v/>
      </c>
      <c r="Y331" s="46" t="str">
        <f t="array" ref="Y331">IF('.'!Y331="","",'.'!Y331&amp;IF(VLOOKUP('.'!Y331,Recipes!$A:$D,4,FALSE)="",""," ["&amp;VLOOKUP('.'!Y331,Recipes!$A:$D,4,FALSE)&amp;"]"))</f>
        <v/>
      </c>
      <c r="Z331" s="46" t="str">
        <f t="array" ref="Z331">IF('.'!Z331="","",'.'!Z331&amp;IF(VLOOKUP('.'!Z331,Recipes!$A:$D,4,FALSE)="",""," ["&amp;VLOOKUP('.'!Z331,Recipes!$A:$D,4,FALSE)&amp;"]"))</f>
        <v/>
      </c>
      <c r="AA331" s="46" t="str">
        <f t="array" ref="AA331">IF('.'!AA331="","",'.'!AA331&amp;IF(VLOOKUP('.'!AA331,Recipes!$A:$D,4,FALSE)="",""," ["&amp;VLOOKUP('.'!AA331,Recipes!$A:$D,4,FALSE)&amp;"]"))</f>
        <v/>
      </c>
      <c r="AB331" s="46" t="str">
        <f t="array" ref="AB331">IF('.'!AB331="","",'.'!AB331&amp;IF(VLOOKUP('.'!AB331,Recipes!$A:$D,4,FALSE)="",""," ["&amp;VLOOKUP('.'!AB331,Recipes!$A:$D,4,FALSE)&amp;"]"))</f>
        <v/>
      </c>
      <c r="AC331" s="46" t="str">
        <f t="array" ref="AC331">IF('.'!AC331="","",'.'!AC331&amp;IF(VLOOKUP('.'!AC331,Recipes!$A:$D,4,FALSE)="",""," ["&amp;VLOOKUP('.'!AC331,Recipes!$A:$D,4,FALSE)&amp;"]"))</f>
        <v/>
      </c>
      <c r="AD331" s="46" t="str">
        <f t="array" ref="AD331">IF('.'!AD331="","",'.'!AD331&amp;IF(VLOOKUP('.'!AD331,Recipes!$A:$D,4,FALSE)="",""," ["&amp;VLOOKUP('.'!AD331,Recipes!$A:$D,4,FALSE)&amp;"]"))</f>
        <v/>
      </c>
      <c r="AE331" s="47"/>
      <c r="AF331" s="47"/>
      <c r="AG331" s="47"/>
      <c r="AH331" s="47"/>
      <c r="AI331" s="47"/>
      <c r="AJ331" s="47"/>
      <c r="AK331" s="47"/>
      <c r="AL331" s="47"/>
      <c r="AM331" s="47"/>
      <c r="AN331" s="47"/>
      <c r="AO331" s="47"/>
      <c r="AP331" s="47"/>
      <c r="AQ331" s="47"/>
      <c r="AR331" s="47"/>
      <c r="AS331" s="47"/>
      <c r="AT331" s="47"/>
      <c r="AU331" s="47"/>
      <c r="AV331" s="47"/>
      <c r="AW331" s="47"/>
      <c r="AX331" s="47"/>
      <c r="AY331" s="47"/>
      <c r="AZ331" s="47"/>
      <c r="BA331" s="47"/>
      <c r="BB331" s="47"/>
      <c r="BC331" s="47"/>
      <c r="BD331" s="47"/>
      <c r="BE331" s="47"/>
      <c r="BF331" s="47"/>
      <c r="BG331" s="47"/>
      <c r="BH331" s="47"/>
      <c r="BI331" s="47"/>
      <c r="BJ331" s="47"/>
      <c r="BK331" s="47"/>
      <c r="BL331" s="47"/>
      <c r="BM331" s="47"/>
      <c r="BN331" s="47"/>
      <c r="BO331" s="47"/>
      <c r="BP331" s="47"/>
      <c r="BQ331" s="47"/>
      <c r="BR331" s="47"/>
      <c r="BS331" s="47"/>
      <c r="BT331" s="47"/>
      <c r="BU331" s="47"/>
      <c r="BV331" s="47"/>
      <c r="BW331" s="47"/>
      <c r="BX331" s="47"/>
      <c r="BY331" s="47"/>
      <c r="BZ331" s="47"/>
    </row>
    <row r="332" spans="1:78" ht="13">
      <c r="A332" s="48" t="str">
        <f ca="1">'.'!A332</f>
        <v>Pixie Dust</v>
      </c>
      <c r="B332" s="46" t="str">
        <f t="array" aca="1" ref="B332" ca="1">IF('.'!B332="","",'.'!B332&amp;IF(VLOOKUP('.'!B332,Recipes!$A:$D,4,FALSE)="",""," ["&amp;VLOOKUP('.'!B332,Recipes!$A:$D,4,FALSE)&amp;"]"))</f>
        <v>Handmade Mage Armour [V]</v>
      </c>
      <c r="C332" s="46" t="str">
        <f t="array" aca="1" ref="C332" ca="1">IF('.'!C332="","",'.'!C332&amp;IF(VLOOKUP('.'!C332,Recipes!$A:$D,4,FALSE)="",""," ["&amp;VLOOKUP('.'!C332,Recipes!$A:$D,4,FALSE)&amp;"]"))</f>
        <v>Holy Hand Grenade [0]</v>
      </c>
      <c r="D332" s="46" t="str">
        <f t="array" aca="1" ref="D332" ca="1">IF('.'!D332="","",'.'!D332&amp;IF(VLOOKUP('.'!D332,Recipes!$A:$D,4,FALSE)="",""," ["&amp;VLOOKUP('.'!D332,Recipes!$A:$D,4,FALSE)&amp;"]"))</f>
        <v>Love Grenade [-20]</v>
      </c>
      <c r="E332" s="46" t="str">
        <f t="array" aca="1" ref="E332" ca="1">IF('.'!E332="","",'.'!E332&amp;IF(VLOOKUP('.'!E332,Recipes!$A:$D,4,FALSE)="",""," ["&amp;VLOOKUP('.'!E332,Recipes!$A:$D,4,FALSE)&amp;"]"))</f>
        <v>Large Flame Rune [-590]</v>
      </c>
      <c r="F332" s="46" t="str">
        <f t="array" aca="1" ref="F332" ca="1">IF('.'!F332="","",'.'!F332&amp;IF(VLOOKUP('.'!F332,Recipes!$A:$D,4,FALSE)="",""," ["&amp;VLOOKUP('.'!F332,Recipes!$A:$D,4,FALSE)&amp;"]"))</f>
        <v>Medium Flame Rune [-370]</v>
      </c>
      <c r="G332" s="46" t="e">
        <f t="array" aca="1" ref="G332" ca="1">IF('.'!G332="","",'.'!G332&amp;IF(VLOOKUP('.'!G332,Recipes!$A:$D,4,FALSE)="",""," ["&amp;VLOOKUP('.'!G332,Recipes!$A:$D,4,FALSE)&amp;"]"))</f>
        <v>#VALUE!</v>
      </c>
      <c r="H332" s="46" t="str">
        <f t="array" aca="1" ref="H332" ca="1">IF('.'!H332="","",'.'!H332&amp;IF(VLOOKUP('.'!H332,Recipes!$A:$D,4,FALSE)="",""," ["&amp;VLOOKUP('.'!H332,Recipes!$A:$D,4,FALSE)&amp;"]"))</f>
        <v>Large Frost Rune [-590]</v>
      </c>
      <c r="I332" s="46" t="str">
        <f t="array" aca="1" ref="I332" ca="1">IF('.'!I332="","",'.'!I332&amp;IF(VLOOKUP('.'!I332,Recipes!$A:$D,4,FALSE)="",""," ["&amp;VLOOKUP('.'!I332,Recipes!$A:$D,4,FALSE)&amp;"]"))</f>
        <v>Medium Frost Rune [-370]</v>
      </c>
      <c r="J332" s="46" t="e">
        <f t="array" aca="1" ref="J332" ca="1">IF('.'!J332="","",'.'!J332&amp;IF(VLOOKUP('.'!J332,Recipes!$A:$D,4,FALSE)="",""," ["&amp;VLOOKUP('.'!J332,Recipes!$A:$D,4,FALSE)&amp;"]"))</f>
        <v>#VALUE!</v>
      </c>
      <c r="K332" s="46" t="str">
        <f t="array" aca="1" ref="K332" ca="1">IF('.'!K332="","",'.'!K332&amp;IF(VLOOKUP('.'!K332,Recipes!$A:$D,4,FALSE)="",""," ["&amp;VLOOKUP('.'!K332,Recipes!$A:$D,4,FALSE)&amp;"]"))</f>
        <v>Large Masterwork Rune [-590]</v>
      </c>
      <c r="L332" s="46" t="str">
        <f t="array" aca="1" ref="L332" ca="1">IF('.'!L332="","",'.'!L332&amp;IF(VLOOKUP('.'!L332,Recipes!$A:$D,4,FALSE)="",""," ["&amp;VLOOKUP('.'!L332,Recipes!$A:$D,4,FALSE)&amp;"]"))</f>
        <v>Medium Masterwork Rune [-370]</v>
      </c>
      <c r="M332" s="46" t="str">
        <f t="array" aca="1" ref="M332" ca="1">IF('.'!M332="","",'.'!M332&amp;IF(VLOOKUP('.'!M332,Recipes!$A:$D,4,FALSE)="",""," ["&amp;VLOOKUP('.'!M332,Recipes!$A:$D,4,FALSE)&amp;"]"))</f>
        <v>Small Masterwork Rune [-1050]</v>
      </c>
      <c r="N332" s="46" t="str">
        <f t="array" aca="1" ref="N332" ca="1">IF('.'!N332="","",'.'!N332&amp;IF(VLOOKUP('.'!N332,Recipes!$A:$D,4,FALSE)="",""," ["&amp;VLOOKUP('.'!N332,Recipes!$A:$D,4,FALSE)&amp;"]"))</f>
        <v>Large Rock Rune [-590]</v>
      </c>
      <c r="O332" s="46" t="str">
        <f t="array" aca="1" ref="O332" ca="1">IF('.'!O332="","",'.'!O332&amp;IF(VLOOKUP('.'!O332,Recipes!$A:$D,4,FALSE)="",""," ["&amp;VLOOKUP('.'!O332,Recipes!$A:$D,4,FALSE)&amp;"]"))</f>
        <v>Medium Rock Rune [-370]</v>
      </c>
      <c r="P332" s="46" t="str">
        <f t="array" aca="1" ref="P332" ca="1">IF('.'!P332="","",'.'!P332&amp;IF(VLOOKUP('.'!P332,Recipes!$A:$D,4,FALSE)="",""," ["&amp;VLOOKUP('.'!P332,Recipes!$A:$D,4,FALSE)&amp;"]"))</f>
        <v>Small Rock Rune [-301]</v>
      </c>
      <c r="Q332" s="46" t="str">
        <f t="array" aca="1" ref="Q332" ca="1">IF('.'!Q332="","",'.'!Q332&amp;IF(VLOOKUP('.'!Q332,Recipes!$A:$D,4,FALSE)="",""," ["&amp;VLOOKUP('.'!Q332,Recipes!$A:$D,4,FALSE)&amp;"]"))</f>
        <v>Large Thunder Rune [-590]</v>
      </c>
      <c r="R332" s="46" t="str">
        <f t="array" aca="1" ref="R332" ca="1">IF('.'!R332="","",'.'!R332&amp;IF(VLOOKUP('.'!R332,Recipes!$A:$D,4,FALSE)="",""," ["&amp;VLOOKUP('.'!R332,Recipes!$A:$D,4,FALSE)&amp;"]"))</f>
        <v>Medium Thunder Rune [-370]</v>
      </c>
      <c r="S332" s="46" t="e">
        <f t="array" aca="1" ref="S332" ca="1">IF('.'!S332="","",'.'!S332&amp;IF(VLOOKUP('.'!S332,Recipes!$A:$D,4,FALSE)="",""," ["&amp;VLOOKUP('.'!S332,Recipes!$A:$D,4,FALSE)&amp;"]"))</f>
        <v>#VALUE!</v>
      </c>
      <c r="T332" s="46" t="str">
        <f t="array" aca="1" ref="T332" ca="1">IF('.'!T332="","",'.'!T332&amp;IF(VLOOKUP('.'!T332,Recipes!$A:$D,4,FALSE)="",""," ["&amp;VLOOKUP('.'!T332,Recipes!$A:$D,4,FALSE)&amp;"]"))</f>
        <v>Large Venom Rune [-590]</v>
      </c>
      <c r="U332" s="46" t="str">
        <f t="array" aca="1" ref="U332" ca="1">IF('.'!U332="","",'.'!U332&amp;IF(VLOOKUP('.'!U332,Recipes!$A:$D,4,FALSE)="",""," ["&amp;VLOOKUP('.'!U332,Recipes!$A:$D,4,FALSE)&amp;"]"))</f>
        <v>Medium Venom Rune [-370]</v>
      </c>
      <c r="V332" s="46" t="str">
        <f t="array" aca="1" ref="V332" ca="1">IF('.'!V332="","",'.'!V332&amp;IF(VLOOKUP('.'!V332,Recipes!$A:$D,4,FALSE)="",""," ["&amp;VLOOKUP('.'!V332,Recipes!$A:$D,4,FALSE)&amp;"]"))</f>
        <v>Small Venom Rune [-350]</v>
      </c>
      <c r="W332" s="46" t="str">
        <f t="array" ref="W332">IF('.'!W332="","",'.'!W332&amp;IF(VLOOKUP('.'!W332,Recipes!$A:$D,4,FALSE)="",""," ["&amp;VLOOKUP('.'!W332,Recipes!$A:$D,4,FALSE)&amp;"]"))</f>
        <v/>
      </c>
      <c r="X332" s="46" t="str">
        <f t="array" ref="X332">IF('.'!X332="","",'.'!X332&amp;IF(VLOOKUP('.'!X332,Recipes!$A:$D,4,FALSE)="",""," ["&amp;VLOOKUP('.'!X332,Recipes!$A:$D,4,FALSE)&amp;"]"))</f>
        <v/>
      </c>
      <c r="Y332" s="46" t="str">
        <f t="array" ref="Y332">IF('.'!Y332="","",'.'!Y332&amp;IF(VLOOKUP('.'!Y332,Recipes!$A:$D,4,FALSE)="",""," ["&amp;VLOOKUP('.'!Y332,Recipes!$A:$D,4,FALSE)&amp;"]"))</f>
        <v/>
      </c>
      <c r="Z332" s="46" t="str">
        <f t="array" ref="Z332">IF('.'!Z332="","",'.'!Z332&amp;IF(VLOOKUP('.'!Z332,Recipes!$A:$D,4,FALSE)="",""," ["&amp;VLOOKUP('.'!Z332,Recipes!$A:$D,4,FALSE)&amp;"]"))</f>
        <v/>
      </c>
      <c r="AA332" s="46" t="str">
        <f t="array" ref="AA332">IF('.'!AA332="","",'.'!AA332&amp;IF(VLOOKUP('.'!AA332,Recipes!$A:$D,4,FALSE)="",""," ["&amp;VLOOKUP('.'!AA332,Recipes!$A:$D,4,FALSE)&amp;"]"))</f>
        <v/>
      </c>
      <c r="AB332" s="46" t="str">
        <f t="array" ref="AB332">IF('.'!AB332="","",'.'!AB332&amp;IF(VLOOKUP('.'!AB332,Recipes!$A:$D,4,FALSE)="",""," ["&amp;VLOOKUP('.'!AB332,Recipes!$A:$D,4,FALSE)&amp;"]"))</f>
        <v/>
      </c>
      <c r="AC332" s="46" t="str">
        <f t="array" ref="AC332">IF('.'!AC332="","",'.'!AC332&amp;IF(VLOOKUP('.'!AC332,Recipes!$A:$D,4,FALSE)="",""," ["&amp;VLOOKUP('.'!AC332,Recipes!$A:$D,4,FALSE)&amp;"]"))</f>
        <v/>
      </c>
      <c r="AD332" s="46" t="str">
        <f t="array" ref="AD332">IF('.'!AD332="","",'.'!AD332&amp;IF(VLOOKUP('.'!AD332,Recipes!$A:$D,4,FALSE)="",""," ["&amp;VLOOKUP('.'!AD332,Recipes!$A:$D,4,FALSE)&amp;"]"))</f>
        <v/>
      </c>
      <c r="AE332" s="47"/>
      <c r="AF332" s="47"/>
      <c r="AG332" s="47"/>
      <c r="AH332" s="47"/>
      <c r="AI332" s="47"/>
      <c r="AJ332" s="47"/>
      <c r="AK332" s="47"/>
      <c r="AL332" s="47"/>
      <c r="AM332" s="47"/>
      <c r="AN332" s="47"/>
      <c r="AO332" s="47"/>
      <c r="AP332" s="47"/>
      <c r="AQ332" s="47"/>
      <c r="AR332" s="47"/>
      <c r="AS332" s="47"/>
      <c r="AT332" s="47"/>
      <c r="AU332" s="47"/>
      <c r="AV332" s="47"/>
      <c r="AW332" s="47"/>
      <c r="AX332" s="47"/>
      <c r="AY332" s="47"/>
      <c r="AZ332" s="47"/>
      <c r="BA332" s="47"/>
      <c r="BB332" s="47"/>
      <c r="BC332" s="47"/>
      <c r="BD332" s="47"/>
      <c r="BE332" s="47"/>
      <c r="BF332" s="47"/>
      <c r="BG332" s="47"/>
      <c r="BH332" s="47"/>
      <c r="BI332" s="47"/>
      <c r="BJ332" s="47"/>
      <c r="BK332" s="47"/>
      <c r="BL332" s="47"/>
      <c r="BM332" s="47"/>
      <c r="BN332" s="47"/>
      <c r="BO332" s="47"/>
      <c r="BP332" s="47"/>
      <c r="BQ332" s="47"/>
      <c r="BR332" s="47"/>
      <c r="BS332" s="47"/>
      <c r="BT332" s="47"/>
      <c r="BU332" s="47"/>
      <c r="BV332" s="47"/>
      <c r="BW332" s="47"/>
      <c r="BX332" s="47"/>
      <c r="BY332" s="47"/>
      <c r="BZ332" s="47"/>
    </row>
    <row r="333" spans="1:78" ht="13">
      <c r="A333" s="48" t="str">
        <f ca="1">'.'!A333</f>
        <v>Pizza Dough</v>
      </c>
      <c r="B333" s="46" t="str">
        <f t="array" aca="1" ref="B333" ca="1">IF('.'!B333="","",'.'!B333&amp;IF(VLOOKUP('.'!B333,Recipes!$A:$D,4,FALSE)="",""," ["&amp;VLOOKUP('.'!B333,Recipes!$A:$D,4,FALSE)&amp;"]"))</f>
        <v>Pizza [5]</v>
      </c>
      <c r="C333" s="46" t="str">
        <f t="array" ref="C333">IF('.'!C333="","",'.'!C333&amp;IF(VLOOKUP('.'!C333,Recipes!$A:$D,4,FALSE)="",""," ["&amp;VLOOKUP('.'!C333,Recipes!$A:$D,4,FALSE)&amp;"]"))</f>
        <v/>
      </c>
      <c r="D333" s="46" t="str">
        <f t="array" ref="D333">IF('.'!D333="","",'.'!D333&amp;IF(VLOOKUP('.'!D333,Recipes!$A:$D,4,FALSE)="",""," ["&amp;VLOOKUP('.'!D333,Recipes!$A:$D,4,FALSE)&amp;"]"))</f>
        <v/>
      </c>
      <c r="E333" s="46" t="str">
        <f t="array" ref="E333">IF('.'!E333="","",'.'!E333&amp;IF(VLOOKUP('.'!E333,Recipes!$A:$D,4,FALSE)="",""," ["&amp;VLOOKUP('.'!E333,Recipes!$A:$D,4,FALSE)&amp;"]"))</f>
        <v/>
      </c>
      <c r="F333" s="46" t="str">
        <f t="array" ref="F333">IF('.'!F333="","",'.'!F333&amp;IF(VLOOKUP('.'!F333,Recipes!$A:$D,4,FALSE)="",""," ["&amp;VLOOKUP('.'!F333,Recipes!$A:$D,4,FALSE)&amp;"]"))</f>
        <v/>
      </c>
      <c r="G333" s="46" t="str">
        <f t="array" ref="G333">IF('.'!G333="","",'.'!G333&amp;IF(VLOOKUP('.'!G333,Recipes!$A:$D,4,FALSE)="",""," ["&amp;VLOOKUP('.'!G333,Recipes!$A:$D,4,FALSE)&amp;"]"))</f>
        <v/>
      </c>
      <c r="H333" s="46" t="str">
        <f t="array" ref="H333">IF('.'!H333="","",'.'!H333&amp;IF(VLOOKUP('.'!H333,Recipes!$A:$D,4,FALSE)="",""," ["&amp;VLOOKUP('.'!H333,Recipes!$A:$D,4,FALSE)&amp;"]"))</f>
        <v/>
      </c>
      <c r="I333" s="46" t="str">
        <f t="array" ref="I333">IF('.'!I333="","",'.'!I333&amp;IF(VLOOKUP('.'!I333,Recipes!$A:$D,4,FALSE)="",""," ["&amp;VLOOKUP('.'!I333,Recipes!$A:$D,4,FALSE)&amp;"]"))</f>
        <v/>
      </c>
      <c r="J333" s="46" t="str">
        <f t="array" ref="J333">IF('.'!J333="","",'.'!J333&amp;IF(VLOOKUP('.'!J333,Recipes!$A:$D,4,FALSE)="",""," ["&amp;VLOOKUP('.'!J333,Recipes!$A:$D,4,FALSE)&amp;"]"))</f>
        <v/>
      </c>
      <c r="K333" s="46" t="str">
        <f t="array" ref="K333">IF('.'!K333="","",'.'!K333&amp;IF(VLOOKUP('.'!K333,Recipes!$A:$D,4,FALSE)="",""," ["&amp;VLOOKUP('.'!K333,Recipes!$A:$D,4,FALSE)&amp;"]"))</f>
        <v/>
      </c>
      <c r="L333" s="46" t="str">
        <f t="array" ref="L333">IF('.'!L333="","",'.'!L333&amp;IF(VLOOKUP('.'!L333,Recipes!$A:$D,4,FALSE)="",""," ["&amp;VLOOKUP('.'!L333,Recipes!$A:$D,4,FALSE)&amp;"]"))</f>
        <v/>
      </c>
      <c r="M333" s="46" t="str">
        <f t="array" ref="M333">IF('.'!M333="","",'.'!M333&amp;IF(VLOOKUP('.'!M333,Recipes!$A:$D,4,FALSE)="",""," ["&amp;VLOOKUP('.'!M333,Recipes!$A:$D,4,FALSE)&amp;"]"))</f>
        <v/>
      </c>
      <c r="N333" s="46" t="str">
        <f t="array" ref="N333">IF('.'!N333="","",'.'!N333&amp;IF(VLOOKUP('.'!N333,Recipes!$A:$D,4,FALSE)="",""," ["&amp;VLOOKUP('.'!N333,Recipes!$A:$D,4,FALSE)&amp;"]"))</f>
        <v/>
      </c>
      <c r="O333" s="46" t="str">
        <f t="array" ref="O333">IF('.'!O333="","",'.'!O333&amp;IF(VLOOKUP('.'!O333,Recipes!$A:$D,4,FALSE)="",""," ["&amp;VLOOKUP('.'!O333,Recipes!$A:$D,4,FALSE)&amp;"]"))</f>
        <v/>
      </c>
      <c r="P333" s="46" t="str">
        <f t="array" ref="P333">IF('.'!P333="","",'.'!P333&amp;IF(VLOOKUP('.'!P333,Recipes!$A:$D,4,FALSE)="",""," ["&amp;VLOOKUP('.'!P333,Recipes!$A:$D,4,FALSE)&amp;"]"))</f>
        <v/>
      </c>
      <c r="Q333" s="46" t="str">
        <f t="array" ref="Q333">IF('.'!Q333="","",'.'!Q333&amp;IF(VLOOKUP('.'!Q333,Recipes!$A:$D,4,FALSE)="",""," ["&amp;VLOOKUP('.'!Q333,Recipes!$A:$D,4,FALSE)&amp;"]"))</f>
        <v/>
      </c>
      <c r="R333" s="46" t="str">
        <f t="array" ref="R333">IF('.'!R333="","",'.'!R333&amp;IF(VLOOKUP('.'!R333,Recipes!$A:$D,4,FALSE)="",""," ["&amp;VLOOKUP('.'!R333,Recipes!$A:$D,4,FALSE)&amp;"]"))</f>
        <v/>
      </c>
      <c r="S333" s="46" t="str">
        <f t="array" ref="S333">IF('.'!S333="","",'.'!S333&amp;IF(VLOOKUP('.'!S333,Recipes!$A:$D,4,FALSE)="",""," ["&amp;VLOOKUP('.'!S333,Recipes!$A:$D,4,FALSE)&amp;"]"))</f>
        <v/>
      </c>
      <c r="T333" s="46" t="str">
        <f t="array" ref="T333">IF('.'!T333="","",'.'!T333&amp;IF(VLOOKUP('.'!T333,Recipes!$A:$D,4,FALSE)="",""," ["&amp;VLOOKUP('.'!T333,Recipes!$A:$D,4,FALSE)&amp;"]"))</f>
        <v/>
      </c>
      <c r="U333" s="46" t="str">
        <f t="array" ref="U333">IF('.'!U333="","",'.'!U333&amp;IF(VLOOKUP('.'!U333,Recipes!$A:$D,4,FALSE)="",""," ["&amp;VLOOKUP('.'!U333,Recipes!$A:$D,4,FALSE)&amp;"]"))</f>
        <v/>
      </c>
      <c r="V333" s="46" t="str">
        <f t="array" ref="V333">IF('.'!V333="","",'.'!V333&amp;IF(VLOOKUP('.'!V333,Recipes!$A:$D,4,FALSE)="",""," ["&amp;VLOOKUP('.'!V333,Recipes!$A:$D,4,FALSE)&amp;"]"))</f>
        <v/>
      </c>
      <c r="W333" s="46" t="str">
        <f t="array" ref="W333">IF('.'!W333="","",'.'!W333&amp;IF(VLOOKUP('.'!W333,Recipes!$A:$D,4,FALSE)="",""," ["&amp;VLOOKUP('.'!W333,Recipes!$A:$D,4,FALSE)&amp;"]"))</f>
        <v/>
      </c>
      <c r="X333" s="46" t="str">
        <f t="array" ref="X333">IF('.'!X333="","",'.'!X333&amp;IF(VLOOKUP('.'!X333,Recipes!$A:$D,4,FALSE)="",""," ["&amp;VLOOKUP('.'!X333,Recipes!$A:$D,4,FALSE)&amp;"]"))</f>
        <v/>
      </c>
      <c r="Y333" s="46" t="str">
        <f t="array" ref="Y333">IF('.'!Y333="","",'.'!Y333&amp;IF(VLOOKUP('.'!Y333,Recipes!$A:$D,4,FALSE)="",""," ["&amp;VLOOKUP('.'!Y333,Recipes!$A:$D,4,FALSE)&amp;"]"))</f>
        <v/>
      </c>
      <c r="Z333" s="46" t="str">
        <f t="array" ref="Z333">IF('.'!Z333="","",'.'!Z333&amp;IF(VLOOKUP('.'!Z333,Recipes!$A:$D,4,FALSE)="",""," ["&amp;VLOOKUP('.'!Z333,Recipes!$A:$D,4,FALSE)&amp;"]"))</f>
        <v/>
      </c>
      <c r="AA333" s="46" t="str">
        <f t="array" ref="AA333">IF('.'!AA333="","",'.'!AA333&amp;IF(VLOOKUP('.'!AA333,Recipes!$A:$D,4,FALSE)="",""," ["&amp;VLOOKUP('.'!AA333,Recipes!$A:$D,4,FALSE)&amp;"]"))</f>
        <v/>
      </c>
      <c r="AB333" s="46" t="str">
        <f t="array" ref="AB333">IF('.'!AB333="","",'.'!AB333&amp;IF(VLOOKUP('.'!AB333,Recipes!$A:$D,4,FALSE)="",""," ["&amp;VLOOKUP('.'!AB333,Recipes!$A:$D,4,FALSE)&amp;"]"))</f>
        <v/>
      </c>
      <c r="AC333" s="46" t="str">
        <f t="array" ref="AC333">IF('.'!AC333="","",'.'!AC333&amp;IF(VLOOKUP('.'!AC333,Recipes!$A:$D,4,FALSE)="",""," ["&amp;VLOOKUP('.'!AC333,Recipes!$A:$D,4,FALSE)&amp;"]"))</f>
        <v/>
      </c>
      <c r="AD333" s="46" t="str">
        <f t="array" ref="AD333">IF('.'!AD333="","",'.'!AD333&amp;IF(VLOOKUP('.'!AD333,Recipes!$A:$D,4,FALSE)="",""," ["&amp;VLOOKUP('.'!AD333,Recipes!$A:$D,4,FALSE)&amp;"]"))</f>
        <v/>
      </c>
      <c r="AE333" s="47"/>
      <c r="AF333" s="47"/>
      <c r="AG333" s="47"/>
      <c r="AH333" s="47"/>
      <c r="AI333" s="47"/>
      <c r="AJ333" s="47"/>
      <c r="AK333" s="47"/>
      <c r="AL333" s="47"/>
      <c r="AM333" s="47"/>
      <c r="AN333" s="47"/>
      <c r="AO333" s="47"/>
      <c r="AP333" s="47"/>
      <c r="AQ333" s="47"/>
      <c r="AR333" s="47"/>
      <c r="AS333" s="47"/>
      <c r="AT333" s="47"/>
      <c r="AU333" s="47"/>
      <c r="AV333" s="47"/>
      <c r="AW333" s="47"/>
      <c r="AX333" s="47"/>
      <c r="AY333" s="47"/>
      <c r="AZ333" s="47"/>
      <c r="BA333" s="47"/>
      <c r="BB333" s="47"/>
      <c r="BC333" s="47"/>
      <c r="BD333" s="47"/>
      <c r="BE333" s="47"/>
      <c r="BF333" s="47"/>
      <c r="BG333" s="47"/>
      <c r="BH333" s="47"/>
      <c r="BI333" s="47"/>
      <c r="BJ333" s="47"/>
      <c r="BK333" s="47"/>
      <c r="BL333" s="47"/>
      <c r="BM333" s="47"/>
      <c r="BN333" s="47"/>
      <c r="BO333" s="47"/>
      <c r="BP333" s="47"/>
      <c r="BQ333" s="47"/>
      <c r="BR333" s="47"/>
      <c r="BS333" s="47"/>
      <c r="BT333" s="47"/>
      <c r="BU333" s="47"/>
      <c r="BV333" s="47"/>
      <c r="BW333" s="47"/>
      <c r="BX333" s="47"/>
      <c r="BY333" s="47"/>
      <c r="BZ333" s="47"/>
    </row>
    <row r="334" spans="1:78" ht="13">
      <c r="A334" s="48" t="str">
        <f ca="1">'.'!A334</f>
        <v>Plaice [Fish]</v>
      </c>
      <c r="B334" s="46" t="str">
        <f t="array" aca="1" ref="B334" ca="1">IF('.'!B334="","",'.'!B334&amp;IF(VLOOKUP('.'!B334,Recipes!$A:$D,4,FALSE)="",""," ["&amp;VLOOKUP('.'!B334,Recipes!$A:$D,4,FALSE)&amp;"]"))</f>
        <v>Winter Blast Scroll [46]</v>
      </c>
      <c r="C334" s="46" t="str">
        <f t="array" ref="C334">IF('.'!C334="","",'.'!C334&amp;IF(VLOOKUP('.'!C334,Recipes!$A:$D,4,FALSE)="",""," ["&amp;VLOOKUP('.'!C334,Recipes!$A:$D,4,FALSE)&amp;"]"))</f>
        <v/>
      </c>
      <c r="D334" s="46" t="str">
        <f t="array" ref="D334">IF('.'!D334="","",'.'!D334&amp;IF(VLOOKUP('.'!D334,Recipes!$A:$D,4,FALSE)="",""," ["&amp;VLOOKUP('.'!D334,Recipes!$A:$D,4,FALSE)&amp;"]"))</f>
        <v/>
      </c>
      <c r="E334" s="46" t="str">
        <f t="array" ref="E334">IF('.'!E334="","",'.'!E334&amp;IF(VLOOKUP('.'!E334,Recipes!$A:$D,4,FALSE)="",""," ["&amp;VLOOKUP('.'!E334,Recipes!$A:$D,4,FALSE)&amp;"]"))</f>
        <v/>
      </c>
      <c r="F334" s="46" t="str">
        <f t="array" ref="F334">IF('.'!F334="","",'.'!F334&amp;IF(VLOOKUP('.'!F334,Recipes!$A:$D,4,FALSE)="",""," ["&amp;VLOOKUP('.'!F334,Recipes!$A:$D,4,FALSE)&amp;"]"))</f>
        <v/>
      </c>
      <c r="G334" s="46" t="str">
        <f t="array" ref="G334">IF('.'!G334="","",'.'!G334&amp;IF(VLOOKUP('.'!G334,Recipes!$A:$D,4,FALSE)="",""," ["&amp;VLOOKUP('.'!G334,Recipes!$A:$D,4,FALSE)&amp;"]"))</f>
        <v/>
      </c>
      <c r="H334" s="46" t="str">
        <f t="array" ref="H334">IF('.'!H334="","",'.'!H334&amp;IF(VLOOKUP('.'!H334,Recipes!$A:$D,4,FALSE)="",""," ["&amp;VLOOKUP('.'!H334,Recipes!$A:$D,4,FALSE)&amp;"]"))</f>
        <v/>
      </c>
      <c r="I334" s="46" t="str">
        <f t="array" ref="I334">IF('.'!I334="","",'.'!I334&amp;IF(VLOOKUP('.'!I334,Recipes!$A:$D,4,FALSE)="",""," ["&amp;VLOOKUP('.'!I334,Recipes!$A:$D,4,FALSE)&amp;"]"))</f>
        <v/>
      </c>
      <c r="J334" s="46" t="str">
        <f t="array" ref="J334">IF('.'!J334="","",'.'!J334&amp;IF(VLOOKUP('.'!J334,Recipes!$A:$D,4,FALSE)="",""," ["&amp;VLOOKUP('.'!J334,Recipes!$A:$D,4,FALSE)&amp;"]"))</f>
        <v/>
      </c>
      <c r="K334" s="46" t="str">
        <f t="array" ref="K334">IF('.'!K334="","",'.'!K334&amp;IF(VLOOKUP('.'!K334,Recipes!$A:$D,4,FALSE)="",""," ["&amp;VLOOKUP('.'!K334,Recipes!$A:$D,4,FALSE)&amp;"]"))</f>
        <v/>
      </c>
      <c r="L334" s="46" t="str">
        <f t="array" ref="L334">IF('.'!L334="","",'.'!L334&amp;IF(VLOOKUP('.'!L334,Recipes!$A:$D,4,FALSE)="",""," ["&amp;VLOOKUP('.'!L334,Recipes!$A:$D,4,FALSE)&amp;"]"))</f>
        <v/>
      </c>
      <c r="M334" s="46" t="str">
        <f t="array" ref="M334">IF('.'!M334="","",'.'!M334&amp;IF(VLOOKUP('.'!M334,Recipes!$A:$D,4,FALSE)="",""," ["&amp;VLOOKUP('.'!M334,Recipes!$A:$D,4,FALSE)&amp;"]"))</f>
        <v/>
      </c>
      <c r="N334" s="46" t="str">
        <f t="array" ref="N334">IF('.'!N334="","",'.'!N334&amp;IF(VLOOKUP('.'!N334,Recipes!$A:$D,4,FALSE)="",""," ["&amp;VLOOKUP('.'!N334,Recipes!$A:$D,4,FALSE)&amp;"]"))</f>
        <v/>
      </c>
      <c r="O334" s="46" t="str">
        <f t="array" ref="O334">IF('.'!O334="","",'.'!O334&amp;IF(VLOOKUP('.'!O334,Recipes!$A:$D,4,FALSE)="",""," ["&amp;VLOOKUP('.'!O334,Recipes!$A:$D,4,FALSE)&amp;"]"))</f>
        <v/>
      </c>
      <c r="P334" s="46" t="str">
        <f t="array" ref="P334">IF('.'!P334="","",'.'!P334&amp;IF(VLOOKUP('.'!P334,Recipes!$A:$D,4,FALSE)="",""," ["&amp;VLOOKUP('.'!P334,Recipes!$A:$D,4,FALSE)&amp;"]"))</f>
        <v/>
      </c>
      <c r="Q334" s="46" t="str">
        <f t="array" ref="Q334">IF('.'!Q334="","",'.'!Q334&amp;IF(VLOOKUP('.'!Q334,Recipes!$A:$D,4,FALSE)="",""," ["&amp;VLOOKUP('.'!Q334,Recipes!$A:$D,4,FALSE)&amp;"]"))</f>
        <v/>
      </c>
      <c r="R334" s="46" t="str">
        <f t="array" ref="R334">IF('.'!R334="","",'.'!R334&amp;IF(VLOOKUP('.'!R334,Recipes!$A:$D,4,FALSE)="",""," ["&amp;VLOOKUP('.'!R334,Recipes!$A:$D,4,FALSE)&amp;"]"))</f>
        <v/>
      </c>
      <c r="S334" s="46" t="str">
        <f t="array" ref="S334">IF('.'!S334="","",'.'!S334&amp;IF(VLOOKUP('.'!S334,Recipes!$A:$D,4,FALSE)="",""," ["&amp;VLOOKUP('.'!S334,Recipes!$A:$D,4,FALSE)&amp;"]"))</f>
        <v/>
      </c>
      <c r="T334" s="46" t="str">
        <f t="array" ref="T334">IF('.'!T334="","",'.'!T334&amp;IF(VLOOKUP('.'!T334,Recipes!$A:$D,4,FALSE)="",""," ["&amp;VLOOKUP('.'!T334,Recipes!$A:$D,4,FALSE)&amp;"]"))</f>
        <v/>
      </c>
      <c r="U334" s="46" t="str">
        <f t="array" ref="U334">IF('.'!U334="","",'.'!U334&amp;IF(VLOOKUP('.'!U334,Recipes!$A:$D,4,FALSE)="",""," ["&amp;VLOOKUP('.'!U334,Recipes!$A:$D,4,FALSE)&amp;"]"))</f>
        <v/>
      </c>
      <c r="V334" s="46" t="str">
        <f t="array" ref="V334">IF('.'!V334="","",'.'!V334&amp;IF(VLOOKUP('.'!V334,Recipes!$A:$D,4,FALSE)="",""," ["&amp;VLOOKUP('.'!V334,Recipes!$A:$D,4,FALSE)&amp;"]"))</f>
        <v/>
      </c>
      <c r="W334" s="46" t="str">
        <f t="array" ref="W334">IF('.'!W334="","",'.'!W334&amp;IF(VLOOKUP('.'!W334,Recipes!$A:$D,4,FALSE)="",""," ["&amp;VLOOKUP('.'!W334,Recipes!$A:$D,4,FALSE)&amp;"]"))</f>
        <v/>
      </c>
      <c r="X334" s="46" t="str">
        <f t="array" ref="X334">IF('.'!X334="","",'.'!X334&amp;IF(VLOOKUP('.'!X334,Recipes!$A:$D,4,FALSE)="",""," ["&amp;VLOOKUP('.'!X334,Recipes!$A:$D,4,FALSE)&amp;"]"))</f>
        <v/>
      </c>
      <c r="Y334" s="46" t="str">
        <f t="array" ref="Y334">IF('.'!Y334="","",'.'!Y334&amp;IF(VLOOKUP('.'!Y334,Recipes!$A:$D,4,FALSE)="",""," ["&amp;VLOOKUP('.'!Y334,Recipes!$A:$D,4,FALSE)&amp;"]"))</f>
        <v/>
      </c>
      <c r="Z334" s="46" t="str">
        <f t="array" ref="Z334">IF('.'!Z334="","",'.'!Z334&amp;IF(VLOOKUP('.'!Z334,Recipes!$A:$D,4,FALSE)="",""," ["&amp;VLOOKUP('.'!Z334,Recipes!$A:$D,4,FALSE)&amp;"]"))</f>
        <v/>
      </c>
      <c r="AA334" s="46" t="str">
        <f t="array" ref="AA334">IF('.'!AA334="","",'.'!AA334&amp;IF(VLOOKUP('.'!AA334,Recipes!$A:$D,4,FALSE)="",""," ["&amp;VLOOKUP('.'!AA334,Recipes!$A:$D,4,FALSE)&amp;"]"))</f>
        <v/>
      </c>
      <c r="AB334" s="46" t="str">
        <f t="array" ref="AB334">IF('.'!AB334="","",'.'!AB334&amp;IF(VLOOKUP('.'!AB334,Recipes!$A:$D,4,FALSE)="",""," ["&amp;VLOOKUP('.'!AB334,Recipes!$A:$D,4,FALSE)&amp;"]"))</f>
        <v/>
      </c>
      <c r="AC334" s="46" t="str">
        <f t="array" ref="AC334">IF('.'!AC334="","",'.'!AC334&amp;IF(VLOOKUP('.'!AC334,Recipes!$A:$D,4,FALSE)="",""," ["&amp;VLOOKUP('.'!AC334,Recipes!$A:$D,4,FALSE)&amp;"]"))</f>
        <v/>
      </c>
      <c r="AD334" s="46" t="str">
        <f t="array" ref="AD334">IF('.'!AD334="","",'.'!AD334&amp;IF(VLOOKUP('.'!AD334,Recipes!$A:$D,4,FALSE)="",""," ["&amp;VLOOKUP('.'!AD334,Recipes!$A:$D,4,FALSE)&amp;"]"))</f>
        <v/>
      </c>
      <c r="AE334" s="47"/>
      <c r="AF334" s="47"/>
      <c r="AG334" s="47"/>
      <c r="AH334" s="47"/>
      <c r="AI334" s="47"/>
      <c r="AJ334" s="47"/>
      <c r="AK334" s="47"/>
      <c r="AL334" s="47"/>
      <c r="AM334" s="47"/>
      <c r="AN334" s="47"/>
      <c r="AO334" s="47"/>
      <c r="AP334" s="47"/>
      <c r="AQ334" s="47"/>
      <c r="AR334" s="47"/>
      <c r="AS334" s="47"/>
      <c r="AT334" s="47"/>
      <c r="AU334" s="47"/>
      <c r="AV334" s="47"/>
      <c r="AW334" s="47"/>
      <c r="AX334" s="47"/>
      <c r="AY334" s="47"/>
      <c r="AZ334" s="47"/>
      <c r="BA334" s="47"/>
      <c r="BB334" s="47"/>
      <c r="BC334" s="47"/>
      <c r="BD334" s="47"/>
      <c r="BE334" s="47"/>
      <c r="BF334" s="47"/>
      <c r="BG334" s="47"/>
      <c r="BH334" s="47"/>
      <c r="BI334" s="47"/>
      <c r="BJ334" s="47"/>
      <c r="BK334" s="47"/>
      <c r="BL334" s="47"/>
      <c r="BM334" s="47"/>
      <c r="BN334" s="47"/>
      <c r="BO334" s="47"/>
      <c r="BP334" s="47"/>
      <c r="BQ334" s="47"/>
      <c r="BR334" s="47"/>
      <c r="BS334" s="47"/>
      <c r="BT334" s="47"/>
      <c r="BU334" s="47"/>
      <c r="BV334" s="47"/>
      <c r="BW334" s="47"/>
      <c r="BX334" s="47"/>
      <c r="BY334" s="47"/>
      <c r="BZ334" s="47"/>
    </row>
    <row r="335" spans="1:78" ht="13">
      <c r="A335" s="48" t="str">
        <f ca="1">'.'!A335</f>
        <v>Planar Gateway Scroll</v>
      </c>
      <c r="B335" s="46" t="str">
        <f t="array" aca="1" ref="B335" ca="1">IF('.'!B335="","",'.'!B335&amp;IF(VLOOKUP('.'!B335,Recipes!$A:$D,4,FALSE)="",""," ["&amp;VLOOKUP('.'!B335,Recipes!$A:$D,4,FALSE)&amp;"]"))</f>
        <v>Planar Gateway Skillbook [240]</v>
      </c>
      <c r="C335" s="46" t="str">
        <f t="array" ref="C335">IF('.'!C335="","",'.'!C335&amp;IF(VLOOKUP('.'!C335,Recipes!$A:$D,4,FALSE)="",""," ["&amp;VLOOKUP('.'!C335,Recipes!$A:$D,4,FALSE)&amp;"]"))</f>
        <v/>
      </c>
      <c r="D335" s="46" t="str">
        <f t="array" ref="D335">IF('.'!D335="","",'.'!D335&amp;IF(VLOOKUP('.'!D335,Recipes!$A:$D,4,FALSE)="",""," ["&amp;VLOOKUP('.'!D335,Recipes!$A:$D,4,FALSE)&amp;"]"))</f>
        <v/>
      </c>
      <c r="E335" s="46" t="str">
        <f t="array" ref="E335">IF('.'!E335="","",'.'!E335&amp;IF(VLOOKUP('.'!E335,Recipes!$A:$D,4,FALSE)="",""," ["&amp;VLOOKUP('.'!E335,Recipes!$A:$D,4,FALSE)&amp;"]"))</f>
        <v/>
      </c>
      <c r="F335" s="46" t="str">
        <f t="array" ref="F335">IF('.'!F335="","",'.'!F335&amp;IF(VLOOKUP('.'!F335,Recipes!$A:$D,4,FALSE)="",""," ["&amp;VLOOKUP('.'!F335,Recipes!$A:$D,4,FALSE)&amp;"]"))</f>
        <v/>
      </c>
      <c r="G335" s="46" t="str">
        <f t="array" ref="G335">IF('.'!G335="","",'.'!G335&amp;IF(VLOOKUP('.'!G335,Recipes!$A:$D,4,FALSE)="",""," ["&amp;VLOOKUP('.'!G335,Recipes!$A:$D,4,FALSE)&amp;"]"))</f>
        <v/>
      </c>
      <c r="H335" s="46" t="str">
        <f t="array" ref="H335">IF('.'!H335="","",'.'!H335&amp;IF(VLOOKUP('.'!H335,Recipes!$A:$D,4,FALSE)="",""," ["&amp;VLOOKUP('.'!H335,Recipes!$A:$D,4,FALSE)&amp;"]"))</f>
        <v/>
      </c>
      <c r="I335" s="46" t="str">
        <f t="array" ref="I335">IF('.'!I335="","",'.'!I335&amp;IF(VLOOKUP('.'!I335,Recipes!$A:$D,4,FALSE)="",""," ["&amp;VLOOKUP('.'!I335,Recipes!$A:$D,4,FALSE)&amp;"]"))</f>
        <v/>
      </c>
      <c r="J335" s="46" t="str">
        <f t="array" ref="J335">IF('.'!J335="","",'.'!J335&amp;IF(VLOOKUP('.'!J335,Recipes!$A:$D,4,FALSE)="",""," ["&amp;VLOOKUP('.'!J335,Recipes!$A:$D,4,FALSE)&amp;"]"))</f>
        <v/>
      </c>
      <c r="K335" s="46" t="str">
        <f t="array" ref="K335">IF('.'!K335="","",'.'!K335&amp;IF(VLOOKUP('.'!K335,Recipes!$A:$D,4,FALSE)="",""," ["&amp;VLOOKUP('.'!K335,Recipes!$A:$D,4,FALSE)&amp;"]"))</f>
        <v/>
      </c>
      <c r="L335" s="46" t="str">
        <f t="array" ref="L335">IF('.'!L335="","",'.'!L335&amp;IF(VLOOKUP('.'!L335,Recipes!$A:$D,4,FALSE)="",""," ["&amp;VLOOKUP('.'!L335,Recipes!$A:$D,4,FALSE)&amp;"]"))</f>
        <v/>
      </c>
      <c r="M335" s="46" t="str">
        <f t="array" ref="M335">IF('.'!M335="","",'.'!M335&amp;IF(VLOOKUP('.'!M335,Recipes!$A:$D,4,FALSE)="",""," ["&amp;VLOOKUP('.'!M335,Recipes!$A:$D,4,FALSE)&amp;"]"))</f>
        <v/>
      </c>
      <c r="N335" s="46" t="str">
        <f t="array" ref="N335">IF('.'!N335="","",'.'!N335&amp;IF(VLOOKUP('.'!N335,Recipes!$A:$D,4,FALSE)="",""," ["&amp;VLOOKUP('.'!N335,Recipes!$A:$D,4,FALSE)&amp;"]"))</f>
        <v/>
      </c>
      <c r="O335" s="46" t="str">
        <f t="array" ref="O335">IF('.'!O335="","",'.'!O335&amp;IF(VLOOKUP('.'!O335,Recipes!$A:$D,4,FALSE)="",""," ["&amp;VLOOKUP('.'!O335,Recipes!$A:$D,4,FALSE)&amp;"]"))</f>
        <v/>
      </c>
      <c r="P335" s="46" t="str">
        <f t="array" ref="P335">IF('.'!P335="","",'.'!P335&amp;IF(VLOOKUP('.'!P335,Recipes!$A:$D,4,FALSE)="",""," ["&amp;VLOOKUP('.'!P335,Recipes!$A:$D,4,FALSE)&amp;"]"))</f>
        <v/>
      </c>
      <c r="Q335" s="46" t="str">
        <f t="array" ref="Q335">IF('.'!Q335="","",'.'!Q335&amp;IF(VLOOKUP('.'!Q335,Recipes!$A:$D,4,FALSE)="",""," ["&amp;VLOOKUP('.'!Q335,Recipes!$A:$D,4,FALSE)&amp;"]"))</f>
        <v/>
      </c>
      <c r="R335" s="46" t="str">
        <f t="array" ref="R335">IF('.'!R335="","",'.'!R335&amp;IF(VLOOKUP('.'!R335,Recipes!$A:$D,4,FALSE)="",""," ["&amp;VLOOKUP('.'!R335,Recipes!$A:$D,4,FALSE)&amp;"]"))</f>
        <v/>
      </c>
      <c r="S335" s="46" t="str">
        <f t="array" ref="S335">IF('.'!S335="","",'.'!S335&amp;IF(VLOOKUP('.'!S335,Recipes!$A:$D,4,FALSE)="",""," ["&amp;VLOOKUP('.'!S335,Recipes!$A:$D,4,FALSE)&amp;"]"))</f>
        <v/>
      </c>
      <c r="T335" s="46" t="str">
        <f t="array" ref="T335">IF('.'!T335="","",'.'!T335&amp;IF(VLOOKUP('.'!T335,Recipes!$A:$D,4,FALSE)="",""," ["&amp;VLOOKUP('.'!T335,Recipes!$A:$D,4,FALSE)&amp;"]"))</f>
        <v/>
      </c>
      <c r="U335" s="46" t="str">
        <f t="array" ref="U335">IF('.'!U335="","",'.'!U335&amp;IF(VLOOKUP('.'!U335,Recipes!$A:$D,4,FALSE)="",""," ["&amp;VLOOKUP('.'!U335,Recipes!$A:$D,4,FALSE)&amp;"]"))</f>
        <v/>
      </c>
      <c r="V335" s="46" t="str">
        <f t="array" ref="V335">IF('.'!V335="","",'.'!V335&amp;IF(VLOOKUP('.'!V335,Recipes!$A:$D,4,FALSE)="",""," ["&amp;VLOOKUP('.'!V335,Recipes!$A:$D,4,FALSE)&amp;"]"))</f>
        <v/>
      </c>
      <c r="W335" s="46" t="str">
        <f t="array" ref="W335">IF('.'!W335="","",'.'!W335&amp;IF(VLOOKUP('.'!W335,Recipes!$A:$D,4,FALSE)="",""," ["&amp;VLOOKUP('.'!W335,Recipes!$A:$D,4,FALSE)&amp;"]"))</f>
        <v/>
      </c>
      <c r="X335" s="46" t="str">
        <f t="array" ref="X335">IF('.'!X335="","",'.'!X335&amp;IF(VLOOKUP('.'!X335,Recipes!$A:$D,4,FALSE)="",""," ["&amp;VLOOKUP('.'!X335,Recipes!$A:$D,4,FALSE)&amp;"]"))</f>
        <v/>
      </c>
      <c r="Y335" s="46" t="str">
        <f t="array" ref="Y335">IF('.'!Y335="","",'.'!Y335&amp;IF(VLOOKUP('.'!Y335,Recipes!$A:$D,4,FALSE)="",""," ["&amp;VLOOKUP('.'!Y335,Recipes!$A:$D,4,FALSE)&amp;"]"))</f>
        <v/>
      </c>
      <c r="Z335" s="46" t="str">
        <f t="array" ref="Z335">IF('.'!Z335="","",'.'!Z335&amp;IF(VLOOKUP('.'!Z335,Recipes!$A:$D,4,FALSE)="",""," ["&amp;VLOOKUP('.'!Z335,Recipes!$A:$D,4,FALSE)&amp;"]"))</f>
        <v/>
      </c>
      <c r="AA335" s="46" t="str">
        <f t="array" ref="AA335">IF('.'!AA335="","",'.'!AA335&amp;IF(VLOOKUP('.'!AA335,Recipes!$A:$D,4,FALSE)="",""," ["&amp;VLOOKUP('.'!AA335,Recipes!$A:$D,4,FALSE)&amp;"]"))</f>
        <v/>
      </c>
      <c r="AB335" s="46" t="str">
        <f t="array" ref="AB335">IF('.'!AB335="","",'.'!AB335&amp;IF(VLOOKUP('.'!AB335,Recipes!$A:$D,4,FALSE)="",""," ["&amp;VLOOKUP('.'!AB335,Recipes!$A:$D,4,FALSE)&amp;"]"))</f>
        <v/>
      </c>
      <c r="AC335" s="46" t="str">
        <f t="array" ref="AC335">IF('.'!AC335="","",'.'!AC335&amp;IF(VLOOKUP('.'!AC335,Recipes!$A:$D,4,FALSE)="",""," ["&amp;VLOOKUP('.'!AC335,Recipes!$A:$D,4,FALSE)&amp;"]"))</f>
        <v/>
      </c>
      <c r="AD335" s="46" t="str">
        <f t="array" ref="AD335">IF('.'!AD335="","",'.'!AD335&amp;IF(VLOOKUP('.'!AD335,Recipes!$A:$D,4,FALSE)="",""," ["&amp;VLOOKUP('.'!AD335,Recipes!$A:$D,4,FALSE)&amp;"]"))</f>
        <v/>
      </c>
      <c r="AE335" s="47"/>
      <c r="AF335" s="47"/>
      <c r="AG335" s="47"/>
      <c r="AH335" s="47"/>
      <c r="AI335" s="47"/>
      <c r="AJ335" s="47"/>
      <c r="AK335" s="47"/>
      <c r="AL335" s="47"/>
      <c r="AM335" s="47"/>
      <c r="AN335" s="47"/>
      <c r="AO335" s="47"/>
      <c r="AP335" s="47"/>
      <c r="AQ335" s="47"/>
      <c r="AR335" s="47"/>
      <c r="AS335" s="47"/>
      <c r="AT335" s="47"/>
      <c r="AU335" s="47"/>
      <c r="AV335" s="47"/>
      <c r="AW335" s="47"/>
      <c r="AX335" s="47"/>
      <c r="AY335" s="47"/>
      <c r="AZ335" s="47"/>
      <c r="BA335" s="47"/>
      <c r="BB335" s="47"/>
      <c r="BC335" s="47"/>
      <c r="BD335" s="47"/>
      <c r="BE335" s="47"/>
      <c r="BF335" s="47"/>
      <c r="BG335" s="47"/>
      <c r="BH335" s="47"/>
      <c r="BI335" s="47"/>
      <c r="BJ335" s="47"/>
      <c r="BK335" s="47"/>
      <c r="BL335" s="47"/>
      <c r="BM335" s="47"/>
      <c r="BN335" s="47"/>
      <c r="BO335" s="47"/>
      <c r="BP335" s="47"/>
      <c r="BQ335" s="47"/>
      <c r="BR335" s="47"/>
      <c r="BS335" s="47"/>
      <c r="BT335" s="47"/>
      <c r="BU335" s="47"/>
      <c r="BV335" s="47"/>
      <c r="BW335" s="47"/>
      <c r="BX335" s="47"/>
      <c r="BY335" s="47"/>
      <c r="BZ335" s="47"/>
    </row>
    <row r="336" spans="1:78" ht="13">
      <c r="A336" s="48" t="str">
        <f ca="1">'.'!A336</f>
        <v>Plate Scraps</v>
      </c>
      <c r="B336" s="46" t="str">
        <f t="array" aca="1" ref="B336" ca="1">IF('.'!B336="","",'.'!B336&amp;IF(VLOOKUP('.'!B336,Recipes!$A:$D,4,FALSE)="",""," ["&amp;VLOOKUP('.'!B336,Recipes!$A:$D,4,FALSE)&amp;"]"))</f>
        <v>Handmade Plate Armour [V]</v>
      </c>
      <c r="C336" s="46" t="str">
        <f t="array" ref="C336">IF('.'!C336="","",'.'!C336&amp;IF(VLOOKUP('.'!C336,Recipes!$A:$D,4,FALSE)="",""," ["&amp;VLOOKUP('.'!C336,Recipes!$A:$D,4,FALSE)&amp;"]"))</f>
        <v/>
      </c>
      <c r="D336" s="46" t="str">
        <f t="array" ref="D336">IF('.'!D336="","",'.'!D336&amp;IF(VLOOKUP('.'!D336,Recipes!$A:$D,4,FALSE)="",""," ["&amp;VLOOKUP('.'!D336,Recipes!$A:$D,4,FALSE)&amp;"]"))</f>
        <v/>
      </c>
      <c r="E336" s="46" t="str">
        <f t="array" ref="E336">IF('.'!E336="","",'.'!E336&amp;IF(VLOOKUP('.'!E336,Recipes!$A:$D,4,FALSE)="",""," ["&amp;VLOOKUP('.'!E336,Recipes!$A:$D,4,FALSE)&amp;"]"))</f>
        <v/>
      </c>
      <c r="F336" s="46" t="str">
        <f t="array" ref="F336">IF('.'!F336="","",'.'!F336&amp;IF(VLOOKUP('.'!F336,Recipes!$A:$D,4,FALSE)="",""," ["&amp;VLOOKUP('.'!F336,Recipes!$A:$D,4,FALSE)&amp;"]"))</f>
        <v/>
      </c>
      <c r="G336" s="46" t="str">
        <f t="array" ref="G336">IF('.'!G336="","",'.'!G336&amp;IF(VLOOKUP('.'!G336,Recipes!$A:$D,4,FALSE)="",""," ["&amp;VLOOKUP('.'!G336,Recipes!$A:$D,4,FALSE)&amp;"]"))</f>
        <v/>
      </c>
      <c r="H336" s="46" t="str">
        <f t="array" ref="H336">IF('.'!H336="","",'.'!H336&amp;IF(VLOOKUP('.'!H336,Recipes!$A:$D,4,FALSE)="",""," ["&amp;VLOOKUP('.'!H336,Recipes!$A:$D,4,FALSE)&amp;"]"))</f>
        <v/>
      </c>
      <c r="I336" s="46" t="str">
        <f t="array" ref="I336">IF('.'!I336="","",'.'!I336&amp;IF(VLOOKUP('.'!I336,Recipes!$A:$D,4,FALSE)="",""," ["&amp;VLOOKUP('.'!I336,Recipes!$A:$D,4,FALSE)&amp;"]"))</f>
        <v/>
      </c>
      <c r="J336" s="46" t="str">
        <f t="array" ref="J336">IF('.'!J336="","",'.'!J336&amp;IF(VLOOKUP('.'!J336,Recipes!$A:$D,4,FALSE)="",""," ["&amp;VLOOKUP('.'!J336,Recipes!$A:$D,4,FALSE)&amp;"]"))</f>
        <v/>
      </c>
      <c r="K336" s="46" t="str">
        <f t="array" ref="K336">IF('.'!K336="","",'.'!K336&amp;IF(VLOOKUP('.'!K336,Recipes!$A:$D,4,FALSE)="",""," ["&amp;VLOOKUP('.'!K336,Recipes!$A:$D,4,FALSE)&amp;"]"))</f>
        <v/>
      </c>
      <c r="L336" s="46" t="str">
        <f t="array" ref="L336">IF('.'!L336="","",'.'!L336&amp;IF(VLOOKUP('.'!L336,Recipes!$A:$D,4,FALSE)="",""," ["&amp;VLOOKUP('.'!L336,Recipes!$A:$D,4,FALSE)&amp;"]"))</f>
        <v/>
      </c>
      <c r="M336" s="46" t="str">
        <f t="array" ref="M336">IF('.'!M336="","",'.'!M336&amp;IF(VLOOKUP('.'!M336,Recipes!$A:$D,4,FALSE)="",""," ["&amp;VLOOKUP('.'!M336,Recipes!$A:$D,4,FALSE)&amp;"]"))</f>
        <v/>
      </c>
      <c r="N336" s="46" t="str">
        <f t="array" ref="N336">IF('.'!N336="","",'.'!N336&amp;IF(VLOOKUP('.'!N336,Recipes!$A:$D,4,FALSE)="",""," ["&amp;VLOOKUP('.'!N336,Recipes!$A:$D,4,FALSE)&amp;"]"))</f>
        <v/>
      </c>
      <c r="O336" s="46" t="str">
        <f t="array" ref="O336">IF('.'!O336="","",'.'!O336&amp;IF(VLOOKUP('.'!O336,Recipes!$A:$D,4,FALSE)="",""," ["&amp;VLOOKUP('.'!O336,Recipes!$A:$D,4,FALSE)&amp;"]"))</f>
        <v/>
      </c>
      <c r="P336" s="46" t="str">
        <f t="array" ref="P336">IF('.'!P336="","",'.'!P336&amp;IF(VLOOKUP('.'!P336,Recipes!$A:$D,4,FALSE)="",""," ["&amp;VLOOKUP('.'!P336,Recipes!$A:$D,4,FALSE)&amp;"]"))</f>
        <v/>
      </c>
      <c r="Q336" s="46" t="str">
        <f t="array" ref="Q336">IF('.'!Q336="","",'.'!Q336&amp;IF(VLOOKUP('.'!Q336,Recipes!$A:$D,4,FALSE)="",""," ["&amp;VLOOKUP('.'!Q336,Recipes!$A:$D,4,FALSE)&amp;"]"))</f>
        <v/>
      </c>
      <c r="R336" s="46" t="str">
        <f t="array" ref="R336">IF('.'!R336="","",'.'!R336&amp;IF(VLOOKUP('.'!R336,Recipes!$A:$D,4,FALSE)="",""," ["&amp;VLOOKUP('.'!R336,Recipes!$A:$D,4,FALSE)&amp;"]"))</f>
        <v/>
      </c>
      <c r="S336" s="46" t="str">
        <f t="array" ref="S336">IF('.'!S336="","",'.'!S336&amp;IF(VLOOKUP('.'!S336,Recipes!$A:$D,4,FALSE)="",""," ["&amp;VLOOKUP('.'!S336,Recipes!$A:$D,4,FALSE)&amp;"]"))</f>
        <v/>
      </c>
      <c r="T336" s="46" t="str">
        <f t="array" ref="T336">IF('.'!T336="","",'.'!T336&amp;IF(VLOOKUP('.'!T336,Recipes!$A:$D,4,FALSE)="",""," ["&amp;VLOOKUP('.'!T336,Recipes!$A:$D,4,FALSE)&amp;"]"))</f>
        <v/>
      </c>
      <c r="U336" s="46" t="str">
        <f t="array" ref="U336">IF('.'!U336="","",'.'!U336&amp;IF(VLOOKUP('.'!U336,Recipes!$A:$D,4,FALSE)="",""," ["&amp;VLOOKUP('.'!U336,Recipes!$A:$D,4,FALSE)&amp;"]"))</f>
        <v/>
      </c>
      <c r="V336" s="46" t="str">
        <f t="array" ref="V336">IF('.'!V336="","",'.'!V336&amp;IF(VLOOKUP('.'!V336,Recipes!$A:$D,4,FALSE)="",""," ["&amp;VLOOKUP('.'!V336,Recipes!$A:$D,4,FALSE)&amp;"]"))</f>
        <v/>
      </c>
      <c r="W336" s="46" t="str">
        <f t="array" ref="W336">IF('.'!W336="","",'.'!W336&amp;IF(VLOOKUP('.'!W336,Recipes!$A:$D,4,FALSE)="",""," ["&amp;VLOOKUP('.'!W336,Recipes!$A:$D,4,FALSE)&amp;"]"))</f>
        <v/>
      </c>
      <c r="X336" s="46" t="str">
        <f t="array" ref="X336">IF('.'!X336="","",'.'!X336&amp;IF(VLOOKUP('.'!X336,Recipes!$A:$D,4,FALSE)="",""," ["&amp;VLOOKUP('.'!X336,Recipes!$A:$D,4,FALSE)&amp;"]"))</f>
        <v/>
      </c>
      <c r="Y336" s="46" t="str">
        <f t="array" ref="Y336">IF('.'!Y336="","",'.'!Y336&amp;IF(VLOOKUP('.'!Y336,Recipes!$A:$D,4,FALSE)="",""," ["&amp;VLOOKUP('.'!Y336,Recipes!$A:$D,4,FALSE)&amp;"]"))</f>
        <v/>
      </c>
      <c r="Z336" s="46" t="str">
        <f t="array" ref="Z336">IF('.'!Z336="","",'.'!Z336&amp;IF(VLOOKUP('.'!Z336,Recipes!$A:$D,4,FALSE)="",""," ["&amp;VLOOKUP('.'!Z336,Recipes!$A:$D,4,FALSE)&amp;"]"))</f>
        <v/>
      </c>
      <c r="AA336" s="46" t="str">
        <f t="array" ref="AA336">IF('.'!AA336="","",'.'!AA336&amp;IF(VLOOKUP('.'!AA336,Recipes!$A:$D,4,FALSE)="",""," ["&amp;VLOOKUP('.'!AA336,Recipes!$A:$D,4,FALSE)&amp;"]"))</f>
        <v/>
      </c>
      <c r="AB336" s="46" t="str">
        <f t="array" ref="AB336">IF('.'!AB336="","",'.'!AB336&amp;IF(VLOOKUP('.'!AB336,Recipes!$A:$D,4,FALSE)="",""," ["&amp;VLOOKUP('.'!AB336,Recipes!$A:$D,4,FALSE)&amp;"]"))</f>
        <v/>
      </c>
      <c r="AC336" s="46" t="str">
        <f t="array" ref="AC336">IF('.'!AC336="","",'.'!AC336&amp;IF(VLOOKUP('.'!AC336,Recipes!$A:$D,4,FALSE)="",""," ["&amp;VLOOKUP('.'!AC336,Recipes!$A:$D,4,FALSE)&amp;"]"))</f>
        <v/>
      </c>
      <c r="AD336" s="46" t="str">
        <f t="array" ref="AD336">IF('.'!AD336="","",'.'!AD336&amp;IF(VLOOKUP('.'!AD336,Recipes!$A:$D,4,FALSE)="",""," ["&amp;VLOOKUP('.'!AD336,Recipes!$A:$D,4,FALSE)&amp;"]"))</f>
        <v/>
      </c>
      <c r="AE336" s="47"/>
      <c r="AF336" s="47"/>
      <c r="AG336" s="47"/>
      <c r="AH336" s="47"/>
      <c r="AI336" s="47"/>
      <c r="AJ336" s="47"/>
      <c r="AK336" s="47"/>
      <c r="AL336" s="47"/>
      <c r="AM336" s="47"/>
      <c r="AN336" s="47"/>
      <c r="AO336" s="47"/>
      <c r="AP336" s="47"/>
      <c r="AQ336" s="47"/>
      <c r="AR336" s="47"/>
      <c r="AS336" s="47"/>
      <c r="AT336" s="47"/>
      <c r="AU336" s="47"/>
      <c r="AV336" s="47"/>
      <c r="AW336" s="47"/>
      <c r="AX336" s="47"/>
      <c r="AY336" s="47"/>
      <c r="AZ336" s="47"/>
      <c r="BA336" s="47"/>
      <c r="BB336" s="47"/>
      <c r="BC336" s="47"/>
      <c r="BD336" s="47"/>
      <c r="BE336" s="47"/>
      <c r="BF336" s="47"/>
      <c r="BG336" s="47"/>
      <c r="BH336" s="47"/>
      <c r="BI336" s="47"/>
      <c r="BJ336" s="47"/>
      <c r="BK336" s="47"/>
      <c r="BL336" s="47"/>
      <c r="BM336" s="47"/>
      <c r="BN336" s="47"/>
      <c r="BO336" s="47"/>
      <c r="BP336" s="47"/>
      <c r="BQ336" s="47"/>
      <c r="BR336" s="47"/>
      <c r="BS336" s="47"/>
      <c r="BT336" s="47"/>
      <c r="BU336" s="47"/>
      <c r="BV336" s="47"/>
      <c r="BW336" s="47"/>
      <c r="BX336" s="47"/>
      <c r="BY336" s="47"/>
      <c r="BZ336" s="47"/>
    </row>
    <row r="337" spans="1:78" ht="13">
      <c r="A337" s="48" t="str">
        <f ca="1">'.'!A337</f>
        <v>Poison</v>
      </c>
      <c r="B337" s="46" t="str">
        <f t="array" aca="1" ref="B337" ca="1">IF('.'!B337="","",'.'!B337&amp;IF(VLOOKUP('.'!B337,Recipes!$A:$D,4,FALSE)="",""," ["&amp;VLOOKUP('.'!B337,Recipes!$A:$D,4,FALSE)&amp;"]"))</f>
        <v>Poisoned Arrow [9]</v>
      </c>
      <c r="C337" s="46" t="str">
        <f t="array" aca="1" ref="C337" ca="1">IF('.'!C337="","",'.'!C337&amp;IF(VLOOKUP('.'!C337,Recipes!$A:$D,4,FALSE)="",""," ["&amp;VLOOKUP('.'!C337,Recipes!$A:$D,4,FALSE)&amp;"]"))</f>
        <v>Poisoned Arrowhead [28]</v>
      </c>
      <c r="D337" s="46" t="str">
        <f t="array" aca="1" ref="D337" ca="1">IF('.'!D337="","",'.'!D337&amp;IF(VLOOKUP('.'!D337,Recipes!$A:$D,4,FALSE)="",""," ["&amp;VLOOKUP('.'!D337,Recipes!$A:$D,4,FALSE)&amp;"]"))</f>
        <v>Add Poison Damage [0]</v>
      </c>
      <c r="E337" s="46" t="e">
        <f t="array" aca="1" ref="E337" ca="1">IF('.'!E337="","",'.'!E337&amp;IF(VLOOKUP('.'!E337,Recipes!$A:$D,4,FALSE)="",""," ["&amp;VLOOKUP('.'!E337,Recipes!$A:$D,4,FALSE)&amp;"]"))</f>
        <v>#VALUE!</v>
      </c>
      <c r="F337" s="46" t="e">
        <f t="array" aca="1" ref="F337" ca="1">IF('.'!F337="","",'.'!F337&amp;IF(VLOOKUP('.'!F337,Recipes!$A:$D,4,FALSE)="",""," ["&amp;VLOOKUP('.'!F337,Recipes!$A:$D,4,FALSE)&amp;"]"))</f>
        <v>#VALUE!</v>
      </c>
      <c r="G337" s="46" t="str">
        <f t="array" aca="1" ref="G337" ca="1">IF('.'!G337="","",'.'!G337&amp;IF(VLOOKUP('.'!G337,Recipes!$A:$D,4,FALSE)="",""," ["&amp;VLOOKUP('.'!G337,Recipes!$A:$D,4,FALSE)&amp;"]"))</f>
        <v>Poison Cloud Grenade [49]</v>
      </c>
      <c r="H337" s="46" t="str">
        <f t="array" aca="1" ref="H337" ca="1">IF('.'!H337="","",'.'!H337&amp;IF(VLOOKUP('.'!H337,Recipes!$A:$D,4,FALSE)="",""," ["&amp;VLOOKUP('.'!H337,Recipes!$A:$D,4,FALSE)&amp;"]"))</f>
        <v>Poison Flask [15]</v>
      </c>
      <c r="I337" s="46" t="str">
        <f t="array" aca="1" ref="I337" ca="1">IF('.'!I337="","",'.'!I337&amp;IF(VLOOKUP('.'!I337,Recipes!$A:$D,4,FALSE)="",""," ["&amp;VLOOKUP('.'!I337,Recipes!$A:$D,4,FALSE)&amp;"]"))</f>
        <v>Small Venom Rune [-350]</v>
      </c>
      <c r="J337" s="46" t="str">
        <f t="array" ref="J337">IF('.'!J337="","",'.'!J337&amp;IF(VLOOKUP('.'!J337,Recipes!$A:$D,4,FALSE)="",""," ["&amp;VLOOKUP('.'!J337,Recipes!$A:$D,4,FALSE)&amp;"]"))</f>
        <v/>
      </c>
      <c r="K337" s="46" t="str">
        <f t="array" ref="K337">IF('.'!K337="","",'.'!K337&amp;IF(VLOOKUP('.'!K337,Recipes!$A:$D,4,FALSE)="",""," ["&amp;VLOOKUP('.'!K337,Recipes!$A:$D,4,FALSE)&amp;"]"))</f>
        <v/>
      </c>
      <c r="L337" s="46" t="str">
        <f t="array" ref="L337">IF('.'!L337="","",'.'!L337&amp;IF(VLOOKUP('.'!L337,Recipes!$A:$D,4,FALSE)="",""," ["&amp;VLOOKUP('.'!L337,Recipes!$A:$D,4,FALSE)&amp;"]"))</f>
        <v/>
      </c>
      <c r="M337" s="46" t="str">
        <f t="array" ref="M337">IF('.'!M337="","",'.'!M337&amp;IF(VLOOKUP('.'!M337,Recipes!$A:$D,4,FALSE)="",""," ["&amp;VLOOKUP('.'!M337,Recipes!$A:$D,4,FALSE)&amp;"]"))</f>
        <v/>
      </c>
      <c r="N337" s="46" t="str">
        <f t="array" ref="N337">IF('.'!N337="","",'.'!N337&amp;IF(VLOOKUP('.'!N337,Recipes!$A:$D,4,FALSE)="",""," ["&amp;VLOOKUP('.'!N337,Recipes!$A:$D,4,FALSE)&amp;"]"))</f>
        <v/>
      </c>
      <c r="O337" s="46" t="str">
        <f t="array" ref="O337">IF('.'!O337="","",'.'!O337&amp;IF(VLOOKUP('.'!O337,Recipes!$A:$D,4,FALSE)="",""," ["&amp;VLOOKUP('.'!O337,Recipes!$A:$D,4,FALSE)&amp;"]"))</f>
        <v/>
      </c>
      <c r="P337" s="46" t="str">
        <f t="array" ref="P337">IF('.'!P337="","",'.'!P337&amp;IF(VLOOKUP('.'!P337,Recipes!$A:$D,4,FALSE)="",""," ["&amp;VLOOKUP('.'!P337,Recipes!$A:$D,4,FALSE)&amp;"]"))</f>
        <v/>
      </c>
      <c r="Q337" s="46" t="str">
        <f t="array" ref="Q337">IF('.'!Q337="","",'.'!Q337&amp;IF(VLOOKUP('.'!Q337,Recipes!$A:$D,4,FALSE)="",""," ["&amp;VLOOKUP('.'!Q337,Recipes!$A:$D,4,FALSE)&amp;"]"))</f>
        <v/>
      </c>
      <c r="R337" s="46" t="str">
        <f t="array" ref="R337">IF('.'!R337="","",'.'!R337&amp;IF(VLOOKUP('.'!R337,Recipes!$A:$D,4,FALSE)="",""," ["&amp;VLOOKUP('.'!R337,Recipes!$A:$D,4,FALSE)&amp;"]"))</f>
        <v/>
      </c>
      <c r="S337" s="46" t="str">
        <f t="array" ref="S337">IF('.'!S337="","",'.'!S337&amp;IF(VLOOKUP('.'!S337,Recipes!$A:$D,4,FALSE)="",""," ["&amp;VLOOKUP('.'!S337,Recipes!$A:$D,4,FALSE)&amp;"]"))</f>
        <v/>
      </c>
      <c r="T337" s="46" t="str">
        <f t="array" ref="T337">IF('.'!T337="","",'.'!T337&amp;IF(VLOOKUP('.'!T337,Recipes!$A:$D,4,FALSE)="",""," ["&amp;VLOOKUP('.'!T337,Recipes!$A:$D,4,FALSE)&amp;"]"))</f>
        <v/>
      </c>
      <c r="U337" s="46" t="str">
        <f t="array" ref="U337">IF('.'!U337="","",'.'!U337&amp;IF(VLOOKUP('.'!U337,Recipes!$A:$D,4,FALSE)="",""," ["&amp;VLOOKUP('.'!U337,Recipes!$A:$D,4,FALSE)&amp;"]"))</f>
        <v/>
      </c>
      <c r="V337" s="46" t="str">
        <f t="array" ref="V337">IF('.'!V337="","",'.'!V337&amp;IF(VLOOKUP('.'!V337,Recipes!$A:$D,4,FALSE)="",""," ["&amp;VLOOKUP('.'!V337,Recipes!$A:$D,4,FALSE)&amp;"]"))</f>
        <v/>
      </c>
      <c r="W337" s="46" t="str">
        <f t="array" ref="W337">IF('.'!W337="","",'.'!W337&amp;IF(VLOOKUP('.'!W337,Recipes!$A:$D,4,FALSE)="",""," ["&amp;VLOOKUP('.'!W337,Recipes!$A:$D,4,FALSE)&amp;"]"))</f>
        <v/>
      </c>
      <c r="X337" s="46" t="str">
        <f t="array" ref="X337">IF('.'!X337="","",'.'!X337&amp;IF(VLOOKUP('.'!X337,Recipes!$A:$D,4,FALSE)="",""," ["&amp;VLOOKUP('.'!X337,Recipes!$A:$D,4,FALSE)&amp;"]"))</f>
        <v/>
      </c>
      <c r="Y337" s="46" t="str">
        <f t="array" ref="Y337">IF('.'!Y337="","",'.'!Y337&amp;IF(VLOOKUP('.'!Y337,Recipes!$A:$D,4,FALSE)="",""," ["&amp;VLOOKUP('.'!Y337,Recipes!$A:$D,4,FALSE)&amp;"]"))</f>
        <v/>
      </c>
      <c r="Z337" s="46" t="str">
        <f t="array" ref="Z337">IF('.'!Z337="","",'.'!Z337&amp;IF(VLOOKUP('.'!Z337,Recipes!$A:$D,4,FALSE)="",""," ["&amp;VLOOKUP('.'!Z337,Recipes!$A:$D,4,FALSE)&amp;"]"))</f>
        <v/>
      </c>
      <c r="AA337" s="46" t="str">
        <f t="array" ref="AA337">IF('.'!AA337="","",'.'!AA337&amp;IF(VLOOKUP('.'!AA337,Recipes!$A:$D,4,FALSE)="",""," ["&amp;VLOOKUP('.'!AA337,Recipes!$A:$D,4,FALSE)&amp;"]"))</f>
        <v/>
      </c>
      <c r="AB337" s="46" t="str">
        <f t="array" ref="AB337">IF('.'!AB337="","",'.'!AB337&amp;IF(VLOOKUP('.'!AB337,Recipes!$A:$D,4,FALSE)="",""," ["&amp;VLOOKUP('.'!AB337,Recipes!$A:$D,4,FALSE)&amp;"]"))</f>
        <v/>
      </c>
      <c r="AC337" s="46" t="str">
        <f t="array" ref="AC337">IF('.'!AC337="","",'.'!AC337&amp;IF(VLOOKUP('.'!AC337,Recipes!$A:$D,4,FALSE)="",""," ["&amp;VLOOKUP('.'!AC337,Recipes!$A:$D,4,FALSE)&amp;"]"))</f>
        <v/>
      </c>
      <c r="AD337" s="46" t="str">
        <f t="array" ref="AD337">IF('.'!AD337="","",'.'!AD337&amp;IF(VLOOKUP('.'!AD337,Recipes!$A:$D,4,FALSE)="",""," ["&amp;VLOOKUP('.'!AD337,Recipes!$A:$D,4,FALSE)&amp;"]"))</f>
        <v/>
      </c>
      <c r="AE337" s="47"/>
      <c r="AF337" s="47"/>
      <c r="AG337" s="47"/>
      <c r="AH337" s="47"/>
      <c r="AI337" s="47"/>
      <c r="AJ337" s="47"/>
      <c r="AK337" s="47"/>
      <c r="AL337" s="47"/>
      <c r="AM337" s="47"/>
      <c r="AN337" s="47"/>
      <c r="AO337" s="47"/>
      <c r="AP337" s="47"/>
      <c r="AQ337" s="47"/>
      <c r="AR337" s="47"/>
      <c r="AS337" s="47"/>
      <c r="AT337" s="47"/>
      <c r="AU337" s="47"/>
      <c r="AV337" s="47"/>
      <c r="AW337" s="47"/>
      <c r="AX337" s="47"/>
      <c r="AY337" s="47"/>
      <c r="AZ337" s="47"/>
      <c r="BA337" s="47"/>
      <c r="BB337" s="47"/>
      <c r="BC337" s="47"/>
      <c r="BD337" s="47"/>
      <c r="BE337" s="47"/>
      <c r="BF337" s="47"/>
      <c r="BG337" s="47"/>
      <c r="BH337" s="47"/>
      <c r="BI337" s="47"/>
      <c r="BJ337" s="47"/>
      <c r="BK337" s="47"/>
      <c r="BL337" s="47"/>
      <c r="BM337" s="47"/>
      <c r="BN337" s="47"/>
      <c r="BO337" s="47"/>
      <c r="BP337" s="47"/>
      <c r="BQ337" s="47"/>
      <c r="BR337" s="47"/>
      <c r="BS337" s="47"/>
      <c r="BT337" s="47"/>
      <c r="BU337" s="47"/>
      <c r="BV337" s="47"/>
      <c r="BW337" s="47"/>
      <c r="BX337" s="47"/>
      <c r="BY337" s="47"/>
      <c r="BZ337" s="47"/>
    </row>
    <row r="338" spans="1:78" ht="13">
      <c r="A338" s="48" t="str">
        <f ca="1">'.'!A338</f>
        <v>Poison Dart Scroll</v>
      </c>
      <c r="B338" s="46" t="str">
        <f t="array" aca="1" ref="B338" ca="1">IF('.'!B338="","",'.'!B338&amp;IF(VLOOKUP('.'!B338,Recipes!$A:$D,4,FALSE)="",""," ["&amp;VLOOKUP('.'!B338,Recipes!$A:$D,4,FALSE)&amp;"]"))</f>
        <v>Poison Dart Skillbook [-200]</v>
      </c>
      <c r="C338" s="46" t="str">
        <f t="array" ref="C338">IF('.'!C338="","",'.'!C338&amp;IF(VLOOKUP('.'!C338,Recipes!$A:$D,4,FALSE)="",""," ["&amp;VLOOKUP('.'!C338,Recipes!$A:$D,4,FALSE)&amp;"]"))</f>
        <v/>
      </c>
      <c r="D338" s="46" t="str">
        <f t="array" ref="D338">IF('.'!D338="","",'.'!D338&amp;IF(VLOOKUP('.'!D338,Recipes!$A:$D,4,FALSE)="",""," ["&amp;VLOOKUP('.'!D338,Recipes!$A:$D,4,FALSE)&amp;"]"))</f>
        <v/>
      </c>
      <c r="E338" s="46" t="str">
        <f t="array" ref="E338">IF('.'!E338="","",'.'!E338&amp;IF(VLOOKUP('.'!E338,Recipes!$A:$D,4,FALSE)="",""," ["&amp;VLOOKUP('.'!E338,Recipes!$A:$D,4,FALSE)&amp;"]"))</f>
        <v/>
      </c>
      <c r="F338" s="46" t="str">
        <f t="array" ref="F338">IF('.'!F338="","",'.'!F338&amp;IF(VLOOKUP('.'!F338,Recipes!$A:$D,4,FALSE)="",""," ["&amp;VLOOKUP('.'!F338,Recipes!$A:$D,4,FALSE)&amp;"]"))</f>
        <v/>
      </c>
      <c r="G338" s="46" t="str">
        <f t="array" ref="G338">IF('.'!G338="","",'.'!G338&amp;IF(VLOOKUP('.'!G338,Recipes!$A:$D,4,FALSE)="",""," ["&amp;VLOOKUP('.'!G338,Recipes!$A:$D,4,FALSE)&amp;"]"))</f>
        <v/>
      </c>
      <c r="H338" s="46" t="str">
        <f t="array" ref="H338">IF('.'!H338="","",'.'!H338&amp;IF(VLOOKUP('.'!H338,Recipes!$A:$D,4,FALSE)="",""," ["&amp;VLOOKUP('.'!H338,Recipes!$A:$D,4,FALSE)&amp;"]"))</f>
        <v/>
      </c>
      <c r="I338" s="46" t="str">
        <f t="array" ref="I338">IF('.'!I338="","",'.'!I338&amp;IF(VLOOKUP('.'!I338,Recipes!$A:$D,4,FALSE)="",""," ["&amp;VLOOKUP('.'!I338,Recipes!$A:$D,4,FALSE)&amp;"]"))</f>
        <v/>
      </c>
      <c r="J338" s="46" t="str">
        <f t="array" ref="J338">IF('.'!J338="","",'.'!J338&amp;IF(VLOOKUP('.'!J338,Recipes!$A:$D,4,FALSE)="",""," ["&amp;VLOOKUP('.'!J338,Recipes!$A:$D,4,FALSE)&amp;"]"))</f>
        <v/>
      </c>
      <c r="K338" s="46" t="str">
        <f t="array" ref="K338">IF('.'!K338="","",'.'!K338&amp;IF(VLOOKUP('.'!K338,Recipes!$A:$D,4,FALSE)="",""," ["&amp;VLOOKUP('.'!K338,Recipes!$A:$D,4,FALSE)&amp;"]"))</f>
        <v/>
      </c>
      <c r="L338" s="46" t="str">
        <f t="array" ref="L338">IF('.'!L338="","",'.'!L338&amp;IF(VLOOKUP('.'!L338,Recipes!$A:$D,4,FALSE)="",""," ["&amp;VLOOKUP('.'!L338,Recipes!$A:$D,4,FALSE)&amp;"]"))</f>
        <v/>
      </c>
      <c r="M338" s="46" t="str">
        <f t="array" ref="M338">IF('.'!M338="","",'.'!M338&amp;IF(VLOOKUP('.'!M338,Recipes!$A:$D,4,FALSE)="",""," ["&amp;VLOOKUP('.'!M338,Recipes!$A:$D,4,FALSE)&amp;"]"))</f>
        <v/>
      </c>
      <c r="N338" s="46" t="str">
        <f t="array" ref="N338">IF('.'!N338="","",'.'!N338&amp;IF(VLOOKUP('.'!N338,Recipes!$A:$D,4,FALSE)="",""," ["&amp;VLOOKUP('.'!N338,Recipes!$A:$D,4,FALSE)&amp;"]"))</f>
        <v/>
      </c>
      <c r="O338" s="46" t="str">
        <f t="array" ref="O338">IF('.'!O338="","",'.'!O338&amp;IF(VLOOKUP('.'!O338,Recipes!$A:$D,4,FALSE)="",""," ["&amp;VLOOKUP('.'!O338,Recipes!$A:$D,4,FALSE)&amp;"]"))</f>
        <v/>
      </c>
      <c r="P338" s="46" t="str">
        <f t="array" ref="P338">IF('.'!P338="","",'.'!P338&amp;IF(VLOOKUP('.'!P338,Recipes!$A:$D,4,FALSE)="",""," ["&amp;VLOOKUP('.'!P338,Recipes!$A:$D,4,FALSE)&amp;"]"))</f>
        <v/>
      </c>
      <c r="Q338" s="46" t="str">
        <f t="array" ref="Q338">IF('.'!Q338="","",'.'!Q338&amp;IF(VLOOKUP('.'!Q338,Recipes!$A:$D,4,FALSE)="",""," ["&amp;VLOOKUP('.'!Q338,Recipes!$A:$D,4,FALSE)&amp;"]"))</f>
        <v/>
      </c>
      <c r="R338" s="46" t="str">
        <f t="array" ref="R338">IF('.'!R338="","",'.'!R338&amp;IF(VLOOKUP('.'!R338,Recipes!$A:$D,4,FALSE)="",""," ["&amp;VLOOKUP('.'!R338,Recipes!$A:$D,4,FALSE)&amp;"]"))</f>
        <v/>
      </c>
      <c r="S338" s="46" t="str">
        <f t="array" ref="S338">IF('.'!S338="","",'.'!S338&amp;IF(VLOOKUP('.'!S338,Recipes!$A:$D,4,FALSE)="",""," ["&amp;VLOOKUP('.'!S338,Recipes!$A:$D,4,FALSE)&amp;"]"))</f>
        <v/>
      </c>
      <c r="T338" s="46" t="str">
        <f t="array" ref="T338">IF('.'!T338="","",'.'!T338&amp;IF(VLOOKUP('.'!T338,Recipes!$A:$D,4,FALSE)="",""," ["&amp;VLOOKUP('.'!T338,Recipes!$A:$D,4,FALSE)&amp;"]"))</f>
        <v/>
      </c>
      <c r="U338" s="46" t="str">
        <f t="array" ref="U338">IF('.'!U338="","",'.'!U338&amp;IF(VLOOKUP('.'!U338,Recipes!$A:$D,4,FALSE)="",""," ["&amp;VLOOKUP('.'!U338,Recipes!$A:$D,4,FALSE)&amp;"]"))</f>
        <v/>
      </c>
      <c r="V338" s="46" t="str">
        <f t="array" ref="V338">IF('.'!V338="","",'.'!V338&amp;IF(VLOOKUP('.'!V338,Recipes!$A:$D,4,FALSE)="",""," ["&amp;VLOOKUP('.'!V338,Recipes!$A:$D,4,FALSE)&amp;"]"))</f>
        <v/>
      </c>
      <c r="W338" s="46" t="str">
        <f t="array" ref="W338">IF('.'!W338="","",'.'!W338&amp;IF(VLOOKUP('.'!W338,Recipes!$A:$D,4,FALSE)="",""," ["&amp;VLOOKUP('.'!W338,Recipes!$A:$D,4,FALSE)&amp;"]"))</f>
        <v/>
      </c>
      <c r="X338" s="46" t="str">
        <f t="array" ref="X338">IF('.'!X338="","",'.'!X338&amp;IF(VLOOKUP('.'!X338,Recipes!$A:$D,4,FALSE)="",""," ["&amp;VLOOKUP('.'!X338,Recipes!$A:$D,4,FALSE)&amp;"]"))</f>
        <v/>
      </c>
      <c r="Y338" s="46" t="str">
        <f t="array" ref="Y338">IF('.'!Y338="","",'.'!Y338&amp;IF(VLOOKUP('.'!Y338,Recipes!$A:$D,4,FALSE)="",""," ["&amp;VLOOKUP('.'!Y338,Recipes!$A:$D,4,FALSE)&amp;"]"))</f>
        <v/>
      </c>
      <c r="Z338" s="46" t="str">
        <f t="array" ref="Z338">IF('.'!Z338="","",'.'!Z338&amp;IF(VLOOKUP('.'!Z338,Recipes!$A:$D,4,FALSE)="",""," ["&amp;VLOOKUP('.'!Z338,Recipes!$A:$D,4,FALSE)&amp;"]"))</f>
        <v/>
      </c>
      <c r="AA338" s="46" t="str">
        <f t="array" ref="AA338">IF('.'!AA338="","",'.'!AA338&amp;IF(VLOOKUP('.'!AA338,Recipes!$A:$D,4,FALSE)="",""," ["&amp;VLOOKUP('.'!AA338,Recipes!$A:$D,4,FALSE)&amp;"]"))</f>
        <v/>
      </c>
      <c r="AB338" s="46" t="str">
        <f t="array" ref="AB338">IF('.'!AB338="","",'.'!AB338&amp;IF(VLOOKUP('.'!AB338,Recipes!$A:$D,4,FALSE)="",""," ["&amp;VLOOKUP('.'!AB338,Recipes!$A:$D,4,FALSE)&amp;"]"))</f>
        <v/>
      </c>
      <c r="AC338" s="46" t="str">
        <f t="array" ref="AC338">IF('.'!AC338="","",'.'!AC338&amp;IF(VLOOKUP('.'!AC338,Recipes!$A:$D,4,FALSE)="",""," ["&amp;VLOOKUP('.'!AC338,Recipes!$A:$D,4,FALSE)&amp;"]"))</f>
        <v/>
      </c>
      <c r="AD338" s="46" t="str">
        <f t="array" ref="AD338">IF('.'!AD338="","",'.'!AD338&amp;IF(VLOOKUP('.'!AD338,Recipes!$A:$D,4,FALSE)="",""," ["&amp;VLOOKUP('.'!AD338,Recipes!$A:$D,4,FALSE)&amp;"]"))</f>
        <v/>
      </c>
      <c r="AE338" s="47"/>
      <c r="AF338" s="47"/>
      <c r="AG338" s="47"/>
      <c r="AH338" s="47"/>
      <c r="AI338" s="47"/>
      <c r="AJ338" s="47"/>
      <c r="AK338" s="47"/>
      <c r="AL338" s="47"/>
      <c r="AM338" s="47"/>
      <c r="AN338" s="47"/>
      <c r="AO338" s="47"/>
      <c r="AP338" s="47"/>
      <c r="AQ338" s="47"/>
      <c r="AR338" s="47"/>
      <c r="AS338" s="47"/>
      <c r="AT338" s="47"/>
      <c r="AU338" s="47"/>
      <c r="AV338" s="47"/>
      <c r="AW338" s="47"/>
      <c r="AX338" s="47"/>
      <c r="AY338" s="47"/>
      <c r="AZ338" s="47"/>
      <c r="BA338" s="47"/>
      <c r="BB338" s="47"/>
      <c r="BC338" s="47"/>
      <c r="BD338" s="47"/>
      <c r="BE338" s="47"/>
      <c r="BF338" s="47"/>
      <c r="BG338" s="47"/>
      <c r="BH338" s="47"/>
      <c r="BI338" s="47"/>
      <c r="BJ338" s="47"/>
      <c r="BK338" s="47"/>
      <c r="BL338" s="47"/>
      <c r="BM338" s="47"/>
      <c r="BN338" s="47"/>
      <c r="BO338" s="47"/>
      <c r="BP338" s="47"/>
      <c r="BQ338" s="47"/>
      <c r="BR338" s="47"/>
      <c r="BS338" s="47"/>
      <c r="BT338" s="47"/>
      <c r="BU338" s="47"/>
      <c r="BV338" s="47"/>
      <c r="BW338" s="47"/>
      <c r="BX338" s="47"/>
      <c r="BY338" s="47"/>
      <c r="BZ338" s="47"/>
    </row>
    <row r="339" spans="1:78" ht="13">
      <c r="A339" s="48" t="str">
        <f ca="1">'.'!A339</f>
        <v>Poison Flask</v>
      </c>
      <c r="B339" s="46" t="str">
        <f t="array" aca="1" ref="B339" ca="1">IF('.'!B339="","",'.'!B339&amp;IF(VLOOKUP('.'!B339,Recipes!$A:$D,4,FALSE)="",""," ["&amp;VLOOKUP('.'!B339,Recipes!$A:$D,4,FALSE)&amp;"]"))</f>
        <v>Cursed Poison Flask [-540]</v>
      </c>
      <c r="C339" s="46" t="str">
        <f t="array" ref="C339">IF('.'!C339="","",'.'!C339&amp;IF(VLOOKUP('.'!C339,Recipes!$A:$D,4,FALSE)="",""," ["&amp;VLOOKUP('.'!C339,Recipes!$A:$D,4,FALSE)&amp;"]"))</f>
        <v/>
      </c>
      <c r="D339" s="46" t="str">
        <f t="array" ref="D339">IF('.'!D339="","",'.'!D339&amp;IF(VLOOKUP('.'!D339,Recipes!$A:$D,4,FALSE)="",""," ["&amp;VLOOKUP('.'!D339,Recipes!$A:$D,4,FALSE)&amp;"]"))</f>
        <v/>
      </c>
      <c r="E339" s="46" t="str">
        <f t="array" ref="E339">IF('.'!E339="","",'.'!E339&amp;IF(VLOOKUP('.'!E339,Recipes!$A:$D,4,FALSE)="",""," ["&amp;VLOOKUP('.'!E339,Recipes!$A:$D,4,FALSE)&amp;"]"))</f>
        <v/>
      </c>
      <c r="F339" s="46" t="str">
        <f t="array" ref="F339">IF('.'!F339="","",'.'!F339&amp;IF(VLOOKUP('.'!F339,Recipes!$A:$D,4,FALSE)="",""," ["&amp;VLOOKUP('.'!F339,Recipes!$A:$D,4,FALSE)&amp;"]"))</f>
        <v/>
      </c>
      <c r="G339" s="46" t="str">
        <f t="array" ref="G339">IF('.'!G339="","",'.'!G339&amp;IF(VLOOKUP('.'!G339,Recipes!$A:$D,4,FALSE)="",""," ["&amp;VLOOKUP('.'!G339,Recipes!$A:$D,4,FALSE)&amp;"]"))</f>
        <v/>
      </c>
      <c r="H339" s="46" t="str">
        <f t="array" ref="H339">IF('.'!H339="","",'.'!H339&amp;IF(VLOOKUP('.'!H339,Recipes!$A:$D,4,FALSE)="",""," ["&amp;VLOOKUP('.'!H339,Recipes!$A:$D,4,FALSE)&amp;"]"))</f>
        <v/>
      </c>
      <c r="I339" s="46" t="str">
        <f t="array" ref="I339">IF('.'!I339="","",'.'!I339&amp;IF(VLOOKUP('.'!I339,Recipes!$A:$D,4,FALSE)="",""," ["&amp;VLOOKUP('.'!I339,Recipes!$A:$D,4,FALSE)&amp;"]"))</f>
        <v/>
      </c>
      <c r="J339" s="46" t="str">
        <f t="array" ref="J339">IF('.'!J339="","",'.'!J339&amp;IF(VLOOKUP('.'!J339,Recipes!$A:$D,4,FALSE)="",""," ["&amp;VLOOKUP('.'!J339,Recipes!$A:$D,4,FALSE)&amp;"]"))</f>
        <v/>
      </c>
      <c r="K339" s="46" t="str">
        <f t="array" ref="K339">IF('.'!K339="","",'.'!K339&amp;IF(VLOOKUP('.'!K339,Recipes!$A:$D,4,FALSE)="",""," ["&amp;VLOOKUP('.'!K339,Recipes!$A:$D,4,FALSE)&amp;"]"))</f>
        <v/>
      </c>
      <c r="L339" s="46" t="str">
        <f t="array" ref="L339">IF('.'!L339="","",'.'!L339&amp;IF(VLOOKUP('.'!L339,Recipes!$A:$D,4,FALSE)="",""," ["&amp;VLOOKUP('.'!L339,Recipes!$A:$D,4,FALSE)&amp;"]"))</f>
        <v/>
      </c>
      <c r="M339" s="46" t="str">
        <f t="array" ref="M339">IF('.'!M339="","",'.'!M339&amp;IF(VLOOKUP('.'!M339,Recipes!$A:$D,4,FALSE)="",""," ["&amp;VLOOKUP('.'!M339,Recipes!$A:$D,4,FALSE)&amp;"]"))</f>
        <v/>
      </c>
      <c r="N339" s="46" t="str">
        <f t="array" ref="N339">IF('.'!N339="","",'.'!N339&amp;IF(VLOOKUP('.'!N339,Recipes!$A:$D,4,FALSE)="",""," ["&amp;VLOOKUP('.'!N339,Recipes!$A:$D,4,FALSE)&amp;"]"))</f>
        <v/>
      </c>
      <c r="O339" s="46" t="str">
        <f t="array" ref="O339">IF('.'!O339="","",'.'!O339&amp;IF(VLOOKUP('.'!O339,Recipes!$A:$D,4,FALSE)="",""," ["&amp;VLOOKUP('.'!O339,Recipes!$A:$D,4,FALSE)&amp;"]"))</f>
        <v/>
      </c>
      <c r="P339" s="46" t="str">
        <f t="array" ref="P339">IF('.'!P339="","",'.'!P339&amp;IF(VLOOKUP('.'!P339,Recipes!$A:$D,4,FALSE)="",""," ["&amp;VLOOKUP('.'!P339,Recipes!$A:$D,4,FALSE)&amp;"]"))</f>
        <v/>
      </c>
      <c r="Q339" s="46" t="str">
        <f t="array" ref="Q339">IF('.'!Q339="","",'.'!Q339&amp;IF(VLOOKUP('.'!Q339,Recipes!$A:$D,4,FALSE)="",""," ["&amp;VLOOKUP('.'!Q339,Recipes!$A:$D,4,FALSE)&amp;"]"))</f>
        <v/>
      </c>
      <c r="R339" s="46" t="str">
        <f t="array" ref="R339">IF('.'!R339="","",'.'!R339&amp;IF(VLOOKUP('.'!R339,Recipes!$A:$D,4,FALSE)="",""," ["&amp;VLOOKUP('.'!R339,Recipes!$A:$D,4,FALSE)&amp;"]"))</f>
        <v/>
      </c>
      <c r="S339" s="46" t="str">
        <f t="array" ref="S339">IF('.'!S339="","",'.'!S339&amp;IF(VLOOKUP('.'!S339,Recipes!$A:$D,4,FALSE)="",""," ["&amp;VLOOKUP('.'!S339,Recipes!$A:$D,4,FALSE)&amp;"]"))</f>
        <v/>
      </c>
      <c r="T339" s="46" t="str">
        <f t="array" ref="T339">IF('.'!T339="","",'.'!T339&amp;IF(VLOOKUP('.'!T339,Recipes!$A:$D,4,FALSE)="",""," ["&amp;VLOOKUP('.'!T339,Recipes!$A:$D,4,FALSE)&amp;"]"))</f>
        <v/>
      </c>
      <c r="U339" s="46" t="str">
        <f t="array" ref="U339">IF('.'!U339="","",'.'!U339&amp;IF(VLOOKUP('.'!U339,Recipes!$A:$D,4,FALSE)="",""," ["&amp;VLOOKUP('.'!U339,Recipes!$A:$D,4,FALSE)&amp;"]"))</f>
        <v/>
      </c>
      <c r="V339" s="46" t="str">
        <f t="array" ref="V339">IF('.'!V339="","",'.'!V339&amp;IF(VLOOKUP('.'!V339,Recipes!$A:$D,4,FALSE)="",""," ["&amp;VLOOKUP('.'!V339,Recipes!$A:$D,4,FALSE)&amp;"]"))</f>
        <v/>
      </c>
      <c r="W339" s="46" t="str">
        <f t="array" ref="W339">IF('.'!W339="","",'.'!W339&amp;IF(VLOOKUP('.'!W339,Recipes!$A:$D,4,FALSE)="",""," ["&amp;VLOOKUP('.'!W339,Recipes!$A:$D,4,FALSE)&amp;"]"))</f>
        <v/>
      </c>
      <c r="X339" s="46" t="str">
        <f t="array" ref="X339">IF('.'!X339="","",'.'!X339&amp;IF(VLOOKUP('.'!X339,Recipes!$A:$D,4,FALSE)="",""," ["&amp;VLOOKUP('.'!X339,Recipes!$A:$D,4,FALSE)&amp;"]"))</f>
        <v/>
      </c>
      <c r="Y339" s="46" t="str">
        <f t="array" ref="Y339">IF('.'!Y339="","",'.'!Y339&amp;IF(VLOOKUP('.'!Y339,Recipes!$A:$D,4,FALSE)="",""," ["&amp;VLOOKUP('.'!Y339,Recipes!$A:$D,4,FALSE)&amp;"]"))</f>
        <v/>
      </c>
      <c r="Z339" s="46" t="str">
        <f t="array" ref="Z339">IF('.'!Z339="","",'.'!Z339&amp;IF(VLOOKUP('.'!Z339,Recipes!$A:$D,4,FALSE)="",""," ["&amp;VLOOKUP('.'!Z339,Recipes!$A:$D,4,FALSE)&amp;"]"))</f>
        <v/>
      </c>
      <c r="AA339" s="46" t="str">
        <f t="array" ref="AA339">IF('.'!AA339="","",'.'!AA339&amp;IF(VLOOKUP('.'!AA339,Recipes!$A:$D,4,FALSE)="",""," ["&amp;VLOOKUP('.'!AA339,Recipes!$A:$D,4,FALSE)&amp;"]"))</f>
        <v/>
      </c>
      <c r="AB339" s="46" t="str">
        <f t="array" ref="AB339">IF('.'!AB339="","",'.'!AB339&amp;IF(VLOOKUP('.'!AB339,Recipes!$A:$D,4,FALSE)="",""," ["&amp;VLOOKUP('.'!AB339,Recipes!$A:$D,4,FALSE)&amp;"]"))</f>
        <v/>
      </c>
      <c r="AC339" s="46" t="str">
        <f t="array" ref="AC339">IF('.'!AC339="","",'.'!AC339&amp;IF(VLOOKUP('.'!AC339,Recipes!$A:$D,4,FALSE)="",""," ["&amp;VLOOKUP('.'!AC339,Recipes!$A:$D,4,FALSE)&amp;"]"))</f>
        <v/>
      </c>
      <c r="AD339" s="46" t="str">
        <f t="array" ref="AD339">IF('.'!AD339="","",'.'!AD339&amp;IF(VLOOKUP('.'!AD339,Recipes!$A:$D,4,FALSE)="",""," ["&amp;VLOOKUP('.'!AD339,Recipes!$A:$D,4,FALSE)&amp;"]"))</f>
        <v/>
      </c>
      <c r="AE339" s="47"/>
      <c r="AF339" s="47"/>
      <c r="AG339" s="47"/>
      <c r="AH339" s="47"/>
      <c r="AI339" s="47"/>
      <c r="AJ339" s="47"/>
      <c r="AK339" s="47"/>
      <c r="AL339" s="47"/>
      <c r="AM339" s="47"/>
      <c r="AN339" s="47"/>
      <c r="AO339" s="47"/>
      <c r="AP339" s="47"/>
      <c r="AQ339" s="47"/>
      <c r="AR339" s="47"/>
      <c r="AS339" s="47"/>
      <c r="AT339" s="47"/>
      <c r="AU339" s="47"/>
      <c r="AV339" s="47"/>
      <c r="AW339" s="47"/>
      <c r="AX339" s="47"/>
      <c r="AY339" s="47"/>
      <c r="AZ339" s="47"/>
      <c r="BA339" s="47"/>
      <c r="BB339" s="47"/>
      <c r="BC339" s="47"/>
      <c r="BD339" s="47"/>
      <c r="BE339" s="47"/>
      <c r="BF339" s="47"/>
      <c r="BG339" s="47"/>
      <c r="BH339" s="47"/>
      <c r="BI339" s="47"/>
      <c r="BJ339" s="47"/>
      <c r="BK339" s="47"/>
      <c r="BL339" s="47"/>
      <c r="BM339" s="47"/>
      <c r="BN339" s="47"/>
      <c r="BO339" s="47"/>
      <c r="BP339" s="47"/>
      <c r="BQ339" s="47"/>
      <c r="BR339" s="47"/>
      <c r="BS339" s="47"/>
      <c r="BT339" s="47"/>
      <c r="BU339" s="47"/>
      <c r="BV339" s="47"/>
      <c r="BW339" s="47"/>
      <c r="BX339" s="47"/>
      <c r="BY339" s="47"/>
      <c r="BZ339" s="47"/>
    </row>
    <row r="340" spans="1:78" ht="13">
      <c r="A340" s="48" t="str">
        <f ca="1">'.'!A340</f>
        <v>Poison Wave Scroll</v>
      </c>
      <c r="B340" s="46" t="str">
        <f t="array" aca="1" ref="B340" ca="1">IF('.'!B340="","",'.'!B340&amp;IF(VLOOKUP('.'!B340,Recipes!$A:$D,4,FALSE)="",""," ["&amp;VLOOKUP('.'!B340,Recipes!$A:$D,4,FALSE)&amp;"]"))</f>
        <v>Poison Wave Skillbook [-10]</v>
      </c>
      <c r="C340" s="46" t="str">
        <f t="array" ref="C340">IF('.'!C340="","",'.'!C340&amp;IF(VLOOKUP('.'!C340,Recipes!$A:$D,4,FALSE)="",""," ["&amp;VLOOKUP('.'!C340,Recipes!$A:$D,4,FALSE)&amp;"]"))</f>
        <v/>
      </c>
      <c r="D340" s="46" t="str">
        <f t="array" ref="D340">IF('.'!D340="","",'.'!D340&amp;IF(VLOOKUP('.'!D340,Recipes!$A:$D,4,FALSE)="",""," ["&amp;VLOOKUP('.'!D340,Recipes!$A:$D,4,FALSE)&amp;"]"))</f>
        <v/>
      </c>
      <c r="E340" s="46" t="str">
        <f t="array" ref="E340">IF('.'!E340="","",'.'!E340&amp;IF(VLOOKUP('.'!E340,Recipes!$A:$D,4,FALSE)="",""," ["&amp;VLOOKUP('.'!E340,Recipes!$A:$D,4,FALSE)&amp;"]"))</f>
        <v/>
      </c>
      <c r="F340" s="46" t="str">
        <f t="array" ref="F340">IF('.'!F340="","",'.'!F340&amp;IF(VLOOKUP('.'!F340,Recipes!$A:$D,4,FALSE)="",""," ["&amp;VLOOKUP('.'!F340,Recipes!$A:$D,4,FALSE)&amp;"]"))</f>
        <v/>
      </c>
      <c r="G340" s="46" t="str">
        <f t="array" ref="G340">IF('.'!G340="","",'.'!G340&amp;IF(VLOOKUP('.'!G340,Recipes!$A:$D,4,FALSE)="",""," ["&amp;VLOOKUP('.'!G340,Recipes!$A:$D,4,FALSE)&amp;"]"))</f>
        <v/>
      </c>
      <c r="H340" s="46" t="str">
        <f t="array" ref="H340">IF('.'!H340="","",'.'!H340&amp;IF(VLOOKUP('.'!H340,Recipes!$A:$D,4,FALSE)="",""," ["&amp;VLOOKUP('.'!H340,Recipes!$A:$D,4,FALSE)&amp;"]"))</f>
        <v/>
      </c>
      <c r="I340" s="46" t="str">
        <f t="array" ref="I340">IF('.'!I340="","",'.'!I340&amp;IF(VLOOKUP('.'!I340,Recipes!$A:$D,4,FALSE)="",""," ["&amp;VLOOKUP('.'!I340,Recipes!$A:$D,4,FALSE)&amp;"]"))</f>
        <v/>
      </c>
      <c r="J340" s="46" t="str">
        <f t="array" ref="J340">IF('.'!J340="","",'.'!J340&amp;IF(VLOOKUP('.'!J340,Recipes!$A:$D,4,FALSE)="",""," ["&amp;VLOOKUP('.'!J340,Recipes!$A:$D,4,FALSE)&amp;"]"))</f>
        <v/>
      </c>
      <c r="K340" s="46" t="str">
        <f t="array" ref="K340">IF('.'!K340="","",'.'!K340&amp;IF(VLOOKUP('.'!K340,Recipes!$A:$D,4,FALSE)="",""," ["&amp;VLOOKUP('.'!K340,Recipes!$A:$D,4,FALSE)&amp;"]"))</f>
        <v/>
      </c>
      <c r="L340" s="46" t="str">
        <f t="array" ref="L340">IF('.'!L340="","",'.'!L340&amp;IF(VLOOKUP('.'!L340,Recipes!$A:$D,4,FALSE)="",""," ["&amp;VLOOKUP('.'!L340,Recipes!$A:$D,4,FALSE)&amp;"]"))</f>
        <v/>
      </c>
      <c r="M340" s="46" t="str">
        <f t="array" ref="M340">IF('.'!M340="","",'.'!M340&amp;IF(VLOOKUP('.'!M340,Recipes!$A:$D,4,FALSE)="",""," ["&amp;VLOOKUP('.'!M340,Recipes!$A:$D,4,FALSE)&amp;"]"))</f>
        <v/>
      </c>
      <c r="N340" s="46" t="str">
        <f t="array" ref="N340">IF('.'!N340="","",'.'!N340&amp;IF(VLOOKUP('.'!N340,Recipes!$A:$D,4,FALSE)="",""," ["&amp;VLOOKUP('.'!N340,Recipes!$A:$D,4,FALSE)&amp;"]"))</f>
        <v/>
      </c>
      <c r="O340" s="46" t="str">
        <f t="array" ref="O340">IF('.'!O340="","",'.'!O340&amp;IF(VLOOKUP('.'!O340,Recipes!$A:$D,4,FALSE)="",""," ["&amp;VLOOKUP('.'!O340,Recipes!$A:$D,4,FALSE)&amp;"]"))</f>
        <v/>
      </c>
      <c r="P340" s="46" t="str">
        <f t="array" ref="P340">IF('.'!P340="","",'.'!P340&amp;IF(VLOOKUP('.'!P340,Recipes!$A:$D,4,FALSE)="",""," ["&amp;VLOOKUP('.'!P340,Recipes!$A:$D,4,FALSE)&amp;"]"))</f>
        <v/>
      </c>
      <c r="Q340" s="46" t="str">
        <f t="array" ref="Q340">IF('.'!Q340="","",'.'!Q340&amp;IF(VLOOKUP('.'!Q340,Recipes!$A:$D,4,FALSE)="",""," ["&amp;VLOOKUP('.'!Q340,Recipes!$A:$D,4,FALSE)&amp;"]"))</f>
        <v/>
      </c>
      <c r="R340" s="46" t="str">
        <f t="array" ref="R340">IF('.'!R340="","",'.'!R340&amp;IF(VLOOKUP('.'!R340,Recipes!$A:$D,4,FALSE)="",""," ["&amp;VLOOKUP('.'!R340,Recipes!$A:$D,4,FALSE)&amp;"]"))</f>
        <v/>
      </c>
      <c r="S340" s="46" t="str">
        <f t="array" ref="S340">IF('.'!S340="","",'.'!S340&amp;IF(VLOOKUP('.'!S340,Recipes!$A:$D,4,FALSE)="",""," ["&amp;VLOOKUP('.'!S340,Recipes!$A:$D,4,FALSE)&amp;"]"))</f>
        <v/>
      </c>
      <c r="T340" s="46" t="str">
        <f t="array" ref="T340">IF('.'!T340="","",'.'!T340&amp;IF(VLOOKUP('.'!T340,Recipes!$A:$D,4,FALSE)="",""," ["&amp;VLOOKUP('.'!T340,Recipes!$A:$D,4,FALSE)&amp;"]"))</f>
        <v/>
      </c>
      <c r="U340" s="46" t="str">
        <f t="array" ref="U340">IF('.'!U340="","",'.'!U340&amp;IF(VLOOKUP('.'!U340,Recipes!$A:$D,4,FALSE)="",""," ["&amp;VLOOKUP('.'!U340,Recipes!$A:$D,4,FALSE)&amp;"]"))</f>
        <v/>
      </c>
      <c r="V340" s="46" t="str">
        <f t="array" ref="V340">IF('.'!V340="","",'.'!V340&amp;IF(VLOOKUP('.'!V340,Recipes!$A:$D,4,FALSE)="",""," ["&amp;VLOOKUP('.'!V340,Recipes!$A:$D,4,FALSE)&amp;"]"))</f>
        <v/>
      </c>
      <c r="W340" s="46" t="str">
        <f t="array" ref="W340">IF('.'!W340="","",'.'!W340&amp;IF(VLOOKUP('.'!W340,Recipes!$A:$D,4,FALSE)="",""," ["&amp;VLOOKUP('.'!W340,Recipes!$A:$D,4,FALSE)&amp;"]"))</f>
        <v/>
      </c>
      <c r="X340" s="46" t="str">
        <f t="array" ref="X340">IF('.'!X340="","",'.'!X340&amp;IF(VLOOKUP('.'!X340,Recipes!$A:$D,4,FALSE)="",""," ["&amp;VLOOKUP('.'!X340,Recipes!$A:$D,4,FALSE)&amp;"]"))</f>
        <v/>
      </c>
      <c r="Y340" s="46" t="str">
        <f t="array" ref="Y340">IF('.'!Y340="","",'.'!Y340&amp;IF(VLOOKUP('.'!Y340,Recipes!$A:$D,4,FALSE)="",""," ["&amp;VLOOKUP('.'!Y340,Recipes!$A:$D,4,FALSE)&amp;"]"))</f>
        <v/>
      </c>
      <c r="Z340" s="46" t="str">
        <f t="array" ref="Z340">IF('.'!Z340="","",'.'!Z340&amp;IF(VLOOKUP('.'!Z340,Recipes!$A:$D,4,FALSE)="",""," ["&amp;VLOOKUP('.'!Z340,Recipes!$A:$D,4,FALSE)&amp;"]"))</f>
        <v/>
      </c>
      <c r="AA340" s="46" t="str">
        <f t="array" ref="AA340">IF('.'!AA340="","",'.'!AA340&amp;IF(VLOOKUP('.'!AA340,Recipes!$A:$D,4,FALSE)="",""," ["&amp;VLOOKUP('.'!AA340,Recipes!$A:$D,4,FALSE)&amp;"]"))</f>
        <v/>
      </c>
      <c r="AB340" s="46" t="str">
        <f t="array" ref="AB340">IF('.'!AB340="","",'.'!AB340&amp;IF(VLOOKUP('.'!AB340,Recipes!$A:$D,4,FALSE)="",""," ["&amp;VLOOKUP('.'!AB340,Recipes!$A:$D,4,FALSE)&amp;"]"))</f>
        <v/>
      </c>
      <c r="AC340" s="46" t="str">
        <f t="array" ref="AC340">IF('.'!AC340="","",'.'!AC340&amp;IF(VLOOKUP('.'!AC340,Recipes!$A:$D,4,FALSE)="",""," ["&amp;VLOOKUP('.'!AC340,Recipes!$A:$D,4,FALSE)&amp;"]"))</f>
        <v/>
      </c>
      <c r="AD340" s="46" t="str">
        <f t="array" ref="AD340">IF('.'!AD340="","",'.'!AD340&amp;IF(VLOOKUP('.'!AD340,Recipes!$A:$D,4,FALSE)="",""," ["&amp;VLOOKUP('.'!AD340,Recipes!$A:$D,4,FALSE)&amp;"]"))</f>
        <v/>
      </c>
      <c r="AE340" s="47"/>
      <c r="AF340" s="47"/>
      <c r="AG340" s="47"/>
      <c r="AH340" s="47"/>
      <c r="AI340" s="47"/>
      <c r="AJ340" s="47"/>
      <c r="AK340" s="47"/>
      <c r="AL340" s="47"/>
      <c r="AM340" s="47"/>
      <c r="AN340" s="47"/>
      <c r="AO340" s="47"/>
      <c r="AP340" s="47"/>
      <c r="AQ340" s="47"/>
      <c r="AR340" s="47"/>
      <c r="AS340" s="47"/>
      <c r="AT340" s="47"/>
      <c r="AU340" s="47"/>
      <c r="AV340" s="47"/>
      <c r="AW340" s="47"/>
      <c r="AX340" s="47"/>
      <c r="AY340" s="47"/>
      <c r="AZ340" s="47"/>
      <c r="BA340" s="47"/>
      <c r="BB340" s="47"/>
      <c r="BC340" s="47"/>
      <c r="BD340" s="47"/>
      <c r="BE340" s="47"/>
      <c r="BF340" s="47"/>
      <c r="BG340" s="47"/>
      <c r="BH340" s="47"/>
      <c r="BI340" s="47"/>
      <c r="BJ340" s="47"/>
      <c r="BK340" s="47"/>
      <c r="BL340" s="47"/>
      <c r="BM340" s="47"/>
      <c r="BN340" s="47"/>
      <c r="BO340" s="47"/>
      <c r="BP340" s="47"/>
      <c r="BQ340" s="47"/>
      <c r="BR340" s="47"/>
      <c r="BS340" s="47"/>
      <c r="BT340" s="47"/>
      <c r="BU340" s="47"/>
      <c r="BV340" s="47"/>
      <c r="BW340" s="47"/>
      <c r="BX340" s="47"/>
      <c r="BY340" s="47"/>
      <c r="BZ340" s="47"/>
    </row>
    <row r="341" spans="1:78" ht="13">
      <c r="A341" s="48" t="str">
        <f ca="1">'.'!A341</f>
        <v>Poisoncloud Arrowhead</v>
      </c>
      <c r="B341" s="46" t="str">
        <f t="array" aca="1" ref="B341" ca="1">IF('.'!B341="","",'.'!B341&amp;IF(VLOOKUP('.'!B341,Recipes!$A:$D,4,FALSE)="",""," ["&amp;VLOOKUP('.'!B341,Recipes!$A:$D,4,FALSE)&amp;"]"))</f>
        <v>Poisoncloud Arrow [39]</v>
      </c>
      <c r="C341" s="46" t="str">
        <f t="array" ref="C341">IF('.'!C341="","",'.'!C341&amp;IF(VLOOKUP('.'!C341,Recipes!$A:$D,4,FALSE)="",""," ["&amp;VLOOKUP('.'!C341,Recipes!$A:$D,4,FALSE)&amp;"]"))</f>
        <v/>
      </c>
      <c r="D341" s="46" t="str">
        <f t="array" ref="D341">IF('.'!D341="","",'.'!D341&amp;IF(VLOOKUP('.'!D341,Recipes!$A:$D,4,FALSE)="",""," ["&amp;VLOOKUP('.'!D341,Recipes!$A:$D,4,FALSE)&amp;"]"))</f>
        <v/>
      </c>
      <c r="E341" s="46" t="str">
        <f t="array" ref="E341">IF('.'!E341="","",'.'!E341&amp;IF(VLOOKUP('.'!E341,Recipes!$A:$D,4,FALSE)="",""," ["&amp;VLOOKUP('.'!E341,Recipes!$A:$D,4,FALSE)&amp;"]"))</f>
        <v/>
      </c>
      <c r="F341" s="46" t="str">
        <f t="array" ref="F341">IF('.'!F341="","",'.'!F341&amp;IF(VLOOKUP('.'!F341,Recipes!$A:$D,4,FALSE)="",""," ["&amp;VLOOKUP('.'!F341,Recipes!$A:$D,4,FALSE)&amp;"]"))</f>
        <v/>
      </c>
      <c r="G341" s="46" t="str">
        <f t="array" ref="G341">IF('.'!G341="","",'.'!G341&amp;IF(VLOOKUP('.'!G341,Recipes!$A:$D,4,FALSE)="",""," ["&amp;VLOOKUP('.'!G341,Recipes!$A:$D,4,FALSE)&amp;"]"))</f>
        <v/>
      </c>
      <c r="H341" s="46" t="str">
        <f t="array" ref="H341">IF('.'!H341="","",'.'!H341&amp;IF(VLOOKUP('.'!H341,Recipes!$A:$D,4,FALSE)="",""," ["&amp;VLOOKUP('.'!H341,Recipes!$A:$D,4,FALSE)&amp;"]"))</f>
        <v/>
      </c>
      <c r="I341" s="46" t="str">
        <f t="array" ref="I341">IF('.'!I341="","",'.'!I341&amp;IF(VLOOKUP('.'!I341,Recipes!$A:$D,4,FALSE)="",""," ["&amp;VLOOKUP('.'!I341,Recipes!$A:$D,4,FALSE)&amp;"]"))</f>
        <v/>
      </c>
      <c r="J341" s="46" t="str">
        <f t="array" ref="J341">IF('.'!J341="","",'.'!J341&amp;IF(VLOOKUP('.'!J341,Recipes!$A:$D,4,FALSE)="",""," ["&amp;VLOOKUP('.'!J341,Recipes!$A:$D,4,FALSE)&amp;"]"))</f>
        <v/>
      </c>
      <c r="K341" s="46" t="str">
        <f t="array" ref="K341">IF('.'!K341="","",'.'!K341&amp;IF(VLOOKUP('.'!K341,Recipes!$A:$D,4,FALSE)="",""," ["&amp;VLOOKUP('.'!K341,Recipes!$A:$D,4,FALSE)&amp;"]"))</f>
        <v/>
      </c>
      <c r="L341" s="46" t="str">
        <f t="array" ref="L341">IF('.'!L341="","",'.'!L341&amp;IF(VLOOKUP('.'!L341,Recipes!$A:$D,4,FALSE)="",""," ["&amp;VLOOKUP('.'!L341,Recipes!$A:$D,4,FALSE)&amp;"]"))</f>
        <v/>
      </c>
      <c r="M341" s="46" t="str">
        <f t="array" ref="M341">IF('.'!M341="","",'.'!M341&amp;IF(VLOOKUP('.'!M341,Recipes!$A:$D,4,FALSE)="",""," ["&amp;VLOOKUP('.'!M341,Recipes!$A:$D,4,FALSE)&amp;"]"))</f>
        <v/>
      </c>
      <c r="N341" s="46" t="str">
        <f t="array" ref="N341">IF('.'!N341="","",'.'!N341&amp;IF(VLOOKUP('.'!N341,Recipes!$A:$D,4,FALSE)="",""," ["&amp;VLOOKUP('.'!N341,Recipes!$A:$D,4,FALSE)&amp;"]"))</f>
        <v/>
      </c>
      <c r="O341" s="46" t="str">
        <f t="array" ref="O341">IF('.'!O341="","",'.'!O341&amp;IF(VLOOKUP('.'!O341,Recipes!$A:$D,4,FALSE)="",""," ["&amp;VLOOKUP('.'!O341,Recipes!$A:$D,4,FALSE)&amp;"]"))</f>
        <v/>
      </c>
      <c r="P341" s="46" t="str">
        <f t="array" ref="P341">IF('.'!P341="","",'.'!P341&amp;IF(VLOOKUP('.'!P341,Recipes!$A:$D,4,FALSE)="",""," ["&amp;VLOOKUP('.'!P341,Recipes!$A:$D,4,FALSE)&amp;"]"))</f>
        <v/>
      </c>
      <c r="Q341" s="46" t="str">
        <f t="array" ref="Q341">IF('.'!Q341="","",'.'!Q341&amp;IF(VLOOKUP('.'!Q341,Recipes!$A:$D,4,FALSE)="",""," ["&amp;VLOOKUP('.'!Q341,Recipes!$A:$D,4,FALSE)&amp;"]"))</f>
        <v/>
      </c>
      <c r="R341" s="46" t="str">
        <f t="array" ref="R341">IF('.'!R341="","",'.'!R341&amp;IF(VLOOKUP('.'!R341,Recipes!$A:$D,4,FALSE)="",""," ["&amp;VLOOKUP('.'!R341,Recipes!$A:$D,4,FALSE)&amp;"]"))</f>
        <v/>
      </c>
      <c r="S341" s="46" t="str">
        <f t="array" ref="S341">IF('.'!S341="","",'.'!S341&amp;IF(VLOOKUP('.'!S341,Recipes!$A:$D,4,FALSE)="",""," ["&amp;VLOOKUP('.'!S341,Recipes!$A:$D,4,FALSE)&amp;"]"))</f>
        <v/>
      </c>
      <c r="T341" s="46" t="str">
        <f t="array" ref="T341">IF('.'!T341="","",'.'!T341&amp;IF(VLOOKUP('.'!T341,Recipes!$A:$D,4,FALSE)="",""," ["&amp;VLOOKUP('.'!T341,Recipes!$A:$D,4,FALSE)&amp;"]"))</f>
        <v/>
      </c>
      <c r="U341" s="46" t="str">
        <f t="array" ref="U341">IF('.'!U341="","",'.'!U341&amp;IF(VLOOKUP('.'!U341,Recipes!$A:$D,4,FALSE)="",""," ["&amp;VLOOKUP('.'!U341,Recipes!$A:$D,4,FALSE)&amp;"]"))</f>
        <v/>
      </c>
      <c r="V341" s="46" t="str">
        <f t="array" ref="V341">IF('.'!V341="","",'.'!V341&amp;IF(VLOOKUP('.'!V341,Recipes!$A:$D,4,FALSE)="",""," ["&amp;VLOOKUP('.'!V341,Recipes!$A:$D,4,FALSE)&amp;"]"))</f>
        <v/>
      </c>
      <c r="W341" s="46" t="str">
        <f t="array" ref="W341">IF('.'!W341="","",'.'!W341&amp;IF(VLOOKUP('.'!W341,Recipes!$A:$D,4,FALSE)="",""," ["&amp;VLOOKUP('.'!W341,Recipes!$A:$D,4,FALSE)&amp;"]"))</f>
        <v/>
      </c>
      <c r="X341" s="46" t="str">
        <f t="array" ref="X341">IF('.'!X341="","",'.'!X341&amp;IF(VLOOKUP('.'!X341,Recipes!$A:$D,4,FALSE)="",""," ["&amp;VLOOKUP('.'!X341,Recipes!$A:$D,4,FALSE)&amp;"]"))</f>
        <v/>
      </c>
      <c r="Y341" s="46" t="str">
        <f t="array" ref="Y341">IF('.'!Y341="","",'.'!Y341&amp;IF(VLOOKUP('.'!Y341,Recipes!$A:$D,4,FALSE)="",""," ["&amp;VLOOKUP('.'!Y341,Recipes!$A:$D,4,FALSE)&amp;"]"))</f>
        <v/>
      </c>
      <c r="Z341" s="46" t="str">
        <f t="array" ref="Z341">IF('.'!Z341="","",'.'!Z341&amp;IF(VLOOKUP('.'!Z341,Recipes!$A:$D,4,FALSE)="",""," ["&amp;VLOOKUP('.'!Z341,Recipes!$A:$D,4,FALSE)&amp;"]"))</f>
        <v/>
      </c>
      <c r="AA341" s="46" t="str">
        <f t="array" ref="AA341">IF('.'!AA341="","",'.'!AA341&amp;IF(VLOOKUP('.'!AA341,Recipes!$A:$D,4,FALSE)="",""," ["&amp;VLOOKUP('.'!AA341,Recipes!$A:$D,4,FALSE)&amp;"]"))</f>
        <v/>
      </c>
      <c r="AB341" s="46" t="str">
        <f t="array" ref="AB341">IF('.'!AB341="","",'.'!AB341&amp;IF(VLOOKUP('.'!AB341,Recipes!$A:$D,4,FALSE)="",""," ["&amp;VLOOKUP('.'!AB341,Recipes!$A:$D,4,FALSE)&amp;"]"))</f>
        <v/>
      </c>
      <c r="AC341" s="46" t="str">
        <f t="array" ref="AC341">IF('.'!AC341="","",'.'!AC341&amp;IF(VLOOKUP('.'!AC341,Recipes!$A:$D,4,FALSE)="",""," ["&amp;VLOOKUP('.'!AC341,Recipes!$A:$D,4,FALSE)&amp;"]"))</f>
        <v/>
      </c>
      <c r="AD341" s="46" t="str">
        <f t="array" ref="AD341">IF('.'!AD341="","",'.'!AD341&amp;IF(VLOOKUP('.'!AD341,Recipes!$A:$D,4,FALSE)="",""," ["&amp;VLOOKUP('.'!AD341,Recipes!$A:$D,4,FALSE)&amp;"]"))</f>
        <v/>
      </c>
      <c r="AE341" s="47"/>
      <c r="AF341" s="47"/>
      <c r="AG341" s="47"/>
      <c r="AH341" s="47"/>
      <c r="AI341" s="47"/>
      <c r="AJ341" s="47"/>
      <c r="AK341" s="47"/>
      <c r="AL341" s="47"/>
      <c r="AM341" s="47"/>
      <c r="AN341" s="47"/>
      <c r="AO341" s="47"/>
      <c r="AP341" s="47"/>
      <c r="AQ341" s="47"/>
      <c r="AR341" s="47"/>
      <c r="AS341" s="47"/>
      <c r="AT341" s="47"/>
      <c r="AU341" s="47"/>
      <c r="AV341" s="47"/>
      <c r="AW341" s="47"/>
      <c r="AX341" s="47"/>
      <c r="AY341" s="47"/>
      <c r="AZ341" s="47"/>
      <c r="BA341" s="47"/>
      <c r="BB341" s="47"/>
      <c r="BC341" s="47"/>
      <c r="BD341" s="47"/>
      <c r="BE341" s="47"/>
      <c r="BF341" s="47"/>
      <c r="BG341" s="47"/>
      <c r="BH341" s="47"/>
      <c r="BI341" s="47"/>
      <c r="BJ341" s="47"/>
      <c r="BK341" s="47"/>
      <c r="BL341" s="47"/>
      <c r="BM341" s="47"/>
      <c r="BN341" s="47"/>
      <c r="BO341" s="47"/>
      <c r="BP341" s="47"/>
      <c r="BQ341" s="47"/>
      <c r="BR341" s="47"/>
      <c r="BS341" s="47"/>
      <c r="BT341" s="47"/>
      <c r="BU341" s="47"/>
      <c r="BV341" s="47"/>
      <c r="BW341" s="47"/>
      <c r="BX341" s="47"/>
      <c r="BY341" s="47"/>
      <c r="BZ341" s="47"/>
    </row>
    <row r="342" spans="1:78" ht="13">
      <c r="A342" s="48" t="str">
        <f ca="1">'.'!A342</f>
        <v>Poisoned Arrowhead</v>
      </c>
      <c r="B342" s="46" t="str">
        <f t="array" aca="1" ref="B342" ca="1">IF('.'!B342="","",'.'!B342&amp;IF(VLOOKUP('.'!B342,Recipes!$A:$D,4,FALSE)="",""," ["&amp;VLOOKUP('.'!B342,Recipes!$A:$D,4,FALSE)&amp;"]"))</f>
        <v>Poisoned Arrow [9]</v>
      </c>
      <c r="C342" s="46" t="str">
        <f t="array" ref="C342">IF('.'!C342="","",'.'!C342&amp;IF(VLOOKUP('.'!C342,Recipes!$A:$D,4,FALSE)="",""," ["&amp;VLOOKUP('.'!C342,Recipes!$A:$D,4,FALSE)&amp;"]"))</f>
        <v/>
      </c>
      <c r="D342" s="46" t="str">
        <f t="array" ref="D342">IF('.'!D342="","",'.'!D342&amp;IF(VLOOKUP('.'!D342,Recipes!$A:$D,4,FALSE)="",""," ["&amp;VLOOKUP('.'!D342,Recipes!$A:$D,4,FALSE)&amp;"]"))</f>
        <v/>
      </c>
      <c r="E342" s="46" t="str">
        <f t="array" ref="E342">IF('.'!E342="","",'.'!E342&amp;IF(VLOOKUP('.'!E342,Recipes!$A:$D,4,FALSE)="",""," ["&amp;VLOOKUP('.'!E342,Recipes!$A:$D,4,FALSE)&amp;"]"))</f>
        <v/>
      </c>
      <c r="F342" s="46" t="str">
        <f t="array" ref="F342">IF('.'!F342="","",'.'!F342&amp;IF(VLOOKUP('.'!F342,Recipes!$A:$D,4,FALSE)="",""," ["&amp;VLOOKUP('.'!F342,Recipes!$A:$D,4,FALSE)&amp;"]"))</f>
        <v/>
      </c>
      <c r="G342" s="46" t="str">
        <f t="array" ref="G342">IF('.'!G342="","",'.'!G342&amp;IF(VLOOKUP('.'!G342,Recipes!$A:$D,4,FALSE)="",""," ["&amp;VLOOKUP('.'!G342,Recipes!$A:$D,4,FALSE)&amp;"]"))</f>
        <v/>
      </c>
      <c r="H342" s="46" t="str">
        <f t="array" ref="H342">IF('.'!H342="","",'.'!H342&amp;IF(VLOOKUP('.'!H342,Recipes!$A:$D,4,FALSE)="",""," ["&amp;VLOOKUP('.'!H342,Recipes!$A:$D,4,FALSE)&amp;"]"))</f>
        <v/>
      </c>
      <c r="I342" s="46" t="str">
        <f t="array" ref="I342">IF('.'!I342="","",'.'!I342&amp;IF(VLOOKUP('.'!I342,Recipes!$A:$D,4,FALSE)="",""," ["&amp;VLOOKUP('.'!I342,Recipes!$A:$D,4,FALSE)&amp;"]"))</f>
        <v/>
      </c>
      <c r="J342" s="46" t="str">
        <f t="array" ref="J342">IF('.'!J342="","",'.'!J342&amp;IF(VLOOKUP('.'!J342,Recipes!$A:$D,4,FALSE)="",""," ["&amp;VLOOKUP('.'!J342,Recipes!$A:$D,4,FALSE)&amp;"]"))</f>
        <v/>
      </c>
      <c r="K342" s="46" t="str">
        <f t="array" ref="K342">IF('.'!K342="","",'.'!K342&amp;IF(VLOOKUP('.'!K342,Recipes!$A:$D,4,FALSE)="",""," ["&amp;VLOOKUP('.'!K342,Recipes!$A:$D,4,FALSE)&amp;"]"))</f>
        <v/>
      </c>
      <c r="L342" s="46" t="str">
        <f t="array" ref="L342">IF('.'!L342="","",'.'!L342&amp;IF(VLOOKUP('.'!L342,Recipes!$A:$D,4,FALSE)="",""," ["&amp;VLOOKUP('.'!L342,Recipes!$A:$D,4,FALSE)&amp;"]"))</f>
        <v/>
      </c>
      <c r="M342" s="46" t="str">
        <f t="array" ref="M342">IF('.'!M342="","",'.'!M342&amp;IF(VLOOKUP('.'!M342,Recipes!$A:$D,4,FALSE)="",""," ["&amp;VLOOKUP('.'!M342,Recipes!$A:$D,4,FALSE)&amp;"]"))</f>
        <v/>
      </c>
      <c r="N342" s="46" t="str">
        <f t="array" ref="N342">IF('.'!N342="","",'.'!N342&amp;IF(VLOOKUP('.'!N342,Recipes!$A:$D,4,FALSE)="",""," ["&amp;VLOOKUP('.'!N342,Recipes!$A:$D,4,FALSE)&amp;"]"))</f>
        <v/>
      </c>
      <c r="O342" s="46" t="str">
        <f t="array" ref="O342">IF('.'!O342="","",'.'!O342&amp;IF(VLOOKUP('.'!O342,Recipes!$A:$D,4,FALSE)="",""," ["&amp;VLOOKUP('.'!O342,Recipes!$A:$D,4,FALSE)&amp;"]"))</f>
        <v/>
      </c>
      <c r="P342" s="46" t="str">
        <f t="array" ref="P342">IF('.'!P342="","",'.'!P342&amp;IF(VLOOKUP('.'!P342,Recipes!$A:$D,4,FALSE)="",""," ["&amp;VLOOKUP('.'!P342,Recipes!$A:$D,4,FALSE)&amp;"]"))</f>
        <v/>
      </c>
      <c r="Q342" s="46" t="str">
        <f t="array" ref="Q342">IF('.'!Q342="","",'.'!Q342&amp;IF(VLOOKUP('.'!Q342,Recipes!$A:$D,4,FALSE)="",""," ["&amp;VLOOKUP('.'!Q342,Recipes!$A:$D,4,FALSE)&amp;"]"))</f>
        <v/>
      </c>
      <c r="R342" s="46" t="str">
        <f t="array" ref="R342">IF('.'!R342="","",'.'!R342&amp;IF(VLOOKUP('.'!R342,Recipes!$A:$D,4,FALSE)="",""," ["&amp;VLOOKUP('.'!R342,Recipes!$A:$D,4,FALSE)&amp;"]"))</f>
        <v/>
      </c>
      <c r="S342" s="46" t="str">
        <f t="array" ref="S342">IF('.'!S342="","",'.'!S342&amp;IF(VLOOKUP('.'!S342,Recipes!$A:$D,4,FALSE)="",""," ["&amp;VLOOKUP('.'!S342,Recipes!$A:$D,4,FALSE)&amp;"]"))</f>
        <v/>
      </c>
      <c r="T342" s="46" t="str">
        <f t="array" ref="T342">IF('.'!T342="","",'.'!T342&amp;IF(VLOOKUP('.'!T342,Recipes!$A:$D,4,FALSE)="",""," ["&amp;VLOOKUP('.'!T342,Recipes!$A:$D,4,FALSE)&amp;"]"))</f>
        <v/>
      </c>
      <c r="U342" s="46" t="str">
        <f t="array" ref="U342">IF('.'!U342="","",'.'!U342&amp;IF(VLOOKUP('.'!U342,Recipes!$A:$D,4,FALSE)="",""," ["&amp;VLOOKUP('.'!U342,Recipes!$A:$D,4,FALSE)&amp;"]"))</f>
        <v/>
      </c>
      <c r="V342" s="46" t="str">
        <f t="array" ref="V342">IF('.'!V342="","",'.'!V342&amp;IF(VLOOKUP('.'!V342,Recipes!$A:$D,4,FALSE)="",""," ["&amp;VLOOKUP('.'!V342,Recipes!$A:$D,4,FALSE)&amp;"]"))</f>
        <v/>
      </c>
      <c r="W342" s="46" t="str">
        <f t="array" ref="W342">IF('.'!W342="","",'.'!W342&amp;IF(VLOOKUP('.'!W342,Recipes!$A:$D,4,FALSE)="",""," ["&amp;VLOOKUP('.'!W342,Recipes!$A:$D,4,FALSE)&amp;"]"))</f>
        <v/>
      </c>
      <c r="X342" s="46" t="str">
        <f t="array" ref="X342">IF('.'!X342="","",'.'!X342&amp;IF(VLOOKUP('.'!X342,Recipes!$A:$D,4,FALSE)="",""," ["&amp;VLOOKUP('.'!X342,Recipes!$A:$D,4,FALSE)&amp;"]"))</f>
        <v/>
      </c>
      <c r="Y342" s="46" t="str">
        <f t="array" ref="Y342">IF('.'!Y342="","",'.'!Y342&amp;IF(VLOOKUP('.'!Y342,Recipes!$A:$D,4,FALSE)="",""," ["&amp;VLOOKUP('.'!Y342,Recipes!$A:$D,4,FALSE)&amp;"]"))</f>
        <v/>
      </c>
      <c r="Z342" s="46" t="str">
        <f t="array" ref="Z342">IF('.'!Z342="","",'.'!Z342&amp;IF(VLOOKUP('.'!Z342,Recipes!$A:$D,4,FALSE)="",""," ["&amp;VLOOKUP('.'!Z342,Recipes!$A:$D,4,FALSE)&amp;"]"))</f>
        <v/>
      </c>
      <c r="AA342" s="46" t="str">
        <f t="array" ref="AA342">IF('.'!AA342="","",'.'!AA342&amp;IF(VLOOKUP('.'!AA342,Recipes!$A:$D,4,FALSE)="",""," ["&amp;VLOOKUP('.'!AA342,Recipes!$A:$D,4,FALSE)&amp;"]"))</f>
        <v/>
      </c>
      <c r="AB342" s="46" t="str">
        <f t="array" ref="AB342">IF('.'!AB342="","",'.'!AB342&amp;IF(VLOOKUP('.'!AB342,Recipes!$A:$D,4,FALSE)="",""," ["&amp;VLOOKUP('.'!AB342,Recipes!$A:$D,4,FALSE)&amp;"]"))</f>
        <v/>
      </c>
      <c r="AC342" s="46" t="str">
        <f t="array" ref="AC342">IF('.'!AC342="","",'.'!AC342&amp;IF(VLOOKUP('.'!AC342,Recipes!$A:$D,4,FALSE)="",""," ["&amp;VLOOKUP('.'!AC342,Recipes!$A:$D,4,FALSE)&amp;"]"))</f>
        <v/>
      </c>
      <c r="AD342" s="46" t="str">
        <f t="array" ref="AD342">IF('.'!AD342="","",'.'!AD342&amp;IF(VLOOKUP('.'!AD342,Recipes!$A:$D,4,FALSE)="",""," ["&amp;VLOOKUP('.'!AD342,Recipes!$A:$D,4,FALSE)&amp;"]"))</f>
        <v/>
      </c>
      <c r="AE342" s="47"/>
      <c r="AF342" s="47"/>
      <c r="AG342" s="47"/>
      <c r="AH342" s="47"/>
      <c r="AI342" s="47"/>
      <c r="AJ342" s="47"/>
      <c r="AK342" s="47"/>
      <c r="AL342" s="47"/>
      <c r="AM342" s="47"/>
      <c r="AN342" s="47"/>
      <c r="AO342" s="47"/>
      <c r="AP342" s="47"/>
      <c r="AQ342" s="47"/>
      <c r="AR342" s="47"/>
      <c r="AS342" s="47"/>
      <c r="AT342" s="47"/>
      <c r="AU342" s="47"/>
      <c r="AV342" s="47"/>
      <c r="AW342" s="47"/>
      <c r="AX342" s="47"/>
      <c r="AY342" s="47"/>
      <c r="AZ342" s="47"/>
      <c r="BA342" s="47"/>
      <c r="BB342" s="47"/>
      <c r="BC342" s="47"/>
      <c r="BD342" s="47"/>
      <c r="BE342" s="47"/>
      <c r="BF342" s="47"/>
      <c r="BG342" s="47"/>
      <c r="BH342" s="47"/>
      <c r="BI342" s="47"/>
      <c r="BJ342" s="47"/>
      <c r="BK342" s="47"/>
      <c r="BL342" s="47"/>
      <c r="BM342" s="47"/>
      <c r="BN342" s="47"/>
      <c r="BO342" s="47"/>
      <c r="BP342" s="47"/>
      <c r="BQ342" s="47"/>
      <c r="BR342" s="47"/>
      <c r="BS342" s="47"/>
      <c r="BT342" s="47"/>
      <c r="BU342" s="47"/>
      <c r="BV342" s="47"/>
      <c r="BW342" s="47"/>
      <c r="BX342" s="47"/>
      <c r="BY342" s="47"/>
      <c r="BZ342" s="47"/>
    </row>
    <row r="343" spans="1:78" ht="13">
      <c r="A343" s="48" t="str">
        <f ca="1">'.'!A343</f>
        <v>Potato</v>
      </c>
      <c r="B343" s="46" t="str">
        <f t="array" aca="1" ref="B343" ca="1">IF('.'!B343="","",'.'!B343&amp;IF(VLOOKUP('.'!B343,Recipes!$A:$D,4,FALSE)="",""," ["&amp;VLOOKUP('.'!B343,Recipes!$A:$D,4,FALSE)&amp;"]"))</f>
        <v>Boiled Potato [4]</v>
      </c>
      <c r="C343" s="46" t="str">
        <f t="array" aca="1" ref="C343" ca="1">IF('.'!C343="","",'.'!C343&amp;IF(VLOOKUP('.'!C343,Recipes!$A:$D,4,FALSE)="",""," ["&amp;VLOOKUP('.'!C343,Recipes!$A:$D,4,FALSE)&amp;"]"))</f>
        <v>Potato Porridge [6]</v>
      </c>
      <c r="D343" s="46" t="str">
        <f t="array" aca="1" ref="D343" ca="1">IF('.'!D343="","",'.'!D343&amp;IF(VLOOKUP('.'!D343,Recipes!$A:$D,4,FALSE)="",""," ["&amp;VLOOKUP('.'!D343,Recipes!$A:$D,4,FALSE)&amp;"]"))</f>
        <v>Cold Fries [2]</v>
      </c>
      <c r="E343" s="46" t="str">
        <f t="array" aca="1" ref="E343" ca="1">IF('.'!E343="","",'.'!E343&amp;IF(VLOOKUP('.'!E343,Recipes!$A:$D,4,FALSE)="",""," ["&amp;VLOOKUP('.'!E343,Recipes!$A:$D,4,FALSE)&amp;"]"))</f>
        <v>Cold Mashed Potatoes [2]</v>
      </c>
      <c r="F343" s="46" t="str">
        <f t="array" ref="F343">IF('.'!F343="","",'.'!F343&amp;IF(VLOOKUP('.'!F343,Recipes!$A:$D,4,FALSE)="",""," ["&amp;VLOOKUP('.'!F343,Recipes!$A:$D,4,FALSE)&amp;"]"))</f>
        <v/>
      </c>
      <c r="G343" s="46" t="str">
        <f t="array" ref="G343">IF('.'!G343="","",'.'!G343&amp;IF(VLOOKUP('.'!G343,Recipes!$A:$D,4,FALSE)="",""," ["&amp;VLOOKUP('.'!G343,Recipes!$A:$D,4,FALSE)&amp;"]"))</f>
        <v/>
      </c>
      <c r="H343" s="46" t="str">
        <f t="array" ref="H343">IF('.'!H343="","",'.'!H343&amp;IF(VLOOKUP('.'!H343,Recipes!$A:$D,4,FALSE)="",""," ["&amp;VLOOKUP('.'!H343,Recipes!$A:$D,4,FALSE)&amp;"]"))</f>
        <v/>
      </c>
      <c r="I343" s="46" t="str">
        <f t="array" ref="I343">IF('.'!I343="","",'.'!I343&amp;IF(VLOOKUP('.'!I343,Recipes!$A:$D,4,FALSE)="",""," ["&amp;VLOOKUP('.'!I343,Recipes!$A:$D,4,FALSE)&amp;"]"))</f>
        <v/>
      </c>
      <c r="J343" s="46" t="str">
        <f t="array" ref="J343">IF('.'!J343="","",'.'!J343&amp;IF(VLOOKUP('.'!J343,Recipes!$A:$D,4,FALSE)="",""," ["&amp;VLOOKUP('.'!J343,Recipes!$A:$D,4,FALSE)&amp;"]"))</f>
        <v/>
      </c>
      <c r="K343" s="46" t="str">
        <f t="array" ref="K343">IF('.'!K343="","",'.'!K343&amp;IF(VLOOKUP('.'!K343,Recipes!$A:$D,4,FALSE)="",""," ["&amp;VLOOKUP('.'!K343,Recipes!$A:$D,4,FALSE)&amp;"]"))</f>
        <v/>
      </c>
      <c r="L343" s="46" t="str">
        <f t="array" ref="L343">IF('.'!L343="","",'.'!L343&amp;IF(VLOOKUP('.'!L343,Recipes!$A:$D,4,FALSE)="",""," ["&amp;VLOOKUP('.'!L343,Recipes!$A:$D,4,FALSE)&amp;"]"))</f>
        <v/>
      </c>
      <c r="M343" s="46" t="str">
        <f t="array" ref="M343">IF('.'!M343="","",'.'!M343&amp;IF(VLOOKUP('.'!M343,Recipes!$A:$D,4,FALSE)="",""," ["&amp;VLOOKUP('.'!M343,Recipes!$A:$D,4,FALSE)&amp;"]"))</f>
        <v/>
      </c>
      <c r="N343" s="46" t="str">
        <f t="array" ref="N343">IF('.'!N343="","",'.'!N343&amp;IF(VLOOKUP('.'!N343,Recipes!$A:$D,4,FALSE)="",""," ["&amp;VLOOKUP('.'!N343,Recipes!$A:$D,4,FALSE)&amp;"]"))</f>
        <v/>
      </c>
      <c r="O343" s="46" t="str">
        <f t="array" ref="O343">IF('.'!O343="","",'.'!O343&amp;IF(VLOOKUP('.'!O343,Recipes!$A:$D,4,FALSE)="",""," ["&amp;VLOOKUP('.'!O343,Recipes!$A:$D,4,FALSE)&amp;"]"))</f>
        <v/>
      </c>
      <c r="P343" s="46" t="str">
        <f t="array" ref="P343">IF('.'!P343="","",'.'!P343&amp;IF(VLOOKUP('.'!P343,Recipes!$A:$D,4,FALSE)="",""," ["&amp;VLOOKUP('.'!P343,Recipes!$A:$D,4,FALSE)&amp;"]"))</f>
        <v/>
      </c>
      <c r="Q343" s="46" t="str">
        <f t="array" ref="Q343">IF('.'!Q343="","",'.'!Q343&amp;IF(VLOOKUP('.'!Q343,Recipes!$A:$D,4,FALSE)="",""," ["&amp;VLOOKUP('.'!Q343,Recipes!$A:$D,4,FALSE)&amp;"]"))</f>
        <v/>
      </c>
      <c r="R343" s="46" t="str">
        <f t="array" ref="R343">IF('.'!R343="","",'.'!R343&amp;IF(VLOOKUP('.'!R343,Recipes!$A:$D,4,FALSE)="",""," ["&amp;VLOOKUP('.'!R343,Recipes!$A:$D,4,FALSE)&amp;"]"))</f>
        <v/>
      </c>
      <c r="S343" s="46" t="str">
        <f t="array" ref="S343">IF('.'!S343="","",'.'!S343&amp;IF(VLOOKUP('.'!S343,Recipes!$A:$D,4,FALSE)="",""," ["&amp;VLOOKUP('.'!S343,Recipes!$A:$D,4,FALSE)&amp;"]"))</f>
        <v/>
      </c>
      <c r="T343" s="46" t="str">
        <f t="array" ref="T343">IF('.'!T343="","",'.'!T343&amp;IF(VLOOKUP('.'!T343,Recipes!$A:$D,4,FALSE)="",""," ["&amp;VLOOKUP('.'!T343,Recipes!$A:$D,4,FALSE)&amp;"]"))</f>
        <v/>
      </c>
      <c r="U343" s="46" t="str">
        <f t="array" ref="U343">IF('.'!U343="","",'.'!U343&amp;IF(VLOOKUP('.'!U343,Recipes!$A:$D,4,FALSE)="",""," ["&amp;VLOOKUP('.'!U343,Recipes!$A:$D,4,FALSE)&amp;"]"))</f>
        <v/>
      </c>
      <c r="V343" s="46" t="str">
        <f t="array" ref="V343">IF('.'!V343="","",'.'!V343&amp;IF(VLOOKUP('.'!V343,Recipes!$A:$D,4,FALSE)="",""," ["&amp;VLOOKUP('.'!V343,Recipes!$A:$D,4,FALSE)&amp;"]"))</f>
        <v/>
      </c>
      <c r="W343" s="46" t="str">
        <f t="array" ref="W343">IF('.'!W343="","",'.'!W343&amp;IF(VLOOKUP('.'!W343,Recipes!$A:$D,4,FALSE)="",""," ["&amp;VLOOKUP('.'!W343,Recipes!$A:$D,4,FALSE)&amp;"]"))</f>
        <v/>
      </c>
      <c r="X343" s="46" t="str">
        <f t="array" ref="X343">IF('.'!X343="","",'.'!X343&amp;IF(VLOOKUP('.'!X343,Recipes!$A:$D,4,FALSE)="",""," ["&amp;VLOOKUP('.'!X343,Recipes!$A:$D,4,FALSE)&amp;"]"))</f>
        <v/>
      </c>
      <c r="Y343" s="46" t="str">
        <f t="array" ref="Y343">IF('.'!Y343="","",'.'!Y343&amp;IF(VLOOKUP('.'!Y343,Recipes!$A:$D,4,FALSE)="",""," ["&amp;VLOOKUP('.'!Y343,Recipes!$A:$D,4,FALSE)&amp;"]"))</f>
        <v/>
      </c>
      <c r="Z343" s="46" t="str">
        <f t="array" ref="Z343">IF('.'!Z343="","",'.'!Z343&amp;IF(VLOOKUP('.'!Z343,Recipes!$A:$D,4,FALSE)="",""," ["&amp;VLOOKUP('.'!Z343,Recipes!$A:$D,4,FALSE)&amp;"]"))</f>
        <v/>
      </c>
      <c r="AA343" s="46" t="str">
        <f t="array" ref="AA343">IF('.'!AA343="","",'.'!AA343&amp;IF(VLOOKUP('.'!AA343,Recipes!$A:$D,4,FALSE)="",""," ["&amp;VLOOKUP('.'!AA343,Recipes!$A:$D,4,FALSE)&amp;"]"))</f>
        <v/>
      </c>
      <c r="AB343" s="46" t="str">
        <f t="array" ref="AB343">IF('.'!AB343="","",'.'!AB343&amp;IF(VLOOKUP('.'!AB343,Recipes!$A:$D,4,FALSE)="",""," ["&amp;VLOOKUP('.'!AB343,Recipes!$A:$D,4,FALSE)&amp;"]"))</f>
        <v/>
      </c>
      <c r="AC343" s="46" t="str">
        <f t="array" ref="AC343">IF('.'!AC343="","",'.'!AC343&amp;IF(VLOOKUP('.'!AC343,Recipes!$A:$D,4,FALSE)="",""," ["&amp;VLOOKUP('.'!AC343,Recipes!$A:$D,4,FALSE)&amp;"]"))</f>
        <v/>
      </c>
      <c r="AD343" s="46" t="str">
        <f t="array" ref="AD343">IF('.'!AD343="","",'.'!AD343&amp;IF(VLOOKUP('.'!AD343,Recipes!$A:$D,4,FALSE)="",""," ["&amp;VLOOKUP('.'!AD343,Recipes!$A:$D,4,FALSE)&amp;"]"))</f>
        <v/>
      </c>
      <c r="AE343" s="47"/>
      <c r="AF343" s="47"/>
      <c r="AG343" s="47"/>
      <c r="AH343" s="47"/>
      <c r="AI343" s="47"/>
      <c r="AJ343" s="47"/>
      <c r="AK343" s="47"/>
      <c r="AL343" s="47"/>
      <c r="AM343" s="47"/>
      <c r="AN343" s="47"/>
      <c r="AO343" s="47"/>
      <c r="AP343" s="47"/>
      <c r="AQ343" s="47"/>
      <c r="AR343" s="47"/>
      <c r="AS343" s="47"/>
      <c r="AT343" s="47"/>
      <c r="AU343" s="47"/>
      <c r="AV343" s="47"/>
      <c r="AW343" s="47"/>
      <c r="AX343" s="47"/>
      <c r="AY343" s="47"/>
      <c r="AZ343" s="47"/>
      <c r="BA343" s="47"/>
      <c r="BB343" s="47"/>
      <c r="BC343" s="47"/>
      <c r="BD343" s="47"/>
      <c r="BE343" s="47"/>
      <c r="BF343" s="47"/>
      <c r="BG343" s="47"/>
      <c r="BH343" s="47"/>
      <c r="BI343" s="47"/>
      <c r="BJ343" s="47"/>
      <c r="BK343" s="47"/>
      <c r="BL343" s="47"/>
      <c r="BM343" s="47"/>
      <c r="BN343" s="47"/>
      <c r="BO343" s="47"/>
      <c r="BP343" s="47"/>
      <c r="BQ343" s="47"/>
      <c r="BR343" s="47"/>
      <c r="BS343" s="47"/>
      <c r="BT343" s="47"/>
      <c r="BU343" s="47"/>
      <c r="BV343" s="47"/>
      <c r="BW343" s="47"/>
      <c r="BX343" s="47"/>
      <c r="BY343" s="47"/>
      <c r="BZ343" s="47"/>
    </row>
    <row r="344" spans="1:78" ht="13">
      <c r="A344" s="48" t="str">
        <f ca="1">'.'!A344</f>
        <v>Pouch of Superior Pixie Dust</v>
      </c>
      <c r="B344" s="46" t="str">
        <f t="array" aca="1" ref="B344" ca="1">IF('.'!B344="","",'.'!B344&amp;IF(VLOOKUP('.'!B344,Recipes!$A:$D,4,FALSE)="",""," ["&amp;VLOOKUP('.'!B344,Recipes!$A:$D,4,FALSE)&amp;"]"))</f>
        <v>Giant Flame Rune [-1290]</v>
      </c>
      <c r="C344" s="46" t="str">
        <f t="array" aca="1" ref="C344" ca="1">IF('.'!C344="","",'.'!C344&amp;IF(VLOOKUP('.'!C344,Recipes!$A:$D,4,FALSE)="",""," ["&amp;VLOOKUP('.'!C344,Recipes!$A:$D,4,FALSE)&amp;"]"))</f>
        <v>Giant Frost Rune [-1290]</v>
      </c>
      <c r="D344" s="46" t="str">
        <f t="array" aca="1" ref="D344" ca="1">IF('.'!D344="","",'.'!D344&amp;IF(VLOOKUP('.'!D344,Recipes!$A:$D,4,FALSE)="",""," ["&amp;VLOOKUP('.'!D344,Recipes!$A:$D,4,FALSE)&amp;"]"))</f>
        <v>Giant Masterwork Rune [-1290]</v>
      </c>
      <c r="E344" s="46" t="str">
        <f t="array" aca="1" ref="E344" ca="1">IF('.'!E344="","",'.'!E344&amp;IF(VLOOKUP('.'!E344,Recipes!$A:$D,4,FALSE)="",""," ["&amp;VLOOKUP('.'!E344,Recipes!$A:$D,4,FALSE)&amp;"]"))</f>
        <v>Giant Rock Rune [-1290]</v>
      </c>
      <c r="F344" s="46" t="str">
        <f t="array" aca="1" ref="F344" ca="1">IF('.'!F344="","",'.'!F344&amp;IF(VLOOKUP('.'!F344,Recipes!$A:$D,4,FALSE)="",""," ["&amp;VLOOKUP('.'!F344,Recipes!$A:$D,4,FALSE)&amp;"]"))</f>
        <v>Giant Thunder Rune [-1290]</v>
      </c>
      <c r="G344" s="46" t="str">
        <f t="array" aca="1" ref="G344" ca="1">IF('.'!G344="","",'.'!G344&amp;IF(VLOOKUP('.'!G344,Recipes!$A:$D,4,FALSE)="",""," ["&amp;VLOOKUP('.'!G344,Recipes!$A:$D,4,FALSE)&amp;"]"))</f>
        <v>Giant Venom Rune [-1290]</v>
      </c>
      <c r="H344" s="46" t="str">
        <f t="array" ref="H344">IF('.'!H344="","",'.'!H344&amp;IF(VLOOKUP('.'!H344,Recipes!$A:$D,4,FALSE)="",""," ["&amp;VLOOKUP('.'!H344,Recipes!$A:$D,4,FALSE)&amp;"]"))</f>
        <v/>
      </c>
      <c r="I344" s="46" t="str">
        <f t="array" ref="I344">IF('.'!I344="","",'.'!I344&amp;IF(VLOOKUP('.'!I344,Recipes!$A:$D,4,FALSE)="",""," ["&amp;VLOOKUP('.'!I344,Recipes!$A:$D,4,FALSE)&amp;"]"))</f>
        <v/>
      </c>
      <c r="J344" s="46" t="str">
        <f t="array" ref="J344">IF('.'!J344="","",'.'!J344&amp;IF(VLOOKUP('.'!J344,Recipes!$A:$D,4,FALSE)="",""," ["&amp;VLOOKUP('.'!J344,Recipes!$A:$D,4,FALSE)&amp;"]"))</f>
        <v/>
      </c>
      <c r="K344" s="46" t="str">
        <f t="array" ref="K344">IF('.'!K344="","",'.'!K344&amp;IF(VLOOKUP('.'!K344,Recipes!$A:$D,4,FALSE)="",""," ["&amp;VLOOKUP('.'!K344,Recipes!$A:$D,4,FALSE)&amp;"]"))</f>
        <v/>
      </c>
      <c r="L344" s="46" t="str">
        <f t="array" ref="L344">IF('.'!L344="","",'.'!L344&amp;IF(VLOOKUP('.'!L344,Recipes!$A:$D,4,FALSE)="",""," ["&amp;VLOOKUP('.'!L344,Recipes!$A:$D,4,FALSE)&amp;"]"))</f>
        <v/>
      </c>
      <c r="M344" s="46" t="str">
        <f t="array" ref="M344">IF('.'!M344="","",'.'!M344&amp;IF(VLOOKUP('.'!M344,Recipes!$A:$D,4,FALSE)="",""," ["&amp;VLOOKUP('.'!M344,Recipes!$A:$D,4,FALSE)&amp;"]"))</f>
        <v/>
      </c>
      <c r="N344" s="46" t="str">
        <f t="array" ref="N344">IF('.'!N344="","",'.'!N344&amp;IF(VLOOKUP('.'!N344,Recipes!$A:$D,4,FALSE)="",""," ["&amp;VLOOKUP('.'!N344,Recipes!$A:$D,4,FALSE)&amp;"]"))</f>
        <v/>
      </c>
      <c r="O344" s="46" t="str">
        <f t="array" ref="O344">IF('.'!O344="","",'.'!O344&amp;IF(VLOOKUP('.'!O344,Recipes!$A:$D,4,FALSE)="",""," ["&amp;VLOOKUP('.'!O344,Recipes!$A:$D,4,FALSE)&amp;"]"))</f>
        <v/>
      </c>
      <c r="P344" s="46" t="str">
        <f t="array" ref="P344">IF('.'!P344="","",'.'!P344&amp;IF(VLOOKUP('.'!P344,Recipes!$A:$D,4,FALSE)="",""," ["&amp;VLOOKUP('.'!P344,Recipes!$A:$D,4,FALSE)&amp;"]"))</f>
        <v/>
      </c>
      <c r="Q344" s="46" t="str">
        <f t="array" ref="Q344">IF('.'!Q344="","",'.'!Q344&amp;IF(VLOOKUP('.'!Q344,Recipes!$A:$D,4,FALSE)="",""," ["&amp;VLOOKUP('.'!Q344,Recipes!$A:$D,4,FALSE)&amp;"]"))</f>
        <v/>
      </c>
      <c r="R344" s="46" t="str">
        <f t="array" ref="R344">IF('.'!R344="","",'.'!R344&amp;IF(VLOOKUP('.'!R344,Recipes!$A:$D,4,FALSE)="",""," ["&amp;VLOOKUP('.'!R344,Recipes!$A:$D,4,FALSE)&amp;"]"))</f>
        <v/>
      </c>
      <c r="S344" s="46" t="str">
        <f t="array" ref="S344">IF('.'!S344="","",'.'!S344&amp;IF(VLOOKUP('.'!S344,Recipes!$A:$D,4,FALSE)="",""," ["&amp;VLOOKUP('.'!S344,Recipes!$A:$D,4,FALSE)&amp;"]"))</f>
        <v/>
      </c>
      <c r="T344" s="46" t="str">
        <f t="array" ref="T344">IF('.'!T344="","",'.'!T344&amp;IF(VLOOKUP('.'!T344,Recipes!$A:$D,4,FALSE)="",""," ["&amp;VLOOKUP('.'!T344,Recipes!$A:$D,4,FALSE)&amp;"]"))</f>
        <v/>
      </c>
      <c r="U344" s="46" t="str">
        <f t="array" ref="U344">IF('.'!U344="","",'.'!U344&amp;IF(VLOOKUP('.'!U344,Recipes!$A:$D,4,FALSE)="",""," ["&amp;VLOOKUP('.'!U344,Recipes!$A:$D,4,FALSE)&amp;"]"))</f>
        <v/>
      </c>
      <c r="V344" s="46" t="str">
        <f t="array" ref="V344">IF('.'!V344="","",'.'!V344&amp;IF(VLOOKUP('.'!V344,Recipes!$A:$D,4,FALSE)="",""," ["&amp;VLOOKUP('.'!V344,Recipes!$A:$D,4,FALSE)&amp;"]"))</f>
        <v/>
      </c>
      <c r="W344" s="46" t="str">
        <f t="array" ref="W344">IF('.'!W344="","",'.'!W344&amp;IF(VLOOKUP('.'!W344,Recipes!$A:$D,4,FALSE)="",""," ["&amp;VLOOKUP('.'!W344,Recipes!$A:$D,4,FALSE)&amp;"]"))</f>
        <v/>
      </c>
      <c r="X344" s="46" t="str">
        <f t="array" ref="X344">IF('.'!X344="","",'.'!X344&amp;IF(VLOOKUP('.'!X344,Recipes!$A:$D,4,FALSE)="",""," ["&amp;VLOOKUP('.'!X344,Recipes!$A:$D,4,FALSE)&amp;"]"))</f>
        <v/>
      </c>
      <c r="Y344" s="46" t="str">
        <f t="array" ref="Y344">IF('.'!Y344="","",'.'!Y344&amp;IF(VLOOKUP('.'!Y344,Recipes!$A:$D,4,FALSE)="",""," ["&amp;VLOOKUP('.'!Y344,Recipes!$A:$D,4,FALSE)&amp;"]"))</f>
        <v/>
      </c>
      <c r="Z344" s="46" t="str">
        <f t="array" ref="Z344">IF('.'!Z344="","",'.'!Z344&amp;IF(VLOOKUP('.'!Z344,Recipes!$A:$D,4,FALSE)="",""," ["&amp;VLOOKUP('.'!Z344,Recipes!$A:$D,4,FALSE)&amp;"]"))</f>
        <v/>
      </c>
      <c r="AA344" s="46" t="str">
        <f t="array" ref="AA344">IF('.'!AA344="","",'.'!AA344&amp;IF(VLOOKUP('.'!AA344,Recipes!$A:$D,4,FALSE)="",""," ["&amp;VLOOKUP('.'!AA344,Recipes!$A:$D,4,FALSE)&amp;"]"))</f>
        <v/>
      </c>
      <c r="AB344" s="46" t="str">
        <f t="array" ref="AB344">IF('.'!AB344="","",'.'!AB344&amp;IF(VLOOKUP('.'!AB344,Recipes!$A:$D,4,FALSE)="",""," ["&amp;VLOOKUP('.'!AB344,Recipes!$A:$D,4,FALSE)&amp;"]"))</f>
        <v/>
      </c>
      <c r="AC344" s="46" t="str">
        <f t="array" ref="AC344">IF('.'!AC344="","",'.'!AC344&amp;IF(VLOOKUP('.'!AC344,Recipes!$A:$D,4,FALSE)="",""," ["&amp;VLOOKUP('.'!AC344,Recipes!$A:$D,4,FALSE)&amp;"]"))</f>
        <v/>
      </c>
      <c r="AD344" s="46" t="str">
        <f t="array" ref="AD344">IF('.'!AD344="","",'.'!AD344&amp;IF(VLOOKUP('.'!AD344,Recipes!$A:$D,4,FALSE)="",""," ["&amp;VLOOKUP('.'!AD344,Recipes!$A:$D,4,FALSE)&amp;"]"))</f>
        <v/>
      </c>
      <c r="AE344" s="47"/>
      <c r="AF344" s="47"/>
      <c r="AG344" s="47"/>
      <c r="AH344" s="47"/>
      <c r="AI344" s="47"/>
      <c r="AJ344" s="47"/>
      <c r="AK344" s="47"/>
      <c r="AL344" s="47"/>
      <c r="AM344" s="47"/>
      <c r="AN344" s="47"/>
      <c r="AO344" s="47"/>
      <c r="AP344" s="47"/>
      <c r="AQ344" s="47"/>
      <c r="AR344" s="47"/>
      <c r="AS344" s="47"/>
      <c r="AT344" s="47"/>
      <c r="AU344" s="47"/>
      <c r="AV344" s="47"/>
      <c r="AW344" s="47"/>
      <c r="AX344" s="47"/>
      <c r="AY344" s="47"/>
      <c r="AZ344" s="47"/>
      <c r="BA344" s="47"/>
      <c r="BB344" s="47"/>
      <c r="BC344" s="47"/>
      <c r="BD344" s="47"/>
      <c r="BE344" s="47"/>
      <c r="BF344" s="47"/>
      <c r="BG344" s="47"/>
      <c r="BH344" s="47"/>
      <c r="BI344" s="47"/>
      <c r="BJ344" s="47"/>
      <c r="BK344" s="47"/>
      <c r="BL344" s="47"/>
      <c r="BM344" s="47"/>
      <c r="BN344" s="47"/>
      <c r="BO344" s="47"/>
      <c r="BP344" s="47"/>
      <c r="BQ344" s="47"/>
      <c r="BR344" s="47"/>
      <c r="BS344" s="47"/>
      <c r="BT344" s="47"/>
      <c r="BU344" s="47"/>
      <c r="BV344" s="47"/>
      <c r="BW344" s="47"/>
      <c r="BX344" s="47"/>
      <c r="BY344" s="47"/>
      <c r="BZ344" s="47"/>
    </row>
    <row r="345" spans="1:78" ht="13">
      <c r="A345" s="48" t="str">
        <f ca="1">'.'!A345</f>
        <v>Pouch of Superior Stardust</v>
      </c>
      <c r="B345" s="46" t="str">
        <f t="array" aca="1" ref="B345" ca="1">IF('.'!B345="","",'.'!B345&amp;IF(VLOOKUP('.'!B345,Recipes!$A:$D,4,FALSE)="",""," ["&amp;VLOOKUP('.'!B345,Recipes!$A:$D,4,FALSE)&amp;"]"))</f>
        <v>Pouch of Superior Pixie Dust [250]</v>
      </c>
      <c r="C345" s="46" t="str">
        <f t="array" ref="C345">IF('.'!C345="","",'.'!C345&amp;IF(VLOOKUP('.'!C345,Recipes!$A:$D,4,FALSE)="",""," ["&amp;VLOOKUP('.'!C345,Recipes!$A:$D,4,FALSE)&amp;"]"))</f>
        <v/>
      </c>
      <c r="D345" s="46" t="str">
        <f t="array" ref="D345">IF('.'!D345="","",'.'!D345&amp;IF(VLOOKUP('.'!D345,Recipes!$A:$D,4,FALSE)="",""," ["&amp;VLOOKUP('.'!D345,Recipes!$A:$D,4,FALSE)&amp;"]"))</f>
        <v/>
      </c>
      <c r="E345" s="46" t="str">
        <f t="array" ref="E345">IF('.'!E345="","",'.'!E345&amp;IF(VLOOKUP('.'!E345,Recipes!$A:$D,4,FALSE)="",""," ["&amp;VLOOKUP('.'!E345,Recipes!$A:$D,4,FALSE)&amp;"]"))</f>
        <v/>
      </c>
      <c r="F345" s="46" t="str">
        <f t="array" ref="F345">IF('.'!F345="","",'.'!F345&amp;IF(VLOOKUP('.'!F345,Recipes!$A:$D,4,FALSE)="",""," ["&amp;VLOOKUP('.'!F345,Recipes!$A:$D,4,FALSE)&amp;"]"))</f>
        <v/>
      </c>
      <c r="G345" s="46" t="str">
        <f t="array" ref="G345">IF('.'!G345="","",'.'!G345&amp;IF(VLOOKUP('.'!G345,Recipes!$A:$D,4,FALSE)="",""," ["&amp;VLOOKUP('.'!G345,Recipes!$A:$D,4,FALSE)&amp;"]"))</f>
        <v/>
      </c>
      <c r="H345" s="46" t="str">
        <f t="array" ref="H345">IF('.'!H345="","",'.'!H345&amp;IF(VLOOKUP('.'!H345,Recipes!$A:$D,4,FALSE)="",""," ["&amp;VLOOKUP('.'!H345,Recipes!$A:$D,4,FALSE)&amp;"]"))</f>
        <v/>
      </c>
      <c r="I345" s="46" t="str">
        <f t="array" ref="I345">IF('.'!I345="","",'.'!I345&amp;IF(VLOOKUP('.'!I345,Recipes!$A:$D,4,FALSE)="",""," ["&amp;VLOOKUP('.'!I345,Recipes!$A:$D,4,FALSE)&amp;"]"))</f>
        <v/>
      </c>
      <c r="J345" s="46" t="str">
        <f t="array" ref="J345">IF('.'!J345="","",'.'!J345&amp;IF(VLOOKUP('.'!J345,Recipes!$A:$D,4,FALSE)="",""," ["&amp;VLOOKUP('.'!J345,Recipes!$A:$D,4,FALSE)&amp;"]"))</f>
        <v/>
      </c>
      <c r="K345" s="46" t="str">
        <f t="array" ref="K345">IF('.'!K345="","",'.'!K345&amp;IF(VLOOKUP('.'!K345,Recipes!$A:$D,4,FALSE)="",""," ["&amp;VLOOKUP('.'!K345,Recipes!$A:$D,4,FALSE)&amp;"]"))</f>
        <v/>
      </c>
      <c r="L345" s="46" t="str">
        <f t="array" ref="L345">IF('.'!L345="","",'.'!L345&amp;IF(VLOOKUP('.'!L345,Recipes!$A:$D,4,FALSE)="",""," ["&amp;VLOOKUP('.'!L345,Recipes!$A:$D,4,FALSE)&amp;"]"))</f>
        <v/>
      </c>
      <c r="M345" s="46" t="str">
        <f t="array" ref="M345">IF('.'!M345="","",'.'!M345&amp;IF(VLOOKUP('.'!M345,Recipes!$A:$D,4,FALSE)="",""," ["&amp;VLOOKUP('.'!M345,Recipes!$A:$D,4,FALSE)&amp;"]"))</f>
        <v/>
      </c>
      <c r="N345" s="46" t="str">
        <f t="array" ref="N345">IF('.'!N345="","",'.'!N345&amp;IF(VLOOKUP('.'!N345,Recipes!$A:$D,4,FALSE)="",""," ["&amp;VLOOKUP('.'!N345,Recipes!$A:$D,4,FALSE)&amp;"]"))</f>
        <v/>
      </c>
      <c r="O345" s="46" t="str">
        <f t="array" ref="O345">IF('.'!O345="","",'.'!O345&amp;IF(VLOOKUP('.'!O345,Recipes!$A:$D,4,FALSE)="",""," ["&amp;VLOOKUP('.'!O345,Recipes!$A:$D,4,FALSE)&amp;"]"))</f>
        <v/>
      </c>
      <c r="P345" s="46" t="str">
        <f t="array" ref="P345">IF('.'!P345="","",'.'!P345&amp;IF(VLOOKUP('.'!P345,Recipes!$A:$D,4,FALSE)="",""," ["&amp;VLOOKUP('.'!P345,Recipes!$A:$D,4,FALSE)&amp;"]"))</f>
        <v/>
      </c>
      <c r="Q345" s="46" t="str">
        <f t="array" ref="Q345">IF('.'!Q345="","",'.'!Q345&amp;IF(VLOOKUP('.'!Q345,Recipes!$A:$D,4,FALSE)="",""," ["&amp;VLOOKUP('.'!Q345,Recipes!$A:$D,4,FALSE)&amp;"]"))</f>
        <v/>
      </c>
      <c r="R345" s="46" t="str">
        <f t="array" ref="R345">IF('.'!R345="","",'.'!R345&amp;IF(VLOOKUP('.'!R345,Recipes!$A:$D,4,FALSE)="",""," ["&amp;VLOOKUP('.'!R345,Recipes!$A:$D,4,FALSE)&amp;"]"))</f>
        <v/>
      </c>
      <c r="S345" s="46" t="str">
        <f t="array" ref="S345">IF('.'!S345="","",'.'!S345&amp;IF(VLOOKUP('.'!S345,Recipes!$A:$D,4,FALSE)="",""," ["&amp;VLOOKUP('.'!S345,Recipes!$A:$D,4,FALSE)&amp;"]"))</f>
        <v/>
      </c>
      <c r="T345" s="46" t="str">
        <f t="array" ref="T345">IF('.'!T345="","",'.'!T345&amp;IF(VLOOKUP('.'!T345,Recipes!$A:$D,4,FALSE)="",""," ["&amp;VLOOKUP('.'!T345,Recipes!$A:$D,4,FALSE)&amp;"]"))</f>
        <v/>
      </c>
      <c r="U345" s="46" t="str">
        <f t="array" ref="U345">IF('.'!U345="","",'.'!U345&amp;IF(VLOOKUP('.'!U345,Recipes!$A:$D,4,FALSE)="",""," ["&amp;VLOOKUP('.'!U345,Recipes!$A:$D,4,FALSE)&amp;"]"))</f>
        <v/>
      </c>
      <c r="V345" s="46" t="str">
        <f t="array" ref="V345">IF('.'!V345="","",'.'!V345&amp;IF(VLOOKUP('.'!V345,Recipes!$A:$D,4,FALSE)="",""," ["&amp;VLOOKUP('.'!V345,Recipes!$A:$D,4,FALSE)&amp;"]"))</f>
        <v/>
      </c>
      <c r="W345" s="46" t="str">
        <f t="array" ref="W345">IF('.'!W345="","",'.'!W345&amp;IF(VLOOKUP('.'!W345,Recipes!$A:$D,4,FALSE)="",""," ["&amp;VLOOKUP('.'!W345,Recipes!$A:$D,4,FALSE)&amp;"]"))</f>
        <v/>
      </c>
      <c r="X345" s="46" t="str">
        <f t="array" ref="X345">IF('.'!X345="","",'.'!X345&amp;IF(VLOOKUP('.'!X345,Recipes!$A:$D,4,FALSE)="",""," ["&amp;VLOOKUP('.'!X345,Recipes!$A:$D,4,FALSE)&amp;"]"))</f>
        <v/>
      </c>
      <c r="Y345" s="46" t="str">
        <f t="array" ref="Y345">IF('.'!Y345="","",'.'!Y345&amp;IF(VLOOKUP('.'!Y345,Recipes!$A:$D,4,FALSE)="",""," ["&amp;VLOOKUP('.'!Y345,Recipes!$A:$D,4,FALSE)&amp;"]"))</f>
        <v/>
      </c>
      <c r="Z345" s="46" t="str">
        <f t="array" ref="Z345">IF('.'!Z345="","",'.'!Z345&amp;IF(VLOOKUP('.'!Z345,Recipes!$A:$D,4,FALSE)="",""," ["&amp;VLOOKUP('.'!Z345,Recipes!$A:$D,4,FALSE)&amp;"]"))</f>
        <v/>
      </c>
      <c r="AA345" s="46" t="str">
        <f t="array" ref="AA345">IF('.'!AA345="","",'.'!AA345&amp;IF(VLOOKUP('.'!AA345,Recipes!$A:$D,4,FALSE)="",""," ["&amp;VLOOKUP('.'!AA345,Recipes!$A:$D,4,FALSE)&amp;"]"))</f>
        <v/>
      </c>
      <c r="AB345" s="46" t="str">
        <f t="array" ref="AB345">IF('.'!AB345="","",'.'!AB345&amp;IF(VLOOKUP('.'!AB345,Recipes!$A:$D,4,FALSE)="",""," ["&amp;VLOOKUP('.'!AB345,Recipes!$A:$D,4,FALSE)&amp;"]"))</f>
        <v/>
      </c>
      <c r="AC345" s="46" t="str">
        <f t="array" ref="AC345">IF('.'!AC345="","",'.'!AC345&amp;IF(VLOOKUP('.'!AC345,Recipes!$A:$D,4,FALSE)="",""," ["&amp;VLOOKUP('.'!AC345,Recipes!$A:$D,4,FALSE)&amp;"]"))</f>
        <v/>
      </c>
      <c r="AD345" s="46" t="str">
        <f t="array" ref="AD345">IF('.'!AD345="","",'.'!AD345&amp;IF(VLOOKUP('.'!AD345,Recipes!$A:$D,4,FALSE)="",""," ["&amp;VLOOKUP('.'!AD345,Recipes!$A:$D,4,FALSE)&amp;"]"))</f>
        <v/>
      </c>
      <c r="AE345" s="47"/>
      <c r="AF345" s="47"/>
      <c r="AG345" s="47"/>
      <c r="AH345" s="47"/>
      <c r="AI345" s="47"/>
      <c r="AJ345" s="47"/>
      <c r="AK345" s="47"/>
      <c r="AL345" s="47"/>
      <c r="AM345" s="47"/>
      <c r="AN345" s="47"/>
      <c r="AO345" s="47"/>
      <c r="AP345" s="47"/>
      <c r="AQ345" s="47"/>
      <c r="AR345" s="47"/>
      <c r="AS345" s="47"/>
      <c r="AT345" s="47"/>
      <c r="AU345" s="47"/>
      <c r="AV345" s="47"/>
      <c r="AW345" s="47"/>
      <c r="AX345" s="47"/>
      <c r="AY345" s="47"/>
      <c r="AZ345" s="47"/>
      <c r="BA345" s="47"/>
      <c r="BB345" s="47"/>
      <c r="BC345" s="47"/>
      <c r="BD345" s="47"/>
      <c r="BE345" s="47"/>
      <c r="BF345" s="47"/>
      <c r="BG345" s="47"/>
      <c r="BH345" s="47"/>
      <c r="BI345" s="47"/>
      <c r="BJ345" s="47"/>
      <c r="BK345" s="47"/>
      <c r="BL345" s="47"/>
      <c r="BM345" s="47"/>
      <c r="BN345" s="47"/>
      <c r="BO345" s="47"/>
      <c r="BP345" s="47"/>
      <c r="BQ345" s="47"/>
      <c r="BR345" s="47"/>
      <c r="BS345" s="47"/>
      <c r="BT345" s="47"/>
      <c r="BU345" s="47"/>
      <c r="BV345" s="47"/>
      <c r="BW345" s="47"/>
      <c r="BX345" s="47"/>
      <c r="BY345" s="47"/>
      <c r="BZ345" s="47"/>
    </row>
    <row r="346" spans="1:78" ht="13">
      <c r="A346" s="48" t="str">
        <f ca="1">'.'!A346</f>
        <v>Power Infusion Scroll</v>
      </c>
      <c r="B346" s="46" t="str">
        <f t="array" aca="1" ref="B346" ca="1">IF('.'!B346="","",'.'!B346&amp;IF(VLOOKUP('.'!B346,Recipes!$A:$D,4,FALSE)="",""," ["&amp;VLOOKUP('.'!B346,Recipes!$A:$D,4,FALSE)&amp;"]"))</f>
        <v>Power Infusion Skillbook [-60]</v>
      </c>
      <c r="C346" s="46" t="str">
        <f t="array" ref="C346">IF('.'!C346="","",'.'!C346&amp;IF(VLOOKUP('.'!C346,Recipes!$A:$D,4,FALSE)="",""," ["&amp;VLOOKUP('.'!C346,Recipes!$A:$D,4,FALSE)&amp;"]"))</f>
        <v/>
      </c>
      <c r="D346" s="46" t="str">
        <f t="array" ref="D346">IF('.'!D346="","",'.'!D346&amp;IF(VLOOKUP('.'!D346,Recipes!$A:$D,4,FALSE)="",""," ["&amp;VLOOKUP('.'!D346,Recipes!$A:$D,4,FALSE)&amp;"]"))</f>
        <v/>
      </c>
      <c r="E346" s="46" t="str">
        <f t="array" ref="E346">IF('.'!E346="","",'.'!E346&amp;IF(VLOOKUP('.'!E346,Recipes!$A:$D,4,FALSE)="",""," ["&amp;VLOOKUP('.'!E346,Recipes!$A:$D,4,FALSE)&amp;"]"))</f>
        <v/>
      </c>
      <c r="F346" s="46" t="str">
        <f t="array" ref="F346">IF('.'!F346="","",'.'!F346&amp;IF(VLOOKUP('.'!F346,Recipes!$A:$D,4,FALSE)="",""," ["&amp;VLOOKUP('.'!F346,Recipes!$A:$D,4,FALSE)&amp;"]"))</f>
        <v/>
      </c>
      <c r="G346" s="46" t="str">
        <f t="array" ref="G346">IF('.'!G346="","",'.'!G346&amp;IF(VLOOKUP('.'!G346,Recipes!$A:$D,4,FALSE)="",""," ["&amp;VLOOKUP('.'!G346,Recipes!$A:$D,4,FALSE)&amp;"]"))</f>
        <v/>
      </c>
      <c r="H346" s="46" t="str">
        <f t="array" ref="H346">IF('.'!H346="","",'.'!H346&amp;IF(VLOOKUP('.'!H346,Recipes!$A:$D,4,FALSE)="",""," ["&amp;VLOOKUP('.'!H346,Recipes!$A:$D,4,FALSE)&amp;"]"))</f>
        <v/>
      </c>
      <c r="I346" s="46" t="str">
        <f t="array" ref="I346">IF('.'!I346="","",'.'!I346&amp;IF(VLOOKUP('.'!I346,Recipes!$A:$D,4,FALSE)="",""," ["&amp;VLOOKUP('.'!I346,Recipes!$A:$D,4,FALSE)&amp;"]"))</f>
        <v/>
      </c>
      <c r="J346" s="46" t="str">
        <f t="array" ref="J346">IF('.'!J346="","",'.'!J346&amp;IF(VLOOKUP('.'!J346,Recipes!$A:$D,4,FALSE)="",""," ["&amp;VLOOKUP('.'!J346,Recipes!$A:$D,4,FALSE)&amp;"]"))</f>
        <v/>
      </c>
      <c r="K346" s="46" t="str">
        <f t="array" ref="K346">IF('.'!K346="","",'.'!K346&amp;IF(VLOOKUP('.'!K346,Recipes!$A:$D,4,FALSE)="",""," ["&amp;VLOOKUP('.'!K346,Recipes!$A:$D,4,FALSE)&amp;"]"))</f>
        <v/>
      </c>
      <c r="L346" s="46" t="str">
        <f t="array" ref="L346">IF('.'!L346="","",'.'!L346&amp;IF(VLOOKUP('.'!L346,Recipes!$A:$D,4,FALSE)="",""," ["&amp;VLOOKUP('.'!L346,Recipes!$A:$D,4,FALSE)&amp;"]"))</f>
        <v/>
      </c>
      <c r="M346" s="46" t="str">
        <f t="array" ref="M346">IF('.'!M346="","",'.'!M346&amp;IF(VLOOKUP('.'!M346,Recipes!$A:$D,4,FALSE)="",""," ["&amp;VLOOKUP('.'!M346,Recipes!$A:$D,4,FALSE)&amp;"]"))</f>
        <v/>
      </c>
      <c r="N346" s="46" t="str">
        <f t="array" ref="N346">IF('.'!N346="","",'.'!N346&amp;IF(VLOOKUP('.'!N346,Recipes!$A:$D,4,FALSE)="",""," ["&amp;VLOOKUP('.'!N346,Recipes!$A:$D,4,FALSE)&amp;"]"))</f>
        <v/>
      </c>
      <c r="O346" s="46" t="str">
        <f t="array" ref="O346">IF('.'!O346="","",'.'!O346&amp;IF(VLOOKUP('.'!O346,Recipes!$A:$D,4,FALSE)="",""," ["&amp;VLOOKUP('.'!O346,Recipes!$A:$D,4,FALSE)&amp;"]"))</f>
        <v/>
      </c>
      <c r="P346" s="46" t="str">
        <f t="array" ref="P346">IF('.'!P346="","",'.'!P346&amp;IF(VLOOKUP('.'!P346,Recipes!$A:$D,4,FALSE)="",""," ["&amp;VLOOKUP('.'!P346,Recipes!$A:$D,4,FALSE)&amp;"]"))</f>
        <v/>
      </c>
      <c r="Q346" s="46" t="str">
        <f t="array" ref="Q346">IF('.'!Q346="","",'.'!Q346&amp;IF(VLOOKUP('.'!Q346,Recipes!$A:$D,4,FALSE)="",""," ["&amp;VLOOKUP('.'!Q346,Recipes!$A:$D,4,FALSE)&amp;"]"))</f>
        <v/>
      </c>
      <c r="R346" s="46" t="str">
        <f t="array" ref="R346">IF('.'!R346="","",'.'!R346&amp;IF(VLOOKUP('.'!R346,Recipes!$A:$D,4,FALSE)="",""," ["&amp;VLOOKUP('.'!R346,Recipes!$A:$D,4,FALSE)&amp;"]"))</f>
        <v/>
      </c>
      <c r="S346" s="46" t="str">
        <f t="array" ref="S346">IF('.'!S346="","",'.'!S346&amp;IF(VLOOKUP('.'!S346,Recipes!$A:$D,4,FALSE)="",""," ["&amp;VLOOKUP('.'!S346,Recipes!$A:$D,4,FALSE)&amp;"]"))</f>
        <v/>
      </c>
      <c r="T346" s="46" t="str">
        <f t="array" ref="T346">IF('.'!T346="","",'.'!T346&amp;IF(VLOOKUP('.'!T346,Recipes!$A:$D,4,FALSE)="",""," ["&amp;VLOOKUP('.'!T346,Recipes!$A:$D,4,FALSE)&amp;"]"))</f>
        <v/>
      </c>
      <c r="U346" s="46" t="str">
        <f t="array" ref="U346">IF('.'!U346="","",'.'!U346&amp;IF(VLOOKUP('.'!U346,Recipes!$A:$D,4,FALSE)="",""," ["&amp;VLOOKUP('.'!U346,Recipes!$A:$D,4,FALSE)&amp;"]"))</f>
        <v/>
      </c>
      <c r="V346" s="46" t="str">
        <f t="array" ref="V346">IF('.'!V346="","",'.'!V346&amp;IF(VLOOKUP('.'!V346,Recipes!$A:$D,4,FALSE)="",""," ["&amp;VLOOKUP('.'!V346,Recipes!$A:$D,4,FALSE)&amp;"]"))</f>
        <v/>
      </c>
      <c r="W346" s="46" t="str">
        <f t="array" ref="W346">IF('.'!W346="","",'.'!W346&amp;IF(VLOOKUP('.'!W346,Recipes!$A:$D,4,FALSE)="",""," ["&amp;VLOOKUP('.'!W346,Recipes!$A:$D,4,FALSE)&amp;"]"))</f>
        <v/>
      </c>
      <c r="X346" s="46" t="str">
        <f t="array" ref="X346">IF('.'!X346="","",'.'!X346&amp;IF(VLOOKUP('.'!X346,Recipes!$A:$D,4,FALSE)="",""," ["&amp;VLOOKUP('.'!X346,Recipes!$A:$D,4,FALSE)&amp;"]"))</f>
        <v/>
      </c>
      <c r="Y346" s="46" t="str">
        <f t="array" ref="Y346">IF('.'!Y346="","",'.'!Y346&amp;IF(VLOOKUP('.'!Y346,Recipes!$A:$D,4,FALSE)="",""," ["&amp;VLOOKUP('.'!Y346,Recipes!$A:$D,4,FALSE)&amp;"]"))</f>
        <v/>
      </c>
      <c r="Z346" s="46" t="str">
        <f t="array" ref="Z346">IF('.'!Z346="","",'.'!Z346&amp;IF(VLOOKUP('.'!Z346,Recipes!$A:$D,4,FALSE)="",""," ["&amp;VLOOKUP('.'!Z346,Recipes!$A:$D,4,FALSE)&amp;"]"))</f>
        <v/>
      </c>
      <c r="AA346" s="46" t="str">
        <f t="array" ref="AA346">IF('.'!AA346="","",'.'!AA346&amp;IF(VLOOKUP('.'!AA346,Recipes!$A:$D,4,FALSE)="",""," ["&amp;VLOOKUP('.'!AA346,Recipes!$A:$D,4,FALSE)&amp;"]"))</f>
        <v/>
      </c>
      <c r="AB346" s="46" t="str">
        <f t="array" ref="AB346">IF('.'!AB346="","",'.'!AB346&amp;IF(VLOOKUP('.'!AB346,Recipes!$A:$D,4,FALSE)="",""," ["&amp;VLOOKUP('.'!AB346,Recipes!$A:$D,4,FALSE)&amp;"]"))</f>
        <v/>
      </c>
      <c r="AC346" s="46" t="str">
        <f t="array" ref="AC346">IF('.'!AC346="","",'.'!AC346&amp;IF(VLOOKUP('.'!AC346,Recipes!$A:$D,4,FALSE)="",""," ["&amp;VLOOKUP('.'!AC346,Recipes!$A:$D,4,FALSE)&amp;"]"))</f>
        <v/>
      </c>
      <c r="AD346" s="46" t="str">
        <f t="array" ref="AD346">IF('.'!AD346="","",'.'!AD346&amp;IF(VLOOKUP('.'!AD346,Recipes!$A:$D,4,FALSE)="",""," ["&amp;VLOOKUP('.'!AD346,Recipes!$A:$D,4,FALSE)&amp;"]"))</f>
        <v/>
      </c>
      <c r="AE346" s="47"/>
      <c r="AF346" s="47"/>
      <c r="AG346" s="47"/>
      <c r="AH346" s="47"/>
      <c r="AI346" s="47"/>
      <c r="AJ346" s="47"/>
      <c r="AK346" s="47"/>
      <c r="AL346" s="47"/>
      <c r="AM346" s="47"/>
      <c r="AN346" s="47"/>
      <c r="AO346" s="47"/>
      <c r="AP346" s="47"/>
      <c r="AQ346" s="47"/>
      <c r="AR346" s="47"/>
      <c r="AS346" s="47"/>
      <c r="AT346" s="47"/>
      <c r="AU346" s="47"/>
      <c r="AV346" s="47"/>
      <c r="AW346" s="47"/>
      <c r="AX346" s="47"/>
      <c r="AY346" s="47"/>
      <c r="AZ346" s="47"/>
      <c r="BA346" s="47"/>
      <c r="BB346" s="47"/>
      <c r="BC346" s="47"/>
      <c r="BD346" s="47"/>
      <c r="BE346" s="47"/>
      <c r="BF346" s="47"/>
      <c r="BG346" s="47"/>
      <c r="BH346" s="47"/>
      <c r="BI346" s="47"/>
      <c r="BJ346" s="47"/>
      <c r="BK346" s="47"/>
      <c r="BL346" s="47"/>
      <c r="BM346" s="47"/>
      <c r="BN346" s="47"/>
      <c r="BO346" s="47"/>
      <c r="BP346" s="47"/>
      <c r="BQ346" s="47"/>
      <c r="BR346" s="47"/>
      <c r="BS346" s="47"/>
      <c r="BT346" s="47"/>
      <c r="BU346" s="47"/>
      <c r="BV346" s="47"/>
      <c r="BW346" s="47"/>
      <c r="BX346" s="47"/>
      <c r="BY346" s="47"/>
      <c r="BZ346" s="47"/>
    </row>
    <row r="347" spans="1:78" ht="13">
      <c r="A347" s="48" t="str">
        <f ca="1">'.'!A347</f>
        <v>Pressure Spike Scroll</v>
      </c>
      <c r="B347" s="46" t="str">
        <f t="array" aca="1" ref="B347" ca="1">IF('.'!B347="","",'.'!B347&amp;IF(VLOOKUP('.'!B347,Recipes!$A:$D,4,FALSE)="",""," ["&amp;VLOOKUP('.'!B347,Recipes!$A:$D,4,FALSE)&amp;"]"))</f>
        <v>Pressure Spike Skillbook [-10]</v>
      </c>
      <c r="C347" s="46" t="str">
        <f t="array" ref="C347">IF('.'!C347="","",'.'!C347&amp;IF(VLOOKUP('.'!C347,Recipes!$A:$D,4,FALSE)="",""," ["&amp;VLOOKUP('.'!C347,Recipes!$A:$D,4,FALSE)&amp;"]"))</f>
        <v/>
      </c>
      <c r="D347" s="46" t="str">
        <f t="array" ref="D347">IF('.'!D347="","",'.'!D347&amp;IF(VLOOKUP('.'!D347,Recipes!$A:$D,4,FALSE)="",""," ["&amp;VLOOKUP('.'!D347,Recipes!$A:$D,4,FALSE)&amp;"]"))</f>
        <v/>
      </c>
      <c r="E347" s="46" t="str">
        <f t="array" ref="E347">IF('.'!E347="","",'.'!E347&amp;IF(VLOOKUP('.'!E347,Recipes!$A:$D,4,FALSE)="",""," ["&amp;VLOOKUP('.'!E347,Recipes!$A:$D,4,FALSE)&amp;"]"))</f>
        <v/>
      </c>
      <c r="F347" s="46" t="str">
        <f t="array" ref="F347">IF('.'!F347="","",'.'!F347&amp;IF(VLOOKUP('.'!F347,Recipes!$A:$D,4,FALSE)="",""," ["&amp;VLOOKUP('.'!F347,Recipes!$A:$D,4,FALSE)&amp;"]"))</f>
        <v/>
      </c>
      <c r="G347" s="46" t="str">
        <f t="array" ref="G347">IF('.'!G347="","",'.'!G347&amp;IF(VLOOKUP('.'!G347,Recipes!$A:$D,4,FALSE)="",""," ["&amp;VLOOKUP('.'!G347,Recipes!$A:$D,4,FALSE)&amp;"]"))</f>
        <v/>
      </c>
      <c r="H347" s="46" t="str">
        <f t="array" ref="H347">IF('.'!H347="","",'.'!H347&amp;IF(VLOOKUP('.'!H347,Recipes!$A:$D,4,FALSE)="",""," ["&amp;VLOOKUP('.'!H347,Recipes!$A:$D,4,FALSE)&amp;"]"))</f>
        <v/>
      </c>
      <c r="I347" s="46" t="str">
        <f t="array" ref="I347">IF('.'!I347="","",'.'!I347&amp;IF(VLOOKUP('.'!I347,Recipes!$A:$D,4,FALSE)="",""," ["&amp;VLOOKUP('.'!I347,Recipes!$A:$D,4,FALSE)&amp;"]"))</f>
        <v/>
      </c>
      <c r="J347" s="46" t="str">
        <f t="array" ref="J347">IF('.'!J347="","",'.'!J347&amp;IF(VLOOKUP('.'!J347,Recipes!$A:$D,4,FALSE)="",""," ["&amp;VLOOKUP('.'!J347,Recipes!$A:$D,4,FALSE)&amp;"]"))</f>
        <v/>
      </c>
      <c r="K347" s="46" t="str">
        <f t="array" ref="K347">IF('.'!K347="","",'.'!K347&amp;IF(VLOOKUP('.'!K347,Recipes!$A:$D,4,FALSE)="",""," ["&amp;VLOOKUP('.'!K347,Recipes!$A:$D,4,FALSE)&amp;"]"))</f>
        <v/>
      </c>
      <c r="L347" s="46" t="str">
        <f t="array" ref="L347">IF('.'!L347="","",'.'!L347&amp;IF(VLOOKUP('.'!L347,Recipes!$A:$D,4,FALSE)="",""," ["&amp;VLOOKUP('.'!L347,Recipes!$A:$D,4,FALSE)&amp;"]"))</f>
        <v/>
      </c>
      <c r="M347" s="46" t="str">
        <f t="array" ref="M347">IF('.'!M347="","",'.'!M347&amp;IF(VLOOKUP('.'!M347,Recipes!$A:$D,4,FALSE)="",""," ["&amp;VLOOKUP('.'!M347,Recipes!$A:$D,4,FALSE)&amp;"]"))</f>
        <v/>
      </c>
      <c r="N347" s="46" t="str">
        <f t="array" ref="N347">IF('.'!N347="","",'.'!N347&amp;IF(VLOOKUP('.'!N347,Recipes!$A:$D,4,FALSE)="",""," ["&amp;VLOOKUP('.'!N347,Recipes!$A:$D,4,FALSE)&amp;"]"))</f>
        <v/>
      </c>
      <c r="O347" s="46" t="str">
        <f t="array" ref="O347">IF('.'!O347="","",'.'!O347&amp;IF(VLOOKUP('.'!O347,Recipes!$A:$D,4,FALSE)="",""," ["&amp;VLOOKUP('.'!O347,Recipes!$A:$D,4,FALSE)&amp;"]"))</f>
        <v/>
      </c>
      <c r="P347" s="46" t="str">
        <f t="array" ref="P347">IF('.'!P347="","",'.'!P347&amp;IF(VLOOKUP('.'!P347,Recipes!$A:$D,4,FALSE)="",""," ["&amp;VLOOKUP('.'!P347,Recipes!$A:$D,4,FALSE)&amp;"]"))</f>
        <v/>
      </c>
      <c r="Q347" s="46" t="str">
        <f t="array" ref="Q347">IF('.'!Q347="","",'.'!Q347&amp;IF(VLOOKUP('.'!Q347,Recipes!$A:$D,4,FALSE)="",""," ["&amp;VLOOKUP('.'!Q347,Recipes!$A:$D,4,FALSE)&amp;"]"))</f>
        <v/>
      </c>
      <c r="R347" s="46" t="str">
        <f t="array" ref="R347">IF('.'!R347="","",'.'!R347&amp;IF(VLOOKUP('.'!R347,Recipes!$A:$D,4,FALSE)="",""," ["&amp;VLOOKUP('.'!R347,Recipes!$A:$D,4,FALSE)&amp;"]"))</f>
        <v/>
      </c>
      <c r="S347" s="46" t="str">
        <f t="array" ref="S347">IF('.'!S347="","",'.'!S347&amp;IF(VLOOKUP('.'!S347,Recipes!$A:$D,4,FALSE)="",""," ["&amp;VLOOKUP('.'!S347,Recipes!$A:$D,4,FALSE)&amp;"]"))</f>
        <v/>
      </c>
      <c r="T347" s="46" t="str">
        <f t="array" ref="T347">IF('.'!T347="","",'.'!T347&amp;IF(VLOOKUP('.'!T347,Recipes!$A:$D,4,FALSE)="",""," ["&amp;VLOOKUP('.'!T347,Recipes!$A:$D,4,FALSE)&amp;"]"))</f>
        <v/>
      </c>
      <c r="U347" s="46" t="str">
        <f t="array" ref="U347">IF('.'!U347="","",'.'!U347&amp;IF(VLOOKUP('.'!U347,Recipes!$A:$D,4,FALSE)="",""," ["&amp;VLOOKUP('.'!U347,Recipes!$A:$D,4,FALSE)&amp;"]"))</f>
        <v/>
      </c>
      <c r="V347" s="46" t="str">
        <f t="array" ref="V347">IF('.'!V347="","",'.'!V347&amp;IF(VLOOKUP('.'!V347,Recipes!$A:$D,4,FALSE)="",""," ["&amp;VLOOKUP('.'!V347,Recipes!$A:$D,4,FALSE)&amp;"]"))</f>
        <v/>
      </c>
      <c r="W347" s="46" t="str">
        <f t="array" ref="W347">IF('.'!W347="","",'.'!W347&amp;IF(VLOOKUP('.'!W347,Recipes!$A:$D,4,FALSE)="",""," ["&amp;VLOOKUP('.'!W347,Recipes!$A:$D,4,FALSE)&amp;"]"))</f>
        <v/>
      </c>
      <c r="X347" s="46" t="str">
        <f t="array" ref="X347">IF('.'!X347="","",'.'!X347&amp;IF(VLOOKUP('.'!X347,Recipes!$A:$D,4,FALSE)="",""," ["&amp;VLOOKUP('.'!X347,Recipes!$A:$D,4,FALSE)&amp;"]"))</f>
        <v/>
      </c>
      <c r="Y347" s="46" t="str">
        <f t="array" ref="Y347">IF('.'!Y347="","",'.'!Y347&amp;IF(VLOOKUP('.'!Y347,Recipes!$A:$D,4,FALSE)="",""," ["&amp;VLOOKUP('.'!Y347,Recipes!$A:$D,4,FALSE)&amp;"]"))</f>
        <v/>
      </c>
      <c r="Z347" s="46" t="str">
        <f t="array" ref="Z347">IF('.'!Z347="","",'.'!Z347&amp;IF(VLOOKUP('.'!Z347,Recipes!$A:$D,4,FALSE)="",""," ["&amp;VLOOKUP('.'!Z347,Recipes!$A:$D,4,FALSE)&amp;"]"))</f>
        <v/>
      </c>
      <c r="AA347" s="46" t="str">
        <f t="array" ref="AA347">IF('.'!AA347="","",'.'!AA347&amp;IF(VLOOKUP('.'!AA347,Recipes!$A:$D,4,FALSE)="",""," ["&amp;VLOOKUP('.'!AA347,Recipes!$A:$D,4,FALSE)&amp;"]"))</f>
        <v/>
      </c>
      <c r="AB347" s="46" t="str">
        <f t="array" ref="AB347">IF('.'!AB347="","",'.'!AB347&amp;IF(VLOOKUP('.'!AB347,Recipes!$A:$D,4,FALSE)="",""," ["&amp;VLOOKUP('.'!AB347,Recipes!$A:$D,4,FALSE)&amp;"]"))</f>
        <v/>
      </c>
      <c r="AC347" s="46" t="str">
        <f t="array" ref="AC347">IF('.'!AC347="","",'.'!AC347&amp;IF(VLOOKUP('.'!AC347,Recipes!$A:$D,4,FALSE)="",""," ["&amp;VLOOKUP('.'!AC347,Recipes!$A:$D,4,FALSE)&amp;"]"))</f>
        <v/>
      </c>
      <c r="AD347" s="46" t="str">
        <f t="array" ref="AD347">IF('.'!AD347="","",'.'!AD347&amp;IF(VLOOKUP('.'!AD347,Recipes!$A:$D,4,FALSE)="",""," ["&amp;VLOOKUP('.'!AD347,Recipes!$A:$D,4,FALSE)&amp;"]"))</f>
        <v/>
      </c>
      <c r="AE347" s="47"/>
      <c r="AF347" s="47"/>
      <c r="AG347" s="47"/>
      <c r="AH347" s="47"/>
      <c r="AI347" s="47"/>
      <c r="AJ347" s="47"/>
      <c r="AK347" s="47"/>
      <c r="AL347" s="47"/>
      <c r="AM347" s="47"/>
      <c r="AN347" s="47"/>
      <c r="AO347" s="47"/>
      <c r="AP347" s="47"/>
      <c r="AQ347" s="47"/>
      <c r="AR347" s="47"/>
      <c r="AS347" s="47"/>
      <c r="AT347" s="47"/>
      <c r="AU347" s="47"/>
      <c r="AV347" s="47"/>
      <c r="AW347" s="47"/>
      <c r="AX347" s="47"/>
      <c r="AY347" s="47"/>
      <c r="AZ347" s="47"/>
      <c r="BA347" s="47"/>
      <c r="BB347" s="47"/>
      <c r="BC347" s="47"/>
      <c r="BD347" s="47"/>
      <c r="BE347" s="47"/>
      <c r="BF347" s="47"/>
      <c r="BG347" s="47"/>
      <c r="BH347" s="47"/>
      <c r="BI347" s="47"/>
      <c r="BJ347" s="47"/>
      <c r="BK347" s="47"/>
      <c r="BL347" s="47"/>
      <c r="BM347" s="47"/>
      <c r="BN347" s="47"/>
      <c r="BO347" s="47"/>
      <c r="BP347" s="47"/>
      <c r="BQ347" s="47"/>
      <c r="BR347" s="47"/>
      <c r="BS347" s="47"/>
      <c r="BT347" s="47"/>
      <c r="BU347" s="47"/>
      <c r="BV347" s="47"/>
      <c r="BW347" s="47"/>
      <c r="BX347" s="47"/>
      <c r="BY347" s="47"/>
      <c r="BZ347" s="47"/>
    </row>
    <row r="348" spans="1:78" ht="13">
      <c r="A348" s="48" t="str">
        <f ca="1">'.'!A348</f>
        <v>Puffball</v>
      </c>
      <c r="B348" s="46" t="str">
        <f t="array" aca="1" ref="B348" ca="1">IF('.'!B348="","",'.'!B348&amp;IF(VLOOKUP('.'!B348,Recipes!$A:$D,4,FALSE)="",""," ["&amp;VLOOKUP('.'!B348,Recipes!$A:$D,4,FALSE)&amp;"]"))</f>
        <v>Minor Wits Potion [49]</v>
      </c>
      <c r="C348" s="46" t="str">
        <f t="array" aca="1" ref="C348" ca="1">IF('.'!C348="","",'.'!C348&amp;IF(VLOOKUP('.'!C348,Recipes!$A:$D,4,FALSE)="",""," ["&amp;VLOOKUP('.'!C348,Recipes!$A:$D,4,FALSE)&amp;"]"))</f>
        <v>Alertness Herbmix [-126]</v>
      </c>
      <c r="D348" s="46" t="str">
        <f t="array" ref="D348">IF('.'!D348="","",'.'!D348&amp;IF(VLOOKUP('.'!D348,Recipes!$A:$D,4,FALSE)="",""," ["&amp;VLOOKUP('.'!D348,Recipes!$A:$D,4,FALSE)&amp;"]"))</f>
        <v/>
      </c>
      <c r="E348" s="46" t="str">
        <f t="array" ref="E348">IF('.'!E348="","",'.'!E348&amp;IF(VLOOKUP('.'!E348,Recipes!$A:$D,4,FALSE)="",""," ["&amp;VLOOKUP('.'!E348,Recipes!$A:$D,4,FALSE)&amp;"]"))</f>
        <v/>
      </c>
      <c r="F348" s="46" t="str">
        <f t="array" ref="F348">IF('.'!F348="","",'.'!F348&amp;IF(VLOOKUP('.'!F348,Recipes!$A:$D,4,FALSE)="",""," ["&amp;VLOOKUP('.'!F348,Recipes!$A:$D,4,FALSE)&amp;"]"))</f>
        <v/>
      </c>
      <c r="G348" s="46" t="str">
        <f t="array" ref="G348">IF('.'!G348="","",'.'!G348&amp;IF(VLOOKUP('.'!G348,Recipes!$A:$D,4,FALSE)="",""," ["&amp;VLOOKUP('.'!G348,Recipes!$A:$D,4,FALSE)&amp;"]"))</f>
        <v/>
      </c>
      <c r="H348" s="46" t="str">
        <f t="array" ref="H348">IF('.'!H348="","",'.'!H348&amp;IF(VLOOKUP('.'!H348,Recipes!$A:$D,4,FALSE)="",""," ["&amp;VLOOKUP('.'!H348,Recipes!$A:$D,4,FALSE)&amp;"]"))</f>
        <v/>
      </c>
      <c r="I348" s="46" t="str">
        <f t="array" ref="I348">IF('.'!I348="","",'.'!I348&amp;IF(VLOOKUP('.'!I348,Recipes!$A:$D,4,FALSE)="",""," ["&amp;VLOOKUP('.'!I348,Recipes!$A:$D,4,FALSE)&amp;"]"))</f>
        <v/>
      </c>
      <c r="J348" s="46" t="str">
        <f t="array" ref="J348">IF('.'!J348="","",'.'!J348&amp;IF(VLOOKUP('.'!J348,Recipes!$A:$D,4,FALSE)="",""," ["&amp;VLOOKUP('.'!J348,Recipes!$A:$D,4,FALSE)&amp;"]"))</f>
        <v/>
      </c>
      <c r="K348" s="46" t="str">
        <f t="array" ref="K348">IF('.'!K348="","",'.'!K348&amp;IF(VLOOKUP('.'!K348,Recipes!$A:$D,4,FALSE)="",""," ["&amp;VLOOKUP('.'!K348,Recipes!$A:$D,4,FALSE)&amp;"]"))</f>
        <v/>
      </c>
      <c r="L348" s="46" t="str">
        <f t="array" ref="L348">IF('.'!L348="","",'.'!L348&amp;IF(VLOOKUP('.'!L348,Recipes!$A:$D,4,FALSE)="",""," ["&amp;VLOOKUP('.'!L348,Recipes!$A:$D,4,FALSE)&amp;"]"))</f>
        <v/>
      </c>
      <c r="M348" s="46" t="str">
        <f t="array" ref="M348">IF('.'!M348="","",'.'!M348&amp;IF(VLOOKUP('.'!M348,Recipes!$A:$D,4,FALSE)="",""," ["&amp;VLOOKUP('.'!M348,Recipes!$A:$D,4,FALSE)&amp;"]"))</f>
        <v/>
      </c>
      <c r="N348" s="46" t="str">
        <f t="array" ref="N348">IF('.'!N348="","",'.'!N348&amp;IF(VLOOKUP('.'!N348,Recipes!$A:$D,4,FALSE)="",""," ["&amp;VLOOKUP('.'!N348,Recipes!$A:$D,4,FALSE)&amp;"]"))</f>
        <v/>
      </c>
      <c r="O348" s="46" t="str">
        <f t="array" ref="O348">IF('.'!O348="","",'.'!O348&amp;IF(VLOOKUP('.'!O348,Recipes!$A:$D,4,FALSE)="",""," ["&amp;VLOOKUP('.'!O348,Recipes!$A:$D,4,FALSE)&amp;"]"))</f>
        <v/>
      </c>
      <c r="P348" s="46" t="str">
        <f t="array" ref="P348">IF('.'!P348="","",'.'!P348&amp;IF(VLOOKUP('.'!P348,Recipes!$A:$D,4,FALSE)="",""," ["&amp;VLOOKUP('.'!P348,Recipes!$A:$D,4,FALSE)&amp;"]"))</f>
        <v/>
      </c>
      <c r="Q348" s="46" t="str">
        <f t="array" ref="Q348">IF('.'!Q348="","",'.'!Q348&amp;IF(VLOOKUP('.'!Q348,Recipes!$A:$D,4,FALSE)="",""," ["&amp;VLOOKUP('.'!Q348,Recipes!$A:$D,4,FALSE)&amp;"]"))</f>
        <v/>
      </c>
      <c r="R348" s="46" t="str">
        <f t="array" ref="R348">IF('.'!R348="","",'.'!R348&amp;IF(VLOOKUP('.'!R348,Recipes!$A:$D,4,FALSE)="",""," ["&amp;VLOOKUP('.'!R348,Recipes!$A:$D,4,FALSE)&amp;"]"))</f>
        <v/>
      </c>
      <c r="S348" s="46" t="str">
        <f t="array" ref="S348">IF('.'!S348="","",'.'!S348&amp;IF(VLOOKUP('.'!S348,Recipes!$A:$D,4,FALSE)="",""," ["&amp;VLOOKUP('.'!S348,Recipes!$A:$D,4,FALSE)&amp;"]"))</f>
        <v/>
      </c>
      <c r="T348" s="46" t="str">
        <f t="array" ref="T348">IF('.'!T348="","",'.'!T348&amp;IF(VLOOKUP('.'!T348,Recipes!$A:$D,4,FALSE)="",""," ["&amp;VLOOKUP('.'!T348,Recipes!$A:$D,4,FALSE)&amp;"]"))</f>
        <v/>
      </c>
      <c r="U348" s="46" t="str">
        <f t="array" ref="U348">IF('.'!U348="","",'.'!U348&amp;IF(VLOOKUP('.'!U348,Recipes!$A:$D,4,FALSE)="",""," ["&amp;VLOOKUP('.'!U348,Recipes!$A:$D,4,FALSE)&amp;"]"))</f>
        <v/>
      </c>
      <c r="V348" s="46" t="str">
        <f t="array" ref="V348">IF('.'!V348="","",'.'!V348&amp;IF(VLOOKUP('.'!V348,Recipes!$A:$D,4,FALSE)="",""," ["&amp;VLOOKUP('.'!V348,Recipes!$A:$D,4,FALSE)&amp;"]"))</f>
        <v/>
      </c>
      <c r="W348" s="46" t="str">
        <f t="array" ref="W348">IF('.'!W348="","",'.'!W348&amp;IF(VLOOKUP('.'!W348,Recipes!$A:$D,4,FALSE)="",""," ["&amp;VLOOKUP('.'!W348,Recipes!$A:$D,4,FALSE)&amp;"]"))</f>
        <v/>
      </c>
      <c r="X348" s="46" t="str">
        <f t="array" ref="X348">IF('.'!X348="","",'.'!X348&amp;IF(VLOOKUP('.'!X348,Recipes!$A:$D,4,FALSE)="",""," ["&amp;VLOOKUP('.'!X348,Recipes!$A:$D,4,FALSE)&amp;"]"))</f>
        <v/>
      </c>
      <c r="Y348" s="46" t="str">
        <f t="array" ref="Y348">IF('.'!Y348="","",'.'!Y348&amp;IF(VLOOKUP('.'!Y348,Recipes!$A:$D,4,FALSE)="",""," ["&amp;VLOOKUP('.'!Y348,Recipes!$A:$D,4,FALSE)&amp;"]"))</f>
        <v/>
      </c>
      <c r="Z348" s="46" t="str">
        <f t="array" ref="Z348">IF('.'!Z348="","",'.'!Z348&amp;IF(VLOOKUP('.'!Z348,Recipes!$A:$D,4,FALSE)="",""," ["&amp;VLOOKUP('.'!Z348,Recipes!$A:$D,4,FALSE)&amp;"]"))</f>
        <v/>
      </c>
      <c r="AA348" s="46" t="str">
        <f t="array" ref="AA348">IF('.'!AA348="","",'.'!AA348&amp;IF(VLOOKUP('.'!AA348,Recipes!$A:$D,4,FALSE)="",""," ["&amp;VLOOKUP('.'!AA348,Recipes!$A:$D,4,FALSE)&amp;"]"))</f>
        <v/>
      </c>
      <c r="AB348" s="46" t="str">
        <f t="array" ref="AB348">IF('.'!AB348="","",'.'!AB348&amp;IF(VLOOKUP('.'!AB348,Recipes!$A:$D,4,FALSE)="",""," ["&amp;VLOOKUP('.'!AB348,Recipes!$A:$D,4,FALSE)&amp;"]"))</f>
        <v/>
      </c>
      <c r="AC348" s="46" t="str">
        <f t="array" ref="AC348">IF('.'!AC348="","",'.'!AC348&amp;IF(VLOOKUP('.'!AC348,Recipes!$A:$D,4,FALSE)="",""," ["&amp;VLOOKUP('.'!AC348,Recipes!$A:$D,4,FALSE)&amp;"]"))</f>
        <v/>
      </c>
      <c r="AD348" s="46" t="str">
        <f t="array" ref="AD348">IF('.'!AD348="","",'.'!AD348&amp;IF(VLOOKUP('.'!AD348,Recipes!$A:$D,4,FALSE)="",""," ["&amp;VLOOKUP('.'!AD348,Recipes!$A:$D,4,FALSE)&amp;"]"))</f>
        <v/>
      </c>
      <c r="AE348" s="47"/>
      <c r="AF348" s="47"/>
      <c r="AG348" s="47"/>
      <c r="AH348" s="47"/>
      <c r="AI348" s="47"/>
      <c r="AJ348" s="47"/>
      <c r="AK348" s="47"/>
      <c r="AL348" s="47"/>
      <c r="AM348" s="47"/>
      <c r="AN348" s="47"/>
      <c r="AO348" s="47"/>
      <c r="AP348" s="47"/>
      <c r="AQ348" s="47"/>
      <c r="AR348" s="47"/>
      <c r="AS348" s="47"/>
      <c r="AT348" s="47"/>
      <c r="AU348" s="47"/>
      <c r="AV348" s="47"/>
      <c r="AW348" s="47"/>
      <c r="AX348" s="47"/>
      <c r="AY348" s="47"/>
      <c r="AZ348" s="47"/>
      <c r="BA348" s="47"/>
      <c r="BB348" s="47"/>
      <c r="BC348" s="47"/>
      <c r="BD348" s="47"/>
      <c r="BE348" s="47"/>
      <c r="BF348" s="47"/>
      <c r="BG348" s="47"/>
      <c r="BH348" s="47"/>
      <c r="BI348" s="47"/>
      <c r="BJ348" s="47"/>
      <c r="BK348" s="47"/>
      <c r="BL348" s="47"/>
      <c r="BM348" s="47"/>
      <c r="BN348" s="47"/>
      <c r="BO348" s="47"/>
      <c r="BP348" s="47"/>
      <c r="BQ348" s="47"/>
      <c r="BR348" s="47"/>
      <c r="BS348" s="47"/>
      <c r="BT348" s="47"/>
      <c r="BU348" s="47"/>
      <c r="BV348" s="47"/>
      <c r="BW348" s="47"/>
      <c r="BX348" s="47"/>
      <c r="BY348" s="47"/>
      <c r="BZ348" s="47"/>
    </row>
    <row r="349" spans="1:78" ht="13">
      <c r="A349" s="48" t="str">
        <f ca="1">'.'!A349</f>
        <v>Pumpkin</v>
      </c>
      <c r="B349" s="46" t="str">
        <f t="array" aca="1" ref="B349" ca="1">IF('.'!B349="","",'.'!B349&amp;IF(VLOOKUP('.'!B349,Recipes!$A:$D,4,FALSE)="",""," ["&amp;VLOOKUP('.'!B349,Recipes!$A:$D,4,FALSE)&amp;"]"))</f>
        <v>Pumpkin Soup [7]</v>
      </c>
      <c r="C349" s="46" t="str">
        <f t="array" ref="C349">IF('.'!C349="","",'.'!C349&amp;IF(VLOOKUP('.'!C349,Recipes!$A:$D,4,FALSE)="",""," ["&amp;VLOOKUP('.'!C349,Recipes!$A:$D,4,FALSE)&amp;"]"))</f>
        <v/>
      </c>
      <c r="D349" s="46" t="str">
        <f t="array" ref="D349">IF('.'!D349="","",'.'!D349&amp;IF(VLOOKUP('.'!D349,Recipes!$A:$D,4,FALSE)="",""," ["&amp;VLOOKUP('.'!D349,Recipes!$A:$D,4,FALSE)&amp;"]"))</f>
        <v/>
      </c>
      <c r="E349" s="46" t="str">
        <f t="array" ref="E349">IF('.'!E349="","",'.'!E349&amp;IF(VLOOKUP('.'!E349,Recipes!$A:$D,4,FALSE)="",""," ["&amp;VLOOKUP('.'!E349,Recipes!$A:$D,4,FALSE)&amp;"]"))</f>
        <v/>
      </c>
      <c r="F349" s="46" t="str">
        <f t="array" ref="F349">IF('.'!F349="","",'.'!F349&amp;IF(VLOOKUP('.'!F349,Recipes!$A:$D,4,FALSE)="",""," ["&amp;VLOOKUP('.'!F349,Recipes!$A:$D,4,FALSE)&amp;"]"))</f>
        <v/>
      </c>
      <c r="G349" s="46" t="str">
        <f t="array" ref="G349">IF('.'!G349="","",'.'!G349&amp;IF(VLOOKUP('.'!G349,Recipes!$A:$D,4,FALSE)="",""," ["&amp;VLOOKUP('.'!G349,Recipes!$A:$D,4,FALSE)&amp;"]"))</f>
        <v/>
      </c>
      <c r="H349" s="46" t="str">
        <f t="array" ref="H349">IF('.'!H349="","",'.'!H349&amp;IF(VLOOKUP('.'!H349,Recipes!$A:$D,4,FALSE)="",""," ["&amp;VLOOKUP('.'!H349,Recipes!$A:$D,4,FALSE)&amp;"]"))</f>
        <v/>
      </c>
      <c r="I349" s="46" t="str">
        <f t="array" ref="I349">IF('.'!I349="","",'.'!I349&amp;IF(VLOOKUP('.'!I349,Recipes!$A:$D,4,FALSE)="",""," ["&amp;VLOOKUP('.'!I349,Recipes!$A:$D,4,FALSE)&amp;"]"))</f>
        <v/>
      </c>
      <c r="J349" s="46" t="str">
        <f t="array" ref="J349">IF('.'!J349="","",'.'!J349&amp;IF(VLOOKUP('.'!J349,Recipes!$A:$D,4,FALSE)="",""," ["&amp;VLOOKUP('.'!J349,Recipes!$A:$D,4,FALSE)&amp;"]"))</f>
        <v/>
      </c>
      <c r="K349" s="46" t="str">
        <f t="array" ref="K349">IF('.'!K349="","",'.'!K349&amp;IF(VLOOKUP('.'!K349,Recipes!$A:$D,4,FALSE)="",""," ["&amp;VLOOKUP('.'!K349,Recipes!$A:$D,4,FALSE)&amp;"]"))</f>
        <v/>
      </c>
      <c r="L349" s="46" t="str">
        <f t="array" ref="L349">IF('.'!L349="","",'.'!L349&amp;IF(VLOOKUP('.'!L349,Recipes!$A:$D,4,FALSE)="",""," ["&amp;VLOOKUP('.'!L349,Recipes!$A:$D,4,FALSE)&amp;"]"))</f>
        <v/>
      </c>
      <c r="M349" s="46" t="str">
        <f t="array" ref="M349">IF('.'!M349="","",'.'!M349&amp;IF(VLOOKUP('.'!M349,Recipes!$A:$D,4,FALSE)="",""," ["&amp;VLOOKUP('.'!M349,Recipes!$A:$D,4,FALSE)&amp;"]"))</f>
        <v/>
      </c>
      <c r="N349" s="46" t="str">
        <f t="array" ref="N349">IF('.'!N349="","",'.'!N349&amp;IF(VLOOKUP('.'!N349,Recipes!$A:$D,4,FALSE)="",""," ["&amp;VLOOKUP('.'!N349,Recipes!$A:$D,4,FALSE)&amp;"]"))</f>
        <v/>
      </c>
      <c r="O349" s="46" t="str">
        <f t="array" ref="O349">IF('.'!O349="","",'.'!O349&amp;IF(VLOOKUP('.'!O349,Recipes!$A:$D,4,FALSE)="",""," ["&amp;VLOOKUP('.'!O349,Recipes!$A:$D,4,FALSE)&amp;"]"))</f>
        <v/>
      </c>
      <c r="P349" s="46" t="str">
        <f t="array" ref="P349">IF('.'!P349="","",'.'!P349&amp;IF(VLOOKUP('.'!P349,Recipes!$A:$D,4,FALSE)="",""," ["&amp;VLOOKUP('.'!P349,Recipes!$A:$D,4,FALSE)&amp;"]"))</f>
        <v/>
      </c>
      <c r="Q349" s="46" t="str">
        <f t="array" ref="Q349">IF('.'!Q349="","",'.'!Q349&amp;IF(VLOOKUP('.'!Q349,Recipes!$A:$D,4,FALSE)="",""," ["&amp;VLOOKUP('.'!Q349,Recipes!$A:$D,4,FALSE)&amp;"]"))</f>
        <v/>
      </c>
      <c r="R349" s="46" t="str">
        <f t="array" ref="R349">IF('.'!R349="","",'.'!R349&amp;IF(VLOOKUP('.'!R349,Recipes!$A:$D,4,FALSE)="",""," ["&amp;VLOOKUP('.'!R349,Recipes!$A:$D,4,FALSE)&amp;"]"))</f>
        <v/>
      </c>
      <c r="S349" s="46" t="str">
        <f t="array" ref="S349">IF('.'!S349="","",'.'!S349&amp;IF(VLOOKUP('.'!S349,Recipes!$A:$D,4,FALSE)="",""," ["&amp;VLOOKUP('.'!S349,Recipes!$A:$D,4,FALSE)&amp;"]"))</f>
        <v/>
      </c>
      <c r="T349" s="46" t="str">
        <f t="array" ref="T349">IF('.'!T349="","",'.'!T349&amp;IF(VLOOKUP('.'!T349,Recipes!$A:$D,4,FALSE)="",""," ["&amp;VLOOKUP('.'!T349,Recipes!$A:$D,4,FALSE)&amp;"]"))</f>
        <v/>
      </c>
      <c r="U349" s="46" t="str">
        <f t="array" ref="U349">IF('.'!U349="","",'.'!U349&amp;IF(VLOOKUP('.'!U349,Recipes!$A:$D,4,FALSE)="",""," ["&amp;VLOOKUP('.'!U349,Recipes!$A:$D,4,FALSE)&amp;"]"))</f>
        <v/>
      </c>
      <c r="V349" s="46" t="str">
        <f t="array" ref="V349">IF('.'!V349="","",'.'!V349&amp;IF(VLOOKUP('.'!V349,Recipes!$A:$D,4,FALSE)="",""," ["&amp;VLOOKUP('.'!V349,Recipes!$A:$D,4,FALSE)&amp;"]"))</f>
        <v/>
      </c>
      <c r="W349" s="46" t="str">
        <f t="array" ref="W349">IF('.'!W349="","",'.'!W349&amp;IF(VLOOKUP('.'!W349,Recipes!$A:$D,4,FALSE)="",""," ["&amp;VLOOKUP('.'!W349,Recipes!$A:$D,4,FALSE)&amp;"]"))</f>
        <v/>
      </c>
      <c r="X349" s="46" t="str">
        <f t="array" ref="X349">IF('.'!X349="","",'.'!X349&amp;IF(VLOOKUP('.'!X349,Recipes!$A:$D,4,FALSE)="",""," ["&amp;VLOOKUP('.'!X349,Recipes!$A:$D,4,FALSE)&amp;"]"))</f>
        <v/>
      </c>
      <c r="Y349" s="46" t="str">
        <f t="array" ref="Y349">IF('.'!Y349="","",'.'!Y349&amp;IF(VLOOKUP('.'!Y349,Recipes!$A:$D,4,FALSE)="",""," ["&amp;VLOOKUP('.'!Y349,Recipes!$A:$D,4,FALSE)&amp;"]"))</f>
        <v/>
      </c>
      <c r="Z349" s="46" t="str">
        <f t="array" ref="Z349">IF('.'!Z349="","",'.'!Z349&amp;IF(VLOOKUP('.'!Z349,Recipes!$A:$D,4,FALSE)="",""," ["&amp;VLOOKUP('.'!Z349,Recipes!$A:$D,4,FALSE)&amp;"]"))</f>
        <v/>
      </c>
      <c r="AA349" s="46" t="str">
        <f t="array" ref="AA349">IF('.'!AA349="","",'.'!AA349&amp;IF(VLOOKUP('.'!AA349,Recipes!$A:$D,4,FALSE)="",""," ["&amp;VLOOKUP('.'!AA349,Recipes!$A:$D,4,FALSE)&amp;"]"))</f>
        <v/>
      </c>
      <c r="AB349" s="46" t="str">
        <f t="array" ref="AB349">IF('.'!AB349="","",'.'!AB349&amp;IF(VLOOKUP('.'!AB349,Recipes!$A:$D,4,FALSE)="",""," ["&amp;VLOOKUP('.'!AB349,Recipes!$A:$D,4,FALSE)&amp;"]"))</f>
        <v/>
      </c>
      <c r="AC349" s="46" t="str">
        <f t="array" ref="AC349">IF('.'!AC349="","",'.'!AC349&amp;IF(VLOOKUP('.'!AC349,Recipes!$A:$D,4,FALSE)="",""," ["&amp;VLOOKUP('.'!AC349,Recipes!$A:$D,4,FALSE)&amp;"]"))</f>
        <v/>
      </c>
      <c r="AD349" s="46" t="str">
        <f t="array" ref="AD349">IF('.'!AD349="","",'.'!AD349&amp;IF(VLOOKUP('.'!AD349,Recipes!$A:$D,4,FALSE)="",""," ["&amp;VLOOKUP('.'!AD349,Recipes!$A:$D,4,FALSE)&amp;"]"))</f>
        <v/>
      </c>
      <c r="AE349" s="47"/>
      <c r="AF349" s="47"/>
      <c r="AG349" s="47"/>
      <c r="AH349" s="47"/>
      <c r="AI349" s="47"/>
      <c r="AJ349" s="47"/>
      <c r="AK349" s="47"/>
      <c r="AL349" s="47"/>
      <c r="AM349" s="47"/>
      <c r="AN349" s="47"/>
      <c r="AO349" s="47"/>
      <c r="AP349" s="47"/>
      <c r="AQ349" s="47"/>
      <c r="AR349" s="47"/>
      <c r="AS349" s="47"/>
      <c r="AT349" s="47"/>
      <c r="AU349" s="47"/>
      <c r="AV349" s="47"/>
      <c r="AW349" s="47"/>
      <c r="AX349" s="47"/>
      <c r="AY349" s="47"/>
      <c r="AZ349" s="47"/>
      <c r="BA349" s="47"/>
      <c r="BB349" s="47"/>
      <c r="BC349" s="47"/>
      <c r="BD349" s="47"/>
      <c r="BE349" s="47"/>
      <c r="BF349" s="47"/>
      <c r="BG349" s="47"/>
      <c r="BH349" s="47"/>
      <c r="BI349" s="47"/>
      <c r="BJ349" s="47"/>
      <c r="BK349" s="47"/>
      <c r="BL349" s="47"/>
      <c r="BM349" s="47"/>
      <c r="BN349" s="47"/>
      <c r="BO349" s="47"/>
      <c r="BP349" s="47"/>
      <c r="BQ349" s="47"/>
      <c r="BR349" s="47"/>
      <c r="BS349" s="47"/>
      <c r="BT349" s="47"/>
      <c r="BU349" s="47"/>
      <c r="BV349" s="47"/>
      <c r="BW349" s="47"/>
      <c r="BX349" s="47"/>
      <c r="BY349" s="47"/>
      <c r="BZ349" s="47"/>
    </row>
    <row r="350" spans="1:78" ht="13">
      <c r="A350" s="48" t="str">
        <f ca="1">'.'!A350</f>
        <v>Pumpkin Part</v>
      </c>
      <c r="B350" s="46" t="str">
        <f t="array" aca="1" ref="B350" ca="1">IF('.'!B350="","",'.'!B350&amp;IF(VLOOKUP('.'!B350,Recipes!$A:$D,4,FALSE)="",""," ["&amp;VLOOKUP('.'!B350,Recipes!$A:$D,4,FALSE)&amp;"]"))</f>
        <v>Pumpkin Soup [7]</v>
      </c>
      <c r="C350" s="46" t="str">
        <f t="array" ref="C350">IF('.'!C350="","",'.'!C350&amp;IF(VLOOKUP('.'!C350,Recipes!$A:$D,4,FALSE)="",""," ["&amp;VLOOKUP('.'!C350,Recipes!$A:$D,4,FALSE)&amp;"]"))</f>
        <v/>
      </c>
      <c r="D350" s="46" t="str">
        <f t="array" ref="D350">IF('.'!D350="","",'.'!D350&amp;IF(VLOOKUP('.'!D350,Recipes!$A:$D,4,FALSE)="",""," ["&amp;VLOOKUP('.'!D350,Recipes!$A:$D,4,FALSE)&amp;"]"))</f>
        <v/>
      </c>
      <c r="E350" s="46" t="str">
        <f t="array" ref="E350">IF('.'!E350="","",'.'!E350&amp;IF(VLOOKUP('.'!E350,Recipes!$A:$D,4,FALSE)="",""," ["&amp;VLOOKUP('.'!E350,Recipes!$A:$D,4,FALSE)&amp;"]"))</f>
        <v/>
      </c>
      <c r="F350" s="46" t="str">
        <f t="array" ref="F350">IF('.'!F350="","",'.'!F350&amp;IF(VLOOKUP('.'!F350,Recipes!$A:$D,4,FALSE)="",""," ["&amp;VLOOKUP('.'!F350,Recipes!$A:$D,4,FALSE)&amp;"]"))</f>
        <v/>
      </c>
      <c r="G350" s="46" t="str">
        <f t="array" ref="G350">IF('.'!G350="","",'.'!G350&amp;IF(VLOOKUP('.'!G350,Recipes!$A:$D,4,FALSE)="",""," ["&amp;VLOOKUP('.'!G350,Recipes!$A:$D,4,FALSE)&amp;"]"))</f>
        <v/>
      </c>
      <c r="H350" s="46" t="str">
        <f t="array" ref="H350">IF('.'!H350="","",'.'!H350&amp;IF(VLOOKUP('.'!H350,Recipes!$A:$D,4,FALSE)="",""," ["&amp;VLOOKUP('.'!H350,Recipes!$A:$D,4,FALSE)&amp;"]"))</f>
        <v/>
      </c>
      <c r="I350" s="46" t="str">
        <f t="array" ref="I350">IF('.'!I350="","",'.'!I350&amp;IF(VLOOKUP('.'!I350,Recipes!$A:$D,4,FALSE)="",""," ["&amp;VLOOKUP('.'!I350,Recipes!$A:$D,4,FALSE)&amp;"]"))</f>
        <v/>
      </c>
      <c r="J350" s="46" t="str">
        <f t="array" ref="J350">IF('.'!J350="","",'.'!J350&amp;IF(VLOOKUP('.'!J350,Recipes!$A:$D,4,FALSE)="",""," ["&amp;VLOOKUP('.'!J350,Recipes!$A:$D,4,FALSE)&amp;"]"))</f>
        <v/>
      </c>
      <c r="K350" s="46" t="str">
        <f t="array" ref="K350">IF('.'!K350="","",'.'!K350&amp;IF(VLOOKUP('.'!K350,Recipes!$A:$D,4,FALSE)="",""," ["&amp;VLOOKUP('.'!K350,Recipes!$A:$D,4,FALSE)&amp;"]"))</f>
        <v/>
      </c>
      <c r="L350" s="46" t="str">
        <f t="array" ref="L350">IF('.'!L350="","",'.'!L350&amp;IF(VLOOKUP('.'!L350,Recipes!$A:$D,4,FALSE)="",""," ["&amp;VLOOKUP('.'!L350,Recipes!$A:$D,4,FALSE)&amp;"]"))</f>
        <v/>
      </c>
      <c r="M350" s="46" t="str">
        <f t="array" ref="M350">IF('.'!M350="","",'.'!M350&amp;IF(VLOOKUP('.'!M350,Recipes!$A:$D,4,FALSE)="",""," ["&amp;VLOOKUP('.'!M350,Recipes!$A:$D,4,FALSE)&amp;"]"))</f>
        <v/>
      </c>
      <c r="N350" s="46" t="str">
        <f t="array" ref="N350">IF('.'!N350="","",'.'!N350&amp;IF(VLOOKUP('.'!N350,Recipes!$A:$D,4,FALSE)="",""," ["&amp;VLOOKUP('.'!N350,Recipes!$A:$D,4,FALSE)&amp;"]"))</f>
        <v/>
      </c>
      <c r="O350" s="46" t="str">
        <f t="array" ref="O350">IF('.'!O350="","",'.'!O350&amp;IF(VLOOKUP('.'!O350,Recipes!$A:$D,4,FALSE)="",""," ["&amp;VLOOKUP('.'!O350,Recipes!$A:$D,4,FALSE)&amp;"]"))</f>
        <v/>
      </c>
      <c r="P350" s="46" t="str">
        <f t="array" ref="P350">IF('.'!P350="","",'.'!P350&amp;IF(VLOOKUP('.'!P350,Recipes!$A:$D,4,FALSE)="",""," ["&amp;VLOOKUP('.'!P350,Recipes!$A:$D,4,FALSE)&amp;"]"))</f>
        <v/>
      </c>
      <c r="Q350" s="46" t="str">
        <f t="array" ref="Q350">IF('.'!Q350="","",'.'!Q350&amp;IF(VLOOKUP('.'!Q350,Recipes!$A:$D,4,FALSE)="",""," ["&amp;VLOOKUP('.'!Q350,Recipes!$A:$D,4,FALSE)&amp;"]"))</f>
        <v/>
      </c>
      <c r="R350" s="46" t="str">
        <f t="array" ref="R350">IF('.'!R350="","",'.'!R350&amp;IF(VLOOKUP('.'!R350,Recipes!$A:$D,4,FALSE)="",""," ["&amp;VLOOKUP('.'!R350,Recipes!$A:$D,4,FALSE)&amp;"]"))</f>
        <v/>
      </c>
      <c r="S350" s="46" t="str">
        <f t="array" ref="S350">IF('.'!S350="","",'.'!S350&amp;IF(VLOOKUP('.'!S350,Recipes!$A:$D,4,FALSE)="",""," ["&amp;VLOOKUP('.'!S350,Recipes!$A:$D,4,FALSE)&amp;"]"))</f>
        <v/>
      </c>
      <c r="T350" s="46" t="str">
        <f t="array" ref="T350">IF('.'!T350="","",'.'!T350&amp;IF(VLOOKUP('.'!T350,Recipes!$A:$D,4,FALSE)="",""," ["&amp;VLOOKUP('.'!T350,Recipes!$A:$D,4,FALSE)&amp;"]"))</f>
        <v/>
      </c>
      <c r="U350" s="46" t="str">
        <f t="array" ref="U350">IF('.'!U350="","",'.'!U350&amp;IF(VLOOKUP('.'!U350,Recipes!$A:$D,4,FALSE)="",""," ["&amp;VLOOKUP('.'!U350,Recipes!$A:$D,4,FALSE)&amp;"]"))</f>
        <v/>
      </c>
      <c r="V350" s="46" t="str">
        <f t="array" ref="V350">IF('.'!V350="","",'.'!V350&amp;IF(VLOOKUP('.'!V350,Recipes!$A:$D,4,FALSE)="",""," ["&amp;VLOOKUP('.'!V350,Recipes!$A:$D,4,FALSE)&amp;"]"))</f>
        <v/>
      </c>
      <c r="W350" s="46" t="str">
        <f t="array" ref="W350">IF('.'!W350="","",'.'!W350&amp;IF(VLOOKUP('.'!W350,Recipes!$A:$D,4,FALSE)="",""," ["&amp;VLOOKUP('.'!W350,Recipes!$A:$D,4,FALSE)&amp;"]"))</f>
        <v/>
      </c>
      <c r="X350" s="46" t="str">
        <f t="array" ref="X350">IF('.'!X350="","",'.'!X350&amp;IF(VLOOKUP('.'!X350,Recipes!$A:$D,4,FALSE)="",""," ["&amp;VLOOKUP('.'!X350,Recipes!$A:$D,4,FALSE)&amp;"]"))</f>
        <v/>
      </c>
      <c r="Y350" s="46" t="str">
        <f t="array" ref="Y350">IF('.'!Y350="","",'.'!Y350&amp;IF(VLOOKUP('.'!Y350,Recipes!$A:$D,4,FALSE)="",""," ["&amp;VLOOKUP('.'!Y350,Recipes!$A:$D,4,FALSE)&amp;"]"))</f>
        <v/>
      </c>
      <c r="Z350" s="46" t="str">
        <f t="array" ref="Z350">IF('.'!Z350="","",'.'!Z350&amp;IF(VLOOKUP('.'!Z350,Recipes!$A:$D,4,FALSE)="",""," ["&amp;VLOOKUP('.'!Z350,Recipes!$A:$D,4,FALSE)&amp;"]"))</f>
        <v/>
      </c>
      <c r="AA350" s="46" t="str">
        <f t="array" ref="AA350">IF('.'!AA350="","",'.'!AA350&amp;IF(VLOOKUP('.'!AA350,Recipes!$A:$D,4,FALSE)="",""," ["&amp;VLOOKUP('.'!AA350,Recipes!$A:$D,4,FALSE)&amp;"]"))</f>
        <v/>
      </c>
      <c r="AB350" s="46" t="str">
        <f t="array" ref="AB350">IF('.'!AB350="","",'.'!AB350&amp;IF(VLOOKUP('.'!AB350,Recipes!$A:$D,4,FALSE)="",""," ["&amp;VLOOKUP('.'!AB350,Recipes!$A:$D,4,FALSE)&amp;"]"))</f>
        <v/>
      </c>
      <c r="AC350" s="46" t="str">
        <f t="array" ref="AC350">IF('.'!AC350="","",'.'!AC350&amp;IF(VLOOKUP('.'!AC350,Recipes!$A:$D,4,FALSE)="",""," ["&amp;VLOOKUP('.'!AC350,Recipes!$A:$D,4,FALSE)&amp;"]"))</f>
        <v/>
      </c>
      <c r="AD350" s="46" t="str">
        <f t="array" ref="AD350">IF('.'!AD350="","",'.'!AD350&amp;IF(VLOOKUP('.'!AD350,Recipes!$A:$D,4,FALSE)="",""," ["&amp;VLOOKUP('.'!AD350,Recipes!$A:$D,4,FALSE)&amp;"]"))</f>
        <v/>
      </c>
      <c r="AE350" s="47"/>
      <c r="AF350" s="47"/>
      <c r="AG350" s="47"/>
      <c r="AH350" s="47"/>
      <c r="AI350" s="47"/>
      <c r="AJ350" s="47"/>
      <c r="AK350" s="47"/>
      <c r="AL350" s="47"/>
      <c r="AM350" s="47"/>
      <c r="AN350" s="47"/>
      <c r="AO350" s="47"/>
      <c r="AP350" s="47"/>
      <c r="AQ350" s="47"/>
      <c r="AR350" s="47"/>
      <c r="AS350" s="47"/>
      <c r="AT350" s="47"/>
      <c r="AU350" s="47"/>
      <c r="AV350" s="47"/>
      <c r="AW350" s="47"/>
      <c r="AX350" s="47"/>
      <c r="AY350" s="47"/>
      <c r="AZ350" s="47"/>
      <c r="BA350" s="47"/>
      <c r="BB350" s="47"/>
      <c r="BC350" s="47"/>
      <c r="BD350" s="47"/>
      <c r="BE350" s="47"/>
      <c r="BF350" s="47"/>
      <c r="BG350" s="47"/>
      <c r="BH350" s="47"/>
      <c r="BI350" s="47"/>
      <c r="BJ350" s="47"/>
      <c r="BK350" s="47"/>
      <c r="BL350" s="47"/>
      <c r="BM350" s="47"/>
      <c r="BN350" s="47"/>
      <c r="BO350" s="47"/>
      <c r="BP350" s="47"/>
      <c r="BQ350" s="47"/>
      <c r="BR350" s="47"/>
      <c r="BS350" s="47"/>
      <c r="BT350" s="47"/>
      <c r="BU350" s="47"/>
      <c r="BV350" s="47"/>
      <c r="BW350" s="47"/>
      <c r="BX350" s="47"/>
      <c r="BY350" s="47"/>
      <c r="BZ350" s="47"/>
    </row>
    <row r="351" spans="1:78" ht="13">
      <c r="A351" s="48" t="str">
        <f ca="1">'.'!A351</f>
        <v>Pumpkin Peel</v>
      </c>
      <c r="B351" s="46" t="str">
        <f t="array" aca="1" ref="B351" ca="1">IF('.'!B351="","",'.'!B351&amp;IF(VLOOKUP('.'!B351,Recipes!$A:$D,4,FALSE)="",""," ["&amp;VLOOKUP('.'!B351,Recipes!$A:$D,4,FALSE)&amp;"]"))</f>
        <v>Pumpkin Soup [7]</v>
      </c>
      <c r="C351" s="46" t="str">
        <f t="array" ref="C351">IF('.'!C351="","",'.'!C351&amp;IF(VLOOKUP('.'!C351,Recipes!$A:$D,4,FALSE)="",""," ["&amp;VLOOKUP('.'!C351,Recipes!$A:$D,4,FALSE)&amp;"]"))</f>
        <v/>
      </c>
      <c r="D351" s="46" t="str">
        <f t="array" ref="D351">IF('.'!D351="","",'.'!D351&amp;IF(VLOOKUP('.'!D351,Recipes!$A:$D,4,FALSE)="",""," ["&amp;VLOOKUP('.'!D351,Recipes!$A:$D,4,FALSE)&amp;"]"))</f>
        <v/>
      </c>
      <c r="E351" s="46" t="str">
        <f t="array" ref="E351">IF('.'!E351="","",'.'!E351&amp;IF(VLOOKUP('.'!E351,Recipes!$A:$D,4,FALSE)="",""," ["&amp;VLOOKUP('.'!E351,Recipes!$A:$D,4,FALSE)&amp;"]"))</f>
        <v/>
      </c>
      <c r="F351" s="46" t="str">
        <f t="array" ref="F351">IF('.'!F351="","",'.'!F351&amp;IF(VLOOKUP('.'!F351,Recipes!$A:$D,4,FALSE)="",""," ["&amp;VLOOKUP('.'!F351,Recipes!$A:$D,4,FALSE)&amp;"]"))</f>
        <v/>
      </c>
      <c r="G351" s="46" t="str">
        <f t="array" ref="G351">IF('.'!G351="","",'.'!G351&amp;IF(VLOOKUP('.'!G351,Recipes!$A:$D,4,FALSE)="",""," ["&amp;VLOOKUP('.'!G351,Recipes!$A:$D,4,FALSE)&amp;"]"))</f>
        <v/>
      </c>
      <c r="H351" s="46" t="str">
        <f t="array" ref="H351">IF('.'!H351="","",'.'!H351&amp;IF(VLOOKUP('.'!H351,Recipes!$A:$D,4,FALSE)="",""," ["&amp;VLOOKUP('.'!H351,Recipes!$A:$D,4,FALSE)&amp;"]"))</f>
        <v/>
      </c>
      <c r="I351" s="46" t="str">
        <f t="array" ref="I351">IF('.'!I351="","",'.'!I351&amp;IF(VLOOKUP('.'!I351,Recipes!$A:$D,4,FALSE)="",""," ["&amp;VLOOKUP('.'!I351,Recipes!$A:$D,4,FALSE)&amp;"]"))</f>
        <v/>
      </c>
      <c r="J351" s="46" t="str">
        <f t="array" ref="J351">IF('.'!J351="","",'.'!J351&amp;IF(VLOOKUP('.'!J351,Recipes!$A:$D,4,FALSE)="",""," ["&amp;VLOOKUP('.'!J351,Recipes!$A:$D,4,FALSE)&amp;"]"))</f>
        <v/>
      </c>
      <c r="K351" s="46" t="str">
        <f t="array" ref="K351">IF('.'!K351="","",'.'!K351&amp;IF(VLOOKUP('.'!K351,Recipes!$A:$D,4,FALSE)="",""," ["&amp;VLOOKUP('.'!K351,Recipes!$A:$D,4,FALSE)&amp;"]"))</f>
        <v/>
      </c>
      <c r="L351" s="46" t="str">
        <f t="array" ref="L351">IF('.'!L351="","",'.'!L351&amp;IF(VLOOKUP('.'!L351,Recipes!$A:$D,4,FALSE)="",""," ["&amp;VLOOKUP('.'!L351,Recipes!$A:$D,4,FALSE)&amp;"]"))</f>
        <v/>
      </c>
      <c r="M351" s="46" t="str">
        <f t="array" ref="M351">IF('.'!M351="","",'.'!M351&amp;IF(VLOOKUP('.'!M351,Recipes!$A:$D,4,FALSE)="",""," ["&amp;VLOOKUP('.'!M351,Recipes!$A:$D,4,FALSE)&amp;"]"))</f>
        <v/>
      </c>
      <c r="N351" s="46" t="str">
        <f t="array" ref="N351">IF('.'!N351="","",'.'!N351&amp;IF(VLOOKUP('.'!N351,Recipes!$A:$D,4,FALSE)="",""," ["&amp;VLOOKUP('.'!N351,Recipes!$A:$D,4,FALSE)&amp;"]"))</f>
        <v/>
      </c>
      <c r="O351" s="46" t="str">
        <f t="array" ref="O351">IF('.'!O351="","",'.'!O351&amp;IF(VLOOKUP('.'!O351,Recipes!$A:$D,4,FALSE)="",""," ["&amp;VLOOKUP('.'!O351,Recipes!$A:$D,4,FALSE)&amp;"]"))</f>
        <v/>
      </c>
      <c r="P351" s="46" t="str">
        <f t="array" ref="P351">IF('.'!P351="","",'.'!P351&amp;IF(VLOOKUP('.'!P351,Recipes!$A:$D,4,FALSE)="",""," ["&amp;VLOOKUP('.'!P351,Recipes!$A:$D,4,FALSE)&amp;"]"))</f>
        <v/>
      </c>
      <c r="Q351" s="46" t="str">
        <f t="array" ref="Q351">IF('.'!Q351="","",'.'!Q351&amp;IF(VLOOKUP('.'!Q351,Recipes!$A:$D,4,FALSE)="",""," ["&amp;VLOOKUP('.'!Q351,Recipes!$A:$D,4,FALSE)&amp;"]"))</f>
        <v/>
      </c>
      <c r="R351" s="46" t="str">
        <f t="array" ref="R351">IF('.'!R351="","",'.'!R351&amp;IF(VLOOKUP('.'!R351,Recipes!$A:$D,4,FALSE)="",""," ["&amp;VLOOKUP('.'!R351,Recipes!$A:$D,4,FALSE)&amp;"]"))</f>
        <v/>
      </c>
      <c r="S351" s="46" t="str">
        <f t="array" ref="S351">IF('.'!S351="","",'.'!S351&amp;IF(VLOOKUP('.'!S351,Recipes!$A:$D,4,FALSE)="",""," ["&amp;VLOOKUP('.'!S351,Recipes!$A:$D,4,FALSE)&amp;"]"))</f>
        <v/>
      </c>
      <c r="T351" s="46" t="str">
        <f t="array" ref="T351">IF('.'!T351="","",'.'!T351&amp;IF(VLOOKUP('.'!T351,Recipes!$A:$D,4,FALSE)="",""," ["&amp;VLOOKUP('.'!T351,Recipes!$A:$D,4,FALSE)&amp;"]"))</f>
        <v/>
      </c>
      <c r="U351" s="46" t="str">
        <f t="array" ref="U351">IF('.'!U351="","",'.'!U351&amp;IF(VLOOKUP('.'!U351,Recipes!$A:$D,4,FALSE)="",""," ["&amp;VLOOKUP('.'!U351,Recipes!$A:$D,4,FALSE)&amp;"]"))</f>
        <v/>
      </c>
      <c r="V351" s="46" t="str">
        <f t="array" ref="V351">IF('.'!V351="","",'.'!V351&amp;IF(VLOOKUP('.'!V351,Recipes!$A:$D,4,FALSE)="",""," ["&amp;VLOOKUP('.'!V351,Recipes!$A:$D,4,FALSE)&amp;"]"))</f>
        <v/>
      </c>
      <c r="W351" s="46" t="str">
        <f t="array" ref="W351">IF('.'!W351="","",'.'!W351&amp;IF(VLOOKUP('.'!W351,Recipes!$A:$D,4,FALSE)="",""," ["&amp;VLOOKUP('.'!W351,Recipes!$A:$D,4,FALSE)&amp;"]"))</f>
        <v/>
      </c>
      <c r="X351" s="46" t="str">
        <f t="array" ref="X351">IF('.'!X351="","",'.'!X351&amp;IF(VLOOKUP('.'!X351,Recipes!$A:$D,4,FALSE)="",""," ["&amp;VLOOKUP('.'!X351,Recipes!$A:$D,4,FALSE)&amp;"]"))</f>
        <v/>
      </c>
      <c r="Y351" s="46" t="str">
        <f t="array" ref="Y351">IF('.'!Y351="","",'.'!Y351&amp;IF(VLOOKUP('.'!Y351,Recipes!$A:$D,4,FALSE)="",""," ["&amp;VLOOKUP('.'!Y351,Recipes!$A:$D,4,FALSE)&amp;"]"))</f>
        <v/>
      </c>
      <c r="Z351" s="46" t="str">
        <f t="array" ref="Z351">IF('.'!Z351="","",'.'!Z351&amp;IF(VLOOKUP('.'!Z351,Recipes!$A:$D,4,FALSE)="",""," ["&amp;VLOOKUP('.'!Z351,Recipes!$A:$D,4,FALSE)&amp;"]"))</f>
        <v/>
      </c>
      <c r="AA351" s="46" t="str">
        <f t="array" ref="AA351">IF('.'!AA351="","",'.'!AA351&amp;IF(VLOOKUP('.'!AA351,Recipes!$A:$D,4,FALSE)="",""," ["&amp;VLOOKUP('.'!AA351,Recipes!$A:$D,4,FALSE)&amp;"]"))</f>
        <v/>
      </c>
      <c r="AB351" s="46" t="str">
        <f t="array" ref="AB351">IF('.'!AB351="","",'.'!AB351&amp;IF(VLOOKUP('.'!AB351,Recipes!$A:$D,4,FALSE)="",""," ["&amp;VLOOKUP('.'!AB351,Recipes!$A:$D,4,FALSE)&amp;"]"))</f>
        <v/>
      </c>
      <c r="AC351" s="46" t="str">
        <f t="array" ref="AC351">IF('.'!AC351="","",'.'!AC351&amp;IF(VLOOKUP('.'!AC351,Recipes!$A:$D,4,FALSE)="",""," ["&amp;VLOOKUP('.'!AC351,Recipes!$A:$D,4,FALSE)&amp;"]"))</f>
        <v/>
      </c>
      <c r="AD351" s="46" t="str">
        <f t="array" ref="AD351">IF('.'!AD351="","",'.'!AD351&amp;IF(VLOOKUP('.'!AD351,Recipes!$A:$D,4,FALSE)="",""," ["&amp;VLOOKUP('.'!AD351,Recipes!$A:$D,4,FALSE)&amp;"]"))</f>
        <v/>
      </c>
      <c r="AE351" s="47"/>
      <c r="AF351" s="47"/>
      <c r="AG351" s="47"/>
      <c r="AH351" s="47"/>
      <c r="AI351" s="47"/>
      <c r="AJ351" s="47"/>
      <c r="AK351" s="47"/>
      <c r="AL351" s="47"/>
      <c r="AM351" s="47"/>
      <c r="AN351" s="47"/>
      <c r="AO351" s="47"/>
      <c r="AP351" s="47"/>
      <c r="AQ351" s="47"/>
      <c r="AR351" s="47"/>
      <c r="AS351" s="47"/>
      <c r="AT351" s="47"/>
      <c r="AU351" s="47"/>
      <c r="AV351" s="47"/>
      <c r="AW351" s="47"/>
      <c r="AX351" s="47"/>
      <c r="AY351" s="47"/>
      <c r="AZ351" s="47"/>
      <c r="BA351" s="47"/>
      <c r="BB351" s="47"/>
      <c r="BC351" s="47"/>
      <c r="BD351" s="47"/>
      <c r="BE351" s="47"/>
      <c r="BF351" s="47"/>
      <c r="BG351" s="47"/>
      <c r="BH351" s="47"/>
      <c r="BI351" s="47"/>
      <c r="BJ351" s="47"/>
      <c r="BK351" s="47"/>
      <c r="BL351" s="47"/>
      <c r="BM351" s="47"/>
      <c r="BN351" s="47"/>
      <c r="BO351" s="47"/>
      <c r="BP351" s="47"/>
      <c r="BQ351" s="47"/>
      <c r="BR351" s="47"/>
      <c r="BS351" s="47"/>
      <c r="BT351" s="47"/>
      <c r="BU351" s="47"/>
      <c r="BV351" s="47"/>
      <c r="BW351" s="47"/>
      <c r="BX351" s="47"/>
      <c r="BY351" s="47"/>
      <c r="BZ351" s="47"/>
    </row>
    <row r="352" spans="1:78" ht="13">
      <c r="A352" s="48" t="str">
        <f ca="1">'.'!A352</f>
        <v>Puppet Bead</v>
      </c>
      <c r="B352" s="46" t="str">
        <f t="array" aca="1" ref="B352" ca="1">IF('.'!B352="","",'.'!B352&amp;IF(VLOOKUP('.'!B352,Recipes!$A:$D,4,FALSE)="",""," ["&amp;VLOOKUP('.'!B352,Recipes!$A:$D,4,FALSE)&amp;"]"))</f>
        <v>Apotheosis Scroll</v>
      </c>
      <c r="C352" s="46" t="str">
        <f t="array" ref="C352">IF('.'!C352="","",'.'!C352&amp;IF(VLOOKUP('.'!C352,Recipes!$A:$D,4,FALSE)="",""," ["&amp;VLOOKUP('.'!C352,Recipes!$A:$D,4,FALSE)&amp;"]"))</f>
        <v/>
      </c>
      <c r="D352" s="46" t="str">
        <f t="array" ref="D352">IF('.'!D352="","",'.'!D352&amp;IF(VLOOKUP('.'!D352,Recipes!$A:$D,4,FALSE)="",""," ["&amp;VLOOKUP('.'!D352,Recipes!$A:$D,4,FALSE)&amp;"]"))</f>
        <v/>
      </c>
      <c r="E352" s="46" t="str">
        <f t="array" ref="E352">IF('.'!E352="","",'.'!E352&amp;IF(VLOOKUP('.'!E352,Recipes!$A:$D,4,FALSE)="",""," ["&amp;VLOOKUP('.'!E352,Recipes!$A:$D,4,FALSE)&amp;"]"))</f>
        <v/>
      </c>
      <c r="F352" s="46" t="str">
        <f t="array" ref="F352">IF('.'!F352="","",'.'!F352&amp;IF(VLOOKUP('.'!F352,Recipes!$A:$D,4,FALSE)="",""," ["&amp;VLOOKUP('.'!F352,Recipes!$A:$D,4,FALSE)&amp;"]"))</f>
        <v/>
      </c>
      <c r="G352" s="46" t="str">
        <f t="array" ref="G352">IF('.'!G352="","",'.'!G352&amp;IF(VLOOKUP('.'!G352,Recipes!$A:$D,4,FALSE)="",""," ["&amp;VLOOKUP('.'!G352,Recipes!$A:$D,4,FALSE)&amp;"]"))</f>
        <v/>
      </c>
      <c r="H352" s="46" t="str">
        <f t="array" ref="H352">IF('.'!H352="","",'.'!H352&amp;IF(VLOOKUP('.'!H352,Recipes!$A:$D,4,FALSE)="",""," ["&amp;VLOOKUP('.'!H352,Recipes!$A:$D,4,FALSE)&amp;"]"))</f>
        <v/>
      </c>
      <c r="I352" s="46" t="str">
        <f t="array" ref="I352">IF('.'!I352="","",'.'!I352&amp;IF(VLOOKUP('.'!I352,Recipes!$A:$D,4,FALSE)="",""," ["&amp;VLOOKUP('.'!I352,Recipes!$A:$D,4,FALSE)&amp;"]"))</f>
        <v/>
      </c>
      <c r="J352" s="46" t="str">
        <f t="array" ref="J352">IF('.'!J352="","",'.'!J352&amp;IF(VLOOKUP('.'!J352,Recipes!$A:$D,4,FALSE)="",""," ["&amp;VLOOKUP('.'!J352,Recipes!$A:$D,4,FALSE)&amp;"]"))</f>
        <v/>
      </c>
      <c r="K352" s="46" t="str">
        <f t="array" ref="K352">IF('.'!K352="","",'.'!K352&amp;IF(VLOOKUP('.'!K352,Recipes!$A:$D,4,FALSE)="",""," ["&amp;VLOOKUP('.'!K352,Recipes!$A:$D,4,FALSE)&amp;"]"))</f>
        <v/>
      </c>
      <c r="L352" s="46" t="str">
        <f t="array" ref="L352">IF('.'!L352="","",'.'!L352&amp;IF(VLOOKUP('.'!L352,Recipes!$A:$D,4,FALSE)="",""," ["&amp;VLOOKUP('.'!L352,Recipes!$A:$D,4,FALSE)&amp;"]"))</f>
        <v/>
      </c>
      <c r="M352" s="46" t="str">
        <f t="array" ref="M352">IF('.'!M352="","",'.'!M352&amp;IF(VLOOKUP('.'!M352,Recipes!$A:$D,4,FALSE)="",""," ["&amp;VLOOKUP('.'!M352,Recipes!$A:$D,4,FALSE)&amp;"]"))</f>
        <v/>
      </c>
      <c r="N352" s="46" t="str">
        <f t="array" ref="N352">IF('.'!N352="","",'.'!N352&amp;IF(VLOOKUP('.'!N352,Recipes!$A:$D,4,FALSE)="",""," ["&amp;VLOOKUP('.'!N352,Recipes!$A:$D,4,FALSE)&amp;"]"))</f>
        <v/>
      </c>
      <c r="O352" s="46" t="str">
        <f t="array" ref="O352">IF('.'!O352="","",'.'!O352&amp;IF(VLOOKUP('.'!O352,Recipes!$A:$D,4,FALSE)="",""," ["&amp;VLOOKUP('.'!O352,Recipes!$A:$D,4,FALSE)&amp;"]"))</f>
        <v/>
      </c>
      <c r="P352" s="46" t="str">
        <f t="array" ref="P352">IF('.'!P352="","",'.'!P352&amp;IF(VLOOKUP('.'!P352,Recipes!$A:$D,4,FALSE)="",""," ["&amp;VLOOKUP('.'!P352,Recipes!$A:$D,4,FALSE)&amp;"]"))</f>
        <v/>
      </c>
      <c r="Q352" s="46" t="str">
        <f t="array" ref="Q352">IF('.'!Q352="","",'.'!Q352&amp;IF(VLOOKUP('.'!Q352,Recipes!$A:$D,4,FALSE)="",""," ["&amp;VLOOKUP('.'!Q352,Recipes!$A:$D,4,FALSE)&amp;"]"))</f>
        <v/>
      </c>
      <c r="R352" s="46" t="str">
        <f t="array" ref="R352">IF('.'!R352="","",'.'!R352&amp;IF(VLOOKUP('.'!R352,Recipes!$A:$D,4,FALSE)="",""," ["&amp;VLOOKUP('.'!R352,Recipes!$A:$D,4,FALSE)&amp;"]"))</f>
        <v/>
      </c>
      <c r="S352" s="46" t="str">
        <f t="array" ref="S352">IF('.'!S352="","",'.'!S352&amp;IF(VLOOKUP('.'!S352,Recipes!$A:$D,4,FALSE)="",""," ["&amp;VLOOKUP('.'!S352,Recipes!$A:$D,4,FALSE)&amp;"]"))</f>
        <v/>
      </c>
      <c r="T352" s="46" t="str">
        <f t="array" ref="T352">IF('.'!T352="","",'.'!T352&amp;IF(VLOOKUP('.'!T352,Recipes!$A:$D,4,FALSE)="",""," ["&amp;VLOOKUP('.'!T352,Recipes!$A:$D,4,FALSE)&amp;"]"))</f>
        <v/>
      </c>
      <c r="U352" s="46" t="str">
        <f t="array" ref="U352">IF('.'!U352="","",'.'!U352&amp;IF(VLOOKUP('.'!U352,Recipes!$A:$D,4,FALSE)="",""," ["&amp;VLOOKUP('.'!U352,Recipes!$A:$D,4,FALSE)&amp;"]"))</f>
        <v/>
      </c>
      <c r="V352" s="46" t="str">
        <f t="array" ref="V352">IF('.'!V352="","",'.'!V352&amp;IF(VLOOKUP('.'!V352,Recipes!$A:$D,4,FALSE)="",""," ["&amp;VLOOKUP('.'!V352,Recipes!$A:$D,4,FALSE)&amp;"]"))</f>
        <v/>
      </c>
      <c r="W352" s="46" t="str">
        <f t="array" ref="W352">IF('.'!W352="","",'.'!W352&amp;IF(VLOOKUP('.'!W352,Recipes!$A:$D,4,FALSE)="",""," ["&amp;VLOOKUP('.'!W352,Recipes!$A:$D,4,FALSE)&amp;"]"))</f>
        <v/>
      </c>
      <c r="X352" s="46" t="str">
        <f t="array" ref="X352">IF('.'!X352="","",'.'!X352&amp;IF(VLOOKUP('.'!X352,Recipes!$A:$D,4,FALSE)="",""," ["&amp;VLOOKUP('.'!X352,Recipes!$A:$D,4,FALSE)&amp;"]"))</f>
        <v/>
      </c>
      <c r="Y352" s="46" t="str">
        <f t="array" ref="Y352">IF('.'!Y352="","",'.'!Y352&amp;IF(VLOOKUP('.'!Y352,Recipes!$A:$D,4,FALSE)="",""," ["&amp;VLOOKUP('.'!Y352,Recipes!$A:$D,4,FALSE)&amp;"]"))</f>
        <v/>
      </c>
      <c r="Z352" s="46" t="str">
        <f t="array" ref="Z352">IF('.'!Z352="","",'.'!Z352&amp;IF(VLOOKUP('.'!Z352,Recipes!$A:$D,4,FALSE)="",""," ["&amp;VLOOKUP('.'!Z352,Recipes!$A:$D,4,FALSE)&amp;"]"))</f>
        <v/>
      </c>
      <c r="AA352" s="46" t="str">
        <f t="array" ref="AA352">IF('.'!AA352="","",'.'!AA352&amp;IF(VLOOKUP('.'!AA352,Recipes!$A:$D,4,FALSE)="",""," ["&amp;VLOOKUP('.'!AA352,Recipes!$A:$D,4,FALSE)&amp;"]"))</f>
        <v/>
      </c>
      <c r="AB352" s="46" t="str">
        <f t="array" ref="AB352">IF('.'!AB352="","",'.'!AB352&amp;IF(VLOOKUP('.'!AB352,Recipes!$A:$D,4,FALSE)="",""," ["&amp;VLOOKUP('.'!AB352,Recipes!$A:$D,4,FALSE)&amp;"]"))</f>
        <v/>
      </c>
      <c r="AC352" s="46" t="str">
        <f t="array" ref="AC352">IF('.'!AC352="","",'.'!AC352&amp;IF(VLOOKUP('.'!AC352,Recipes!$A:$D,4,FALSE)="",""," ["&amp;VLOOKUP('.'!AC352,Recipes!$A:$D,4,FALSE)&amp;"]"))</f>
        <v/>
      </c>
      <c r="AD352" s="46" t="str">
        <f t="array" ref="AD352">IF('.'!AD352="","",'.'!AD352&amp;IF(VLOOKUP('.'!AD352,Recipes!$A:$D,4,FALSE)="",""," ["&amp;VLOOKUP('.'!AD352,Recipes!$A:$D,4,FALSE)&amp;"]"))</f>
        <v/>
      </c>
      <c r="AE352" s="47"/>
      <c r="AF352" s="47"/>
      <c r="AG352" s="47"/>
      <c r="AH352" s="47"/>
      <c r="AI352" s="47"/>
      <c r="AJ352" s="47"/>
      <c r="AK352" s="47"/>
      <c r="AL352" s="47"/>
      <c r="AM352" s="47"/>
      <c r="AN352" s="47"/>
      <c r="AO352" s="47"/>
      <c r="AP352" s="47"/>
      <c r="AQ352" s="47"/>
      <c r="AR352" s="47"/>
      <c r="AS352" s="47"/>
      <c r="AT352" s="47"/>
      <c r="AU352" s="47"/>
      <c r="AV352" s="47"/>
      <c r="AW352" s="47"/>
      <c r="AX352" s="47"/>
      <c r="AY352" s="47"/>
      <c r="AZ352" s="47"/>
      <c r="BA352" s="47"/>
      <c r="BB352" s="47"/>
      <c r="BC352" s="47"/>
      <c r="BD352" s="47"/>
      <c r="BE352" s="47"/>
      <c r="BF352" s="47"/>
      <c r="BG352" s="47"/>
      <c r="BH352" s="47"/>
      <c r="BI352" s="47"/>
      <c r="BJ352" s="47"/>
      <c r="BK352" s="47"/>
      <c r="BL352" s="47"/>
      <c r="BM352" s="47"/>
      <c r="BN352" s="47"/>
      <c r="BO352" s="47"/>
      <c r="BP352" s="47"/>
      <c r="BQ352" s="47"/>
      <c r="BR352" s="47"/>
      <c r="BS352" s="47"/>
      <c r="BT352" s="47"/>
      <c r="BU352" s="47"/>
      <c r="BV352" s="47"/>
      <c r="BW352" s="47"/>
      <c r="BX352" s="47"/>
      <c r="BY352" s="47"/>
      <c r="BZ352" s="47"/>
    </row>
    <row r="353" spans="1:78" ht="13">
      <c r="A353" s="48" t="str">
        <f ca="1">'.'!A353</f>
        <v>Pyroclastic Eruption Scroll</v>
      </c>
      <c r="B353" s="46" t="str">
        <f t="array" aca="1" ref="B353" ca="1">IF('.'!B353="","",'.'!B353&amp;IF(VLOOKUP('.'!B353,Recipes!$A:$D,4,FALSE)="",""," ["&amp;VLOOKUP('.'!B353,Recipes!$A:$D,4,FALSE)&amp;"]"))</f>
        <v>Pyroclastic Eruption Skillbook [2600]</v>
      </c>
      <c r="C353" s="46" t="str">
        <f t="array" ref="C353">IF('.'!C353="","",'.'!C353&amp;IF(VLOOKUP('.'!C353,Recipes!$A:$D,4,FALSE)="",""," ["&amp;VLOOKUP('.'!C353,Recipes!$A:$D,4,FALSE)&amp;"]"))</f>
        <v/>
      </c>
      <c r="D353" s="46" t="str">
        <f t="array" ref="D353">IF('.'!D353="","",'.'!D353&amp;IF(VLOOKUP('.'!D353,Recipes!$A:$D,4,FALSE)="",""," ["&amp;VLOOKUP('.'!D353,Recipes!$A:$D,4,FALSE)&amp;"]"))</f>
        <v/>
      </c>
      <c r="E353" s="46" t="str">
        <f t="array" ref="E353">IF('.'!E353="","",'.'!E353&amp;IF(VLOOKUP('.'!E353,Recipes!$A:$D,4,FALSE)="",""," ["&amp;VLOOKUP('.'!E353,Recipes!$A:$D,4,FALSE)&amp;"]"))</f>
        <v/>
      </c>
      <c r="F353" s="46" t="str">
        <f t="array" ref="F353">IF('.'!F353="","",'.'!F353&amp;IF(VLOOKUP('.'!F353,Recipes!$A:$D,4,FALSE)="",""," ["&amp;VLOOKUP('.'!F353,Recipes!$A:$D,4,FALSE)&amp;"]"))</f>
        <v/>
      </c>
      <c r="G353" s="46" t="str">
        <f t="array" ref="G353">IF('.'!G353="","",'.'!G353&amp;IF(VLOOKUP('.'!G353,Recipes!$A:$D,4,FALSE)="",""," ["&amp;VLOOKUP('.'!G353,Recipes!$A:$D,4,FALSE)&amp;"]"))</f>
        <v/>
      </c>
      <c r="H353" s="46" t="str">
        <f t="array" ref="H353">IF('.'!H353="","",'.'!H353&amp;IF(VLOOKUP('.'!H353,Recipes!$A:$D,4,FALSE)="",""," ["&amp;VLOOKUP('.'!H353,Recipes!$A:$D,4,FALSE)&amp;"]"))</f>
        <v/>
      </c>
      <c r="I353" s="46" t="str">
        <f t="array" ref="I353">IF('.'!I353="","",'.'!I353&amp;IF(VLOOKUP('.'!I353,Recipes!$A:$D,4,FALSE)="",""," ["&amp;VLOOKUP('.'!I353,Recipes!$A:$D,4,FALSE)&amp;"]"))</f>
        <v/>
      </c>
      <c r="J353" s="46" t="str">
        <f t="array" ref="J353">IF('.'!J353="","",'.'!J353&amp;IF(VLOOKUP('.'!J353,Recipes!$A:$D,4,FALSE)="",""," ["&amp;VLOOKUP('.'!J353,Recipes!$A:$D,4,FALSE)&amp;"]"))</f>
        <v/>
      </c>
      <c r="K353" s="46" t="str">
        <f t="array" ref="K353">IF('.'!K353="","",'.'!K353&amp;IF(VLOOKUP('.'!K353,Recipes!$A:$D,4,FALSE)="",""," ["&amp;VLOOKUP('.'!K353,Recipes!$A:$D,4,FALSE)&amp;"]"))</f>
        <v/>
      </c>
      <c r="L353" s="46" t="str">
        <f t="array" ref="L353">IF('.'!L353="","",'.'!L353&amp;IF(VLOOKUP('.'!L353,Recipes!$A:$D,4,FALSE)="",""," ["&amp;VLOOKUP('.'!L353,Recipes!$A:$D,4,FALSE)&amp;"]"))</f>
        <v/>
      </c>
      <c r="M353" s="46" t="str">
        <f t="array" ref="M353">IF('.'!M353="","",'.'!M353&amp;IF(VLOOKUP('.'!M353,Recipes!$A:$D,4,FALSE)="",""," ["&amp;VLOOKUP('.'!M353,Recipes!$A:$D,4,FALSE)&amp;"]"))</f>
        <v/>
      </c>
      <c r="N353" s="46" t="str">
        <f t="array" ref="N353">IF('.'!N353="","",'.'!N353&amp;IF(VLOOKUP('.'!N353,Recipes!$A:$D,4,FALSE)="",""," ["&amp;VLOOKUP('.'!N353,Recipes!$A:$D,4,FALSE)&amp;"]"))</f>
        <v/>
      </c>
      <c r="O353" s="46" t="str">
        <f t="array" ref="O353">IF('.'!O353="","",'.'!O353&amp;IF(VLOOKUP('.'!O353,Recipes!$A:$D,4,FALSE)="",""," ["&amp;VLOOKUP('.'!O353,Recipes!$A:$D,4,FALSE)&amp;"]"))</f>
        <v/>
      </c>
      <c r="P353" s="46" t="str">
        <f t="array" ref="P353">IF('.'!P353="","",'.'!P353&amp;IF(VLOOKUP('.'!P353,Recipes!$A:$D,4,FALSE)="",""," ["&amp;VLOOKUP('.'!P353,Recipes!$A:$D,4,FALSE)&amp;"]"))</f>
        <v/>
      </c>
      <c r="Q353" s="46" t="str">
        <f t="array" ref="Q353">IF('.'!Q353="","",'.'!Q353&amp;IF(VLOOKUP('.'!Q353,Recipes!$A:$D,4,FALSE)="",""," ["&amp;VLOOKUP('.'!Q353,Recipes!$A:$D,4,FALSE)&amp;"]"))</f>
        <v/>
      </c>
      <c r="R353" s="46" t="str">
        <f t="array" ref="R353">IF('.'!R353="","",'.'!R353&amp;IF(VLOOKUP('.'!R353,Recipes!$A:$D,4,FALSE)="",""," ["&amp;VLOOKUP('.'!R353,Recipes!$A:$D,4,FALSE)&amp;"]"))</f>
        <v/>
      </c>
      <c r="S353" s="46" t="str">
        <f t="array" ref="S353">IF('.'!S353="","",'.'!S353&amp;IF(VLOOKUP('.'!S353,Recipes!$A:$D,4,FALSE)="",""," ["&amp;VLOOKUP('.'!S353,Recipes!$A:$D,4,FALSE)&amp;"]"))</f>
        <v/>
      </c>
      <c r="T353" s="46" t="str">
        <f t="array" ref="T353">IF('.'!T353="","",'.'!T353&amp;IF(VLOOKUP('.'!T353,Recipes!$A:$D,4,FALSE)="",""," ["&amp;VLOOKUP('.'!T353,Recipes!$A:$D,4,FALSE)&amp;"]"))</f>
        <v/>
      </c>
      <c r="U353" s="46" t="str">
        <f t="array" ref="U353">IF('.'!U353="","",'.'!U353&amp;IF(VLOOKUP('.'!U353,Recipes!$A:$D,4,FALSE)="",""," ["&amp;VLOOKUP('.'!U353,Recipes!$A:$D,4,FALSE)&amp;"]"))</f>
        <v/>
      </c>
      <c r="V353" s="46" t="str">
        <f t="array" ref="V353">IF('.'!V353="","",'.'!V353&amp;IF(VLOOKUP('.'!V353,Recipes!$A:$D,4,FALSE)="",""," ["&amp;VLOOKUP('.'!V353,Recipes!$A:$D,4,FALSE)&amp;"]"))</f>
        <v/>
      </c>
      <c r="W353" s="46" t="str">
        <f t="array" ref="W353">IF('.'!W353="","",'.'!W353&amp;IF(VLOOKUP('.'!W353,Recipes!$A:$D,4,FALSE)="",""," ["&amp;VLOOKUP('.'!W353,Recipes!$A:$D,4,FALSE)&amp;"]"))</f>
        <v/>
      </c>
      <c r="X353" s="46" t="str">
        <f t="array" ref="X353">IF('.'!X353="","",'.'!X353&amp;IF(VLOOKUP('.'!X353,Recipes!$A:$D,4,FALSE)="",""," ["&amp;VLOOKUP('.'!X353,Recipes!$A:$D,4,FALSE)&amp;"]"))</f>
        <v/>
      </c>
      <c r="Y353" s="46" t="str">
        <f t="array" ref="Y353">IF('.'!Y353="","",'.'!Y353&amp;IF(VLOOKUP('.'!Y353,Recipes!$A:$D,4,FALSE)="",""," ["&amp;VLOOKUP('.'!Y353,Recipes!$A:$D,4,FALSE)&amp;"]"))</f>
        <v/>
      </c>
      <c r="Z353" s="46" t="str">
        <f t="array" ref="Z353">IF('.'!Z353="","",'.'!Z353&amp;IF(VLOOKUP('.'!Z353,Recipes!$A:$D,4,FALSE)="",""," ["&amp;VLOOKUP('.'!Z353,Recipes!$A:$D,4,FALSE)&amp;"]"))</f>
        <v/>
      </c>
      <c r="AA353" s="46" t="str">
        <f t="array" ref="AA353">IF('.'!AA353="","",'.'!AA353&amp;IF(VLOOKUP('.'!AA353,Recipes!$A:$D,4,FALSE)="",""," ["&amp;VLOOKUP('.'!AA353,Recipes!$A:$D,4,FALSE)&amp;"]"))</f>
        <v/>
      </c>
      <c r="AB353" s="46" t="str">
        <f t="array" ref="AB353">IF('.'!AB353="","",'.'!AB353&amp;IF(VLOOKUP('.'!AB353,Recipes!$A:$D,4,FALSE)="",""," ["&amp;VLOOKUP('.'!AB353,Recipes!$A:$D,4,FALSE)&amp;"]"))</f>
        <v/>
      </c>
      <c r="AC353" s="46" t="str">
        <f t="array" ref="AC353">IF('.'!AC353="","",'.'!AC353&amp;IF(VLOOKUP('.'!AC353,Recipes!$A:$D,4,FALSE)="",""," ["&amp;VLOOKUP('.'!AC353,Recipes!$A:$D,4,FALSE)&amp;"]"))</f>
        <v/>
      </c>
      <c r="AD353" s="46" t="str">
        <f t="array" ref="AD353">IF('.'!AD353="","",'.'!AD353&amp;IF(VLOOKUP('.'!AD353,Recipes!$A:$D,4,FALSE)="",""," ["&amp;VLOOKUP('.'!AD353,Recipes!$A:$D,4,FALSE)&amp;"]"))</f>
        <v/>
      </c>
      <c r="AE353" s="47"/>
      <c r="AF353" s="47"/>
      <c r="AG353" s="47"/>
      <c r="AH353" s="47"/>
      <c r="AI353" s="47"/>
      <c r="AJ353" s="47"/>
      <c r="AK353" s="47"/>
      <c r="AL353" s="47"/>
      <c r="AM353" s="47"/>
      <c r="AN353" s="47"/>
      <c r="AO353" s="47"/>
      <c r="AP353" s="47"/>
      <c r="AQ353" s="47"/>
      <c r="AR353" s="47"/>
      <c r="AS353" s="47"/>
      <c r="AT353" s="47"/>
      <c r="AU353" s="47"/>
      <c r="AV353" s="47"/>
      <c r="AW353" s="47"/>
      <c r="AX353" s="47"/>
      <c r="AY353" s="47"/>
      <c r="AZ353" s="47"/>
      <c r="BA353" s="47"/>
      <c r="BB353" s="47"/>
      <c r="BC353" s="47"/>
      <c r="BD353" s="47"/>
      <c r="BE353" s="47"/>
      <c r="BF353" s="47"/>
      <c r="BG353" s="47"/>
      <c r="BH353" s="47"/>
      <c r="BI353" s="47"/>
      <c r="BJ353" s="47"/>
      <c r="BK353" s="47"/>
      <c r="BL353" s="47"/>
      <c r="BM353" s="47"/>
      <c r="BN353" s="47"/>
      <c r="BO353" s="47"/>
      <c r="BP353" s="47"/>
      <c r="BQ353" s="47"/>
      <c r="BR353" s="47"/>
      <c r="BS353" s="47"/>
      <c r="BT353" s="47"/>
      <c r="BU353" s="47"/>
      <c r="BV353" s="47"/>
      <c r="BW353" s="47"/>
      <c r="BX353" s="47"/>
      <c r="BY353" s="47"/>
      <c r="BZ353" s="47"/>
    </row>
    <row r="354" spans="1:78" ht="13">
      <c r="A354" s="48" t="str">
        <f ca="1">'.'!A354</f>
        <v>Rabbit's Paw</v>
      </c>
      <c r="B354" s="46" t="str">
        <f t="array" aca="1" ref="B354" ca="1">IF('.'!B354="","",'.'!B354&amp;IF(VLOOKUP('.'!B354,Recipes!$A:$D,4,FALSE)="",""," ["&amp;VLOOKUP('.'!B354,Recipes!$A:$D,4,FALSE)&amp;"]"))</f>
        <v>Electric Discharge Scroll [-10]</v>
      </c>
      <c r="C354" s="46" t="str">
        <f t="array" ref="C354">IF('.'!C354="","",'.'!C354&amp;IF(VLOOKUP('.'!C354,Recipes!$A:$D,4,FALSE)="",""," ["&amp;VLOOKUP('.'!C354,Recipes!$A:$D,4,FALSE)&amp;"]"))</f>
        <v/>
      </c>
      <c r="D354" s="46" t="str">
        <f t="array" ref="D354">IF('.'!D354="","",'.'!D354&amp;IF(VLOOKUP('.'!D354,Recipes!$A:$D,4,FALSE)="",""," ["&amp;VLOOKUP('.'!D354,Recipes!$A:$D,4,FALSE)&amp;"]"))</f>
        <v/>
      </c>
      <c r="E354" s="46" t="str">
        <f t="array" ref="E354">IF('.'!E354="","",'.'!E354&amp;IF(VLOOKUP('.'!E354,Recipes!$A:$D,4,FALSE)="",""," ["&amp;VLOOKUP('.'!E354,Recipes!$A:$D,4,FALSE)&amp;"]"))</f>
        <v/>
      </c>
      <c r="F354" s="46" t="str">
        <f t="array" ref="F354">IF('.'!F354="","",'.'!F354&amp;IF(VLOOKUP('.'!F354,Recipes!$A:$D,4,FALSE)="",""," ["&amp;VLOOKUP('.'!F354,Recipes!$A:$D,4,FALSE)&amp;"]"))</f>
        <v/>
      </c>
      <c r="G354" s="46" t="str">
        <f t="array" ref="G354">IF('.'!G354="","",'.'!G354&amp;IF(VLOOKUP('.'!G354,Recipes!$A:$D,4,FALSE)="",""," ["&amp;VLOOKUP('.'!G354,Recipes!$A:$D,4,FALSE)&amp;"]"))</f>
        <v/>
      </c>
      <c r="H354" s="46" t="str">
        <f t="array" ref="H354">IF('.'!H354="","",'.'!H354&amp;IF(VLOOKUP('.'!H354,Recipes!$A:$D,4,FALSE)="",""," ["&amp;VLOOKUP('.'!H354,Recipes!$A:$D,4,FALSE)&amp;"]"))</f>
        <v/>
      </c>
      <c r="I354" s="46" t="str">
        <f t="array" ref="I354">IF('.'!I354="","",'.'!I354&amp;IF(VLOOKUP('.'!I354,Recipes!$A:$D,4,FALSE)="",""," ["&amp;VLOOKUP('.'!I354,Recipes!$A:$D,4,FALSE)&amp;"]"))</f>
        <v/>
      </c>
      <c r="J354" s="46" t="str">
        <f t="array" ref="J354">IF('.'!J354="","",'.'!J354&amp;IF(VLOOKUP('.'!J354,Recipes!$A:$D,4,FALSE)="",""," ["&amp;VLOOKUP('.'!J354,Recipes!$A:$D,4,FALSE)&amp;"]"))</f>
        <v/>
      </c>
      <c r="K354" s="46" t="str">
        <f t="array" ref="K354">IF('.'!K354="","",'.'!K354&amp;IF(VLOOKUP('.'!K354,Recipes!$A:$D,4,FALSE)="",""," ["&amp;VLOOKUP('.'!K354,Recipes!$A:$D,4,FALSE)&amp;"]"))</f>
        <v/>
      </c>
      <c r="L354" s="46" t="str">
        <f t="array" ref="L354">IF('.'!L354="","",'.'!L354&amp;IF(VLOOKUP('.'!L354,Recipes!$A:$D,4,FALSE)="",""," ["&amp;VLOOKUP('.'!L354,Recipes!$A:$D,4,FALSE)&amp;"]"))</f>
        <v/>
      </c>
      <c r="M354" s="46" t="str">
        <f t="array" ref="M354">IF('.'!M354="","",'.'!M354&amp;IF(VLOOKUP('.'!M354,Recipes!$A:$D,4,FALSE)="",""," ["&amp;VLOOKUP('.'!M354,Recipes!$A:$D,4,FALSE)&amp;"]"))</f>
        <v/>
      </c>
      <c r="N354" s="46" t="str">
        <f t="array" ref="N354">IF('.'!N354="","",'.'!N354&amp;IF(VLOOKUP('.'!N354,Recipes!$A:$D,4,FALSE)="",""," ["&amp;VLOOKUP('.'!N354,Recipes!$A:$D,4,FALSE)&amp;"]"))</f>
        <v/>
      </c>
      <c r="O354" s="46" t="str">
        <f t="array" ref="O354">IF('.'!O354="","",'.'!O354&amp;IF(VLOOKUP('.'!O354,Recipes!$A:$D,4,FALSE)="",""," ["&amp;VLOOKUP('.'!O354,Recipes!$A:$D,4,FALSE)&amp;"]"))</f>
        <v/>
      </c>
      <c r="P354" s="46" t="str">
        <f t="array" ref="P354">IF('.'!P354="","",'.'!P354&amp;IF(VLOOKUP('.'!P354,Recipes!$A:$D,4,FALSE)="",""," ["&amp;VLOOKUP('.'!P354,Recipes!$A:$D,4,FALSE)&amp;"]"))</f>
        <v/>
      </c>
      <c r="Q354" s="46" t="str">
        <f t="array" ref="Q354">IF('.'!Q354="","",'.'!Q354&amp;IF(VLOOKUP('.'!Q354,Recipes!$A:$D,4,FALSE)="",""," ["&amp;VLOOKUP('.'!Q354,Recipes!$A:$D,4,FALSE)&amp;"]"))</f>
        <v/>
      </c>
      <c r="R354" s="46" t="str">
        <f t="array" ref="R354">IF('.'!R354="","",'.'!R354&amp;IF(VLOOKUP('.'!R354,Recipes!$A:$D,4,FALSE)="",""," ["&amp;VLOOKUP('.'!R354,Recipes!$A:$D,4,FALSE)&amp;"]"))</f>
        <v/>
      </c>
      <c r="S354" s="46" t="str">
        <f t="array" ref="S354">IF('.'!S354="","",'.'!S354&amp;IF(VLOOKUP('.'!S354,Recipes!$A:$D,4,FALSE)="",""," ["&amp;VLOOKUP('.'!S354,Recipes!$A:$D,4,FALSE)&amp;"]"))</f>
        <v/>
      </c>
      <c r="T354" s="46" t="str">
        <f t="array" ref="T354">IF('.'!T354="","",'.'!T354&amp;IF(VLOOKUP('.'!T354,Recipes!$A:$D,4,FALSE)="",""," ["&amp;VLOOKUP('.'!T354,Recipes!$A:$D,4,FALSE)&amp;"]"))</f>
        <v/>
      </c>
      <c r="U354" s="46" t="str">
        <f t="array" ref="U354">IF('.'!U354="","",'.'!U354&amp;IF(VLOOKUP('.'!U354,Recipes!$A:$D,4,FALSE)="",""," ["&amp;VLOOKUP('.'!U354,Recipes!$A:$D,4,FALSE)&amp;"]"))</f>
        <v/>
      </c>
      <c r="V354" s="46" t="str">
        <f t="array" ref="V354">IF('.'!V354="","",'.'!V354&amp;IF(VLOOKUP('.'!V354,Recipes!$A:$D,4,FALSE)="",""," ["&amp;VLOOKUP('.'!V354,Recipes!$A:$D,4,FALSE)&amp;"]"))</f>
        <v/>
      </c>
      <c r="W354" s="46" t="str">
        <f t="array" ref="W354">IF('.'!W354="","",'.'!W354&amp;IF(VLOOKUP('.'!W354,Recipes!$A:$D,4,FALSE)="",""," ["&amp;VLOOKUP('.'!W354,Recipes!$A:$D,4,FALSE)&amp;"]"))</f>
        <v/>
      </c>
      <c r="X354" s="46" t="str">
        <f t="array" ref="X354">IF('.'!X354="","",'.'!X354&amp;IF(VLOOKUP('.'!X354,Recipes!$A:$D,4,FALSE)="",""," ["&amp;VLOOKUP('.'!X354,Recipes!$A:$D,4,FALSE)&amp;"]"))</f>
        <v/>
      </c>
      <c r="Y354" s="46" t="str">
        <f t="array" ref="Y354">IF('.'!Y354="","",'.'!Y354&amp;IF(VLOOKUP('.'!Y354,Recipes!$A:$D,4,FALSE)="",""," ["&amp;VLOOKUP('.'!Y354,Recipes!$A:$D,4,FALSE)&amp;"]"))</f>
        <v/>
      </c>
      <c r="Z354" s="46" t="str">
        <f t="array" ref="Z354">IF('.'!Z354="","",'.'!Z354&amp;IF(VLOOKUP('.'!Z354,Recipes!$A:$D,4,FALSE)="",""," ["&amp;VLOOKUP('.'!Z354,Recipes!$A:$D,4,FALSE)&amp;"]"))</f>
        <v/>
      </c>
      <c r="AA354" s="46" t="str">
        <f t="array" ref="AA354">IF('.'!AA354="","",'.'!AA354&amp;IF(VLOOKUP('.'!AA354,Recipes!$A:$D,4,FALSE)="",""," ["&amp;VLOOKUP('.'!AA354,Recipes!$A:$D,4,FALSE)&amp;"]"))</f>
        <v/>
      </c>
      <c r="AB354" s="46" t="str">
        <f t="array" ref="AB354">IF('.'!AB354="","",'.'!AB354&amp;IF(VLOOKUP('.'!AB354,Recipes!$A:$D,4,FALSE)="",""," ["&amp;VLOOKUP('.'!AB354,Recipes!$A:$D,4,FALSE)&amp;"]"))</f>
        <v/>
      </c>
      <c r="AC354" s="46" t="str">
        <f t="array" ref="AC354">IF('.'!AC354="","",'.'!AC354&amp;IF(VLOOKUP('.'!AC354,Recipes!$A:$D,4,FALSE)="",""," ["&amp;VLOOKUP('.'!AC354,Recipes!$A:$D,4,FALSE)&amp;"]"))</f>
        <v/>
      </c>
      <c r="AD354" s="46" t="str">
        <f t="array" ref="AD354">IF('.'!AD354="","",'.'!AD354&amp;IF(VLOOKUP('.'!AD354,Recipes!$A:$D,4,FALSE)="",""," ["&amp;VLOOKUP('.'!AD354,Recipes!$A:$D,4,FALSE)&amp;"]"))</f>
        <v/>
      </c>
      <c r="AE354" s="47"/>
      <c r="AF354" s="47"/>
      <c r="AG354" s="47"/>
      <c r="AH354" s="47"/>
      <c r="AI354" s="47"/>
      <c r="AJ354" s="47"/>
      <c r="AK354" s="47"/>
      <c r="AL354" s="47"/>
      <c r="AM354" s="47"/>
      <c r="AN354" s="47"/>
      <c r="AO354" s="47"/>
      <c r="AP354" s="47"/>
      <c r="AQ354" s="47"/>
      <c r="AR354" s="47"/>
      <c r="AS354" s="47"/>
      <c r="AT354" s="47"/>
      <c r="AU354" s="47"/>
      <c r="AV354" s="47"/>
      <c r="AW354" s="47"/>
      <c r="AX354" s="47"/>
      <c r="AY354" s="47"/>
      <c r="AZ354" s="47"/>
      <c r="BA354" s="47"/>
      <c r="BB354" s="47"/>
      <c r="BC354" s="47"/>
      <c r="BD354" s="47"/>
      <c r="BE354" s="47"/>
      <c r="BF354" s="47"/>
      <c r="BG354" s="47"/>
      <c r="BH354" s="47"/>
      <c r="BI354" s="47"/>
      <c r="BJ354" s="47"/>
      <c r="BK354" s="47"/>
      <c r="BL354" s="47"/>
      <c r="BM354" s="47"/>
      <c r="BN354" s="47"/>
      <c r="BO354" s="47"/>
      <c r="BP354" s="47"/>
      <c r="BQ354" s="47"/>
      <c r="BR354" s="47"/>
      <c r="BS354" s="47"/>
      <c r="BT354" s="47"/>
      <c r="BU354" s="47"/>
      <c r="BV354" s="47"/>
      <c r="BW354" s="47"/>
      <c r="BX354" s="47"/>
      <c r="BY354" s="47"/>
      <c r="BZ354" s="47"/>
    </row>
    <row r="355" spans="1:78" ht="13">
      <c r="A355" s="48" t="str">
        <f ca="1">'.'!A355</f>
        <v>Rain Scroll</v>
      </c>
      <c r="B355" s="46" t="str">
        <f t="array" aca="1" ref="B355" ca="1">IF('.'!B355="","",'.'!B355&amp;IF(VLOOKUP('.'!B355,Recipes!$A:$D,4,FALSE)="",""," ["&amp;VLOOKUP('.'!B355,Recipes!$A:$D,4,FALSE)&amp;"]"))</f>
        <v>Rain Skillbook [-170]</v>
      </c>
      <c r="C355" s="46" t="str">
        <f t="array" ref="C355">IF('.'!C355="","",'.'!C355&amp;IF(VLOOKUP('.'!C355,Recipes!$A:$D,4,FALSE)="",""," ["&amp;VLOOKUP('.'!C355,Recipes!$A:$D,4,FALSE)&amp;"]"))</f>
        <v/>
      </c>
      <c r="D355" s="46" t="str">
        <f t="array" ref="D355">IF('.'!D355="","",'.'!D355&amp;IF(VLOOKUP('.'!D355,Recipes!$A:$D,4,FALSE)="",""," ["&amp;VLOOKUP('.'!D355,Recipes!$A:$D,4,FALSE)&amp;"]"))</f>
        <v/>
      </c>
      <c r="E355" s="46" t="str">
        <f t="array" ref="E355">IF('.'!E355="","",'.'!E355&amp;IF(VLOOKUP('.'!E355,Recipes!$A:$D,4,FALSE)="",""," ["&amp;VLOOKUP('.'!E355,Recipes!$A:$D,4,FALSE)&amp;"]"))</f>
        <v/>
      </c>
      <c r="F355" s="46" t="str">
        <f t="array" ref="F355">IF('.'!F355="","",'.'!F355&amp;IF(VLOOKUP('.'!F355,Recipes!$A:$D,4,FALSE)="",""," ["&amp;VLOOKUP('.'!F355,Recipes!$A:$D,4,FALSE)&amp;"]"))</f>
        <v/>
      </c>
      <c r="G355" s="46" t="str">
        <f t="array" ref="G355">IF('.'!G355="","",'.'!G355&amp;IF(VLOOKUP('.'!G355,Recipes!$A:$D,4,FALSE)="",""," ["&amp;VLOOKUP('.'!G355,Recipes!$A:$D,4,FALSE)&amp;"]"))</f>
        <v/>
      </c>
      <c r="H355" s="46" t="str">
        <f t="array" ref="H355">IF('.'!H355="","",'.'!H355&amp;IF(VLOOKUP('.'!H355,Recipes!$A:$D,4,FALSE)="",""," ["&amp;VLOOKUP('.'!H355,Recipes!$A:$D,4,FALSE)&amp;"]"))</f>
        <v/>
      </c>
      <c r="I355" s="46" t="str">
        <f t="array" ref="I355">IF('.'!I355="","",'.'!I355&amp;IF(VLOOKUP('.'!I355,Recipes!$A:$D,4,FALSE)="",""," ["&amp;VLOOKUP('.'!I355,Recipes!$A:$D,4,FALSE)&amp;"]"))</f>
        <v/>
      </c>
      <c r="J355" s="46" t="str">
        <f t="array" ref="J355">IF('.'!J355="","",'.'!J355&amp;IF(VLOOKUP('.'!J355,Recipes!$A:$D,4,FALSE)="",""," ["&amp;VLOOKUP('.'!J355,Recipes!$A:$D,4,FALSE)&amp;"]"))</f>
        <v/>
      </c>
      <c r="K355" s="46" t="str">
        <f t="array" ref="K355">IF('.'!K355="","",'.'!K355&amp;IF(VLOOKUP('.'!K355,Recipes!$A:$D,4,FALSE)="",""," ["&amp;VLOOKUP('.'!K355,Recipes!$A:$D,4,FALSE)&amp;"]"))</f>
        <v/>
      </c>
      <c r="L355" s="46" t="str">
        <f t="array" ref="L355">IF('.'!L355="","",'.'!L355&amp;IF(VLOOKUP('.'!L355,Recipes!$A:$D,4,FALSE)="",""," ["&amp;VLOOKUP('.'!L355,Recipes!$A:$D,4,FALSE)&amp;"]"))</f>
        <v/>
      </c>
      <c r="M355" s="46" t="str">
        <f t="array" ref="M355">IF('.'!M355="","",'.'!M355&amp;IF(VLOOKUP('.'!M355,Recipes!$A:$D,4,FALSE)="",""," ["&amp;VLOOKUP('.'!M355,Recipes!$A:$D,4,FALSE)&amp;"]"))</f>
        <v/>
      </c>
      <c r="N355" s="46" t="str">
        <f t="array" ref="N355">IF('.'!N355="","",'.'!N355&amp;IF(VLOOKUP('.'!N355,Recipes!$A:$D,4,FALSE)="",""," ["&amp;VLOOKUP('.'!N355,Recipes!$A:$D,4,FALSE)&amp;"]"))</f>
        <v/>
      </c>
      <c r="O355" s="46" t="str">
        <f t="array" ref="O355">IF('.'!O355="","",'.'!O355&amp;IF(VLOOKUP('.'!O355,Recipes!$A:$D,4,FALSE)="",""," ["&amp;VLOOKUP('.'!O355,Recipes!$A:$D,4,FALSE)&amp;"]"))</f>
        <v/>
      </c>
      <c r="P355" s="46" t="str">
        <f t="array" ref="P355">IF('.'!P355="","",'.'!P355&amp;IF(VLOOKUP('.'!P355,Recipes!$A:$D,4,FALSE)="",""," ["&amp;VLOOKUP('.'!P355,Recipes!$A:$D,4,FALSE)&amp;"]"))</f>
        <v/>
      </c>
      <c r="Q355" s="46" t="str">
        <f t="array" ref="Q355">IF('.'!Q355="","",'.'!Q355&amp;IF(VLOOKUP('.'!Q355,Recipes!$A:$D,4,FALSE)="",""," ["&amp;VLOOKUP('.'!Q355,Recipes!$A:$D,4,FALSE)&amp;"]"))</f>
        <v/>
      </c>
      <c r="R355" s="46" t="str">
        <f t="array" ref="R355">IF('.'!R355="","",'.'!R355&amp;IF(VLOOKUP('.'!R355,Recipes!$A:$D,4,FALSE)="",""," ["&amp;VLOOKUP('.'!R355,Recipes!$A:$D,4,FALSE)&amp;"]"))</f>
        <v/>
      </c>
      <c r="S355" s="46" t="str">
        <f t="array" ref="S355">IF('.'!S355="","",'.'!S355&amp;IF(VLOOKUP('.'!S355,Recipes!$A:$D,4,FALSE)="",""," ["&amp;VLOOKUP('.'!S355,Recipes!$A:$D,4,FALSE)&amp;"]"))</f>
        <v/>
      </c>
      <c r="T355" s="46" t="str">
        <f t="array" ref="T355">IF('.'!T355="","",'.'!T355&amp;IF(VLOOKUP('.'!T355,Recipes!$A:$D,4,FALSE)="",""," ["&amp;VLOOKUP('.'!T355,Recipes!$A:$D,4,FALSE)&amp;"]"))</f>
        <v/>
      </c>
      <c r="U355" s="46" t="str">
        <f t="array" ref="U355">IF('.'!U355="","",'.'!U355&amp;IF(VLOOKUP('.'!U355,Recipes!$A:$D,4,FALSE)="",""," ["&amp;VLOOKUP('.'!U355,Recipes!$A:$D,4,FALSE)&amp;"]"))</f>
        <v/>
      </c>
      <c r="V355" s="46" t="str">
        <f t="array" ref="V355">IF('.'!V355="","",'.'!V355&amp;IF(VLOOKUP('.'!V355,Recipes!$A:$D,4,FALSE)="",""," ["&amp;VLOOKUP('.'!V355,Recipes!$A:$D,4,FALSE)&amp;"]"))</f>
        <v/>
      </c>
      <c r="W355" s="46" t="str">
        <f t="array" ref="W355">IF('.'!W355="","",'.'!W355&amp;IF(VLOOKUP('.'!W355,Recipes!$A:$D,4,FALSE)="",""," ["&amp;VLOOKUP('.'!W355,Recipes!$A:$D,4,FALSE)&amp;"]"))</f>
        <v/>
      </c>
      <c r="X355" s="46" t="str">
        <f t="array" ref="X355">IF('.'!X355="","",'.'!X355&amp;IF(VLOOKUP('.'!X355,Recipes!$A:$D,4,FALSE)="",""," ["&amp;VLOOKUP('.'!X355,Recipes!$A:$D,4,FALSE)&amp;"]"))</f>
        <v/>
      </c>
      <c r="Y355" s="46" t="str">
        <f t="array" ref="Y355">IF('.'!Y355="","",'.'!Y355&amp;IF(VLOOKUP('.'!Y355,Recipes!$A:$D,4,FALSE)="",""," ["&amp;VLOOKUP('.'!Y355,Recipes!$A:$D,4,FALSE)&amp;"]"))</f>
        <v/>
      </c>
      <c r="Z355" s="46" t="str">
        <f t="array" ref="Z355">IF('.'!Z355="","",'.'!Z355&amp;IF(VLOOKUP('.'!Z355,Recipes!$A:$D,4,FALSE)="",""," ["&amp;VLOOKUP('.'!Z355,Recipes!$A:$D,4,FALSE)&amp;"]"))</f>
        <v/>
      </c>
      <c r="AA355" s="46" t="str">
        <f t="array" ref="AA355">IF('.'!AA355="","",'.'!AA355&amp;IF(VLOOKUP('.'!AA355,Recipes!$A:$D,4,FALSE)="",""," ["&amp;VLOOKUP('.'!AA355,Recipes!$A:$D,4,FALSE)&amp;"]"))</f>
        <v/>
      </c>
      <c r="AB355" s="46" t="str">
        <f t="array" ref="AB355">IF('.'!AB355="","",'.'!AB355&amp;IF(VLOOKUP('.'!AB355,Recipes!$A:$D,4,FALSE)="",""," ["&amp;VLOOKUP('.'!AB355,Recipes!$A:$D,4,FALSE)&amp;"]"))</f>
        <v/>
      </c>
      <c r="AC355" s="46" t="str">
        <f t="array" ref="AC355">IF('.'!AC355="","",'.'!AC355&amp;IF(VLOOKUP('.'!AC355,Recipes!$A:$D,4,FALSE)="",""," ["&amp;VLOOKUP('.'!AC355,Recipes!$A:$D,4,FALSE)&amp;"]"))</f>
        <v/>
      </c>
      <c r="AD355" s="46" t="str">
        <f t="array" ref="AD355">IF('.'!AD355="","",'.'!AD355&amp;IF(VLOOKUP('.'!AD355,Recipes!$A:$D,4,FALSE)="",""," ["&amp;VLOOKUP('.'!AD355,Recipes!$A:$D,4,FALSE)&amp;"]"))</f>
        <v/>
      </c>
      <c r="AE355" s="47"/>
      <c r="AF355" s="47"/>
      <c r="AG355" s="47"/>
      <c r="AH355" s="47"/>
      <c r="AI355" s="47"/>
      <c r="AJ355" s="47"/>
      <c r="AK355" s="47"/>
      <c r="AL355" s="47"/>
      <c r="AM355" s="47"/>
      <c r="AN355" s="47"/>
      <c r="AO355" s="47"/>
      <c r="AP355" s="47"/>
      <c r="AQ355" s="47"/>
      <c r="AR355" s="47"/>
      <c r="AS355" s="47"/>
      <c r="AT355" s="47"/>
      <c r="AU355" s="47"/>
      <c r="AV355" s="47"/>
      <c r="AW355" s="47"/>
      <c r="AX355" s="47"/>
      <c r="AY355" s="47"/>
      <c r="AZ355" s="47"/>
      <c r="BA355" s="47"/>
      <c r="BB355" s="47"/>
      <c r="BC355" s="47"/>
      <c r="BD355" s="47"/>
      <c r="BE355" s="47"/>
      <c r="BF355" s="47"/>
      <c r="BG355" s="47"/>
      <c r="BH355" s="47"/>
      <c r="BI355" s="47"/>
      <c r="BJ355" s="47"/>
      <c r="BK355" s="47"/>
      <c r="BL355" s="47"/>
      <c r="BM355" s="47"/>
      <c r="BN355" s="47"/>
      <c r="BO355" s="47"/>
      <c r="BP355" s="47"/>
      <c r="BQ355" s="47"/>
      <c r="BR355" s="47"/>
      <c r="BS355" s="47"/>
      <c r="BT355" s="47"/>
      <c r="BU355" s="47"/>
      <c r="BV355" s="47"/>
      <c r="BW355" s="47"/>
      <c r="BX355" s="47"/>
      <c r="BY355" s="47"/>
      <c r="BZ355" s="47"/>
    </row>
    <row r="356" spans="1:78" ht="13">
      <c r="A356" s="48" t="str">
        <f ca="1">'.'!A356</f>
        <v>Raining Blood Scroll</v>
      </c>
      <c r="B356" s="46" t="str">
        <f t="array" aca="1" ref="B356" ca="1">IF('.'!B356="","",'.'!B356&amp;IF(VLOOKUP('.'!B356,Recipes!$A:$D,4,FALSE)="",""," ["&amp;VLOOKUP('.'!B356,Recipes!$A:$D,4,FALSE)&amp;"]"))</f>
        <v>Raining Blood Skillbook [-60]</v>
      </c>
      <c r="C356" s="46" t="str">
        <f t="array" ref="C356">IF('.'!C356="","",'.'!C356&amp;IF(VLOOKUP('.'!C356,Recipes!$A:$D,4,FALSE)="",""," ["&amp;VLOOKUP('.'!C356,Recipes!$A:$D,4,FALSE)&amp;"]"))</f>
        <v/>
      </c>
      <c r="D356" s="46" t="str">
        <f t="array" ref="D356">IF('.'!D356="","",'.'!D356&amp;IF(VLOOKUP('.'!D356,Recipes!$A:$D,4,FALSE)="",""," ["&amp;VLOOKUP('.'!D356,Recipes!$A:$D,4,FALSE)&amp;"]"))</f>
        <v/>
      </c>
      <c r="E356" s="46" t="str">
        <f t="array" ref="E356">IF('.'!E356="","",'.'!E356&amp;IF(VLOOKUP('.'!E356,Recipes!$A:$D,4,FALSE)="",""," ["&amp;VLOOKUP('.'!E356,Recipes!$A:$D,4,FALSE)&amp;"]"))</f>
        <v/>
      </c>
      <c r="F356" s="46" t="str">
        <f t="array" ref="F356">IF('.'!F356="","",'.'!F356&amp;IF(VLOOKUP('.'!F356,Recipes!$A:$D,4,FALSE)="",""," ["&amp;VLOOKUP('.'!F356,Recipes!$A:$D,4,FALSE)&amp;"]"))</f>
        <v/>
      </c>
      <c r="G356" s="46" t="str">
        <f t="array" ref="G356">IF('.'!G356="","",'.'!G356&amp;IF(VLOOKUP('.'!G356,Recipes!$A:$D,4,FALSE)="",""," ["&amp;VLOOKUP('.'!G356,Recipes!$A:$D,4,FALSE)&amp;"]"))</f>
        <v/>
      </c>
      <c r="H356" s="46" t="str">
        <f t="array" ref="H356">IF('.'!H356="","",'.'!H356&amp;IF(VLOOKUP('.'!H356,Recipes!$A:$D,4,FALSE)="",""," ["&amp;VLOOKUP('.'!H356,Recipes!$A:$D,4,FALSE)&amp;"]"))</f>
        <v/>
      </c>
      <c r="I356" s="46" t="str">
        <f t="array" ref="I356">IF('.'!I356="","",'.'!I356&amp;IF(VLOOKUP('.'!I356,Recipes!$A:$D,4,FALSE)="",""," ["&amp;VLOOKUP('.'!I356,Recipes!$A:$D,4,FALSE)&amp;"]"))</f>
        <v/>
      </c>
      <c r="J356" s="46" t="str">
        <f t="array" ref="J356">IF('.'!J356="","",'.'!J356&amp;IF(VLOOKUP('.'!J356,Recipes!$A:$D,4,FALSE)="",""," ["&amp;VLOOKUP('.'!J356,Recipes!$A:$D,4,FALSE)&amp;"]"))</f>
        <v/>
      </c>
      <c r="K356" s="46" t="str">
        <f t="array" ref="K356">IF('.'!K356="","",'.'!K356&amp;IF(VLOOKUP('.'!K356,Recipes!$A:$D,4,FALSE)="",""," ["&amp;VLOOKUP('.'!K356,Recipes!$A:$D,4,FALSE)&amp;"]"))</f>
        <v/>
      </c>
      <c r="L356" s="46" t="str">
        <f t="array" ref="L356">IF('.'!L356="","",'.'!L356&amp;IF(VLOOKUP('.'!L356,Recipes!$A:$D,4,FALSE)="",""," ["&amp;VLOOKUP('.'!L356,Recipes!$A:$D,4,FALSE)&amp;"]"))</f>
        <v/>
      </c>
      <c r="M356" s="46" t="str">
        <f t="array" ref="M356">IF('.'!M356="","",'.'!M356&amp;IF(VLOOKUP('.'!M356,Recipes!$A:$D,4,FALSE)="",""," ["&amp;VLOOKUP('.'!M356,Recipes!$A:$D,4,FALSE)&amp;"]"))</f>
        <v/>
      </c>
      <c r="N356" s="46" t="str">
        <f t="array" ref="N356">IF('.'!N356="","",'.'!N356&amp;IF(VLOOKUP('.'!N356,Recipes!$A:$D,4,FALSE)="",""," ["&amp;VLOOKUP('.'!N356,Recipes!$A:$D,4,FALSE)&amp;"]"))</f>
        <v/>
      </c>
      <c r="O356" s="46" t="str">
        <f t="array" ref="O356">IF('.'!O356="","",'.'!O356&amp;IF(VLOOKUP('.'!O356,Recipes!$A:$D,4,FALSE)="",""," ["&amp;VLOOKUP('.'!O356,Recipes!$A:$D,4,FALSE)&amp;"]"))</f>
        <v/>
      </c>
      <c r="P356" s="46" t="str">
        <f t="array" ref="P356">IF('.'!P356="","",'.'!P356&amp;IF(VLOOKUP('.'!P356,Recipes!$A:$D,4,FALSE)="",""," ["&amp;VLOOKUP('.'!P356,Recipes!$A:$D,4,FALSE)&amp;"]"))</f>
        <v/>
      </c>
      <c r="Q356" s="46" t="str">
        <f t="array" ref="Q356">IF('.'!Q356="","",'.'!Q356&amp;IF(VLOOKUP('.'!Q356,Recipes!$A:$D,4,FALSE)="",""," ["&amp;VLOOKUP('.'!Q356,Recipes!$A:$D,4,FALSE)&amp;"]"))</f>
        <v/>
      </c>
      <c r="R356" s="46" t="str">
        <f t="array" ref="R356">IF('.'!R356="","",'.'!R356&amp;IF(VLOOKUP('.'!R356,Recipes!$A:$D,4,FALSE)="",""," ["&amp;VLOOKUP('.'!R356,Recipes!$A:$D,4,FALSE)&amp;"]"))</f>
        <v/>
      </c>
      <c r="S356" s="46" t="str">
        <f t="array" ref="S356">IF('.'!S356="","",'.'!S356&amp;IF(VLOOKUP('.'!S356,Recipes!$A:$D,4,FALSE)="",""," ["&amp;VLOOKUP('.'!S356,Recipes!$A:$D,4,FALSE)&amp;"]"))</f>
        <v/>
      </c>
      <c r="T356" s="46" t="str">
        <f t="array" ref="T356">IF('.'!T356="","",'.'!T356&amp;IF(VLOOKUP('.'!T356,Recipes!$A:$D,4,FALSE)="",""," ["&amp;VLOOKUP('.'!T356,Recipes!$A:$D,4,FALSE)&amp;"]"))</f>
        <v/>
      </c>
      <c r="U356" s="46" t="str">
        <f t="array" ref="U356">IF('.'!U356="","",'.'!U356&amp;IF(VLOOKUP('.'!U356,Recipes!$A:$D,4,FALSE)="",""," ["&amp;VLOOKUP('.'!U356,Recipes!$A:$D,4,FALSE)&amp;"]"))</f>
        <v/>
      </c>
      <c r="V356" s="46" t="str">
        <f t="array" ref="V356">IF('.'!V356="","",'.'!V356&amp;IF(VLOOKUP('.'!V356,Recipes!$A:$D,4,FALSE)="",""," ["&amp;VLOOKUP('.'!V356,Recipes!$A:$D,4,FALSE)&amp;"]"))</f>
        <v/>
      </c>
      <c r="W356" s="46" t="str">
        <f t="array" ref="W356">IF('.'!W356="","",'.'!W356&amp;IF(VLOOKUP('.'!W356,Recipes!$A:$D,4,FALSE)="",""," ["&amp;VLOOKUP('.'!W356,Recipes!$A:$D,4,FALSE)&amp;"]"))</f>
        <v/>
      </c>
      <c r="X356" s="46" t="str">
        <f t="array" ref="X356">IF('.'!X356="","",'.'!X356&amp;IF(VLOOKUP('.'!X356,Recipes!$A:$D,4,FALSE)="",""," ["&amp;VLOOKUP('.'!X356,Recipes!$A:$D,4,FALSE)&amp;"]"))</f>
        <v/>
      </c>
      <c r="Y356" s="46" t="str">
        <f t="array" ref="Y356">IF('.'!Y356="","",'.'!Y356&amp;IF(VLOOKUP('.'!Y356,Recipes!$A:$D,4,FALSE)="",""," ["&amp;VLOOKUP('.'!Y356,Recipes!$A:$D,4,FALSE)&amp;"]"))</f>
        <v/>
      </c>
      <c r="Z356" s="46" t="str">
        <f t="array" ref="Z356">IF('.'!Z356="","",'.'!Z356&amp;IF(VLOOKUP('.'!Z356,Recipes!$A:$D,4,FALSE)="",""," ["&amp;VLOOKUP('.'!Z356,Recipes!$A:$D,4,FALSE)&amp;"]"))</f>
        <v/>
      </c>
      <c r="AA356" s="46" t="str">
        <f t="array" ref="AA356">IF('.'!AA356="","",'.'!AA356&amp;IF(VLOOKUP('.'!AA356,Recipes!$A:$D,4,FALSE)="",""," ["&amp;VLOOKUP('.'!AA356,Recipes!$A:$D,4,FALSE)&amp;"]"))</f>
        <v/>
      </c>
      <c r="AB356" s="46" t="str">
        <f t="array" ref="AB356">IF('.'!AB356="","",'.'!AB356&amp;IF(VLOOKUP('.'!AB356,Recipes!$A:$D,4,FALSE)="",""," ["&amp;VLOOKUP('.'!AB356,Recipes!$A:$D,4,FALSE)&amp;"]"))</f>
        <v/>
      </c>
      <c r="AC356" s="46" t="str">
        <f t="array" ref="AC356">IF('.'!AC356="","",'.'!AC356&amp;IF(VLOOKUP('.'!AC356,Recipes!$A:$D,4,FALSE)="",""," ["&amp;VLOOKUP('.'!AC356,Recipes!$A:$D,4,FALSE)&amp;"]"))</f>
        <v/>
      </c>
      <c r="AD356" s="46" t="str">
        <f t="array" ref="AD356">IF('.'!AD356="","",'.'!AD356&amp;IF(VLOOKUP('.'!AD356,Recipes!$A:$D,4,FALSE)="",""," ["&amp;VLOOKUP('.'!AD356,Recipes!$A:$D,4,FALSE)&amp;"]"))</f>
        <v/>
      </c>
      <c r="AE356" s="47"/>
      <c r="AF356" s="47"/>
      <c r="AG356" s="47"/>
      <c r="AH356" s="47"/>
      <c r="AI356" s="47"/>
      <c r="AJ356" s="47"/>
      <c r="AK356" s="47"/>
      <c r="AL356" s="47"/>
      <c r="AM356" s="47"/>
      <c r="AN356" s="47"/>
      <c r="AO356" s="47"/>
      <c r="AP356" s="47"/>
      <c r="AQ356" s="47"/>
      <c r="AR356" s="47"/>
      <c r="AS356" s="47"/>
      <c r="AT356" s="47"/>
      <c r="AU356" s="47"/>
      <c r="AV356" s="47"/>
      <c r="AW356" s="47"/>
      <c r="AX356" s="47"/>
      <c r="AY356" s="47"/>
      <c r="AZ356" s="47"/>
      <c r="BA356" s="47"/>
      <c r="BB356" s="47"/>
      <c r="BC356" s="47"/>
      <c r="BD356" s="47"/>
      <c r="BE356" s="47"/>
      <c r="BF356" s="47"/>
      <c r="BG356" s="47"/>
      <c r="BH356" s="47"/>
      <c r="BI356" s="47"/>
      <c r="BJ356" s="47"/>
      <c r="BK356" s="47"/>
      <c r="BL356" s="47"/>
      <c r="BM356" s="47"/>
      <c r="BN356" s="47"/>
      <c r="BO356" s="47"/>
      <c r="BP356" s="47"/>
      <c r="BQ356" s="47"/>
      <c r="BR356" s="47"/>
      <c r="BS356" s="47"/>
      <c r="BT356" s="47"/>
      <c r="BU356" s="47"/>
      <c r="BV356" s="47"/>
      <c r="BW356" s="47"/>
      <c r="BX356" s="47"/>
      <c r="BY356" s="47"/>
      <c r="BZ356" s="47"/>
    </row>
    <row r="357" spans="1:78" ht="13">
      <c r="A357" s="48" t="str">
        <f ca="1">'.'!A357</f>
        <v>Raise Bloated Corpse Scroll</v>
      </c>
      <c r="B357" s="46" t="str">
        <f t="array" aca="1" ref="B357" ca="1">IF('.'!B357="","",'.'!B357&amp;IF(VLOOKUP('.'!B357,Recipes!$A:$D,4,FALSE)="",""," ["&amp;VLOOKUP('.'!B357,Recipes!$A:$D,4,FALSE)&amp;"]"))</f>
        <v>Raise Bloated Corpse Skillbook [-190]</v>
      </c>
      <c r="C357" s="46" t="str">
        <f t="array" ref="C357">IF('.'!C357="","",'.'!C357&amp;IF(VLOOKUP('.'!C357,Recipes!$A:$D,4,FALSE)="",""," ["&amp;VLOOKUP('.'!C357,Recipes!$A:$D,4,FALSE)&amp;"]"))</f>
        <v/>
      </c>
      <c r="D357" s="46" t="str">
        <f t="array" ref="D357">IF('.'!D357="","",'.'!D357&amp;IF(VLOOKUP('.'!D357,Recipes!$A:$D,4,FALSE)="",""," ["&amp;VLOOKUP('.'!D357,Recipes!$A:$D,4,FALSE)&amp;"]"))</f>
        <v/>
      </c>
      <c r="E357" s="46" t="str">
        <f t="array" ref="E357">IF('.'!E357="","",'.'!E357&amp;IF(VLOOKUP('.'!E357,Recipes!$A:$D,4,FALSE)="",""," ["&amp;VLOOKUP('.'!E357,Recipes!$A:$D,4,FALSE)&amp;"]"))</f>
        <v/>
      </c>
      <c r="F357" s="46" t="str">
        <f t="array" ref="F357">IF('.'!F357="","",'.'!F357&amp;IF(VLOOKUP('.'!F357,Recipes!$A:$D,4,FALSE)="",""," ["&amp;VLOOKUP('.'!F357,Recipes!$A:$D,4,FALSE)&amp;"]"))</f>
        <v/>
      </c>
      <c r="G357" s="46" t="str">
        <f t="array" ref="G357">IF('.'!G357="","",'.'!G357&amp;IF(VLOOKUP('.'!G357,Recipes!$A:$D,4,FALSE)="",""," ["&amp;VLOOKUP('.'!G357,Recipes!$A:$D,4,FALSE)&amp;"]"))</f>
        <v/>
      </c>
      <c r="H357" s="46" t="str">
        <f t="array" ref="H357">IF('.'!H357="","",'.'!H357&amp;IF(VLOOKUP('.'!H357,Recipes!$A:$D,4,FALSE)="",""," ["&amp;VLOOKUP('.'!H357,Recipes!$A:$D,4,FALSE)&amp;"]"))</f>
        <v/>
      </c>
      <c r="I357" s="46" t="str">
        <f t="array" ref="I357">IF('.'!I357="","",'.'!I357&amp;IF(VLOOKUP('.'!I357,Recipes!$A:$D,4,FALSE)="",""," ["&amp;VLOOKUP('.'!I357,Recipes!$A:$D,4,FALSE)&amp;"]"))</f>
        <v/>
      </c>
      <c r="J357" s="46" t="str">
        <f t="array" ref="J357">IF('.'!J357="","",'.'!J357&amp;IF(VLOOKUP('.'!J357,Recipes!$A:$D,4,FALSE)="",""," ["&amp;VLOOKUP('.'!J357,Recipes!$A:$D,4,FALSE)&amp;"]"))</f>
        <v/>
      </c>
      <c r="K357" s="46" t="str">
        <f t="array" ref="K357">IF('.'!K357="","",'.'!K357&amp;IF(VLOOKUP('.'!K357,Recipes!$A:$D,4,FALSE)="",""," ["&amp;VLOOKUP('.'!K357,Recipes!$A:$D,4,FALSE)&amp;"]"))</f>
        <v/>
      </c>
      <c r="L357" s="46" t="str">
        <f t="array" ref="L357">IF('.'!L357="","",'.'!L357&amp;IF(VLOOKUP('.'!L357,Recipes!$A:$D,4,FALSE)="",""," ["&amp;VLOOKUP('.'!L357,Recipes!$A:$D,4,FALSE)&amp;"]"))</f>
        <v/>
      </c>
      <c r="M357" s="46" t="str">
        <f t="array" ref="M357">IF('.'!M357="","",'.'!M357&amp;IF(VLOOKUP('.'!M357,Recipes!$A:$D,4,FALSE)="",""," ["&amp;VLOOKUP('.'!M357,Recipes!$A:$D,4,FALSE)&amp;"]"))</f>
        <v/>
      </c>
      <c r="N357" s="46" t="str">
        <f t="array" ref="N357">IF('.'!N357="","",'.'!N357&amp;IF(VLOOKUP('.'!N357,Recipes!$A:$D,4,FALSE)="",""," ["&amp;VLOOKUP('.'!N357,Recipes!$A:$D,4,FALSE)&amp;"]"))</f>
        <v/>
      </c>
      <c r="O357" s="46" t="str">
        <f t="array" ref="O357">IF('.'!O357="","",'.'!O357&amp;IF(VLOOKUP('.'!O357,Recipes!$A:$D,4,FALSE)="",""," ["&amp;VLOOKUP('.'!O357,Recipes!$A:$D,4,FALSE)&amp;"]"))</f>
        <v/>
      </c>
      <c r="P357" s="46" t="str">
        <f t="array" ref="P357">IF('.'!P357="","",'.'!P357&amp;IF(VLOOKUP('.'!P357,Recipes!$A:$D,4,FALSE)="",""," ["&amp;VLOOKUP('.'!P357,Recipes!$A:$D,4,FALSE)&amp;"]"))</f>
        <v/>
      </c>
      <c r="Q357" s="46" t="str">
        <f t="array" ref="Q357">IF('.'!Q357="","",'.'!Q357&amp;IF(VLOOKUP('.'!Q357,Recipes!$A:$D,4,FALSE)="",""," ["&amp;VLOOKUP('.'!Q357,Recipes!$A:$D,4,FALSE)&amp;"]"))</f>
        <v/>
      </c>
      <c r="R357" s="46" t="str">
        <f t="array" ref="R357">IF('.'!R357="","",'.'!R357&amp;IF(VLOOKUP('.'!R357,Recipes!$A:$D,4,FALSE)="",""," ["&amp;VLOOKUP('.'!R357,Recipes!$A:$D,4,FALSE)&amp;"]"))</f>
        <v/>
      </c>
      <c r="S357" s="46" t="str">
        <f t="array" ref="S357">IF('.'!S357="","",'.'!S357&amp;IF(VLOOKUP('.'!S357,Recipes!$A:$D,4,FALSE)="",""," ["&amp;VLOOKUP('.'!S357,Recipes!$A:$D,4,FALSE)&amp;"]"))</f>
        <v/>
      </c>
      <c r="T357" s="46" t="str">
        <f t="array" ref="T357">IF('.'!T357="","",'.'!T357&amp;IF(VLOOKUP('.'!T357,Recipes!$A:$D,4,FALSE)="",""," ["&amp;VLOOKUP('.'!T357,Recipes!$A:$D,4,FALSE)&amp;"]"))</f>
        <v/>
      </c>
      <c r="U357" s="46" t="str">
        <f t="array" ref="U357">IF('.'!U357="","",'.'!U357&amp;IF(VLOOKUP('.'!U357,Recipes!$A:$D,4,FALSE)="",""," ["&amp;VLOOKUP('.'!U357,Recipes!$A:$D,4,FALSE)&amp;"]"))</f>
        <v/>
      </c>
      <c r="V357" s="46" t="str">
        <f t="array" ref="V357">IF('.'!V357="","",'.'!V357&amp;IF(VLOOKUP('.'!V357,Recipes!$A:$D,4,FALSE)="",""," ["&amp;VLOOKUP('.'!V357,Recipes!$A:$D,4,FALSE)&amp;"]"))</f>
        <v/>
      </c>
      <c r="W357" s="46" t="str">
        <f t="array" ref="W357">IF('.'!W357="","",'.'!W357&amp;IF(VLOOKUP('.'!W357,Recipes!$A:$D,4,FALSE)="",""," ["&amp;VLOOKUP('.'!W357,Recipes!$A:$D,4,FALSE)&amp;"]"))</f>
        <v/>
      </c>
      <c r="X357" s="46" t="str">
        <f t="array" ref="X357">IF('.'!X357="","",'.'!X357&amp;IF(VLOOKUP('.'!X357,Recipes!$A:$D,4,FALSE)="",""," ["&amp;VLOOKUP('.'!X357,Recipes!$A:$D,4,FALSE)&amp;"]"))</f>
        <v/>
      </c>
      <c r="Y357" s="46" t="str">
        <f t="array" ref="Y357">IF('.'!Y357="","",'.'!Y357&amp;IF(VLOOKUP('.'!Y357,Recipes!$A:$D,4,FALSE)="",""," ["&amp;VLOOKUP('.'!Y357,Recipes!$A:$D,4,FALSE)&amp;"]"))</f>
        <v/>
      </c>
      <c r="Z357" s="46" t="str">
        <f t="array" ref="Z357">IF('.'!Z357="","",'.'!Z357&amp;IF(VLOOKUP('.'!Z357,Recipes!$A:$D,4,FALSE)="",""," ["&amp;VLOOKUP('.'!Z357,Recipes!$A:$D,4,FALSE)&amp;"]"))</f>
        <v/>
      </c>
      <c r="AA357" s="46" t="str">
        <f t="array" ref="AA357">IF('.'!AA357="","",'.'!AA357&amp;IF(VLOOKUP('.'!AA357,Recipes!$A:$D,4,FALSE)="",""," ["&amp;VLOOKUP('.'!AA357,Recipes!$A:$D,4,FALSE)&amp;"]"))</f>
        <v/>
      </c>
      <c r="AB357" s="46" t="str">
        <f t="array" ref="AB357">IF('.'!AB357="","",'.'!AB357&amp;IF(VLOOKUP('.'!AB357,Recipes!$A:$D,4,FALSE)="",""," ["&amp;VLOOKUP('.'!AB357,Recipes!$A:$D,4,FALSE)&amp;"]"))</f>
        <v/>
      </c>
      <c r="AC357" s="46" t="str">
        <f t="array" ref="AC357">IF('.'!AC357="","",'.'!AC357&amp;IF(VLOOKUP('.'!AC357,Recipes!$A:$D,4,FALSE)="",""," ["&amp;VLOOKUP('.'!AC357,Recipes!$A:$D,4,FALSE)&amp;"]"))</f>
        <v/>
      </c>
      <c r="AD357" s="46" t="str">
        <f t="array" ref="AD357">IF('.'!AD357="","",'.'!AD357&amp;IF(VLOOKUP('.'!AD357,Recipes!$A:$D,4,FALSE)="",""," ["&amp;VLOOKUP('.'!AD357,Recipes!$A:$D,4,FALSE)&amp;"]"))</f>
        <v/>
      </c>
      <c r="AE357" s="47"/>
      <c r="AF357" s="47"/>
      <c r="AG357" s="47"/>
      <c r="AH357" s="47"/>
      <c r="AI357" s="47"/>
      <c r="AJ357" s="47"/>
      <c r="AK357" s="47"/>
      <c r="AL357" s="47"/>
      <c r="AM357" s="47"/>
      <c r="AN357" s="47"/>
      <c r="AO357" s="47"/>
      <c r="AP357" s="47"/>
      <c r="AQ357" s="47"/>
      <c r="AR357" s="47"/>
      <c r="AS357" s="47"/>
      <c r="AT357" s="47"/>
      <c r="AU357" s="47"/>
      <c r="AV357" s="47"/>
      <c r="AW357" s="47"/>
      <c r="AX357" s="47"/>
      <c r="AY357" s="47"/>
      <c r="AZ357" s="47"/>
      <c r="BA357" s="47"/>
      <c r="BB357" s="47"/>
      <c r="BC357" s="47"/>
      <c r="BD357" s="47"/>
      <c r="BE357" s="47"/>
      <c r="BF357" s="47"/>
      <c r="BG357" s="47"/>
      <c r="BH357" s="47"/>
      <c r="BI357" s="47"/>
      <c r="BJ357" s="47"/>
      <c r="BK357" s="47"/>
      <c r="BL357" s="47"/>
      <c r="BM357" s="47"/>
      <c r="BN357" s="47"/>
      <c r="BO357" s="47"/>
      <c r="BP357" s="47"/>
      <c r="BQ357" s="47"/>
      <c r="BR357" s="47"/>
      <c r="BS357" s="47"/>
      <c r="BT357" s="47"/>
      <c r="BU357" s="47"/>
      <c r="BV357" s="47"/>
      <c r="BW357" s="47"/>
      <c r="BX357" s="47"/>
      <c r="BY357" s="47"/>
      <c r="BZ357" s="47"/>
    </row>
    <row r="358" spans="1:78" ht="13">
      <c r="A358" s="48" t="str">
        <f ca="1">'.'!A358</f>
        <v>Raise Bone Widow Scroll</v>
      </c>
      <c r="B358" s="46" t="str">
        <f t="array" aca="1" ref="B358" ca="1">IF('.'!B358="","",'.'!B358&amp;IF(VLOOKUP('.'!B358,Recipes!$A:$D,4,FALSE)="",""," ["&amp;VLOOKUP('.'!B358,Recipes!$A:$D,4,FALSE)&amp;"]"))</f>
        <v>Raise Bone Widow Skillbook [-10]</v>
      </c>
      <c r="C358" s="46" t="str">
        <f t="array" ref="C358">IF('.'!C358="","",'.'!C358&amp;IF(VLOOKUP('.'!C358,Recipes!$A:$D,4,FALSE)="",""," ["&amp;VLOOKUP('.'!C358,Recipes!$A:$D,4,FALSE)&amp;"]"))</f>
        <v/>
      </c>
      <c r="D358" s="46" t="str">
        <f t="array" ref="D358">IF('.'!D358="","",'.'!D358&amp;IF(VLOOKUP('.'!D358,Recipes!$A:$D,4,FALSE)="",""," ["&amp;VLOOKUP('.'!D358,Recipes!$A:$D,4,FALSE)&amp;"]"))</f>
        <v/>
      </c>
      <c r="E358" s="46" t="str">
        <f t="array" ref="E358">IF('.'!E358="","",'.'!E358&amp;IF(VLOOKUP('.'!E358,Recipes!$A:$D,4,FALSE)="",""," ["&amp;VLOOKUP('.'!E358,Recipes!$A:$D,4,FALSE)&amp;"]"))</f>
        <v/>
      </c>
      <c r="F358" s="46" t="str">
        <f t="array" ref="F358">IF('.'!F358="","",'.'!F358&amp;IF(VLOOKUP('.'!F358,Recipes!$A:$D,4,FALSE)="",""," ["&amp;VLOOKUP('.'!F358,Recipes!$A:$D,4,FALSE)&amp;"]"))</f>
        <v/>
      </c>
      <c r="G358" s="46" t="str">
        <f t="array" ref="G358">IF('.'!G358="","",'.'!G358&amp;IF(VLOOKUP('.'!G358,Recipes!$A:$D,4,FALSE)="",""," ["&amp;VLOOKUP('.'!G358,Recipes!$A:$D,4,FALSE)&amp;"]"))</f>
        <v/>
      </c>
      <c r="H358" s="46" t="str">
        <f t="array" ref="H358">IF('.'!H358="","",'.'!H358&amp;IF(VLOOKUP('.'!H358,Recipes!$A:$D,4,FALSE)="",""," ["&amp;VLOOKUP('.'!H358,Recipes!$A:$D,4,FALSE)&amp;"]"))</f>
        <v/>
      </c>
      <c r="I358" s="46" t="str">
        <f t="array" ref="I358">IF('.'!I358="","",'.'!I358&amp;IF(VLOOKUP('.'!I358,Recipes!$A:$D,4,FALSE)="",""," ["&amp;VLOOKUP('.'!I358,Recipes!$A:$D,4,FALSE)&amp;"]"))</f>
        <v/>
      </c>
      <c r="J358" s="46" t="str">
        <f t="array" ref="J358">IF('.'!J358="","",'.'!J358&amp;IF(VLOOKUP('.'!J358,Recipes!$A:$D,4,FALSE)="",""," ["&amp;VLOOKUP('.'!J358,Recipes!$A:$D,4,FALSE)&amp;"]"))</f>
        <v/>
      </c>
      <c r="K358" s="46" t="str">
        <f t="array" ref="K358">IF('.'!K358="","",'.'!K358&amp;IF(VLOOKUP('.'!K358,Recipes!$A:$D,4,FALSE)="",""," ["&amp;VLOOKUP('.'!K358,Recipes!$A:$D,4,FALSE)&amp;"]"))</f>
        <v/>
      </c>
      <c r="L358" s="46" t="str">
        <f t="array" ref="L358">IF('.'!L358="","",'.'!L358&amp;IF(VLOOKUP('.'!L358,Recipes!$A:$D,4,FALSE)="",""," ["&amp;VLOOKUP('.'!L358,Recipes!$A:$D,4,FALSE)&amp;"]"))</f>
        <v/>
      </c>
      <c r="M358" s="46" t="str">
        <f t="array" ref="M358">IF('.'!M358="","",'.'!M358&amp;IF(VLOOKUP('.'!M358,Recipes!$A:$D,4,FALSE)="",""," ["&amp;VLOOKUP('.'!M358,Recipes!$A:$D,4,FALSE)&amp;"]"))</f>
        <v/>
      </c>
      <c r="N358" s="46" t="str">
        <f t="array" ref="N358">IF('.'!N358="","",'.'!N358&amp;IF(VLOOKUP('.'!N358,Recipes!$A:$D,4,FALSE)="",""," ["&amp;VLOOKUP('.'!N358,Recipes!$A:$D,4,FALSE)&amp;"]"))</f>
        <v/>
      </c>
      <c r="O358" s="46" t="str">
        <f t="array" ref="O358">IF('.'!O358="","",'.'!O358&amp;IF(VLOOKUP('.'!O358,Recipes!$A:$D,4,FALSE)="",""," ["&amp;VLOOKUP('.'!O358,Recipes!$A:$D,4,FALSE)&amp;"]"))</f>
        <v/>
      </c>
      <c r="P358" s="46" t="str">
        <f t="array" ref="P358">IF('.'!P358="","",'.'!P358&amp;IF(VLOOKUP('.'!P358,Recipes!$A:$D,4,FALSE)="",""," ["&amp;VLOOKUP('.'!P358,Recipes!$A:$D,4,FALSE)&amp;"]"))</f>
        <v/>
      </c>
      <c r="Q358" s="46" t="str">
        <f t="array" ref="Q358">IF('.'!Q358="","",'.'!Q358&amp;IF(VLOOKUP('.'!Q358,Recipes!$A:$D,4,FALSE)="",""," ["&amp;VLOOKUP('.'!Q358,Recipes!$A:$D,4,FALSE)&amp;"]"))</f>
        <v/>
      </c>
      <c r="R358" s="46" t="str">
        <f t="array" ref="R358">IF('.'!R358="","",'.'!R358&amp;IF(VLOOKUP('.'!R358,Recipes!$A:$D,4,FALSE)="",""," ["&amp;VLOOKUP('.'!R358,Recipes!$A:$D,4,FALSE)&amp;"]"))</f>
        <v/>
      </c>
      <c r="S358" s="46" t="str">
        <f t="array" ref="S358">IF('.'!S358="","",'.'!S358&amp;IF(VLOOKUP('.'!S358,Recipes!$A:$D,4,FALSE)="",""," ["&amp;VLOOKUP('.'!S358,Recipes!$A:$D,4,FALSE)&amp;"]"))</f>
        <v/>
      </c>
      <c r="T358" s="46" t="str">
        <f t="array" ref="T358">IF('.'!T358="","",'.'!T358&amp;IF(VLOOKUP('.'!T358,Recipes!$A:$D,4,FALSE)="",""," ["&amp;VLOOKUP('.'!T358,Recipes!$A:$D,4,FALSE)&amp;"]"))</f>
        <v/>
      </c>
      <c r="U358" s="46" t="str">
        <f t="array" ref="U358">IF('.'!U358="","",'.'!U358&amp;IF(VLOOKUP('.'!U358,Recipes!$A:$D,4,FALSE)="",""," ["&amp;VLOOKUP('.'!U358,Recipes!$A:$D,4,FALSE)&amp;"]"))</f>
        <v/>
      </c>
      <c r="V358" s="46" t="str">
        <f t="array" ref="V358">IF('.'!V358="","",'.'!V358&amp;IF(VLOOKUP('.'!V358,Recipes!$A:$D,4,FALSE)="",""," ["&amp;VLOOKUP('.'!V358,Recipes!$A:$D,4,FALSE)&amp;"]"))</f>
        <v/>
      </c>
      <c r="W358" s="46" t="str">
        <f t="array" ref="W358">IF('.'!W358="","",'.'!W358&amp;IF(VLOOKUP('.'!W358,Recipes!$A:$D,4,FALSE)="",""," ["&amp;VLOOKUP('.'!W358,Recipes!$A:$D,4,FALSE)&amp;"]"))</f>
        <v/>
      </c>
      <c r="X358" s="46" t="str">
        <f t="array" ref="X358">IF('.'!X358="","",'.'!X358&amp;IF(VLOOKUP('.'!X358,Recipes!$A:$D,4,FALSE)="",""," ["&amp;VLOOKUP('.'!X358,Recipes!$A:$D,4,FALSE)&amp;"]"))</f>
        <v/>
      </c>
      <c r="Y358" s="46" t="str">
        <f t="array" ref="Y358">IF('.'!Y358="","",'.'!Y358&amp;IF(VLOOKUP('.'!Y358,Recipes!$A:$D,4,FALSE)="",""," ["&amp;VLOOKUP('.'!Y358,Recipes!$A:$D,4,FALSE)&amp;"]"))</f>
        <v/>
      </c>
      <c r="Z358" s="46" t="str">
        <f t="array" ref="Z358">IF('.'!Z358="","",'.'!Z358&amp;IF(VLOOKUP('.'!Z358,Recipes!$A:$D,4,FALSE)="",""," ["&amp;VLOOKUP('.'!Z358,Recipes!$A:$D,4,FALSE)&amp;"]"))</f>
        <v/>
      </c>
      <c r="AA358" s="46" t="str">
        <f t="array" ref="AA358">IF('.'!AA358="","",'.'!AA358&amp;IF(VLOOKUP('.'!AA358,Recipes!$A:$D,4,FALSE)="",""," ["&amp;VLOOKUP('.'!AA358,Recipes!$A:$D,4,FALSE)&amp;"]"))</f>
        <v/>
      </c>
      <c r="AB358" s="46" t="str">
        <f t="array" ref="AB358">IF('.'!AB358="","",'.'!AB358&amp;IF(VLOOKUP('.'!AB358,Recipes!$A:$D,4,FALSE)="",""," ["&amp;VLOOKUP('.'!AB358,Recipes!$A:$D,4,FALSE)&amp;"]"))</f>
        <v/>
      </c>
      <c r="AC358" s="46" t="str">
        <f t="array" ref="AC358">IF('.'!AC358="","",'.'!AC358&amp;IF(VLOOKUP('.'!AC358,Recipes!$A:$D,4,FALSE)="",""," ["&amp;VLOOKUP('.'!AC358,Recipes!$A:$D,4,FALSE)&amp;"]"))</f>
        <v/>
      </c>
      <c r="AD358" s="46" t="str">
        <f t="array" ref="AD358">IF('.'!AD358="","",'.'!AD358&amp;IF(VLOOKUP('.'!AD358,Recipes!$A:$D,4,FALSE)="",""," ["&amp;VLOOKUP('.'!AD358,Recipes!$A:$D,4,FALSE)&amp;"]"))</f>
        <v/>
      </c>
      <c r="AE358" s="47"/>
      <c r="AF358" s="47"/>
      <c r="AG358" s="47"/>
      <c r="AH358" s="47"/>
      <c r="AI358" s="47"/>
      <c r="AJ358" s="47"/>
      <c r="AK358" s="47"/>
      <c r="AL358" s="47"/>
      <c r="AM358" s="47"/>
      <c r="AN358" s="47"/>
      <c r="AO358" s="47"/>
      <c r="AP358" s="47"/>
      <c r="AQ358" s="47"/>
      <c r="AR358" s="47"/>
      <c r="AS358" s="47"/>
      <c r="AT358" s="47"/>
      <c r="AU358" s="47"/>
      <c r="AV358" s="47"/>
      <c r="AW358" s="47"/>
      <c r="AX358" s="47"/>
      <c r="AY358" s="47"/>
      <c r="AZ358" s="47"/>
      <c r="BA358" s="47"/>
      <c r="BB358" s="47"/>
      <c r="BC358" s="47"/>
      <c r="BD358" s="47"/>
      <c r="BE358" s="47"/>
      <c r="BF358" s="47"/>
      <c r="BG358" s="47"/>
      <c r="BH358" s="47"/>
      <c r="BI358" s="47"/>
      <c r="BJ358" s="47"/>
      <c r="BK358" s="47"/>
      <c r="BL358" s="47"/>
      <c r="BM358" s="47"/>
      <c r="BN358" s="47"/>
      <c r="BO358" s="47"/>
      <c r="BP358" s="47"/>
      <c r="BQ358" s="47"/>
      <c r="BR358" s="47"/>
      <c r="BS358" s="47"/>
      <c r="BT358" s="47"/>
      <c r="BU358" s="47"/>
      <c r="BV358" s="47"/>
      <c r="BW358" s="47"/>
      <c r="BX358" s="47"/>
      <c r="BY358" s="47"/>
      <c r="BZ358" s="47"/>
    </row>
    <row r="359" spans="1:78" ht="13">
      <c r="A359" s="48" t="str">
        <f ca="1">'.'!A359</f>
        <v>Rallying Cry Scroll</v>
      </c>
      <c r="B359" s="46" t="str">
        <f t="array" aca="1" ref="B359" ca="1">IF('.'!B359="","",'.'!B359&amp;IF(VLOOKUP('.'!B359,Recipes!$A:$D,4,FALSE)="",""," ["&amp;VLOOKUP('.'!B359,Recipes!$A:$D,4,FALSE)&amp;"]"))</f>
        <v>Rallying Cry Skillbook [-100]</v>
      </c>
      <c r="C359" s="46" t="str">
        <f t="array" ref="C359">IF('.'!C359="","",'.'!C359&amp;IF(VLOOKUP('.'!C359,Recipes!$A:$D,4,FALSE)="",""," ["&amp;VLOOKUP('.'!C359,Recipes!$A:$D,4,FALSE)&amp;"]"))</f>
        <v/>
      </c>
      <c r="D359" s="46" t="str">
        <f t="array" ref="D359">IF('.'!D359="","",'.'!D359&amp;IF(VLOOKUP('.'!D359,Recipes!$A:$D,4,FALSE)="",""," ["&amp;VLOOKUP('.'!D359,Recipes!$A:$D,4,FALSE)&amp;"]"))</f>
        <v/>
      </c>
      <c r="E359" s="46" t="str">
        <f t="array" ref="E359">IF('.'!E359="","",'.'!E359&amp;IF(VLOOKUP('.'!E359,Recipes!$A:$D,4,FALSE)="",""," ["&amp;VLOOKUP('.'!E359,Recipes!$A:$D,4,FALSE)&amp;"]"))</f>
        <v/>
      </c>
      <c r="F359" s="46" t="str">
        <f t="array" ref="F359">IF('.'!F359="","",'.'!F359&amp;IF(VLOOKUP('.'!F359,Recipes!$A:$D,4,FALSE)="",""," ["&amp;VLOOKUP('.'!F359,Recipes!$A:$D,4,FALSE)&amp;"]"))</f>
        <v/>
      </c>
      <c r="G359" s="46" t="str">
        <f t="array" ref="G359">IF('.'!G359="","",'.'!G359&amp;IF(VLOOKUP('.'!G359,Recipes!$A:$D,4,FALSE)="",""," ["&amp;VLOOKUP('.'!G359,Recipes!$A:$D,4,FALSE)&amp;"]"))</f>
        <v/>
      </c>
      <c r="H359" s="46" t="str">
        <f t="array" ref="H359">IF('.'!H359="","",'.'!H359&amp;IF(VLOOKUP('.'!H359,Recipes!$A:$D,4,FALSE)="",""," ["&amp;VLOOKUP('.'!H359,Recipes!$A:$D,4,FALSE)&amp;"]"))</f>
        <v/>
      </c>
      <c r="I359" s="46" t="str">
        <f t="array" ref="I359">IF('.'!I359="","",'.'!I359&amp;IF(VLOOKUP('.'!I359,Recipes!$A:$D,4,FALSE)="",""," ["&amp;VLOOKUP('.'!I359,Recipes!$A:$D,4,FALSE)&amp;"]"))</f>
        <v/>
      </c>
      <c r="J359" s="46" t="str">
        <f t="array" ref="J359">IF('.'!J359="","",'.'!J359&amp;IF(VLOOKUP('.'!J359,Recipes!$A:$D,4,FALSE)="",""," ["&amp;VLOOKUP('.'!J359,Recipes!$A:$D,4,FALSE)&amp;"]"))</f>
        <v/>
      </c>
      <c r="K359" s="46" t="str">
        <f t="array" ref="K359">IF('.'!K359="","",'.'!K359&amp;IF(VLOOKUP('.'!K359,Recipes!$A:$D,4,FALSE)="",""," ["&amp;VLOOKUP('.'!K359,Recipes!$A:$D,4,FALSE)&amp;"]"))</f>
        <v/>
      </c>
      <c r="L359" s="46" t="str">
        <f t="array" ref="L359">IF('.'!L359="","",'.'!L359&amp;IF(VLOOKUP('.'!L359,Recipes!$A:$D,4,FALSE)="",""," ["&amp;VLOOKUP('.'!L359,Recipes!$A:$D,4,FALSE)&amp;"]"))</f>
        <v/>
      </c>
      <c r="M359" s="46" t="str">
        <f t="array" ref="M359">IF('.'!M359="","",'.'!M359&amp;IF(VLOOKUP('.'!M359,Recipes!$A:$D,4,FALSE)="",""," ["&amp;VLOOKUP('.'!M359,Recipes!$A:$D,4,FALSE)&amp;"]"))</f>
        <v/>
      </c>
      <c r="N359" s="46" t="str">
        <f t="array" ref="N359">IF('.'!N359="","",'.'!N359&amp;IF(VLOOKUP('.'!N359,Recipes!$A:$D,4,FALSE)="",""," ["&amp;VLOOKUP('.'!N359,Recipes!$A:$D,4,FALSE)&amp;"]"))</f>
        <v/>
      </c>
      <c r="O359" s="46" t="str">
        <f t="array" ref="O359">IF('.'!O359="","",'.'!O359&amp;IF(VLOOKUP('.'!O359,Recipes!$A:$D,4,FALSE)="",""," ["&amp;VLOOKUP('.'!O359,Recipes!$A:$D,4,FALSE)&amp;"]"))</f>
        <v/>
      </c>
      <c r="P359" s="46" t="str">
        <f t="array" ref="P359">IF('.'!P359="","",'.'!P359&amp;IF(VLOOKUP('.'!P359,Recipes!$A:$D,4,FALSE)="",""," ["&amp;VLOOKUP('.'!P359,Recipes!$A:$D,4,FALSE)&amp;"]"))</f>
        <v/>
      </c>
      <c r="Q359" s="46" t="str">
        <f t="array" ref="Q359">IF('.'!Q359="","",'.'!Q359&amp;IF(VLOOKUP('.'!Q359,Recipes!$A:$D,4,FALSE)="",""," ["&amp;VLOOKUP('.'!Q359,Recipes!$A:$D,4,FALSE)&amp;"]"))</f>
        <v/>
      </c>
      <c r="R359" s="46" t="str">
        <f t="array" ref="R359">IF('.'!R359="","",'.'!R359&amp;IF(VLOOKUP('.'!R359,Recipes!$A:$D,4,FALSE)="",""," ["&amp;VLOOKUP('.'!R359,Recipes!$A:$D,4,FALSE)&amp;"]"))</f>
        <v/>
      </c>
      <c r="S359" s="46" t="str">
        <f t="array" ref="S359">IF('.'!S359="","",'.'!S359&amp;IF(VLOOKUP('.'!S359,Recipes!$A:$D,4,FALSE)="",""," ["&amp;VLOOKUP('.'!S359,Recipes!$A:$D,4,FALSE)&amp;"]"))</f>
        <v/>
      </c>
      <c r="T359" s="46" t="str">
        <f t="array" ref="T359">IF('.'!T359="","",'.'!T359&amp;IF(VLOOKUP('.'!T359,Recipes!$A:$D,4,FALSE)="",""," ["&amp;VLOOKUP('.'!T359,Recipes!$A:$D,4,FALSE)&amp;"]"))</f>
        <v/>
      </c>
      <c r="U359" s="46" t="str">
        <f t="array" ref="U359">IF('.'!U359="","",'.'!U359&amp;IF(VLOOKUP('.'!U359,Recipes!$A:$D,4,FALSE)="",""," ["&amp;VLOOKUP('.'!U359,Recipes!$A:$D,4,FALSE)&amp;"]"))</f>
        <v/>
      </c>
      <c r="V359" s="46" t="str">
        <f t="array" ref="V359">IF('.'!V359="","",'.'!V359&amp;IF(VLOOKUP('.'!V359,Recipes!$A:$D,4,FALSE)="",""," ["&amp;VLOOKUP('.'!V359,Recipes!$A:$D,4,FALSE)&amp;"]"))</f>
        <v/>
      </c>
      <c r="W359" s="46" t="str">
        <f t="array" ref="W359">IF('.'!W359="","",'.'!W359&amp;IF(VLOOKUP('.'!W359,Recipes!$A:$D,4,FALSE)="",""," ["&amp;VLOOKUP('.'!W359,Recipes!$A:$D,4,FALSE)&amp;"]"))</f>
        <v/>
      </c>
      <c r="X359" s="46" t="str">
        <f t="array" ref="X359">IF('.'!X359="","",'.'!X359&amp;IF(VLOOKUP('.'!X359,Recipes!$A:$D,4,FALSE)="",""," ["&amp;VLOOKUP('.'!X359,Recipes!$A:$D,4,FALSE)&amp;"]"))</f>
        <v/>
      </c>
      <c r="Y359" s="46" t="str">
        <f t="array" ref="Y359">IF('.'!Y359="","",'.'!Y359&amp;IF(VLOOKUP('.'!Y359,Recipes!$A:$D,4,FALSE)="",""," ["&amp;VLOOKUP('.'!Y359,Recipes!$A:$D,4,FALSE)&amp;"]"))</f>
        <v/>
      </c>
      <c r="Z359" s="46" t="str">
        <f t="array" ref="Z359">IF('.'!Z359="","",'.'!Z359&amp;IF(VLOOKUP('.'!Z359,Recipes!$A:$D,4,FALSE)="",""," ["&amp;VLOOKUP('.'!Z359,Recipes!$A:$D,4,FALSE)&amp;"]"))</f>
        <v/>
      </c>
      <c r="AA359" s="46" t="str">
        <f t="array" ref="AA359">IF('.'!AA359="","",'.'!AA359&amp;IF(VLOOKUP('.'!AA359,Recipes!$A:$D,4,FALSE)="",""," ["&amp;VLOOKUP('.'!AA359,Recipes!$A:$D,4,FALSE)&amp;"]"))</f>
        <v/>
      </c>
      <c r="AB359" s="46" t="str">
        <f t="array" ref="AB359">IF('.'!AB359="","",'.'!AB359&amp;IF(VLOOKUP('.'!AB359,Recipes!$A:$D,4,FALSE)="",""," ["&amp;VLOOKUP('.'!AB359,Recipes!$A:$D,4,FALSE)&amp;"]"))</f>
        <v/>
      </c>
      <c r="AC359" s="46" t="str">
        <f t="array" ref="AC359">IF('.'!AC359="","",'.'!AC359&amp;IF(VLOOKUP('.'!AC359,Recipes!$A:$D,4,FALSE)="",""," ["&amp;VLOOKUP('.'!AC359,Recipes!$A:$D,4,FALSE)&amp;"]"))</f>
        <v/>
      </c>
      <c r="AD359" s="46" t="str">
        <f t="array" ref="AD359">IF('.'!AD359="","",'.'!AD359&amp;IF(VLOOKUP('.'!AD359,Recipes!$A:$D,4,FALSE)="",""," ["&amp;VLOOKUP('.'!AD359,Recipes!$A:$D,4,FALSE)&amp;"]"))</f>
        <v/>
      </c>
      <c r="AE359" s="47"/>
      <c r="AF359" s="47"/>
      <c r="AG359" s="47"/>
      <c r="AH359" s="47"/>
      <c r="AI359" s="47"/>
      <c r="AJ359" s="47"/>
      <c r="AK359" s="47"/>
      <c r="AL359" s="47"/>
      <c r="AM359" s="47"/>
      <c r="AN359" s="47"/>
      <c r="AO359" s="47"/>
      <c r="AP359" s="47"/>
      <c r="AQ359" s="47"/>
      <c r="AR359" s="47"/>
      <c r="AS359" s="47"/>
      <c r="AT359" s="47"/>
      <c r="AU359" s="47"/>
      <c r="AV359" s="47"/>
      <c r="AW359" s="47"/>
      <c r="AX359" s="47"/>
      <c r="AY359" s="47"/>
      <c r="AZ359" s="47"/>
      <c r="BA359" s="47"/>
      <c r="BB359" s="47"/>
      <c r="BC359" s="47"/>
      <c r="BD359" s="47"/>
      <c r="BE359" s="47"/>
      <c r="BF359" s="47"/>
      <c r="BG359" s="47"/>
      <c r="BH359" s="47"/>
      <c r="BI359" s="47"/>
      <c r="BJ359" s="47"/>
      <c r="BK359" s="47"/>
      <c r="BL359" s="47"/>
      <c r="BM359" s="47"/>
      <c r="BN359" s="47"/>
      <c r="BO359" s="47"/>
      <c r="BP359" s="47"/>
      <c r="BQ359" s="47"/>
      <c r="BR359" s="47"/>
      <c r="BS359" s="47"/>
      <c r="BT359" s="47"/>
      <c r="BU359" s="47"/>
      <c r="BV359" s="47"/>
      <c r="BW359" s="47"/>
      <c r="BX359" s="47"/>
      <c r="BY359" s="47"/>
      <c r="BZ359" s="47"/>
    </row>
    <row r="360" spans="1:78" ht="13">
      <c r="A360" s="48" t="str">
        <f ca="1">'.'!A360</f>
        <v>Rat's Tail</v>
      </c>
      <c r="B360" s="46" t="str">
        <f t="array" aca="1" ref="B360" ca="1">IF('.'!B360="","",'.'!B360&amp;IF(VLOOKUP('.'!B360,Recipes!$A:$D,4,FALSE)="",""," ["&amp;VLOOKUP('.'!B360,Recipes!$A:$D,4,FALSE)&amp;"]"))</f>
        <v>Tentacle Lash Scroll [5]</v>
      </c>
      <c r="C360" s="46" t="str">
        <f t="array" ref="C360">IF('.'!C360="","",'.'!C360&amp;IF(VLOOKUP('.'!C360,Recipes!$A:$D,4,FALSE)="",""," ["&amp;VLOOKUP('.'!C360,Recipes!$A:$D,4,FALSE)&amp;"]"))</f>
        <v/>
      </c>
      <c r="D360" s="46" t="str">
        <f t="array" ref="D360">IF('.'!D360="","",'.'!D360&amp;IF(VLOOKUP('.'!D360,Recipes!$A:$D,4,FALSE)="",""," ["&amp;VLOOKUP('.'!D360,Recipes!$A:$D,4,FALSE)&amp;"]"))</f>
        <v/>
      </c>
      <c r="E360" s="46" t="str">
        <f t="array" ref="E360">IF('.'!E360="","",'.'!E360&amp;IF(VLOOKUP('.'!E360,Recipes!$A:$D,4,FALSE)="",""," ["&amp;VLOOKUP('.'!E360,Recipes!$A:$D,4,FALSE)&amp;"]"))</f>
        <v/>
      </c>
      <c r="F360" s="46" t="str">
        <f t="array" ref="F360">IF('.'!F360="","",'.'!F360&amp;IF(VLOOKUP('.'!F360,Recipes!$A:$D,4,FALSE)="",""," ["&amp;VLOOKUP('.'!F360,Recipes!$A:$D,4,FALSE)&amp;"]"))</f>
        <v/>
      </c>
      <c r="G360" s="46" t="str">
        <f t="array" ref="G360">IF('.'!G360="","",'.'!G360&amp;IF(VLOOKUP('.'!G360,Recipes!$A:$D,4,FALSE)="",""," ["&amp;VLOOKUP('.'!G360,Recipes!$A:$D,4,FALSE)&amp;"]"))</f>
        <v/>
      </c>
      <c r="H360" s="46" t="str">
        <f t="array" ref="H360">IF('.'!H360="","",'.'!H360&amp;IF(VLOOKUP('.'!H360,Recipes!$A:$D,4,FALSE)="",""," ["&amp;VLOOKUP('.'!H360,Recipes!$A:$D,4,FALSE)&amp;"]"))</f>
        <v/>
      </c>
      <c r="I360" s="46" t="str">
        <f t="array" ref="I360">IF('.'!I360="","",'.'!I360&amp;IF(VLOOKUP('.'!I360,Recipes!$A:$D,4,FALSE)="",""," ["&amp;VLOOKUP('.'!I360,Recipes!$A:$D,4,FALSE)&amp;"]"))</f>
        <v/>
      </c>
      <c r="J360" s="46" t="str">
        <f t="array" ref="J360">IF('.'!J360="","",'.'!J360&amp;IF(VLOOKUP('.'!J360,Recipes!$A:$D,4,FALSE)="",""," ["&amp;VLOOKUP('.'!J360,Recipes!$A:$D,4,FALSE)&amp;"]"))</f>
        <v/>
      </c>
      <c r="K360" s="46" t="str">
        <f t="array" ref="K360">IF('.'!K360="","",'.'!K360&amp;IF(VLOOKUP('.'!K360,Recipes!$A:$D,4,FALSE)="",""," ["&amp;VLOOKUP('.'!K360,Recipes!$A:$D,4,FALSE)&amp;"]"))</f>
        <v/>
      </c>
      <c r="L360" s="46" t="str">
        <f t="array" ref="L360">IF('.'!L360="","",'.'!L360&amp;IF(VLOOKUP('.'!L360,Recipes!$A:$D,4,FALSE)="",""," ["&amp;VLOOKUP('.'!L360,Recipes!$A:$D,4,FALSE)&amp;"]"))</f>
        <v/>
      </c>
      <c r="M360" s="46" t="str">
        <f t="array" ref="M360">IF('.'!M360="","",'.'!M360&amp;IF(VLOOKUP('.'!M360,Recipes!$A:$D,4,FALSE)="",""," ["&amp;VLOOKUP('.'!M360,Recipes!$A:$D,4,FALSE)&amp;"]"))</f>
        <v/>
      </c>
      <c r="N360" s="46" t="str">
        <f t="array" ref="N360">IF('.'!N360="","",'.'!N360&amp;IF(VLOOKUP('.'!N360,Recipes!$A:$D,4,FALSE)="",""," ["&amp;VLOOKUP('.'!N360,Recipes!$A:$D,4,FALSE)&amp;"]"))</f>
        <v/>
      </c>
      <c r="O360" s="46" t="str">
        <f t="array" ref="O360">IF('.'!O360="","",'.'!O360&amp;IF(VLOOKUP('.'!O360,Recipes!$A:$D,4,FALSE)="",""," ["&amp;VLOOKUP('.'!O360,Recipes!$A:$D,4,FALSE)&amp;"]"))</f>
        <v/>
      </c>
      <c r="P360" s="46" t="str">
        <f t="array" ref="P360">IF('.'!P360="","",'.'!P360&amp;IF(VLOOKUP('.'!P360,Recipes!$A:$D,4,FALSE)="",""," ["&amp;VLOOKUP('.'!P360,Recipes!$A:$D,4,FALSE)&amp;"]"))</f>
        <v/>
      </c>
      <c r="Q360" s="46" t="str">
        <f t="array" ref="Q360">IF('.'!Q360="","",'.'!Q360&amp;IF(VLOOKUP('.'!Q360,Recipes!$A:$D,4,FALSE)="",""," ["&amp;VLOOKUP('.'!Q360,Recipes!$A:$D,4,FALSE)&amp;"]"))</f>
        <v/>
      </c>
      <c r="R360" s="46" t="str">
        <f t="array" ref="R360">IF('.'!R360="","",'.'!R360&amp;IF(VLOOKUP('.'!R360,Recipes!$A:$D,4,FALSE)="",""," ["&amp;VLOOKUP('.'!R360,Recipes!$A:$D,4,FALSE)&amp;"]"))</f>
        <v/>
      </c>
      <c r="S360" s="46" t="str">
        <f t="array" ref="S360">IF('.'!S360="","",'.'!S360&amp;IF(VLOOKUP('.'!S360,Recipes!$A:$D,4,FALSE)="",""," ["&amp;VLOOKUP('.'!S360,Recipes!$A:$D,4,FALSE)&amp;"]"))</f>
        <v/>
      </c>
      <c r="T360" s="46" t="str">
        <f t="array" ref="T360">IF('.'!T360="","",'.'!T360&amp;IF(VLOOKUP('.'!T360,Recipes!$A:$D,4,FALSE)="",""," ["&amp;VLOOKUP('.'!T360,Recipes!$A:$D,4,FALSE)&amp;"]"))</f>
        <v/>
      </c>
      <c r="U360" s="46" t="str">
        <f t="array" ref="U360">IF('.'!U360="","",'.'!U360&amp;IF(VLOOKUP('.'!U360,Recipes!$A:$D,4,FALSE)="",""," ["&amp;VLOOKUP('.'!U360,Recipes!$A:$D,4,FALSE)&amp;"]"))</f>
        <v/>
      </c>
      <c r="V360" s="46" t="str">
        <f t="array" ref="V360">IF('.'!V360="","",'.'!V360&amp;IF(VLOOKUP('.'!V360,Recipes!$A:$D,4,FALSE)="",""," ["&amp;VLOOKUP('.'!V360,Recipes!$A:$D,4,FALSE)&amp;"]"))</f>
        <v/>
      </c>
      <c r="W360" s="46" t="str">
        <f t="array" ref="W360">IF('.'!W360="","",'.'!W360&amp;IF(VLOOKUP('.'!W360,Recipes!$A:$D,4,FALSE)="",""," ["&amp;VLOOKUP('.'!W360,Recipes!$A:$D,4,FALSE)&amp;"]"))</f>
        <v/>
      </c>
      <c r="X360" s="46" t="str">
        <f t="array" ref="X360">IF('.'!X360="","",'.'!X360&amp;IF(VLOOKUP('.'!X360,Recipes!$A:$D,4,FALSE)="",""," ["&amp;VLOOKUP('.'!X360,Recipes!$A:$D,4,FALSE)&amp;"]"))</f>
        <v/>
      </c>
      <c r="Y360" s="46" t="str">
        <f t="array" ref="Y360">IF('.'!Y360="","",'.'!Y360&amp;IF(VLOOKUP('.'!Y360,Recipes!$A:$D,4,FALSE)="",""," ["&amp;VLOOKUP('.'!Y360,Recipes!$A:$D,4,FALSE)&amp;"]"))</f>
        <v/>
      </c>
      <c r="Z360" s="46" t="str">
        <f t="array" ref="Z360">IF('.'!Z360="","",'.'!Z360&amp;IF(VLOOKUP('.'!Z360,Recipes!$A:$D,4,FALSE)="",""," ["&amp;VLOOKUP('.'!Z360,Recipes!$A:$D,4,FALSE)&amp;"]"))</f>
        <v/>
      </c>
      <c r="AA360" s="46" t="str">
        <f t="array" ref="AA360">IF('.'!AA360="","",'.'!AA360&amp;IF(VLOOKUP('.'!AA360,Recipes!$A:$D,4,FALSE)="",""," ["&amp;VLOOKUP('.'!AA360,Recipes!$A:$D,4,FALSE)&amp;"]"))</f>
        <v/>
      </c>
      <c r="AB360" s="46" t="str">
        <f t="array" ref="AB360">IF('.'!AB360="","",'.'!AB360&amp;IF(VLOOKUP('.'!AB360,Recipes!$A:$D,4,FALSE)="",""," ["&amp;VLOOKUP('.'!AB360,Recipes!$A:$D,4,FALSE)&amp;"]"))</f>
        <v/>
      </c>
      <c r="AC360" s="46" t="str">
        <f t="array" ref="AC360">IF('.'!AC360="","",'.'!AC360&amp;IF(VLOOKUP('.'!AC360,Recipes!$A:$D,4,FALSE)="",""," ["&amp;VLOOKUP('.'!AC360,Recipes!$A:$D,4,FALSE)&amp;"]"))</f>
        <v/>
      </c>
      <c r="AD360" s="46" t="str">
        <f t="array" ref="AD360">IF('.'!AD360="","",'.'!AD360&amp;IF(VLOOKUP('.'!AD360,Recipes!$A:$D,4,FALSE)="",""," ["&amp;VLOOKUP('.'!AD360,Recipes!$A:$D,4,FALSE)&amp;"]"))</f>
        <v/>
      </c>
      <c r="AE360" s="47"/>
      <c r="AF360" s="47"/>
      <c r="AG360" s="47"/>
      <c r="AH360" s="47"/>
      <c r="AI360" s="47"/>
      <c r="AJ360" s="47"/>
      <c r="AK360" s="47"/>
      <c r="AL360" s="47"/>
      <c r="AM360" s="47"/>
      <c r="AN360" s="47"/>
      <c r="AO360" s="47"/>
      <c r="AP360" s="47"/>
      <c r="AQ360" s="47"/>
      <c r="AR360" s="47"/>
      <c r="AS360" s="47"/>
      <c r="AT360" s="47"/>
      <c r="AU360" s="47"/>
      <c r="AV360" s="47"/>
      <c r="AW360" s="47"/>
      <c r="AX360" s="47"/>
      <c r="AY360" s="47"/>
      <c r="AZ360" s="47"/>
      <c r="BA360" s="47"/>
      <c r="BB360" s="47"/>
      <c r="BC360" s="47"/>
      <c r="BD360" s="47"/>
      <c r="BE360" s="47"/>
      <c r="BF360" s="47"/>
      <c r="BG360" s="47"/>
      <c r="BH360" s="47"/>
      <c r="BI360" s="47"/>
      <c r="BJ360" s="47"/>
      <c r="BK360" s="47"/>
      <c r="BL360" s="47"/>
      <c r="BM360" s="47"/>
      <c r="BN360" s="47"/>
      <c r="BO360" s="47"/>
      <c r="BP360" s="47"/>
      <c r="BQ360" s="47"/>
      <c r="BR360" s="47"/>
      <c r="BS360" s="47"/>
      <c r="BT360" s="47"/>
      <c r="BU360" s="47"/>
      <c r="BV360" s="47"/>
      <c r="BW360" s="47"/>
      <c r="BX360" s="47"/>
      <c r="BY360" s="47"/>
      <c r="BZ360" s="47"/>
    </row>
    <row r="361" spans="1:78" ht="13">
      <c r="A361" s="48" t="str">
        <f ca="1">'.'!A361</f>
        <v>Raw Lumpy Giblets</v>
      </c>
      <c r="B361" s="46" t="str">
        <f t="array" aca="1" ref="B361" ca="1">IF('.'!B361="","",'.'!B361&amp;IF(VLOOKUP('.'!B361,Recipes!$A:$D,4,FALSE)="",""," ["&amp;VLOOKUP('.'!B361,Recipes!$A:$D,4,FALSE)&amp;"]"))</f>
        <v>Living on the Edge Scroll [137]</v>
      </c>
      <c r="C361" s="46" t="str">
        <f t="array" ref="C361">IF('.'!C361="","",'.'!C361&amp;IF(VLOOKUP('.'!C361,Recipes!$A:$D,4,FALSE)="",""," ["&amp;VLOOKUP('.'!C361,Recipes!$A:$D,4,FALSE)&amp;"]"))</f>
        <v/>
      </c>
      <c r="D361" s="46" t="str">
        <f t="array" ref="D361">IF('.'!D361="","",'.'!D361&amp;IF(VLOOKUP('.'!D361,Recipes!$A:$D,4,FALSE)="",""," ["&amp;VLOOKUP('.'!D361,Recipes!$A:$D,4,FALSE)&amp;"]"))</f>
        <v/>
      </c>
      <c r="E361" s="46" t="str">
        <f t="array" ref="E361">IF('.'!E361="","",'.'!E361&amp;IF(VLOOKUP('.'!E361,Recipes!$A:$D,4,FALSE)="",""," ["&amp;VLOOKUP('.'!E361,Recipes!$A:$D,4,FALSE)&amp;"]"))</f>
        <v/>
      </c>
      <c r="F361" s="46" t="str">
        <f t="array" ref="F361">IF('.'!F361="","",'.'!F361&amp;IF(VLOOKUP('.'!F361,Recipes!$A:$D,4,FALSE)="",""," ["&amp;VLOOKUP('.'!F361,Recipes!$A:$D,4,FALSE)&amp;"]"))</f>
        <v/>
      </c>
      <c r="G361" s="46" t="str">
        <f t="array" ref="G361">IF('.'!G361="","",'.'!G361&amp;IF(VLOOKUP('.'!G361,Recipes!$A:$D,4,FALSE)="",""," ["&amp;VLOOKUP('.'!G361,Recipes!$A:$D,4,FALSE)&amp;"]"))</f>
        <v/>
      </c>
      <c r="H361" s="46" t="str">
        <f t="array" ref="H361">IF('.'!H361="","",'.'!H361&amp;IF(VLOOKUP('.'!H361,Recipes!$A:$D,4,FALSE)="",""," ["&amp;VLOOKUP('.'!H361,Recipes!$A:$D,4,FALSE)&amp;"]"))</f>
        <v/>
      </c>
      <c r="I361" s="46" t="str">
        <f t="array" ref="I361">IF('.'!I361="","",'.'!I361&amp;IF(VLOOKUP('.'!I361,Recipes!$A:$D,4,FALSE)="",""," ["&amp;VLOOKUP('.'!I361,Recipes!$A:$D,4,FALSE)&amp;"]"))</f>
        <v/>
      </c>
      <c r="J361" s="46" t="str">
        <f t="array" ref="J361">IF('.'!J361="","",'.'!J361&amp;IF(VLOOKUP('.'!J361,Recipes!$A:$D,4,FALSE)="",""," ["&amp;VLOOKUP('.'!J361,Recipes!$A:$D,4,FALSE)&amp;"]"))</f>
        <v/>
      </c>
      <c r="K361" s="46" t="str">
        <f t="array" ref="K361">IF('.'!K361="","",'.'!K361&amp;IF(VLOOKUP('.'!K361,Recipes!$A:$D,4,FALSE)="",""," ["&amp;VLOOKUP('.'!K361,Recipes!$A:$D,4,FALSE)&amp;"]"))</f>
        <v/>
      </c>
      <c r="L361" s="46" t="str">
        <f t="array" ref="L361">IF('.'!L361="","",'.'!L361&amp;IF(VLOOKUP('.'!L361,Recipes!$A:$D,4,FALSE)="",""," ["&amp;VLOOKUP('.'!L361,Recipes!$A:$D,4,FALSE)&amp;"]"))</f>
        <v/>
      </c>
      <c r="M361" s="46" t="str">
        <f t="array" ref="M361">IF('.'!M361="","",'.'!M361&amp;IF(VLOOKUP('.'!M361,Recipes!$A:$D,4,FALSE)="",""," ["&amp;VLOOKUP('.'!M361,Recipes!$A:$D,4,FALSE)&amp;"]"))</f>
        <v/>
      </c>
      <c r="N361" s="46" t="str">
        <f t="array" ref="N361">IF('.'!N361="","",'.'!N361&amp;IF(VLOOKUP('.'!N361,Recipes!$A:$D,4,FALSE)="",""," ["&amp;VLOOKUP('.'!N361,Recipes!$A:$D,4,FALSE)&amp;"]"))</f>
        <v/>
      </c>
      <c r="O361" s="46" t="str">
        <f t="array" ref="O361">IF('.'!O361="","",'.'!O361&amp;IF(VLOOKUP('.'!O361,Recipes!$A:$D,4,FALSE)="",""," ["&amp;VLOOKUP('.'!O361,Recipes!$A:$D,4,FALSE)&amp;"]"))</f>
        <v/>
      </c>
      <c r="P361" s="46" t="str">
        <f t="array" ref="P361">IF('.'!P361="","",'.'!P361&amp;IF(VLOOKUP('.'!P361,Recipes!$A:$D,4,FALSE)="",""," ["&amp;VLOOKUP('.'!P361,Recipes!$A:$D,4,FALSE)&amp;"]"))</f>
        <v/>
      </c>
      <c r="Q361" s="46" t="str">
        <f t="array" ref="Q361">IF('.'!Q361="","",'.'!Q361&amp;IF(VLOOKUP('.'!Q361,Recipes!$A:$D,4,FALSE)="",""," ["&amp;VLOOKUP('.'!Q361,Recipes!$A:$D,4,FALSE)&amp;"]"))</f>
        <v/>
      </c>
      <c r="R361" s="46" t="str">
        <f t="array" ref="R361">IF('.'!R361="","",'.'!R361&amp;IF(VLOOKUP('.'!R361,Recipes!$A:$D,4,FALSE)="",""," ["&amp;VLOOKUP('.'!R361,Recipes!$A:$D,4,FALSE)&amp;"]"))</f>
        <v/>
      </c>
      <c r="S361" s="46" t="str">
        <f t="array" ref="S361">IF('.'!S361="","",'.'!S361&amp;IF(VLOOKUP('.'!S361,Recipes!$A:$D,4,FALSE)="",""," ["&amp;VLOOKUP('.'!S361,Recipes!$A:$D,4,FALSE)&amp;"]"))</f>
        <v/>
      </c>
      <c r="T361" s="46" t="str">
        <f t="array" ref="T361">IF('.'!T361="","",'.'!T361&amp;IF(VLOOKUP('.'!T361,Recipes!$A:$D,4,FALSE)="",""," ["&amp;VLOOKUP('.'!T361,Recipes!$A:$D,4,FALSE)&amp;"]"))</f>
        <v/>
      </c>
      <c r="U361" s="46" t="str">
        <f t="array" ref="U361">IF('.'!U361="","",'.'!U361&amp;IF(VLOOKUP('.'!U361,Recipes!$A:$D,4,FALSE)="",""," ["&amp;VLOOKUP('.'!U361,Recipes!$A:$D,4,FALSE)&amp;"]"))</f>
        <v/>
      </c>
      <c r="V361" s="46" t="str">
        <f t="array" ref="V361">IF('.'!V361="","",'.'!V361&amp;IF(VLOOKUP('.'!V361,Recipes!$A:$D,4,FALSE)="",""," ["&amp;VLOOKUP('.'!V361,Recipes!$A:$D,4,FALSE)&amp;"]"))</f>
        <v/>
      </c>
      <c r="W361" s="46" t="str">
        <f t="array" ref="W361">IF('.'!W361="","",'.'!W361&amp;IF(VLOOKUP('.'!W361,Recipes!$A:$D,4,FALSE)="",""," ["&amp;VLOOKUP('.'!W361,Recipes!$A:$D,4,FALSE)&amp;"]"))</f>
        <v/>
      </c>
      <c r="X361" s="46" t="str">
        <f t="array" ref="X361">IF('.'!X361="","",'.'!X361&amp;IF(VLOOKUP('.'!X361,Recipes!$A:$D,4,FALSE)="",""," ["&amp;VLOOKUP('.'!X361,Recipes!$A:$D,4,FALSE)&amp;"]"))</f>
        <v/>
      </c>
      <c r="Y361" s="46" t="str">
        <f t="array" ref="Y361">IF('.'!Y361="","",'.'!Y361&amp;IF(VLOOKUP('.'!Y361,Recipes!$A:$D,4,FALSE)="",""," ["&amp;VLOOKUP('.'!Y361,Recipes!$A:$D,4,FALSE)&amp;"]"))</f>
        <v/>
      </c>
      <c r="Z361" s="46" t="str">
        <f t="array" ref="Z361">IF('.'!Z361="","",'.'!Z361&amp;IF(VLOOKUP('.'!Z361,Recipes!$A:$D,4,FALSE)="",""," ["&amp;VLOOKUP('.'!Z361,Recipes!$A:$D,4,FALSE)&amp;"]"))</f>
        <v/>
      </c>
      <c r="AA361" s="46" t="str">
        <f t="array" ref="AA361">IF('.'!AA361="","",'.'!AA361&amp;IF(VLOOKUP('.'!AA361,Recipes!$A:$D,4,FALSE)="",""," ["&amp;VLOOKUP('.'!AA361,Recipes!$A:$D,4,FALSE)&amp;"]"))</f>
        <v/>
      </c>
      <c r="AB361" s="46" t="str">
        <f t="array" ref="AB361">IF('.'!AB361="","",'.'!AB361&amp;IF(VLOOKUP('.'!AB361,Recipes!$A:$D,4,FALSE)="",""," ["&amp;VLOOKUP('.'!AB361,Recipes!$A:$D,4,FALSE)&amp;"]"))</f>
        <v/>
      </c>
      <c r="AC361" s="46" t="str">
        <f t="array" ref="AC361">IF('.'!AC361="","",'.'!AC361&amp;IF(VLOOKUP('.'!AC361,Recipes!$A:$D,4,FALSE)="",""," ["&amp;VLOOKUP('.'!AC361,Recipes!$A:$D,4,FALSE)&amp;"]"))</f>
        <v/>
      </c>
      <c r="AD361" s="46" t="str">
        <f t="array" ref="AD361">IF('.'!AD361="","",'.'!AD361&amp;IF(VLOOKUP('.'!AD361,Recipes!$A:$D,4,FALSE)="",""," ["&amp;VLOOKUP('.'!AD361,Recipes!$A:$D,4,FALSE)&amp;"]"))</f>
        <v/>
      </c>
      <c r="AE361" s="47"/>
      <c r="AF361" s="47"/>
      <c r="AG361" s="47"/>
      <c r="AH361" s="47"/>
      <c r="AI361" s="47"/>
      <c r="AJ361" s="47"/>
      <c r="AK361" s="47"/>
      <c r="AL361" s="47"/>
      <c r="AM361" s="47"/>
      <c r="AN361" s="47"/>
      <c r="AO361" s="47"/>
      <c r="AP361" s="47"/>
      <c r="AQ361" s="47"/>
      <c r="AR361" s="47"/>
      <c r="AS361" s="47"/>
      <c r="AT361" s="47"/>
      <c r="AU361" s="47"/>
      <c r="AV361" s="47"/>
      <c r="AW361" s="47"/>
      <c r="AX361" s="47"/>
      <c r="AY361" s="47"/>
      <c r="AZ361" s="47"/>
      <c r="BA361" s="47"/>
      <c r="BB361" s="47"/>
      <c r="BC361" s="47"/>
      <c r="BD361" s="47"/>
      <c r="BE361" s="47"/>
      <c r="BF361" s="47"/>
      <c r="BG361" s="47"/>
      <c r="BH361" s="47"/>
      <c r="BI361" s="47"/>
      <c r="BJ361" s="47"/>
      <c r="BK361" s="47"/>
      <c r="BL361" s="47"/>
      <c r="BM361" s="47"/>
      <c r="BN361" s="47"/>
      <c r="BO361" s="47"/>
      <c r="BP361" s="47"/>
      <c r="BQ361" s="47"/>
      <c r="BR361" s="47"/>
      <c r="BS361" s="47"/>
      <c r="BT361" s="47"/>
      <c r="BU361" s="47"/>
      <c r="BV361" s="47"/>
      <c r="BW361" s="47"/>
      <c r="BX361" s="47"/>
      <c r="BY361" s="47"/>
      <c r="BZ361" s="47"/>
    </row>
    <row r="362" spans="1:78" ht="13">
      <c r="A362" s="48" t="str">
        <f ca="1">'.'!A362</f>
        <v>Raw Slice of Meat</v>
      </c>
      <c r="B362" s="46" t="e">
        <f t="array" aca="1" ref="B362" ca="1">IF('.'!B362="","",'.'!B362&amp;IF(VLOOKUP('.'!B362,Recipes!$A:$D,4,FALSE)="",""," ["&amp;VLOOKUP('.'!B362,Recipes!$A:$D,4,FALSE)&amp;"]"))</f>
        <v>#VALUE!</v>
      </c>
      <c r="C362" s="46" t="str">
        <f t="array" ref="C362">IF('.'!C362="","",'.'!C362&amp;IF(VLOOKUP('.'!C362,Recipes!$A:$D,4,FALSE)="",""," ["&amp;VLOOKUP('.'!C362,Recipes!$A:$D,4,FALSE)&amp;"]"))</f>
        <v/>
      </c>
      <c r="D362" s="46" t="str">
        <f t="array" ref="D362">IF('.'!D362="","",'.'!D362&amp;IF(VLOOKUP('.'!D362,Recipes!$A:$D,4,FALSE)="",""," ["&amp;VLOOKUP('.'!D362,Recipes!$A:$D,4,FALSE)&amp;"]"))</f>
        <v/>
      </c>
      <c r="E362" s="46" t="str">
        <f t="array" ref="E362">IF('.'!E362="","",'.'!E362&amp;IF(VLOOKUP('.'!E362,Recipes!$A:$D,4,FALSE)="",""," ["&amp;VLOOKUP('.'!E362,Recipes!$A:$D,4,FALSE)&amp;"]"))</f>
        <v/>
      </c>
      <c r="F362" s="46" t="str">
        <f t="array" ref="F362">IF('.'!F362="","",'.'!F362&amp;IF(VLOOKUP('.'!F362,Recipes!$A:$D,4,FALSE)="",""," ["&amp;VLOOKUP('.'!F362,Recipes!$A:$D,4,FALSE)&amp;"]"))</f>
        <v/>
      </c>
      <c r="G362" s="46" t="str">
        <f t="array" ref="G362">IF('.'!G362="","",'.'!G362&amp;IF(VLOOKUP('.'!G362,Recipes!$A:$D,4,FALSE)="",""," ["&amp;VLOOKUP('.'!G362,Recipes!$A:$D,4,FALSE)&amp;"]"))</f>
        <v/>
      </c>
      <c r="H362" s="46" t="str">
        <f t="array" ref="H362">IF('.'!H362="","",'.'!H362&amp;IF(VLOOKUP('.'!H362,Recipes!$A:$D,4,FALSE)="",""," ["&amp;VLOOKUP('.'!H362,Recipes!$A:$D,4,FALSE)&amp;"]"))</f>
        <v/>
      </c>
      <c r="I362" s="46" t="str">
        <f t="array" ref="I362">IF('.'!I362="","",'.'!I362&amp;IF(VLOOKUP('.'!I362,Recipes!$A:$D,4,FALSE)="",""," ["&amp;VLOOKUP('.'!I362,Recipes!$A:$D,4,FALSE)&amp;"]"))</f>
        <v/>
      </c>
      <c r="J362" s="46" t="str">
        <f t="array" ref="J362">IF('.'!J362="","",'.'!J362&amp;IF(VLOOKUP('.'!J362,Recipes!$A:$D,4,FALSE)="",""," ["&amp;VLOOKUP('.'!J362,Recipes!$A:$D,4,FALSE)&amp;"]"))</f>
        <v/>
      </c>
      <c r="K362" s="46" t="str">
        <f t="array" ref="K362">IF('.'!K362="","",'.'!K362&amp;IF(VLOOKUP('.'!K362,Recipes!$A:$D,4,FALSE)="",""," ["&amp;VLOOKUP('.'!K362,Recipes!$A:$D,4,FALSE)&amp;"]"))</f>
        <v/>
      </c>
      <c r="L362" s="46" t="str">
        <f t="array" ref="L362">IF('.'!L362="","",'.'!L362&amp;IF(VLOOKUP('.'!L362,Recipes!$A:$D,4,FALSE)="",""," ["&amp;VLOOKUP('.'!L362,Recipes!$A:$D,4,FALSE)&amp;"]"))</f>
        <v/>
      </c>
      <c r="M362" s="46" t="str">
        <f t="array" ref="M362">IF('.'!M362="","",'.'!M362&amp;IF(VLOOKUP('.'!M362,Recipes!$A:$D,4,FALSE)="",""," ["&amp;VLOOKUP('.'!M362,Recipes!$A:$D,4,FALSE)&amp;"]"))</f>
        <v/>
      </c>
      <c r="N362" s="46" t="str">
        <f t="array" ref="N362">IF('.'!N362="","",'.'!N362&amp;IF(VLOOKUP('.'!N362,Recipes!$A:$D,4,FALSE)="",""," ["&amp;VLOOKUP('.'!N362,Recipes!$A:$D,4,FALSE)&amp;"]"))</f>
        <v/>
      </c>
      <c r="O362" s="46" t="str">
        <f t="array" ref="O362">IF('.'!O362="","",'.'!O362&amp;IF(VLOOKUP('.'!O362,Recipes!$A:$D,4,FALSE)="",""," ["&amp;VLOOKUP('.'!O362,Recipes!$A:$D,4,FALSE)&amp;"]"))</f>
        <v/>
      </c>
      <c r="P362" s="46" t="str">
        <f t="array" ref="P362">IF('.'!P362="","",'.'!P362&amp;IF(VLOOKUP('.'!P362,Recipes!$A:$D,4,FALSE)="",""," ["&amp;VLOOKUP('.'!P362,Recipes!$A:$D,4,FALSE)&amp;"]"))</f>
        <v/>
      </c>
      <c r="Q362" s="46" t="str">
        <f t="array" ref="Q362">IF('.'!Q362="","",'.'!Q362&amp;IF(VLOOKUP('.'!Q362,Recipes!$A:$D,4,FALSE)="",""," ["&amp;VLOOKUP('.'!Q362,Recipes!$A:$D,4,FALSE)&amp;"]"))</f>
        <v/>
      </c>
      <c r="R362" s="46" t="str">
        <f t="array" ref="R362">IF('.'!R362="","",'.'!R362&amp;IF(VLOOKUP('.'!R362,Recipes!$A:$D,4,FALSE)="",""," ["&amp;VLOOKUP('.'!R362,Recipes!$A:$D,4,FALSE)&amp;"]"))</f>
        <v/>
      </c>
      <c r="S362" s="46" t="str">
        <f t="array" ref="S362">IF('.'!S362="","",'.'!S362&amp;IF(VLOOKUP('.'!S362,Recipes!$A:$D,4,FALSE)="",""," ["&amp;VLOOKUP('.'!S362,Recipes!$A:$D,4,FALSE)&amp;"]"))</f>
        <v/>
      </c>
      <c r="T362" s="46" t="str">
        <f t="array" ref="T362">IF('.'!T362="","",'.'!T362&amp;IF(VLOOKUP('.'!T362,Recipes!$A:$D,4,FALSE)="",""," ["&amp;VLOOKUP('.'!T362,Recipes!$A:$D,4,FALSE)&amp;"]"))</f>
        <v/>
      </c>
      <c r="U362" s="46" t="str">
        <f t="array" ref="U362">IF('.'!U362="","",'.'!U362&amp;IF(VLOOKUP('.'!U362,Recipes!$A:$D,4,FALSE)="",""," ["&amp;VLOOKUP('.'!U362,Recipes!$A:$D,4,FALSE)&amp;"]"))</f>
        <v/>
      </c>
      <c r="V362" s="46" t="str">
        <f t="array" ref="V362">IF('.'!V362="","",'.'!V362&amp;IF(VLOOKUP('.'!V362,Recipes!$A:$D,4,FALSE)="",""," ["&amp;VLOOKUP('.'!V362,Recipes!$A:$D,4,FALSE)&amp;"]"))</f>
        <v/>
      </c>
      <c r="W362" s="46" t="str">
        <f t="array" ref="W362">IF('.'!W362="","",'.'!W362&amp;IF(VLOOKUP('.'!W362,Recipes!$A:$D,4,FALSE)="",""," ["&amp;VLOOKUP('.'!W362,Recipes!$A:$D,4,FALSE)&amp;"]"))</f>
        <v/>
      </c>
      <c r="X362" s="46" t="str">
        <f t="array" ref="X362">IF('.'!X362="","",'.'!X362&amp;IF(VLOOKUP('.'!X362,Recipes!$A:$D,4,FALSE)="",""," ["&amp;VLOOKUP('.'!X362,Recipes!$A:$D,4,FALSE)&amp;"]"))</f>
        <v/>
      </c>
      <c r="Y362" s="46" t="str">
        <f t="array" ref="Y362">IF('.'!Y362="","",'.'!Y362&amp;IF(VLOOKUP('.'!Y362,Recipes!$A:$D,4,FALSE)="",""," ["&amp;VLOOKUP('.'!Y362,Recipes!$A:$D,4,FALSE)&amp;"]"))</f>
        <v/>
      </c>
      <c r="Z362" s="46" t="str">
        <f t="array" ref="Z362">IF('.'!Z362="","",'.'!Z362&amp;IF(VLOOKUP('.'!Z362,Recipes!$A:$D,4,FALSE)="",""," ["&amp;VLOOKUP('.'!Z362,Recipes!$A:$D,4,FALSE)&amp;"]"))</f>
        <v/>
      </c>
      <c r="AA362" s="46" t="str">
        <f t="array" ref="AA362">IF('.'!AA362="","",'.'!AA362&amp;IF(VLOOKUP('.'!AA362,Recipes!$A:$D,4,FALSE)="",""," ["&amp;VLOOKUP('.'!AA362,Recipes!$A:$D,4,FALSE)&amp;"]"))</f>
        <v/>
      </c>
      <c r="AB362" s="46" t="str">
        <f t="array" ref="AB362">IF('.'!AB362="","",'.'!AB362&amp;IF(VLOOKUP('.'!AB362,Recipes!$A:$D,4,FALSE)="",""," ["&amp;VLOOKUP('.'!AB362,Recipes!$A:$D,4,FALSE)&amp;"]"))</f>
        <v/>
      </c>
      <c r="AC362" s="46" t="str">
        <f t="array" ref="AC362">IF('.'!AC362="","",'.'!AC362&amp;IF(VLOOKUP('.'!AC362,Recipes!$A:$D,4,FALSE)="",""," ["&amp;VLOOKUP('.'!AC362,Recipes!$A:$D,4,FALSE)&amp;"]"))</f>
        <v/>
      </c>
      <c r="AD362" s="46" t="str">
        <f t="array" ref="AD362">IF('.'!AD362="","",'.'!AD362&amp;IF(VLOOKUP('.'!AD362,Recipes!$A:$D,4,FALSE)="",""," ["&amp;VLOOKUP('.'!AD362,Recipes!$A:$D,4,FALSE)&amp;"]"))</f>
        <v/>
      </c>
      <c r="AE362" s="47"/>
      <c r="AF362" s="47"/>
      <c r="AG362" s="47"/>
      <c r="AH362" s="47"/>
      <c r="AI362" s="47"/>
      <c r="AJ362" s="47"/>
      <c r="AK362" s="47"/>
      <c r="AL362" s="47"/>
      <c r="AM362" s="47"/>
      <c r="AN362" s="47"/>
      <c r="AO362" s="47"/>
      <c r="AP362" s="47"/>
      <c r="AQ362" s="47"/>
      <c r="AR362" s="47"/>
      <c r="AS362" s="47"/>
      <c r="AT362" s="47"/>
      <c r="AU362" s="47"/>
      <c r="AV362" s="47"/>
      <c r="AW362" s="47"/>
      <c r="AX362" s="47"/>
      <c r="AY362" s="47"/>
      <c r="AZ362" s="47"/>
      <c r="BA362" s="47"/>
      <c r="BB362" s="47"/>
      <c r="BC362" s="47"/>
      <c r="BD362" s="47"/>
      <c r="BE362" s="47"/>
      <c r="BF362" s="47"/>
      <c r="BG362" s="47"/>
      <c r="BH362" s="47"/>
      <c r="BI362" s="47"/>
      <c r="BJ362" s="47"/>
      <c r="BK362" s="47"/>
      <c r="BL362" s="47"/>
      <c r="BM362" s="47"/>
      <c r="BN362" s="47"/>
      <c r="BO362" s="47"/>
      <c r="BP362" s="47"/>
      <c r="BQ362" s="47"/>
      <c r="BR362" s="47"/>
      <c r="BS362" s="47"/>
      <c r="BT362" s="47"/>
      <c r="BU362" s="47"/>
      <c r="BV362" s="47"/>
      <c r="BW362" s="47"/>
      <c r="BX362" s="47"/>
      <c r="BY362" s="47"/>
      <c r="BZ362" s="47"/>
    </row>
    <row r="363" spans="1:78" ht="13">
      <c r="A363" s="48" t="str">
        <f ca="1">'.'!A363</f>
        <v>Reactive Armor Scroll</v>
      </c>
      <c r="B363" s="46" t="str">
        <f t="array" aca="1" ref="B363" ca="1">IF('.'!B363="","",'.'!B363&amp;IF(VLOOKUP('.'!B363,Recipes!$A:$D,4,FALSE)="",""," ["&amp;VLOOKUP('.'!B363,Recipes!$A:$D,4,FALSE)&amp;"]"))</f>
        <v>Reactive Armor Skillbook [-10]</v>
      </c>
      <c r="C363" s="46" t="str">
        <f t="array" ref="C363">IF('.'!C363="","",'.'!C363&amp;IF(VLOOKUP('.'!C363,Recipes!$A:$D,4,FALSE)="",""," ["&amp;VLOOKUP('.'!C363,Recipes!$A:$D,4,FALSE)&amp;"]"))</f>
        <v/>
      </c>
      <c r="D363" s="46" t="str">
        <f t="array" ref="D363">IF('.'!D363="","",'.'!D363&amp;IF(VLOOKUP('.'!D363,Recipes!$A:$D,4,FALSE)="",""," ["&amp;VLOOKUP('.'!D363,Recipes!$A:$D,4,FALSE)&amp;"]"))</f>
        <v/>
      </c>
      <c r="E363" s="46" t="str">
        <f t="array" ref="E363">IF('.'!E363="","",'.'!E363&amp;IF(VLOOKUP('.'!E363,Recipes!$A:$D,4,FALSE)="",""," ["&amp;VLOOKUP('.'!E363,Recipes!$A:$D,4,FALSE)&amp;"]"))</f>
        <v/>
      </c>
      <c r="F363" s="46" t="str">
        <f t="array" ref="F363">IF('.'!F363="","",'.'!F363&amp;IF(VLOOKUP('.'!F363,Recipes!$A:$D,4,FALSE)="",""," ["&amp;VLOOKUP('.'!F363,Recipes!$A:$D,4,FALSE)&amp;"]"))</f>
        <v/>
      </c>
      <c r="G363" s="46" t="str">
        <f t="array" ref="G363">IF('.'!G363="","",'.'!G363&amp;IF(VLOOKUP('.'!G363,Recipes!$A:$D,4,FALSE)="",""," ["&amp;VLOOKUP('.'!G363,Recipes!$A:$D,4,FALSE)&amp;"]"))</f>
        <v/>
      </c>
      <c r="H363" s="46" t="str">
        <f t="array" ref="H363">IF('.'!H363="","",'.'!H363&amp;IF(VLOOKUP('.'!H363,Recipes!$A:$D,4,FALSE)="",""," ["&amp;VLOOKUP('.'!H363,Recipes!$A:$D,4,FALSE)&amp;"]"))</f>
        <v/>
      </c>
      <c r="I363" s="46" t="str">
        <f t="array" ref="I363">IF('.'!I363="","",'.'!I363&amp;IF(VLOOKUP('.'!I363,Recipes!$A:$D,4,FALSE)="",""," ["&amp;VLOOKUP('.'!I363,Recipes!$A:$D,4,FALSE)&amp;"]"))</f>
        <v/>
      </c>
      <c r="J363" s="46" t="str">
        <f t="array" ref="J363">IF('.'!J363="","",'.'!J363&amp;IF(VLOOKUP('.'!J363,Recipes!$A:$D,4,FALSE)="",""," ["&amp;VLOOKUP('.'!J363,Recipes!$A:$D,4,FALSE)&amp;"]"))</f>
        <v/>
      </c>
      <c r="K363" s="46" t="str">
        <f t="array" ref="K363">IF('.'!K363="","",'.'!K363&amp;IF(VLOOKUP('.'!K363,Recipes!$A:$D,4,FALSE)="",""," ["&amp;VLOOKUP('.'!K363,Recipes!$A:$D,4,FALSE)&amp;"]"))</f>
        <v/>
      </c>
      <c r="L363" s="46" t="str">
        <f t="array" ref="L363">IF('.'!L363="","",'.'!L363&amp;IF(VLOOKUP('.'!L363,Recipes!$A:$D,4,FALSE)="",""," ["&amp;VLOOKUP('.'!L363,Recipes!$A:$D,4,FALSE)&amp;"]"))</f>
        <v/>
      </c>
      <c r="M363" s="46" t="str">
        <f t="array" ref="M363">IF('.'!M363="","",'.'!M363&amp;IF(VLOOKUP('.'!M363,Recipes!$A:$D,4,FALSE)="",""," ["&amp;VLOOKUP('.'!M363,Recipes!$A:$D,4,FALSE)&amp;"]"))</f>
        <v/>
      </c>
      <c r="N363" s="46" t="str">
        <f t="array" ref="N363">IF('.'!N363="","",'.'!N363&amp;IF(VLOOKUP('.'!N363,Recipes!$A:$D,4,FALSE)="",""," ["&amp;VLOOKUP('.'!N363,Recipes!$A:$D,4,FALSE)&amp;"]"))</f>
        <v/>
      </c>
      <c r="O363" s="46" t="str">
        <f t="array" ref="O363">IF('.'!O363="","",'.'!O363&amp;IF(VLOOKUP('.'!O363,Recipes!$A:$D,4,FALSE)="",""," ["&amp;VLOOKUP('.'!O363,Recipes!$A:$D,4,FALSE)&amp;"]"))</f>
        <v/>
      </c>
      <c r="P363" s="46" t="str">
        <f t="array" ref="P363">IF('.'!P363="","",'.'!P363&amp;IF(VLOOKUP('.'!P363,Recipes!$A:$D,4,FALSE)="",""," ["&amp;VLOOKUP('.'!P363,Recipes!$A:$D,4,FALSE)&amp;"]"))</f>
        <v/>
      </c>
      <c r="Q363" s="46" t="str">
        <f t="array" ref="Q363">IF('.'!Q363="","",'.'!Q363&amp;IF(VLOOKUP('.'!Q363,Recipes!$A:$D,4,FALSE)="",""," ["&amp;VLOOKUP('.'!Q363,Recipes!$A:$D,4,FALSE)&amp;"]"))</f>
        <v/>
      </c>
      <c r="R363" s="46" t="str">
        <f t="array" ref="R363">IF('.'!R363="","",'.'!R363&amp;IF(VLOOKUP('.'!R363,Recipes!$A:$D,4,FALSE)="",""," ["&amp;VLOOKUP('.'!R363,Recipes!$A:$D,4,FALSE)&amp;"]"))</f>
        <v/>
      </c>
      <c r="S363" s="46" t="str">
        <f t="array" ref="S363">IF('.'!S363="","",'.'!S363&amp;IF(VLOOKUP('.'!S363,Recipes!$A:$D,4,FALSE)="",""," ["&amp;VLOOKUP('.'!S363,Recipes!$A:$D,4,FALSE)&amp;"]"))</f>
        <v/>
      </c>
      <c r="T363" s="46" t="str">
        <f t="array" ref="T363">IF('.'!T363="","",'.'!T363&amp;IF(VLOOKUP('.'!T363,Recipes!$A:$D,4,FALSE)="",""," ["&amp;VLOOKUP('.'!T363,Recipes!$A:$D,4,FALSE)&amp;"]"))</f>
        <v/>
      </c>
      <c r="U363" s="46" t="str">
        <f t="array" ref="U363">IF('.'!U363="","",'.'!U363&amp;IF(VLOOKUP('.'!U363,Recipes!$A:$D,4,FALSE)="",""," ["&amp;VLOOKUP('.'!U363,Recipes!$A:$D,4,FALSE)&amp;"]"))</f>
        <v/>
      </c>
      <c r="V363" s="46" t="str">
        <f t="array" ref="V363">IF('.'!V363="","",'.'!V363&amp;IF(VLOOKUP('.'!V363,Recipes!$A:$D,4,FALSE)="",""," ["&amp;VLOOKUP('.'!V363,Recipes!$A:$D,4,FALSE)&amp;"]"))</f>
        <v/>
      </c>
      <c r="W363" s="46" t="str">
        <f t="array" ref="W363">IF('.'!W363="","",'.'!W363&amp;IF(VLOOKUP('.'!W363,Recipes!$A:$D,4,FALSE)="",""," ["&amp;VLOOKUP('.'!W363,Recipes!$A:$D,4,FALSE)&amp;"]"))</f>
        <v/>
      </c>
      <c r="X363" s="46" t="str">
        <f t="array" ref="X363">IF('.'!X363="","",'.'!X363&amp;IF(VLOOKUP('.'!X363,Recipes!$A:$D,4,FALSE)="",""," ["&amp;VLOOKUP('.'!X363,Recipes!$A:$D,4,FALSE)&amp;"]"))</f>
        <v/>
      </c>
      <c r="Y363" s="46" t="str">
        <f t="array" ref="Y363">IF('.'!Y363="","",'.'!Y363&amp;IF(VLOOKUP('.'!Y363,Recipes!$A:$D,4,FALSE)="",""," ["&amp;VLOOKUP('.'!Y363,Recipes!$A:$D,4,FALSE)&amp;"]"))</f>
        <v/>
      </c>
      <c r="Z363" s="46" t="str">
        <f t="array" ref="Z363">IF('.'!Z363="","",'.'!Z363&amp;IF(VLOOKUP('.'!Z363,Recipes!$A:$D,4,FALSE)="",""," ["&amp;VLOOKUP('.'!Z363,Recipes!$A:$D,4,FALSE)&amp;"]"))</f>
        <v/>
      </c>
      <c r="AA363" s="46" t="str">
        <f t="array" ref="AA363">IF('.'!AA363="","",'.'!AA363&amp;IF(VLOOKUP('.'!AA363,Recipes!$A:$D,4,FALSE)="",""," ["&amp;VLOOKUP('.'!AA363,Recipes!$A:$D,4,FALSE)&amp;"]"))</f>
        <v/>
      </c>
      <c r="AB363" s="46" t="str">
        <f t="array" ref="AB363">IF('.'!AB363="","",'.'!AB363&amp;IF(VLOOKUP('.'!AB363,Recipes!$A:$D,4,FALSE)="",""," ["&amp;VLOOKUP('.'!AB363,Recipes!$A:$D,4,FALSE)&amp;"]"))</f>
        <v/>
      </c>
      <c r="AC363" s="46" t="str">
        <f t="array" ref="AC363">IF('.'!AC363="","",'.'!AC363&amp;IF(VLOOKUP('.'!AC363,Recipes!$A:$D,4,FALSE)="",""," ["&amp;VLOOKUP('.'!AC363,Recipes!$A:$D,4,FALSE)&amp;"]"))</f>
        <v/>
      </c>
      <c r="AD363" s="46" t="str">
        <f t="array" ref="AD363">IF('.'!AD363="","",'.'!AD363&amp;IF(VLOOKUP('.'!AD363,Recipes!$A:$D,4,FALSE)="",""," ["&amp;VLOOKUP('.'!AD363,Recipes!$A:$D,4,FALSE)&amp;"]"))</f>
        <v/>
      </c>
      <c r="AE363" s="47"/>
      <c r="AF363" s="47"/>
      <c r="AG363" s="47"/>
      <c r="AH363" s="47"/>
      <c r="AI363" s="47"/>
      <c r="AJ363" s="47"/>
      <c r="AK363" s="47"/>
      <c r="AL363" s="47"/>
      <c r="AM363" s="47"/>
      <c r="AN363" s="47"/>
      <c r="AO363" s="47"/>
      <c r="AP363" s="47"/>
      <c r="AQ363" s="47"/>
      <c r="AR363" s="47"/>
      <c r="AS363" s="47"/>
      <c r="AT363" s="47"/>
      <c r="AU363" s="47"/>
      <c r="AV363" s="47"/>
      <c r="AW363" s="47"/>
      <c r="AX363" s="47"/>
      <c r="AY363" s="47"/>
      <c r="AZ363" s="47"/>
      <c r="BA363" s="47"/>
      <c r="BB363" s="47"/>
      <c r="BC363" s="47"/>
      <c r="BD363" s="47"/>
      <c r="BE363" s="47"/>
      <c r="BF363" s="47"/>
      <c r="BG363" s="47"/>
      <c r="BH363" s="47"/>
      <c r="BI363" s="47"/>
      <c r="BJ363" s="47"/>
      <c r="BK363" s="47"/>
      <c r="BL363" s="47"/>
      <c r="BM363" s="47"/>
      <c r="BN363" s="47"/>
      <c r="BO363" s="47"/>
      <c r="BP363" s="47"/>
      <c r="BQ363" s="47"/>
      <c r="BR363" s="47"/>
      <c r="BS363" s="47"/>
      <c r="BT363" s="47"/>
      <c r="BU363" s="47"/>
      <c r="BV363" s="47"/>
      <c r="BW363" s="47"/>
      <c r="BX363" s="47"/>
      <c r="BY363" s="47"/>
      <c r="BZ363" s="47"/>
    </row>
    <row r="364" spans="1:78" ht="13">
      <c r="A364" s="48" t="str">
        <f ca="1">'.'!A364</f>
        <v>Red Fabric Dye</v>
      </c>
      <c r="B364" s="46" t="str">
        <f t="array" aca="1" ref="B364" ca="1">IF('.'!B364="","",'.'!B364&amp;IF(VLOOKUP('.'!B364,Recipes!$A:$D,4,FALSE)="",""," ["&amp;VLOOKUP('.'!B364,Recipes!$A:$D,4,FALSE)&amp;"]"))</f>
        <v>Healing Potion [Poisoned] [-80]</v>
      </c>
      <c r="C364" s="46" t="str">
        <f t="array" aca="1" ref="C364" ca="1">IF('.'!C364="","",'.'!C364&amp;IF(VLOOKUP('.'!C364,Recipes!$A:$D,4,FALSE)="",""," ["&amp;VLOOKUP('.'!C364,Recipes!$A:$D,4,FALSE)&amp;"]"))</f>
        <v>Large Healing Potion [Poisoned] [-110]</v>
      </c>
      <c r="D364" s="46" t="str">
        <f t="array" aca="1" ref="D364" ca="1">IF('.'!D364="","",'.'!D364&amp;IF(VLOOKUP('.'!D364,Recipes!$A:$D,4,FALSE)="",""," ["&amp;VLOOKUP('.'!D364,Recipes!$A:$D,4,FALSE)&amp;"]"))</f>
        <v>Medium Healing Potion [Poisoned] [-80]</v>
      </c>
      <c r="E364" s="46" t="str">
        <f t="array" aca="1" ref="E364" ca="1">IF('.'!E364="","",'.'!E364&amp;IF(VLOOKUP('.'!E364,Recipes!$A:$D,4,FALSE)="",""," ["&amp;VLOOKUP('.'!E364,Recipes!$A:$D,4,FALSE)&amp;"]"))</f>
        <v>Minor Healing Potion [Poisoned] [-80]</v>
      </c>
      <c r="F364" s="46" t="str">
        <f t="array" aca="1" ref="F364" ca="1">IF('.'!F364="","",'.'!F364&amp;IF(VLOOKUP('.'!F364,Recipes!$A:$D,4,FALSE)="",""," ["&amp;VLOOKUP('.'!F364,Recipes!$A:$D,4,FALSE)&amp;"]"))</f>
        <v>Huge Healing Potion [Masked | Witch]</v>
      </c>
      <c r="G364" s="46" t="str">
        <f t="array" ref="G364">IF('.'!G364="","",'.'!G364&amp;IF(VLOOKUP('.'!G364,Recipes!$A:$D,4,FALSE)="",""," ["&amp;VLOOKUP('.'!G364,Recipes!$A:$D,4,FALSE)&amp;"]"))</f>
        <v/>
      </c>
      <c r="H364" s="46" t="str">
        <f t="array" ref="H364">IF('.'!H364="","",'.'!H364&amp;IF(VLOOKUP('.'!H364,Recipes!$A:$D,4,FALSE)="",""," ["&amp;VLOOKUP('.'!H364,Recipes!$A:$D,4,FALSE)&amp;"]"))</f>
        <v/>
      </c>
      <c r="I364" s="46" t="str">
        <f t="array" ref="I364">IF('.'!I364="","",'.'!I364&amp;IF(VLOOKUP('.'!I364,Recipes!$A:$D,4,FALSE)="",""," ["&amp;VLOOKUP('.'!I364,Recipes!$A:$D,4,FALSE)&amp;"]"))</f>
        <v/>
      </c>
      <c r="J364" s="46" t="str">
        <f t="array" ref="J364">IF('.'!J364="","",'.'!J364&amp;IF(VLOOKUP('.'!J364,Recipes!$A:$D,4,FALSE)="",""," ["&amp;VLOOKUP('.'!J364,Recipes!$A:$D,4,FALSE)&amp;"]"))</f>
        <v/>
      </c>
      <c r="K364" s="46" t="str">
        <f t="array" ref="K364">IF('.'!K364="","",'.'!K364&amp;IF(VLOOKUP('.'!K364,Recipes!$A:$D,4,FALSE)="",""," ["&amp;VLOOKUP('.'!K364,Recipes!$A:$D,4,FALSE)&amp;"]"))</f>
        <v/>
      </c>
      <c r="L364" s="46" t="str">
        <f t="array" ref="L364">IF('.'!L364="","",'.'!L364&amp;IF(VLOOKUP('.'!L364,Recipes!$A:$D,4,FALSE)="",""," ["&amp;VLOOKUP('.'!L364,Recipes!$A:$D,4,FALSE)&amp;"]"))</f>
        <v/>
      </c>
      <c r="M364" s="46" t="str">
        <f t="array" ref="M364">IF('.'!M364="","",'.'!M364&amp;IF(VLOOKUP('.'!M364,Recipes!$A:$D,4,FALSE)="",""," ["&amp;VLOOKUP('.'!M364,Recipes!$A:$D,4,FALSE)&amp;"]"))</f>
        <v/>
      </c>
      <c r="N364" s="46" t="str">
        <f t="array" ref="N364">IF('.'!N364="","",'.'!N364&amp;IF(VLOOKUP('.'!N364,Recipes!$A:$D,4,FALSE)="",""," ["&amp;VLOOKUP('.'!N364,Recipes!$A:$D,4,FALSE)&amp;"]"))</f>
        <v/>
      </c>
      <c r="O364" s="46" t="str">
        <f t="array" ref="O364">IF('.'!O364="","",'.'!O364&amp;IF(VLOOKUP('.'!O364,Recipes!$A:$D,4,FALSE)="",""," ["&amp;VLOOKUP('.'!O364,Recipes!$A:$D,4,FALSE)&amp;"]"))</f>
        <v/>
      </c>
      <c r="P364" s="46" t="str">
        <f t="array" ref="P364">IF('.'!P364="","",'.'!P364&amp;IF(VLOOKUP('.'!P364,Recipes!$A:$D,4,FALSE)="",""," ["&amp;VLOOKUP('.'!P364,Recipes!$A:$D,4,FALSE)&amp;"]"))</f>
        <v/>
      </c>
      <c r="Q364" s="46" t="str">
        <f t="array" ref="Q364">IF('.'!Q364="","",'.'!Q364&amp;IF(VLOOKUP('.'!Q364,Recipes!$A:$D,4,FALSE)="",""," ["&amp;VLOOKUP('.'!Q364,Recipes!$A:$D,4,FALSE)&amp;"]"))</f>
        <v/>
      </c>
      <c r="R364" s="46" t="str">
        <f t="array" ref="R364">IF('.'!R364="","",'.'!R364&amp;IF(VLOOKUP('.'!R364,Recipes!$A:$D,4,FALSE)="",""," ["&amp;VLOOKUP('.'!R364,Recipes!$A:$D,4,FALSE)&amp;"]"))</f>
        <v/>
      </c>
      <c r="S364" s="46" t="str">
        <f t="array" ref="S364">IF('.'!S364="","",'.'!S364&amp;IF(VLOOKUP('.'!S364,Recipes!$A:$D,4,FALSE)="",""," ["&amp;VLOOKUP('.'!S364,Recipes!$A:$D,4,FALSE)&amp;"]"))</f>
        <v/>
      </c>
      <c r="T364" s="46" t="str">
        <f t="array" ref="T364">IF('.'!T364="","",'.'!T364&amp;IF(VLOOKUP('.'!T364,Recipes!$A:$D,4,FALSE)="",""," ["&amp;VLOOKUP('.'!T364,Recipes!$A:$D,4,FALSE)&amp;"]"))</f>
        <v/>
      </c>
      <c r="U364" s="46" t="str">
        <f t="array" ref="U364">IF('.'!U364="","",'.'!U364&amp;IF(VLOOKUP('.'!U364,Recipes!$A:$D,4,FALSE)="",""," ["&amp;VLOOKUP('.'!U364,Recipes!$A:$D,4,FALSE)&amp;"]"))</f>
        <v/>
      </c>
      <c r="V364" s="46" t="str">
        <f t="array" ref="V364">IF('.'!V364="","",'.'!V364&amp;IF(VLOOKUP('.'!V364,Recipes!$A:$D,4,FALSE)="",""," ["&amp;VLOOKUP('.'!V364,Recipes!$A:$D,4,FALSE)&amp;"]"))</f>
        <v/>
      </c>
      <c r="W364" s="46" t="str">
        <f t="array" ref="W364">IF('.'!W364="","",'.'!W364&amp;IF(VLOOKUP('.'!W364,Recipes!$A:$D,4,FALSE)="",""," ["&amp;VLOOKUP('.'!W364,Recipes!$A:$D,4,FALSE)&amp;"]"))</f>
        <v/>
      </c>
      <c r="X364" s="46" t="str">
        <f t="array" ref="X364">IF('.'!X364="","",'.'!X364&amp;IF(VLOOKUP('.'!X364,Recipes!$A:$D,4,FALSE)="",""," ["&amp;VLOOKUP('.'!X364,Recipes!$A:$D,4,FALSE)&amp;"]"))</f>
        <v/>
      </c>
      <c r="Y364" s="46" t="str">
        <f t="array" ref="Y364">IF('.'!Y364="","",'.'!Y364&amp;IF(VLOOKUP('.'!Y364,Recipes!$A:$D,4,FALSE)="",""," ["&amp;VLOOKUP('.'!Y364,Recipes!$A:$D,4,FALSE)&amp;"]"))</f>
        <v/>
      </c>
      <c r="Z364" s="46" t="str">
        <f t="array" ref="Z364">IF('.'!Z364="","",'.'!Z364&amp;IF(VLOOKUP('.'!Z364,Recipes!$A:$D,4,FALSE)="",""," ["&amp;VLOOKUP('.'!Z364,Recipes!$A:$D,4,FALSE)&amp;"]"))</f>
        <v/>
      </c>
      <c r="AA364" s="46" t="str">
        <f t="array" ref="AA364">IF('.'!AA364="","",'.'!AA364&amp;IF(VLOOKUP('.'!AA364,Recipes!$A:$D,4,FALSE)="",""," ["&amp;VLOOKUP('.'!AA364,Recipes!$A:$D,4,FALSE)&amp;"]"))</f>
        <v/>
      </c>
      <c r="AB364" s="46" t="str">
        <f t="array" ref="AB364">IF('.'!AB364="","",'.'!AB364&amp;IF(VLOOKUP('.'!AB364,Recipes!$A:$D,4,FALSE)="",""," ["&amp;VLOOKUP('.'!AB364,Recipes!$A:$D,4,FALSE)&amp;"]"))</f>
        <v/>
      </c>
      <c r="AC364" s="46" t="str">
        <f t="array" ref="AC364">IF('.'!AC364="","",'.'!AC364&amp;IF(VLOOKUP('.'!AC364,Recipes!$A:$D,4,FALSE)="",""," ["&amp;VLOOKUP('.'!AC364,Recipes!$A:$D,4,FALSE)&amp;"]"))</f>
        <v/>
      </c>
      <c r="AD364" s="46" t="str">
        <f t="array" ref="AD364">IF('.'!AD364="","",'.'!AD364&amp;IF(VLOOKUP('.'!AD364,Recipes!$A:$D,4,FALSE)="",""," ["&amp;VLOOKUP('.'!AD364,Recipes!$A:$D,4,FALSE)&amp;"]"))</f>
        <v/>
      </c>
      <c r="AE364" s="47"/>
      <c r="AF364" s="47"/>
      <c r="AG364" s="47"/>
      <c r="AH364" s="47"/>
      <c r="AI364" s="47"/>
      <c r="AJ364" s="47"/>
      <c r="AK364" s="47"/>
      <c r="AL364" s="47"/>
      <c r="AM364" s="47"/>
      <c r="AN364" s="47"/>
      <c r="AO364" s="47"/>
      <c r="AP364" s="47"/>
      <c r="AQ364" s="47"/>
      <c r="AR364" s="47"/>
      <c r="AS364" s="47"/>
      <c r="AT364" s="47"/>
      <c r="AU364" s="47"/>
      <c r="AV364" s="47"/>
      <c r="AW364" s="47"/>
      <c r="AX364" s="47"/>
      <c r="AY364" s="47"/>
      <c r="AZ364" s="47"/>
      <c r="BA364" s="47"/>
      <c r="BB364" s="47"/>
      <c r="BC364" s="47"/>
      <c r="BD364" s="47"/>
      <c r="BE364" s="47"/>
      <c r="BF364" s="47"/>
      <c r="BG364" s="47"/>
      <c r="BH364" s="47"/>
      <c r="BI364" s="47"/>
      <c r="BJ364" s="47"/>
      <c r="BK364" s="47"/>
      <c r="BL364" s="47"/>
      <c r="BM364" s="47"/>
      <c r="BN364" s="47"/>
      <c r="BO364" s="47"/>
      <c r="BP364" s="47"/>
      <c r="BQ364" s="47"/>
      <c r="BR364" s="47"/>
      <c r="BS364" s="47"/>
      <c r="BT364" s="47"/>
      <c r="BU364" s="47"/>
      <c r="BV364" s="47"/>
      <c r="BW364" s="47"/>
      <c r="BX364" s="47"/>
      <c r="BY364" s="47"/>
      <c r="BZ364" s="47"/>
    </row>
    <row r="365" spans="1:78" ht="13">
      <c r="A365" s="48" t="str">
        <f ca="1">'.'!A365</f>
        <v>Red Snapper</v>
      </c>
      <c r="B365" s="46" t="str">
        <f t="array" aca="1" ref="B365" ca="1">IF('.'!B365="","",'.'!B365&amp;IF(VLOOKUP('.'!B365,Recipes!$A:$D,4,FALSE)="",""," ["&amp;VLOOKUP('.'!B365,Recipes!$A:$D,4,FALSE)&amp;"]"))</f>
        <v>Soothing Cold Scroll [47]</v>
      </c>
      <c r="C365" s="46" t="str">
        <f t="array" ref="C365">IF('.'!C365="","",'.'!C365&amp;IF(VLOOKUP('.'!C365,Recipes!$A:$D,4,FALSE)="",""," ["&amp;VLOOKUP('.'!C365,Recipes!$A:$D,4,FALSE)&amp;"]"))</f>
        <v/>
      </c>
      <c r="D365" s="46" t="str">
        <f t="array" ref="D365">IF('.'!D365="","",'.'!D365&amp;IF(VLOOKUP('.'!D365,Recipes!$A:$D,4,FALSE)="",""," ["&amp;VLOOKUP('.'!D365,Recipes!$A:$D,4,FALSE)&amp;"]"))</f>
        <v/>
      </c>
      <c r="E365" s="46" t="str">
        <f t="array" ref="E365">IF('.'!E365="","",'.'!E365&amp;IF(VLOOKUP('.'!E365,Recipes!$A:$D,4,FALSE)="",""," ["&amp;VLOOKUP('.'!E365,Recipes!$A:$D,4,FALSE)&amp;"]"))</f>
        <v/>
      </c>
      <c r="F365" s="46" t="str">
        <f t="array" ref="F365">IF('.'!F365="","",'.'!F365&amp;IF(VLOOKUP('.'!F365,Recipes!$A:$D,4,FALSE)="",""," ["&amp;VLOOKUP('.'!F365,Recipes!$A:$D,4,FALSE)&amp;"]"))</f>
        <v/>
      </c>
      <c r="G365" s="46" t="str">
        <f t="array" ref="G365">IF('.'!G365="","",'.'!G365&amp;IF(VLOOKUP('.'!G365,Recipes!$A:$D,4,FALSE)="",""," ["&amp;VLOOKUP('.'!G365,Recipes!$A:$D,4,FALSE)&amp;"]"))</f>
        <v/>
      </c>
      <c r="H365" s="46" t="str">
        <f t="array" ref="H365">IF('.'!H365="","",'.'!H365&amp;IF(VLOOKUP('.'!H365,Recipes!$A:$D,4,FALSE)="",""," ["&amp;VLOOKUP('.'!H365,Recipes!$A:$D,4,FALSE)&amp;"]"))</f>
        <v/>
      </c>
      <c r="I365" s="46" t="str">
        <f t="array" ref="I365">IF('.'!I365="","",'.'!I365&amp;IF(VLOOKUP('.'!I365,Recipes!$A:$D,4,FALSE)="",""," ["&amp;VLOOKUP('.'!I365,Recipes!$A:$D,4,FALSE)&amp;"]"))</f>
        <v/>
      </c>
      <c r="J365" s="46" t="str">
        <f t="array" ref="J365">IF('.'!J365="","",'.'!J365&amp;IF(VLOOKUP('.'!J365,Recipes!$A:$D,4,FALSE)="",""," ["&amp;VLOOKUP('.'!J365,Recipes!$A:$D,4,FALSE)&amp;"]"))</f>
        <v/>
      </c>
      <c r="K365" s="46" t="str">
        <f t="array" ref="K365">IF('.'!K365="","",'.'!K365&amp;IF(VLOOKUP('.'!K365,Recipes!$A:$D,4,FALSE)="",""," ["&amp;VLOOKUP('.'!K365,Recipes!$A:$D,4,FALSE)&amp;"]"))</f>
        <v/>
      </c>
      <c r="L365" s="46" t="str">
        <f t="array" ref="L365">IF('.'!L365="","",'.'!L365&amp;IF(VLOOKUP('.'!L365,Recipes!$A:$D,4,FALSE)="",""," ["&amp;VLOOKUP('.'!L365,Recipes!$A:$D,4,FALSE)&amp;"]"))</f>
        <v/>
      </c>
      <c r="M365" s="46" t="str">
        <f t="array" ref="M365">IF('.'!M365="","",'.'!M365&amp;IF(VLOOKUP('.'!M365,Recipes!$A:$D,4,FALSE)="",""," ["&amp;VLOOKUP('.'!M365,Recipes!$A:$D,4,FALSE)&amp;"]"))</f>
        <v/>
      </c>
      <c r="N365" s="46" t="str">
        <f t="array" ref="N365">IF('.'!N365="","",'.'!N365&amp;IF(VLOOKUP('.'!N365,Recipes!$A:$D,4,FALSE)="",""," ["&amp;VLOOKUP('.'!N365,Recipes!$A:$D,4,FALSE)&amp;"]"))</f>
        <v/>
      </c>
      <c r="O365" s="46" t="str">
        <f t="array" ref="O365">IF('.'!O365="","",'.'!O365&amp;IF(VLOOKUP('.'!O365,Recipes!$A:$D,4,FALSE)="",""," ["&amp;VLOOKUP('.'!O365,Recipes!$A:$D,4,FALSE)&amp;"]"))</f>
        <v/>
      </c>
      <c r="P365" s="46" t="str">
        <f t="array" ref="P365">IF('.'!P365="","",'.'!P365&amp;IF(VLOOKUP('.'!P365,Recipes!$A:$D,4,FALSE)="",""," ["&amp;VLOOKUP('.'!P365,Recipes!$A:$D,4,FALSE)&amp;"]"))</f>
        <v/>
      </c>
      <c r="Q365" s="46" t="str">
        <f t="array" ref="Q365">IF('.'!Q365="","",'.'!Q365&amp;IF(VLOOKUP('.'!Q365,Recipes!$A:$D,4,FALSE)="",""," ["&amp;VLOOKUP('.'!Q365,Recipes!$A:$D,4,FALSE)&amp;"]"))</f>
        <v/>
      </c>
      <c r="R365" s="46" t="str">
        <f t="array" ref="R365">IF('.'!R365="","",'.'!R365&amp;IF(VLOOKUP('.'!R365,Recipes!$A:$D,4,FALSE)="",""," ["&amp;VLOOKUP('.'!R365,Recipes!$A:$D,4,FALSE)&amp;"]"))</f>
        <v/>
      </c>
      <c r="S365" s="46" t="str">
        <f t="array" ref="S365">IF('.'!S365="","",'.'!S365&amp;IF(VLOOKUP('.'!S365,Recipes!$A:$D,4,FALSE)="",""," ["&amp;VLOOKUP('.'!S365,Recipes!$A:$D,4,FALSE)&amp;"]"))</f>
        <v/>
      </c>
      <c r="T365" s="46" t="str">
        <f t="array" ref="T365">IF('.'!T365="","",'.'!T365&amp;IF(VLOOKUP('.'!T365,Recipes!$A:$D,4,FALSE)="",""," ["&amp;VLOOKUP('.'!T365,Recipes!$A:$D,4,FALSE)&amp;"]"))</f>
        <v/>
      </c>
      <c r="U365" s="46" t="str">
        <f t="array" ref="U365">IF('.'!U365="","",'.'!U365&amp;IF(VLOOKUP('.'!U365,Recipes!$A:$D,4,FALSE)="",""," ["&amp;VLOOKUP('.'!U365,Recipes!$A:$D,4,FALSE)&amp;"]"))</f>
        <v/>
      </c>
      <c r="V365" s="46" t="str">
        <f t="array" ref="V365">IF('.'!V365="","",'.'!V365&amp;IF(VLOOKUP('.'!V365,Recipes!$A:$D,4,FALSE)="",""," ["&amp;VLOOKUP('.'!V365,Recipes!$A:$D,4,FALSE)&amp;"]"))</f>
        <v/>
      </c>
      <c r="W365" s="46" t="str">
        <f t="array" ref="W365">IF('.'!W365="","",'.'!W365&amp;IF(VLOOKUP('.'!W365,Recipes!$A:$D,4,FALSE)="",""," ["&amp;VLOOKUP('.'!W365,Recipes!$A:$D,4,FALSE)&amp;"]"))</f>
        <v/>
      </c>
      <c r="X365" s="46" t="str">
        <f t="array" ref="X365">IF('.'!X365="","",'.'!X365&amp;IF(VLOOKUP('.'!X365,Recipes!$A:$D,4,FALSE)="",""," ["&amp;VLOOKUP('.'!X365,Recipes!$A:$D,4,FALSE)&amp;"]"))</f>
        <v/>
      </c>
      <c r="Y365" s="46" t="str">
        <f t="array" ref="Y365">IF('.'!Y365="","",'.'!Y365&amp;IF(VLOOKUP('.'!Y365,Recipes!$A:$D,4,FALSE)="",""," ["&amp;VLOOKUP('.'!Y365,Recipes!$A:$D,4,FALSE)&amp;"]"))</f>
        <v/>
      </c>
      <c r="Z365" s="46" t="str">
        <f t="array" ref="Z365">IF('.'!Z365="","",'.'!Z365&amp;IF(VLOOKUP('.'!Z365,Recipes!$A:$D,4,FALSE)="",""," ["&amp;VLOOKUP('.'!Z365,Recipes!$A:$D,4,FALSE)&amp;"]"))</f>
        <v/>
      </c>
      <c r="AA365" s="46" t="str">
        <f t="array" ref="AA365">IF('.'!AA365="","",'.'!AA365&amp;IF(VLOOKUP('.'!AA365,Recipes!$A:$D,4,FALSE)="",""," ["&amp;VLOOKUP('.'!AA365,Recipes!$A:$D,4,FALSE)&amp;"]"))</f>
        <v/>
      </c>
      <c r="AB365" s="46" t="str">
        <f t="array" ref="AB365">IF('.'!AB365="","",'.'!AB365&amp;IF(VLOOKUP('.'!AB365,Recipes!$A:$D,4,FALSE)="",""," ["&amp;VLOOKUP('.'!AB365,Recipes!$A:$D,4,FALSE)&amp;"]"))</f>
        <v/>
      </c>
      <c r="AC365" s="46" t="str">
        <f t="array" ref="AC365">IF('.'!AC365="","",'.'!AC365&amp;IF(VLOOKUP('.'!AC365,Recipes!$A:$D,4,FALSE)="",""," ["&amp;VLOOKUP('.'!AC365,Recipes!$A:$D,4,FALSE)&amp;"]"))</f>
        <v/>
      </c>
      <c r="AD365" s="46" t="str">
        <f t="array" ref="AD365">IF('.'!AD365="","",'.'!AD365&amp;IF(VLOOKUP('.'!AD365,Recipes!$A:$D,4,FALSE)="",""," ["&amp;VLOOKUP('.'!AD365,Recipes!$A:$D,4,FALSE)&amp;"]"))</f>
        <v/>
      </c>
      <c r="AE365" s="47"/>
      <c r="AF365" s="47"/>
      <c r="AG365" s="47"/>
      <c r="AH365" s="47"/>
      <c r="AI365" s="47"/>
      <c r="AJ365" s="47"/>
      <c r="AK365" s="47"/>
      <c r="AL365" s="47"/>
      <c r="AM365" s="47"/>
      <c r="AN365" s="47"/>
      <c r="AO365" s="47"/>
      <c r="AP365" s="47"/>
      <c r="AQ365" s="47"/>
      <c r="AR365" s="47"/>
      <c r="AS365" s="47"/>
      <c r="AT365" s="47"/>
      <c r="AU365" s="47"/>
      <c r="AV365" s="47"/>
      <c r="AW365" s="47"/>
      <c r="AX365" s="47"/>
      <c r="AY365" s="47"/>
      <c r="AZ365" s="47"/>
      <c r="BA365" s="47"/>
      <c r="BB365" s="47"/>
      <c r="BC365" s="47"/>
      <c r="BD365" s="47"/>
      <c r="BE365" s="47"/>
      <c r="BF365" s="47"/>
      <c r="BG365" s="47"/>
      <c r="BH365" s="47"/>
      <c r="BI365" s="47"/>
      <c r="BJ365" s="47"/>
      <c r="BK365" s="47"/>
      <c r="BL365" s="47"/>
      <c r="BM365" s="47"/>
      <c r="BN365" s="47"/>
      <c r="BO365" s="47"/>
      <c r="BP365" s="47"/>
      <c r="BQ365" s="47"/>
      <c r="BR365" s="47"/>
      <c r="BS365" s="47"/>
      <c r="BT365" s="47"/>
      <c r="BU365" s="47"/>
      <c r="BV365" s="47"/>
      <c r="BW365" s="47"/>
      <c r="BX365" s="47"/>
      <c r="BY365" s="47"/>
      <c r="BZ365" s="47"/>
    </row>
    <row r="366" spans="1:78" ht="13">
      <c r="A366" s="48" t="str">
        <f ca="1">'.'!A366</f>
        <v>Restoration Scroll</v>
      </c>
      <c r="B366" s="46" t="str">
        <f t="array" aca="1" ref="B366" ca="1">IF('.'!B366="","",'.'!B366&amp;IF(VLOOKUP('.'!B366,Recipes!$A:$D,4,FALSE)="",""," ["&amp;VLOOKUP('.'!B366,Recipes!$A:$D,4,FALSE)&amp;"]"))</f>
        <v>Restoration Skillbook [-180]</v>
      </c>
      <c r="C366" s="46" t="str">
        <f t="array" ref="C366">IF('.'!C366="","",'.'!C366&amp;IF(VLOOKUP('.'!C366,Recipes!$A:$D,4,FALSE)="",""," ["&amp;VLOOKUP('.'!C366,Recipes!$A:$D,4,FALSE)&amp;"]"))</f>
        <v/>
      </c>
      <c r="D366" s="46" t="str">
        <f t="array" ref="D366">IF('.'!D366="","",'.'!D366&amp;IF(VLOOKUP('.'!D366,Recipes!$A:$D,4,FALSE)="",""," ["&amp;VLOOKUP('.'!D366,Recipes!$A:$D,4,FALSE)&amp;"]"))</f>
        <v/>
      </c>
      <c r="E366" s="46" t="str">
        <f t="array" ref="E366">IF('.'!E366="","",'.'!E366&amp;IF(VLOOKUP('.'!E366,Recipes!$A:$D,4,FALSE)="",""," ["&amp;VLOOKUP('.'!E366,Recipes!$A:$D,4,FALSE)&amp;"]"))</f>
        <v/>
      </c>
      <c r="F366" s="46" t="str">
        <f t="array" ref="F366">IF('.'!F366="","",'.'!F366&amp;IF(VLOOKUP('.'!F366,Recipes!$A:$D,4,FALSE)="",""," ["&amp;VLOOKUP('.'!F366,Recipes!$A:$D,4,FALSE)&amp;"]"))</f>
        <v/>
      </c>
      <c r="G366" s="46" t="str">
        <f t="array" ref="G366">IF('.'!G366="","",'.'!G366&amp;IF(VLOOKUP('.'!G366,Recipes!$A:$D,4,FALSE)="",""," ["&amp;VLOOKUP('.'!G366,Recipes!$A:$D,4,FALSE)&amp;"]"))</f>
        <v/>
      </c>
      <c r="H366" s="46" t="str">
        <f t="array" ref="H366">IF('.'!H366="","",'.'!H366&amp;IF(VLOOKUP('.'!H366,Recipes!$A:$D,4,FALSE)="",""," ["&amp;VLOOKUP('.'!H366,Recipes!$A:$D,4,FALSE)&amp;"]"))</f>
        <v/>
      </c>
      <c r="I366" s="46" t="str">
        <f t="array" ref="I366">IF('.'!I366="","",'.'!I366&amp;IF(VLOOKUP('.'!I366,Recipes!$A:$D,4,FALSE)="",""," ["&amp;VLOOKUP('.'!I366,Recipes!$A:$D,4,FALSE)&amp;"]"))</f>
        <v/>
      </c>
      <c r="J366" s="46" t="str">
        <f t="array" ref="J366">IF('.'!J366="","",'.'!J366&amp;IF(VLOOKUP('.'!J366,Recipes!$A:$D,4,FALSE)="",""," ["&amp;VLOOKUP('.'!J366,Recipes!$A:$D,4,FALSE)&amp;"]"))</f>
        <v/>
      </c>
      <c r="K366" s="46" t="str">
        <f t="array" ref="K366">IF('.'!K366="","",'.'!K366&amp;IF(VLOOKUP('.'!K366,Recipes!$A:$D,4,FALSE)="",""," ["&amp;VLOOKUP('.'!K366,Recipes!$A:$D,4,FALSE)&amp;"]"))</f>
        <v/>
      </c>
      <c r="L366" s="46" t="str">
        <f t="array" ref="L366">IF('.'!L366="","",'.'!L366&amp;IF(VLOOKUP('.'!L366,Recipes!$A:$D,4,FALSE)="",""," ["&amp;VLOOKUP('.'!L366,Recipes!$A:$D,4,FALSE)&amp;"]"))</f>
        <v/>
      </c>
      <c r="M366" s="46" t="str">
        <f t="array" ref="M366">IF('.'!M366="","",'.'!M366&amp;IF(VLOOKUP('.'!M366,Recipes!$A:$D,4,FALSE)="",""," ["&amp;VLOOKUP('.'!M366,Recipes!$A:$D,4,FALSE)&amp;"]"))</f>
        <v/>
      </c>
      <c r="N366" s="46" t="str">
        <f t="array" ref="N366">IF('.'!N366="","",'.'!N366&amp;IF(VLOOKUP('.'!N366,Recipes!$A:$D,4,FALSE)="",""," ["&amp;VLOOKUP('.'!N366,Recipes!$A:$D,4,FALSE)&amp;"]"))</f>
        <v/>
      </c>
      <c r="O366" s="46" t="str">
        <f t="array" ref="O366">IF('.'!O366="","",'.'!O366&amp;IF(VLOOKUP('.'!O366,Recipes!$A:$D,4,FALSE)="",""," ["&amp;VLOOKUP('.'!O366,Recipes!$A:$D,4,FALSE)&amp;"]"))</f>
        <v/>
      </c>
      <c r="P366" s="46" t="str">
        <f t="array" ref="P366">IF('.'!P366="","",'.'!P366&amp;IF(VLOOKUP('.'!P366,Recipes!$A:$D,4,FALSE)="",""," ["&amp;VLOOKUP('.'!P366,Recipes!$A:$D,4,FALSE)&amp;"]"))</f>
        <v/>
      </c>
      <c r="Q366" s="46" t="str">
        <f t="array" ref="Q366">IF('.'!Q366="","",'.'!Q366&amp;IF(VLOOKUP('.'!Q366,Recipes!$A:$D,4,FALSE)="",""," ["&amp;VLOOKUP('.'!Q366,Recipes!$A:$D,4,FALSE)&amp;"]"))</f>
        <v/>
      </c>
      <c r="R366" s="46" t="str">
        <f t="array" ref="R366">IF('.'!R366="","",'.'!R366&amp;IF(VLOOKUP('.'!R366,Recipes!$A:$D,4,FALSE)="",""," ["&amp;VLOOKUP('.'!R366,Recipes!$A:$D,4,FALSE)&amp;"]"))</f>
        <v/>
      </c>
      <c r="S366" s="46" t="str">
        <f t="array" ref="S366">IF('.'!S366="","",'.'!S366&amp;IF(VLOOKUP('.'!S366,Recipes!$A:$D,4,FALSE)="",""," ["&amp;VLOOKUP('.'!S366,Recipes!$A:$D,4,FALSE)&amp;"]"))</f>
        <v/>
      </c>
      <c r="T366" s="46" t="str">
        <f t="array" ref="T366">IF('.'!T366="","",'.'!T366&amp;IF(VLOOKUP('.'!T366,Recipes!$A:$D,4,FALSE)="",""," ["&amp;VLOOKUP('.'!T366,Recipes!$A:$D,4,FALSE)&amp;"]"))</f>
        <v/>
      </c>
      <c r="U366" s="46" t="str">
        <f t="array" ref="U366">IF('.'!U366="","",'.'!U366&amp;IF(VLOOKUP('.'!U366,Recipes!$A:$D,4,FALSE)="",""," ["&amp;VLOOKUP('.'!U366,Recipes!$A:$D,4,FALSE)&amp;"]"))</f>
        <v/>
      </c>
      <c r="V366" s="46" t="str">
        <f t="array" ref="V366">IF('.'!V366="","",'.'!V366&amp;IF(VLOOKUP('.'!V366,Recipes!$A:$D,4,FALSE)="",""," ["&amp;VLOOKUP('.'!V366,Recipes!$A:$D,4,FALSE)&amp;"]"))</f>
        <v/>
      </c>
      <c r="W366" s="46" t="str">
        <f t="array" ref="W366">IF('.'!W366="","",'.'!W366&amp;IF(VLOOKUP('.'!W366,Recipes!$A:$D,4,FALSE)="",""," ["&amp;VLOOKUP('.'!W366,Recipes!$A:$D,4,FALSE)&amp;"]"))</f>
        <v/>
      </c>
      <c r="X366" s="46" t="str">
        <f t="array" ref="X366">IF('.'!X366="","",'.'!X366&amp;IF(VLOOKUP('.'!X366,Recipes!$A:$D,4,FALSE)="",""," ["&amp;VLOOKUP('.'!X366,Recipes!$A:$D,4,FALSE)&amp;"]"))</f>
        <v/>
      </c>
      <c r="Y366" s="46" t="str">
        <f t="array" ref="Y366">IF('.'!Y366="","",'.'!Y366&amp;IF(VLOOKUP('.'!Y366,Recipes!$A:$D,4,FALSE)="",""," ["&amp;VLOOKUP('.'!Y366,Recipes!$A:$D,4,FALSE)&amp;"]"))</f>
        <v/>
      </c>
      <c r="Z366" s="46" t="str">
        <f t="array" ref="Z366">IF('.'!Z366="","",'.'!Z366&amp;IF(VLOOKUP('.'!Z366,Recipes!$A:$D,4,FALSE)="",""," ["&amp;VLOOKUP('.'!Z366,Recipes!$A:$D,4,FALSE)&amp;"]"))</f>
        <v/>
      </c>
      <c r="AA366" s="46" t="str">
        <f t="array" ref="AA366">IF('.'!AA366="","",'.'!AA366&amp;IF(VLOOKUP('.'!AA366,Recipes!$A:$D,4,FALSE)="",""," ["&amp;VLOOKUP('.'!AA366,Recipes!$A:$D,4,FALSE)&amp;"]"))</f>
        <v/>
      </c>
      <c r="AB366" s="46" t="str">
        <f t="array" ref="AB366">IF('.'!AB366="","",'.'!AB366&amp;IF(VLOOKUP('.'!AB366,Recipes!$A:$D,4,FALSE)="",""," ["&amp;VLOOKUP('.'!AB366,Recipes!$A:$D,4,FALSE)&amp;"]"))</f>
        <v/>
      </c>
      <c r="AC366" s="46" t="str">
        <f t="array" ref="AC366">IF('.'!AC366="","",'.'!AC366&amp;IF(VLOOKUP('.'!AC366,Recipes!$A:$D,4,FALSE)="",""," ["&amp;VLOOKUP('.'!AC366,Recipes!$A:$D,4,FALSE)&amp;"]"))</f>
        <v/>
      </c>
      <c r="AD366" s="46" t="str">
        <f t="array" ref="AD366">IF('.'!AD366="","",'.'!AD366&amp;IF(VLOOKUP('.'!AD366,Recipes!$A:$D,4,FALSE)="",""," ["&amp;VLOOKUP('.'!AD366,Recipes!$A:$D,4,FALSE)&amp;"]"))</f>
        <v/>
      </c>
      <c r="AE366" s="47"/>
      <c r="AF366" s="47"/>
      <c r="AG366" s="47"/>
      <c r="AH366" s="47"/>
      <c r="AI366" s="47"/>
      <c r="AJ366" s="47"/>
      <c r="AK366" s="47"/>
      <c r="AL366" s="47"/>
      <c r="AM366" s="47"/>
      <c r="AN366" s="47"/>
      <c r="AO366" s="47"/>
      <c r="AP366" s="47"/>
      <c r="AQ366" s="47"/>
      <c r="AR366" s="47"/>
      <c r="AS366" s="47"/>
      <c r="AT366" s="47"/>
      <c r="AU366" s="47"/>
      <c r="AV366" s="47"/>
      <c r="AW366" s="47"/>
      <c r="AX366" s="47"/>
      <c r="AY366" s="47"/>
      <c r="AZ366" s="47"/>
      <c r="BA366" s="47"/>
      <c r="BB366" s="47"/>
      <c r="BC366" s="47"/>
      <c r="BD366" s="47"/>
      <c r="BE366" s="47"/>
      <c r="BF366" s="47"/>
      <c r="BG366" s="47"/>
      <c r="BH366" s="47"/>
      <c r="BI366" s="47"/>
      <c r="BJ366" s="47"/>
      <c r="BK366" s="47"/>
      <c r="BL366" s="47"/>
      <c r="BM366" s="47"/>
      <c r="BN366" s="47"/>
      <c r="BO366" s="47"/>
      <c r="BP366" s="47"/>
      <c r="BQ366" s="47"/>
      <c r="BR366" s="47"/>
      <c r="BS366" s="47"/>
      <c r="BT366" s="47"/>
      <c r="BU366" s="47"/>
      <c r="BV366" s="47"/>
      <c r="BW366" s="47"/>
      <c r="BX366" s="47"/>
      <c r="BY366" s="47"/>
      <c r="BZ366" s="47"/>
    </row>
    <row r="367" spans="1:78" ht="13">
      <c r="A367" s="48" t="str">
        <f ca="1">'.'!A367</f>
        <v>Resurrection Scroll</v>
      </c>
      <c r="B367" s="46" t="str">
        <f t="array" aca="1" ref="B367" ca="1">IF('.'!B367="","",'.'!B367&amp;IF(VLOOKUP('.'!B367,Recipes!$A:$D,4,FALSE)="",""," ["&amp;VLOOKUP('.'!B367,Recipes!$A:$D,4,FALSE)&amp;"]"))</f>
        <v>Glowing Idol of Rebirth [-120]</v>
      </c>
      <c r="C367" s="46" t="str">
        <f t="array" ref="C367">IF('.'!C367="","",'.'!C367&amp;IF(VLOOKUP('.'!C367,Recipes!$A:$D,4,FALSE)="",""," ["&amp;VLOOKUP('.'!C367,Recipes!$A:$D,4,FALSE)&amp;"]"))</f>
        <v/>
      </c>
      <c r="D367" s="46" t="str">
        <f t="array" ref="D367">IF('.'!D367="","",'.'!D367&amp;IF(VLOOKUP('.'!D367,Recipes!$A:$D,4,FALSE)="",""," ["&amp;VLOOKUP('.'!D367,Recipes!$A:$D,4,FALSE)&amp;"]"))</f>
        <v/>
      </c>
      <c r="E367" s="46" t="str">
        <f t="array" ref="E367">IF('.'!E367="","",'.'!E367&amp;IF(VLOOKUP('.'!E367,Recipes!$A:$D,4,FALSE)="",""," ["&amp;VLOOKUP('.'!E367,Recipes!$A:$D,4,FALSE)&amp;"]"))</f>
        <v/>
      </c>
      <c r="F367" s="46" t="str">
        <f t="array" ref="F367">IF('.'!F367="","",'.'!F367&amp;IF(VLOOKUP('.'!F367,Recipes!$A:$D,4,FALSE)="",""," ["&amp;VLOOKUP('.'!F367,Recipes!$A:$D,4,FALSE)&amp;"]"))</f>
        <v/>
      </c>
      <c r="G367" s="46" t="str">
        <f t="array" ref="G367">IF('.'!G367="","",'.'!G367&amp;IF(VLOOKUP('.'!G367,Recipes!$A:$D,4,FALSE)="",""," ["&amp;VLOOKUP('.'!G367,Recipes!$A:$D,4,FALSE)&amp;"]"))</f>
        <v/>
      </c>
      <c r="H367" s="46" t="str">
        <f t="array" ref="H367">IF('.'!H367="","",'.'!H367&amp;IF(VLOOKUP('.'!H367,Recipes!$A:$D,4,FALSE)="",""," ["&amp;VLOOKUP('.'!H367,Recipes!$A:$D,4,FALSE)&amp;"]"))</f>
        <v/>
      </c>
      <c r="I367" s="46" t="str">
        <f t="array" ref="I367">IF('.'!I367="","",'.'!I367&amp;IF(VLOOKUP('.'!I367,Recipes!$A:$D,4,FALSE)="",""," ["&amp;VLOOKUP('.'!I367,Recipes!$A:$D,4,FALSE)&amp;"]"))</f>
        <v/>
      </c>
      <c r="J367" s="46" t="str">
        <f t="array" ref="J367">IF('.'!J367="","",'.'!J367&amp;IF(VLOOKUP('.'!J367,Recipes!$A:$D,4,FALSE)="",""," ["&amp;VLOOKUP('.'!J367,Recipes!$A:$D,4,FALSE)&amp;"]"))</f>
        <v/>
      </c>
      <c r="K367" s="46" t="str">
        <f t="array" ref="K367">IF('.'!K367="","",'.'!K367&amp;IF(VLOOKUP('.'!K367,Recipes!$A:$D,4,FALSE)="",""," ["&amp;VLOOKUP('.'!K367,Recipes!$A:$D,4,FALSE)&amp;"]"))</f>
        <v/>
      </c>
      <c r="L367" s="46" t="str">
        <f t="array" ref="L367">IF('.'!L367="","",'.'!L367&amp;IF(VLOOKUP('.'!L367,Recipes!$A:$D,4,FALSE)="",""," ["&amp;VLOOKUP('.'!L367,Recipes!$A:$D,4,FALSE)&amp;"]"))</f>
        <v/>
      </c>
      <c r="M367" s="46" t="str">
        <f t="array" ref="M367">IF('.'!M367="","",'.'!M367&amp;IF(VLOOKUP('.'!M367,Recipes!$A:$D,4,FALSE)="",""," ["&amp;VLOOKUP('.'!M367,Recipes!$A:$D,4,FALSE)&amp;"]"))</f>
        <v/>
      </c>
      <c r="N367" s="46" t="str">
        <f t="array" ref="N367">IF('.'!N367="","",'.'!N367&amp;IF(VLOOKUP('.'!N367,Recipes!$A:$D,4,FALSE)="",""," ["&amp;VLOOKUP('.'!N367,Recipes!$A:$D,4,FALSE)&amp;"]"))</f>
        <v/>
      </c>
      <c r="O367" s="46" t="str">
        <f t="array" ref="O367">IF('.'!O367="","",'.'!O367&amp;IF(VLOOKUP('.'!O367,Recipes!$A:$D,4,FALSE)="",""," ["&amp;VLOOKUP('.'!O367,Recipes!$A:$D,4,FALSE)&amp;"]"))</f>
        <v/>
      </c>
      <c r="P367" s="46" t="str">
        <f t="array" ref="P367">IF('.'!P367="","",'.'!P367&amp;IF(VLOOKUP('.'!P367,Recipes!$A:$D,4,FALSE)="",""," ["&amp;VLOOKUP('.'!P367,Recipes!$A:$D,4,FALSE)&amp;"]"))</f>
        <v/>
      </c>
      <c r="Q367" s="46" t="str">
        <f t="array" ref="Q367">IF('.'!Q367="","",'.'!Q367&amp;IF(VLOOKUP('.'!Q367,Recipes!$A:$D,4,FALSE)="",""," ["&amp;VLOOKUP('.'!Q367,Recipes!$A:$D,4,FALSE)&amp;"]"))</f>
        <v/>
      </c>
      <c r="R367" s="46" t="str">
        <f t="array" ref="R367">IF('.'!R367="","",'.'!R367&amp;IF(VLOOKUP('.'!R367,Recipes!$A:$D,4,FALSE)="",""," ["&amp;VLOOKUP('.'!R367,Recipes!$A:$D,4,FALSE)&amp;"]"))</f>
        <v/>
      </c>
      <c r="S367" s="46" t="str">
        <f t="array" ref="S367">IF('.'!S367="","",'.'!S367&amp;IF(VLOOKUP('.'!S367,Recipes!$A:$D,4,FALSE)="",""," ["&amp;VLOOKUP('.'!S367,Recipes!$A:$D,4,FALSE)&amp;"]"))</f>
        <v/>
      </c>
      <c r="T367" s="46" t="str">
        <f t="array" ref="T367">IF('.'!T367="","",'.'!T367&amp;IF(VLOOKUP('.'!T367,Recipes!$A:$D,4,FALSE)="",""," ["&amp;VLOOKUP('.'!T367,Recipes!$A:$D,4,FALSE)&amp;"]"))</f>
        <v/>
      </c>
      <c r="U367" s="46" t="str">
        <f t="array" ref="U367">IF('.'!U367="","",'.'!U367&amp;IF(VLOOKUP('.'!U367,Recipes!$A:$D,4,FALSE)="",""," ["&amp;VLOOKUP('.'!U367,Recipes!$A:$D,4,FALSE)&amp;"]"))</f>
        <v/>
      </c>
      <c r="V367" s="46" t="str">
        <f t="array" ref="V367">IF('.'!V367="","",'.'!V367&amp;IF(VLOOKUP('.'!V367,Recipes!$A:$D,4,FALSE)="",""," ["&amp;VLOOKUP('.'!V367,Recipes!$A:$D,4,FALSE)&amp;"]"))</f>
        <v/>
      </c>
      <c r="W367" s="46" t="str">
        <f t="array" ref="W367">IF('.'!W367="","",'.'!W367&amp;IF(VLOOKUP('.'!W367,Recipes!$A:$D,4,FALSE)="",""," ["&amp;VLOOKUP('.'!W367,Recipes!$A:$D,4,FALSE)&amp;"]"))</f>
        <v/>
      </c>
      <c r="X367" s="46" t="str">
        <f t="array" ref="X367">IF('.'!X367="","",'.'!X367&amp;IF(VLOOKUP('.'!X367,Recipes!$A:$D,4,FALSE)="",""," ["&amp;VLOOKUP('.'!X367,Recipes!$A:$D,4,FALSE)&amp;"]"))</f>
        <v/>
      </c>
      <c r="Y367" s="46" t="str">
        <f t="array" ref="Y367">IF('.'!Y367="","",'.'!Y367&amp;IF(VLOOKUP('.'!Y367,Recipes!$A:$D,4,FALSE)="",""," ["&amp;VLOOKUP('.'!Y367,Recipes!$A:$D,4,FALSE)&amp;"]"))</f>
        <v/>
      </c>
      <c r="Z367" s="46" t="str">
        <f t="array" ref="Z367">IF('.'!Z367="","",'.'!Z367&amp;IF(VLOOKUP('.'!Z367,Recipes!$A:$D,4,FALSE)="",""," ["&amp;VLOOKUP('.'!Z367,Recipes!$A:$D,4,FALSE)&amp;"]"))</f>
        <v/>
      </c>
      <c r="AA367" s="46" t="str">
        <f t="array" ref="AA367">IF('.'!AA367="","",'.'!AA367&amp;IF(VLOOKUP('.'!AA367,Recipes!$A:$D,4,FALSE)="",""," ["&amp;VLOOKUP('.'!AA367,Recipes!$A:$D,4,FALSE)&amp;"]"))</f>
        <v/>
      </c>
      <c r="AB367" s="46" t="str">
        <f t="array" ref="AB367">IF('.'!AB367="","",'.'!AB367&amp;IF(VLOOKUP('.'!AB367,Recipes!$A:$D,4,FALSE)="",""," ["&amp;VLOOKUP('.'!AB367,Recipes!$A:$D,4,FALSE)&amp;"]"))</f>
        <v/>
      </c>
      <c r="AC367" s="46" t="str">
        <f t="array" ref="AC367">IF('.'!AC367="","",'.'!AC367&amp;IF(VLOOKUP('.'!AC367,Recipes!$A:$D,4,FALSE)="",""," ["&amp;VLOOKUP('.'!AC367,Recipes!$A:$D,4,FALSE)&amp;"]"))</f>
        <v/>
      </c>
      <c r="AD367" s="46" t="str">
        <f t="array" ref="AD367">IF('.'!AD367="","",'.'!AD367&amp;IF(VLOOKUP('.'!AD367,Recipes!$A:$D,4,FALSE)="",""," ["&amp;VLOOKUP('.'!AD367,Recipes!$A:$D,4,FALSE)&amp;"]"))</f>
        <v/>
      </c>
      <c r="AE367" s="47"/>
      <c r="AF367" s="47"/>
      <c r="AG367" s="47"/>
      <c r="AH367" s="47"/>
      <c r="AI367" s="47"/>
      <c r="AJ367" s="47"/>
      <c r="AK367" s="47"/>
      <c r="AL367" s="47"/>
      <c r="AM367" s="47"/>
      <c r="AN367" s="47"/>
      <c r="AO367" s="47"/>
      <c r="AP367" s="47"/>
      <c r="AQ367" s="47"/>
      <c r="AR367" s="47"/>
      <c r="AS367" s="47"/>
      <c r="AT367" s="47"/>
      <c r="AU367" s="47"/>
      <c r="AV367" s="47"/>
      <c r="AW367" s="47"/>
      <c r="AX367" s="47"/>
      <c r="AY367" s="47"/>
      <c r="AZ367" s="47"/>
      <c r="BA367" s="47"/>
      <c r="BB367" s="47"/>
      <c r="BC367" s="47"/>
      <c r="BD367" s="47"/>
      <c r="BE367" s="47"/>
      <c r="BF367" s="47"/>
      <c r="BG367" s="47"/>
      <c r="BH367" s="47"/>
      <c r="BI367" s="47"/>
      <c r="BJ367" s="47"/>
      <c r="BK367" s="47"/>
      <c r="BL367" s="47"/>
      <c r="BM367" s="47"/>
      <c r="BN367" s="47"/>
      <c r="BO367" s="47"/>
      <c r="BP367" s="47"/>
      <c r="BQ367" s="47"/>
      <c r="BR367" s="47"/>
      <c r="BS367" s="47"/>
      <c r="BT367" s="47"/>
      <c r="BU367" s="47"/>
      <c r="BV367" s="47"/>
      <c r="BW367" s="47"/>
      <c r="BX367" s="47"/>
      <c r="BY367" s="47"/>
      <c r="BZ367" s="47"/>
    </row>
    <row r="368" spans="1:78" ht="13">
      <c r="A368" s="48" t="str">
        <f ca="1">'.'!A368</f>
        <v>Ring</v>
      </c>
      <c r="B368" s="46" t="str">
        <f t="array" aca="1" ref="B368" ca="1">IF('.'!B368="","",'.'!B368&amp;IF(VLOOKUP('.'!B368,Recipes!$A:$D,4,FALSE)="",""," ["&amp;VLOOKUP('.'!B368,Recipes!$A:$D,4,FALSE)&amp;"]"))</f>
        <v>Boost Ring [-700]</v>
      </c>
      <c r="C368" s="46" t="str">
        <f t="array" ref="C368">IF('.'!C368="","",'.'!C368&amp;IF(VLOOKUP('.'!C368,Recipes!$A:$D,4,FALSE)="",""," ["&amp;VLOOKUP('.'!C368,Recipes!$A:$D,4,FALSE)&amp;"]"))</f>
        <v/>
      </c>
      <c r="D368" s="46" t="str">
        <f t="array" ref="D368">IF('.'!D368="","",'.'!D368&amp;IF(VLOOKUP('.'!D368,Recipes!$A:$D,4,FALSE)="",""," ["&amp;VLOOKUP('.'!D368,Recipes!$A:$D,4,FALSE)&amp;"]"))</f>
        <v/>
      </c>
      <c r="E368" s="46" t="str">
        <f t="array" ref="E368">IF('.'!E368="","",'.'!E368&amp;IF(VLOOKUP('.'!E368,Recipes!$A:$D,4,FALSE)="",""," ["&amp;VLOOKUP('.'!E368,Recipes!$A:$D,4,FALSE)&amp;"]"))</f>
        <v/>
      </c>
      <c r="F368" s="46" t="str">
        <f t="array" ref="F368">IF('.'!F368="","",'.'!F368&amp;IF(VLOOKUP('.'!F368,Recipes!$A:$D,4,FALSE)="",""," ["&amp;VLOOKUP('.'!F368,Recipes!$A:$D,4,FALSE)&amp;"]"))</f>
        <v/>
      </c>
      <c r="G368" s="46" t="str">
        <f t="array" ref="G368">IF('.'!G368="","",'.'!G368&amp;IF(VLOOKUP('.'!G368,Recipes!$A:$D,4,FALSE)="",""," ["&amp;VLOOKUP('.'!G368,Recipes!$A:$D,4,FALSE)&amp;"]"))</f>
        <v/>
      </c>
      <c r="H368" s="46" t="str">
        <f t="array" ref="H368">IF('.'!H368="","",'.'!H368&amp;IF(VLOOKUP('.'!H368,Recipes!$A:$D,4,FALSE)="",""," ["&amp;VLOOKUP('.'!H368,Recipes!$A:$D,4,FALSE)&amp;"]"))</f>
        <v/>
      </c>
      <c r="I368" s="46" t="str">
        <f t="array" ref="I368">IF('.'!I368="","",'.'!I368&amp;IF(VLOOKUP('.'!I368,Recipes!$A:$D,4,FALSE)="",""," ["&amp;VLOOKUP('.'!I368,Recipes!$A:$D,4,FALSE)&amp;"]"))</f>
        <v/>
      </c>
      <c r="J368" s="46" t="str">
        <f t="array" ref="J368">IF('.'!J368="","",'.'!J368&amp;IF(VLOOKUP('.'!J368,Recipes!$A:$D,4,FALSE)="",""," ["&amp;VLOOKUP('.'!J368,Recipes!$A:$D,4,FALSE)&amp;"]"))</f>
        <v/>
      </c>
      <c r="K368" s="46" t="str">
        <f t="array" ref="K368">IF('.'!K368="","",'.'!K368&amp;IF(VLOOKUP('.'!K368,Recipes!$A:$D,4,FALSE)="",""," ["&amp;VLOOKUP('.'!K368,Recipes!$A:$D,4,FALSE)&amp;"]"))</f>
        <v/>
      </c>
      <c r="L368" s="46" t="str">
        <f t="array" ref="L368">IF('.'!L368="","",'.'!L368&amp;IF(VLOOKUP('.'!L368,Recipes!$A:$D,4,FALSE)="",""," ["&amp;VLOOKUP('.'!L368,Recipes!$A:$D,4,FALSE)&amp;"]"))</f>
        <v/>
      </c>
      <c r="M368" s="46" t="str">
        <f t="array" ref="M368">IF('.'!M368="","",'.'!M368&amp;IF(VLOOKUP('.'!M368,Recipes!$A:$D,4,FALSE)="",""," ["&amp;VLOOKUP('.'!M368,Recipes!$A:$D,4,FALSE)&amp;"]"))</f>
        <v/>
      </c>
      <c r="N368" s="46" t="str">
        <f t="array" ref="N368">IF('.'!N368="","",'.'!N368&amp;IF(VLOOKUP('.'!N368,Recipes!$A:$D,4,FALSE)="",""," ["&amp;VLOOKUP('.'!N368,Recipes!$A:$D,4,FALSE)&amp;"]"))</f>
        <v/>
      </c>
      <c r="O368" s="46" t="str">
        <f t="array" ref="O368">IF('.'!O368="","",'.'!O368&amp;IF(VLOOKUP('.'!O368,Recipes!$A:$D,4,FALSE)="",""," ["&amp;VLOOKUP('.'!O368,Recipes!$A:$D,4,FALSE)&amp;"]"))</f>
        <v/>
      </c>
      <c r="P368" s="46" t="str">
        <f t="array" ref="P368">IF('.'!P368="","",'.'!P368&amp;IF(VLOOKUP('.'!P368,Recipes!$A:$D,4,FALSE)="",""," ["&amp;VLOOKUP('.'!P368,Recipes!$A:$D,4,FALSE)&amp;"]"))</f>
        <v/>
      </c>
      <c r="Q368" s="46" t="str">
        <f t="array" ref="Q368">IF('.'!Q368="","",'.'!Q368&amp;IF(VLOOKUP('.'!Q368,Recipes!$A:$D,4,FALSE)="",""," ["&amp;VLOOKUP('.'!Q368,Recipes!$A:$D,4,FALSE)&amp;"]"))</f>
        <v/>
      </c>
      <c r="R368" s="46" t="str">
        <f t="array" ref="R368">IF('.'!R368="","",'.'!R368&amp;IF(VLOOKUP('.'!R368,Recipes!$A:$D,4,FALSE)="",""," ["&amp;VLOOKUP('.'!R368,Recipes!$A:$D,4,FALSE)&amp;"]"))</f>
        <v/>
      </c>
      <c r="S368" s="46" t="str">
        <f t="array" ref="S368">IF('.'!S368="","",'.'!S368&amp;IF(VLOOKUP('.'!S368,Recipes!$A:$D,4,FALSE)="",""," ["&amp;VLOOKUP('.'!S368,Recipes!$A:$D,4,FALSE)&amp;"]"))</f>
        <v/>
      </c>
      <c r="T368" s="46" t="str">
        <f t="array" ref="T368">IF('.'!T368="","",'.'!T368&amp;IF(VLOOKUP('.'!T368,Recipes!$A:$D,4,FALSE)="",""," ["&amp;VLOOKUP('.'!T368,Recipes!$A:$D,4,FALSE)&amp;"]"))</f>
        <v/>
      </c>
      <c r="U368" s="46" t="str">
        <f t="array" ref="U368">IF('.'!U368="","",'.'!U368&amp;IF(VLOOKUP('.'!U368,Recipes!$A:$D,4,FALSE)="",""," ["&amp;VLOOKUP('.'!U368,Recipes!$A:$D,4,FALSE)&amp;"]"))</f>
        <v/>
      </c>
      <c r="V368" s="46" t="str">
        <f t="array" ref="V368">IF('.'!V368="","",'.'!V368&amp;IF(VLOOKUP('.'!V368,Recipes!$A:$D,4,FALSE)="",""," ["&amp;VLOOKUP('.'!V368,Recipes!$A:$D,4,FALSE)&amp;"]"))</f>
        <v/>
      </c>
      <c r="W368" s="46" t="str">
        <f t="array" ref="W368">IF('.'!W368="","",'.'!W368&amp;IF(VLOOKUP('.'!W368,Recipes!$A:$D,4,FALSE)="",""," ["&amp;VLOOKUP('.'!W368,Recipes!$A:$D,4,FALSE)&amp;"]"))</f>
        <v/>
      </c>
      <c r="X368" s="46" t="str">
        <f t="array" ref="X368">IF('.'!X368="","",'.'!X368&amp;IF(VLOOKUP('.'!X368,Recipes!$A:$D,4,FALSE)="",""," ["&amp;VLOOKUP('.'!X368,Recipes!$A:$D,4,FALSE)&amp;"]"))</f>
        <v/>
      </c>
      <c r="Y368" s="46" t="str">
        <f t="array" ref="Y368">IF('.'!Y368="","",'.'!Y368&amp;IF(VLOOKUP('.'!Y368,Recipes!$A:$D,4,FALSE)="",""," ["&amp;VLOOKUP('.'!Y368,Recipes!$A:$D,4,FALSE)&amp;"]"))</f>
        <v/>
      </c>
      <c r="Z368" s="46" t="str">
        <f t="array" ref="Z368">IF('.'!Z368="","",'.'!Z368&amp;IF(VLOOKUP('.'!Z368,Recipes!$A:$D,4,FALSE)="",""," ["&amp;VLOOKUP('.'!Z368,Recipes!$A:$D,4,FALSE)&amp;"]"))</f>
        <v/>
      </c>
      <c r="AA368" s="46" t="str">
        <f t="array" ref="AA368">IF('.'!AA368="","",'.'!AA368&amp;IF(VLOOKUP('.'!AA368,Recipes!$A:$D,4,FALSE)="",""," ["&amp;VLOOKUP('.'!AA368,Recipes!$A:$D,4,FALSE)&amp;"]"))</f>
        <v/>
      </c>
      <c r="AB368" s="46" t="str">
        <f t="array" ref="AB368">IF('.'!AB368="","",'.'!AB368&amp;IF(VLOOKUP('.'!AB368,Recipes!$A:$D,4,FALSE)="",""," ["&amp;VLOOKUP('.'!AB368,Recipes!$A:$D,4,FALSE)&amp;"]"))</f>
        <v/>
      </c>
      <c r="AC368" s="46" t="str">
        <f t="array" ref="AC368">IF('.'!AC368="","",'.'!AC368&amp;IF(VLOOKUP('.'!AC368,Recipes!$A:$D,4,FALSE)="",""," ["&amp;VLOOKUP('.'!AC368,Recipes!$A:$D,4,FALSE)&amp;"]"))</f>
        <v/>
      </c>
      <c r="AD368" s="46" t="str">
        <f t="array" ref="AD368">IF('.'!AD368="","",'.'!AD368&amp;IF(VLOOKUP('.'!AD368,Recipes!$A:$D,4,FALSE)="",""," ["&amp;VLOOKUP('.'!AD368,Recipes!$A:$D,4,FALSE)&amp;"]"))</f>
        <v/>
      </c>
      <c r="AE368" s="47"/>
      <c r="AF368" s="47"/>
      <c r="AG368" s="47"/>
      <c r="AH368" s="47"/>
      <c r="AI368" s="47"/>
      <c r="AJ368" s="47"/>
      <c r="AK368" s="47"/>
      <c r="AL368" s="47"/>
      <c r="AM368" s="47"/>
      <c r="AN368" s="47"/>
      <c r="AO368" s="47"/>
      <c r="AP368" s="47"/>
      <c r="AQ368" s="47"/>
      <c r="AR368" s="47"/>
      <c r="AS368" s="47"/>
      <c r="AT368" s="47"/>
      <c r="AU368" s="47"/>
      <c r="AV368" s="47"/>
      <c r="AW368" s="47"/>
      <c r="AX368" s="47"/>
      <c r="AY368" s="47"/>
      <c r="AZ368" s="47"/>
      <c r="BA368" s="47"/>
      <c r="BB368" s="47"/>
      <c r="BC368" s="47"/>
      <c r="BD368" s="47"/>
      <c r="BE368" s="47"/>
      <c r="BF368" s="47"/>
      <c r="BG368" s="47"/>
      <c r="BH368" s="47"/>
      <c r="BI368" s="47"/>
      <c r="BJ368" s="47"/>
      <c r="BK368" s="47"/>
      <c r="BL368" s="47"/>
      <c r="BM368" s="47"/>
      <c r="BN368" s="47"/>
      <c r="BO368" s="47"/>
      <c r="BP368" s="47"/>
      <c r="BQ368" s="47"/>
      <c r="BR368" s="47"/>
      <c r="BS368" s="47"/>
      <c r="BT368" s="47"/>
      <c r="BU368" s="47"/>
      <c r="BV368" s="47"/>
      <c r="BW368" s="47"/>
      <c r="BX368" s="47"/>
      <c r="BY368" s="47"/>
      <c r="BZ368" s="47"/>
    </row>
    <row r="369" spans="1:78" ht="13">
      <c r="A369" s="48" t="str">
        <f ca="1">'.'!A369</f>
        <v>Ritual Bowl</v>
      </c>
      <c r="B369" s="46" t="e">
        <f t="array" aca="1" ref="B369" ca="1">IF('.'!B369="","",'.'!B369&amp;IF(VLOOKUP('.'!B369,Recipes!$A:$D,4,FALSE)="",""," ["&amp;VLOOKUP('.'!B369,Recipes!$A:$D,4,FALSE)&amp;"]"))</f>
        <v>#VALUE!</v>
      </c>
      <c r="C369" s="46" t="e">
        <f t="array" aca="1" ref="C369" ca="1">IF('.'!C369="","",'.'!C369&amp;IF(VLOOKUP('.'!C369,Recipes!$A:$D,4,FALSE)="",""," ["&amp;VLOOKUP('.'!C369,Recipes!$A:$D,4,FALSE)&amp;"]"))</f>
        <v>#VALUE!</v>
      </c>
      <c r="D369" s="46" t="str">
        <f t="array" ref="D369">IF('.'!D369="","",'.'!D369&amp;IF(VLOOKUP('.'!D369,Recipes!$A:$D,4,FALSE)="",""," ["&amp;VLOOKUP('.'!D369,Recipes!$A:$D,4,FALSE)&amp;"]"))</f>
        <v/>
      </c>
      <c r="E369" s="46" t="str">
        <f t="array" ref="E369">IF('.'!E369="","",'.'!E369&amp;IF(VLOOKUP('.'!E369,Recipes!$A:$D,4,FALSE)="",""," ["&amp;VLOOKUP('.'!E369,Recipes!$A:$D,4,FALSE)&amp;"]"))</f>
        <v/>
      </c>
      <c r="F369" s="46" t="str">
        <f t="array" ref="F369">IF('.'!F369="","",'.'!F369&amp;IF(VLOOKUP('.'!F369,Recipes!$A:$D,4,FALSE)="",""," ["&amp;VLOOKUP('.'!F369,Recipes!$A:$D,4,FALSE)&amp;"]"))</f>
        <v/>
      </c>
      <c r="G369" s="46" t="str">
        <f t="array" ref="G369">IF('.'!G369="","",'.'!G369&amp;IF(VLOOKUP('.'!G369,Recipes!$A:$D,4,FALSE)="",""," ["&amp;VLOOKUP('.'!G369,Recipes!$A:$D,4,FALSE)&amp;"]"))</f>
        <v/>
      </c>
      <c r="H369" s="46" t="str">
        <f t="array" ref="H369">IF('.'!H369="","",'.'!H369&amp;IF(VLOOKUP('.'!H369,Recipes!$A:$D,4,FALSE)="",""," ["&amp;VLOOKUP('.'!H369,Recipes!$A:$D,4,FALSE)&amp;"]"))</f>
        <v/>
      </c>
      <c r="I369" s="46" t="str">
        <f t="array" ref="I369">IF('.'!I369="","",'.'!I369&amp;IF(VLOOKUP('.'!I369,Recipes!$A:$D,4,FALSE)="",""," ["&amp;VLOOKUP('.'!I369,Recipes!$A:$D,4,FALSE)&amp;"]"))</f>
        <v/>
      </c>
      <c r="J369" s="46" t="str">
        <f t="array" ref="J369">IF('.'!J369="","",'.'!J369&amp;IF(VLOOKUP('.'!J369,Recipes!$A:$D,4,FALSE)="",""," ["&amp;VLOOKUP('.'!J369,Recipes!$A:$D,4,FALSE)&amp;"]"))</f>
        <v/>
      </c>
      <c r="K369" s="46" t="str">
        <f t="array" ref="K369">IF('.'!K369="","",'.'!K369&amp;IF(VLOOKUP('.'!K369,Recipes!$A:$D,4,FALSE)="",""," ["&amp;VLOOKUP('.'!K369,Recipes!$A:$D,4,FALSE)&amp;"]"))</f>
        <v/>
      </c>
      <c r="L369" s="46" t="str">
        <f t="array" ref="L369">IF('.'!L369="","",'.'!L369&amp;IF(VLOOKUP('.'!L369,Recipes!$A:$D,4,FALSE)="",""," ["&amp;VLOOKUP('.'!L369,Recipes!$A:$D,4,FALSE)&amp;"]"))</f>
        <v/>
      </c>
      <c r="M369" s="46" t="str">
        <f t="array" ref="M369">IF('.'!M369="","",'.'!M369&amp;IF(VLOOKUP('.'!M369,Recipes!$A:$D,4,FALSE)="",""," ["&amp;VLOOKUP('.'!M369,Recipes!$A:$D,4,FALSE)&amp;"]"))</f>
        <v/>
      </c>
      <c r="N369" s="46" t="str">
        <f t="array" ref="N369">IF('.'!N369="","",'.'!N369&amp;IF(VLOOKUP('.'!N369,Recipes!$A:$D,4,FALSE)="",""," ["&amp;VLOOKUP('.'!N369,Recipes!$A:$D,4,FALSE)&amp;"]"))</f>
        <v/>
      </c>
      <c r="O369" s="46" t="str">
        <f t="array" ref="O369">IF('.'!O369="","",'.'!O369&amp;IF(VLOOKUP('.'!O369,Recipes!$A:$D,4,FALSE)="",""," ["&amp;VLOOKUP('.'!O369,Recipes!$A:$D,4,FALSE)&amp;"]"))</f>
        <v/>
      </c>
      <c r="P369" s="46" t="str">
        <f t="array" ref="P369">IF('.'!P369="","",'.'!P369&amp;IF(VLOOKUP('.'!P369,Recipes!$A:$D,4,FALSE)="",""," ["&amp;VLOOKUP('.'!P369,Recipes!$A:$D,4,FALSE)&amp;"]"))</f>
        <v/>
      </c>
      <c r="Q369" s="46" t="str">
        <f t="array" ref="Q369">IF('.'!Q369="","",'.'!Q369&amp;IF(VLOOKUP('.'!Q369,Recipes!$A:$D,4,FALSE)="",""," ["&amp;VLOOKUP('.'!Q369,Recipes!$A:$D,4,FALSE)&amp;"]"))</f>
        <v/>
      </c>
      <c r="R369" s="46" t="str">
        <f t="array" ref="R369">IF('.'!R369="","",'.'!R369&amp;IF(VLOOKUP('.'!R369,Recipes!$A:$D,4,FALSE)="",""," ["&amp;VLOOKUP('.'!R369,Recipes!$A:$D,4,FALSE)&amp;"]"))</f>
        <v/>
      </c>
      <c r="S369" s="46" t="str">
        <f t="array" ref="S369">IF('.'!S369="","",'.'!S369&amp;IF(VLOOKUP('.'!S369,Recipes!$A:$D,4,FALSE)="",""," ["&amp;VLOOKUP('.'!S369,Recipes!$A:$D,4,FALSE)&amp;"]"))</f>
        <v/>
      </c>
      <c r="T369" s="46" t="str">
        <f t="array" ref="T369">IF('.'!T369="","",'.'!T369&amp;IF(VLOOKUP('.'!T369,Recipes!$A:$D,4,FALSE)="",""," ["&amp;VLOOKUP('.'!T369,Recipes!$A:$D,4,FALSE)&amp;"]"))</f>
        <v/>
      </c>
      <c r="U369" s="46" t="str">
        <f t="array" ref="U369">IF('.'!U369="","",'.'!U369&amp;IF(VLOOKUP('.'!U369,Recipes!$A:$D,4,FALSE)="",""," ["&amp;VLOOKUP('.'!U369,Recipes!$A:$D,4,FALSE)&amp;"]"))</f>
        <v/>
      </c>
      <c r="V369" s="46" t="str">
        <f t="array" ref="V369">IF('.'!V369="","",'.'!V369&amp;IF(VLOOKUP('.'!V369,Recipes!$A:$D,4,FALSE)="",""," ["&amp;VLOOKUP('.'!V369,Recipes!$A:$D,4,FALSE)&amp;"]"))</f>
        <v/>
      </c>
      <c r="W369" s="46" t="str">
        <f t="array" ref="W369">IF('.'!W369="","",'.'!W369&amp;IF(VLOOKUP('.'!W369,Recipes!$A:$D,4,FALSE)="",""," ["&amp;VLOOKUP('.'!W369,Recipes!$A:$D,4,FALSE)&amp;"]"))</f>
        <v/>
      </c>
      <c r="X369" s="46" t="str">
        <f t="array" ref="X369">IF('.'!X369="","",'.'!X369&amp;IF(VLOOKUP('.'!X369,Recipes!$A:$D,4,FALSE)="",""," ["&amp;VLOOKUP('.'!X369,Recipes!$A:$D,4,FALSE)&amp;"]"))</f>
        <v/>
      </c>
      <c r="Y369" s="46" t="str">
        <f t="array" ref="Y369">IF('.'!Y369="","",'.'!Y369&amp;IF(VLOOKUP('.'!Y369,Recipes!$A:$D,4,FALSE)="",""," ["&amp;VLOOKUP('.'!Y369,Recipes!$A:$D,4,FALSE)&amp;"]"))</f>
        <v/>
      </c>
      <c r="Z369" s="46" t="str">
        <f t="array" ref="Z369">IF('.'!Z369="","",'.'!Z369&amp;IF(VLOOKUP('.'!Z369,Recipes!$A:$D,4,FALSE)="",""," ["&amp;VLOOKUP('.'!Z369,Recipes!$A:$D,4,FALSE)&amp;"]"))</f>
        <v/>
      </c>
      <c r="AA369" s="46" t="str">
        <f t="array" ref="AA369">IF('.'!AA369="","",'.'!AA369&amp;IF(VLOOKUP('.'!AA369,Recipes!$A:$D,4,FALSE)="",""," ["&amp;VLOOKUP('.'!AA369,Recipes!$A:$D,4,FALSE)&amp;"]"))</f>
        <v/>
      </c>
      <c r="AB369" s="46" t="str">
        <f t="array" ref="AB369">IF('.'!AB369="","",'.'!AB369&amp;IF(VLOOKUP('.'!AB369,Recipes!$A:$D,4,FALSE)="",""," ["&amp;VLOOKUP('.'!AB369,Recipes!$A:$D,4,FALSE)&amp;"]"))</f>
        <v/>
      </c>
      <c r="AC369" s="46" t="str">
        <f t="array" ref="AC369">IF('.'!AC369="","",'.'!AC369&amp;IF(VLOOKUP('.'!AC369,Recipes!$A:$D,4,FALSE)="",""," ["&amp;VLOOKUP('.'!AC369,Recipes!$A:$D,4,FALSE)&amp;"]"))</f>
        <v/>
      </c>
      <c r="AD369" s="46" t="str">
        <f t="array" ref="AD369">IF('.'!AD369="","",'.'!AD369&amp;IF(VLOOKUP('.'!AD369,Recipes!$A:$D,4,FALSE)="",""," ["&amp;VLOOKUP('.'!AD369,Recipes!$A:$D,4,FALSE)&amp;"]"))</f>
        <v/>
      </c>
      <c r="AE369" s="47"/>
      <c r="AF369" s="47"/>
      <c r="AG369" s="47"/>
      <c r="AH369" s="47"/>
      <c r="AI369" s="47"/>
      <c r="AJ369" s="47"/>
      <c r="AK369" s="47"/>
      <c r="AL369" s="47"/>
      <c r="AM369" s="47"/>
      <c r="AN369" s="47"/>
      <c r="AO369" s="47"/>
      <c r="AP369" s="47"/>
      <c r="AQ369" s="47"/>
      <c r="AR369" s="47"/>
      <c r="AS369" s="47"/>
      <c r="AT369" s="47"/>
      <c r="AU369" s="47"/>
      <c r="AV369" s="47"/>
      <c r="AW369" s="47"/>
      <c r="AX369" s="47"/>
      <c r="AY369" s="47"/>
      <c r="AZ369" s="47"/>
      <c r="BA369" s="47"/>
      <c r="BB369" s="47"/>
      <c r="BC369" s="47"/>
      <c r="BD369" s="47"/>
      <c r="BE369" s="47"/>
      <c r="BF369" s="47"/>
      <c r="BG369" s="47"/>
      <c r="BH369" s="47"/>
      <c r="BI369" s="47"/>
      <c r="BJ369" s="47"/>
      <c r="BK369" s="47"/>
      <c r="BL369" s="47"/>
      <c r="BM369" s="47"/>
      <c r="BN369" s="47"/>
      <c r="BO369" s="47"/>
      <c r="BP369" s="47"/>
      <c r="BQ369" s="47"/>
      <c r="BR369" s="47"/>
      <c r="BS369" s="47"/>
      <c r="BT369" s="47"/>
      <c r="BU369" s="47"/>
      <c r="BV369" s="47"/>
      <c r="BW369" s="47"/>
      <c r="BX369" s="47"/>
      <c r="BY369" s="47"/>
      <c r="BZ369" s="47"/>
    </row>
    <row r="370" spans="1:78" ht="13">
      <c r="A370" s="48" t="str">
        <f ca="1">'.'!A370</f>
        <v>Ritual Bowl with Blackroot</v>
      </c>
      <c r="B370" s="46" t="e">
        <f t="array" aca="1" ref="B370" ca="1">IF('.'!B370="","",'.'!B370&amp;IF(VLOOKUP('.'!B370,Recipes!$A:$D,4,FALSE)="",""," ["&amp;VLOOKUP('.'!B370,Recipes!$A:$D,4,FALSE)&amp;"]"))</f>
        <v>#VALUE!</v>
      </c>
      <c r="C370" s="46" t="str">
        <f t="array" ref="C370">IF('.'!C370="","",'.'!C370&amp;IF(VLOOKUP('.'!C370,Recipes!$A:$D,4,FALSE)="",""," ["&amp;VLOOKUP('.'!C370,Recipes!$A:$D,4,FALSE)&amp;"]"))</f>
        <v/>
      </c>
      <c r="D370" s="46" t="str">
        <f t="array" ref="D370">IF('.'!D370="","",'.'!D370&amp;IF(VLOOKUP('.'!D370,Recipes!$A:$D,4,FALSE)="",""," ["&amp;VLOOKUP('.'!D370,Recipes!$A:$D,4,FALSE)&amp;"]"))</f>
        <v/>
      </c>
      <c r="E370" s="46" t="str">
        <f t="array" ref="E370">IF('.'!E370="","",'.'!E370&amp;IF(VLOOKUP('.'!E370,Recipes!$A:$D,4,FALSE)="",""," ["&amp;VLOOKUP('.'!E370,Recipes!$A:$D,4,FALSE)&amp;"]"))</f>
        <v/>
      </c>
      <c r="F370" s="46" t="str">
        <f t="array" ref="F370">IF('.'!F370="","",'.'!F370&amp;IF(VLOOKUP('.'!F370,Recipes!$A:$D,4,FALSE)="",""," ["&amp;VLOOKUP('.'!F370,Recipes!$A:$D,4,FALSE)&amp;"]"))</f>
        <v/>
      </c>
      <c r="G370" s="46" t="str">
        <f t="array" ref="G370">IF('.'!G370="","",'.'!G370&amp;IF(VLOOKUP('.'!G370,Recipes!$A:$D,4,FALSE)="",""," ["&amp;VLOOKUP('.'!G370,Recipes!$A:$D,4,FALSE)&amp;"]"))</f>
        <v/>
      </c>
      <c r="H370" s="46" t="str">
        <f t="array" ref="H370">IF('.'!H370="","",'.'!H370&amp;IF(VLOOKUP('.'!H370,Recipes!$A:$D,4,FALSE)="",""," ["&amp;VLOOKUP('.'!H370,Recipes!$A:$D,4,FALSE)&amp;"]"))</f>
        <v/>
      </c>
      <c r="I370" s="46" t="str">
        <f t="array" ref="I370">IF('.'!I370="","",'.'!I370&amp;IF(VLOOKUP('.'!I370,Recipes!$A:$D,4,FALSE)="",""," ["&amp;VLOOKUP('.'!I370,Recipes!$A:$D,4,FALSE)&amp;"]"))</f>
        <v/>
      </c>
      <c r="J370" s="46" t="str">
        <f t="array" ref="J370">IF('.'!J370="","",'.'!J370&amp;IF(VLOOKUP('.'!J370,Recipes!$A:$D,4,FALSE)="",""," ["&amp;VLOOKUP('.'!J370,Recipes!$A:$D,4,FALSE)&amp;"]"))</f>
        <v/>
      </c>
      <c r="K370" s="46" t="str">
        <f t="array" ref="K370">IF('.'!K370="","",'.'!K370&amp;IF(VLOOKUP('.'!K370,Recipes!$A:$D,4,FALSE)="",""," ["&amp;VLOOKUP('.'!K370,Recipes!$A:$D,4,FALSE)&amp;"]"))</f>
        <v/>
      </c>
      <c r="L370" s="46" t="str">
        <f t="array" ref="L370">IF('.'!L370="","",'.'!L370&amp;IF(VLOOKUP('.'!L370,Recipes!$A:$D,4,FALSE)="",""," ["&amp;VLOOKUP('.'!L370,Recipes!$A:$D,4,FALSE)&amp;"]"))</f>
        <v/>
      </c>
      <c r="M370" s="46" t="str">
        <f t="array" ref="M370">IF('.'!M370="","",'.'!M370&amp;IF(VLOOKUP('.'!M370,Recipes!$A:$D,4,FALSE)="",""," ["&amp;VLOOKUP('.'!M370,Recipes!$A:$D,4,FALSE)&amp;"]"))</f>
        <v/>
      </c>
      <c r="N370" s="46" t="str">
        <f t="array" ref="N370">IF('.'!N370="","",'.'!N370&amp;IF(VLOOKUP('.'!N370,Recipes!$A:$D,4,FALSE)="",""," ["&amp;VLOOKUP('.'!N370,Recipes!$A:$D,4,FALSE)&amp;"]"))</f>
        <v/>
      </c>
      <c r="O370" s="46" t="str">
        <f t="array" ref="O370">IF('.'!O370="","",'.'!O370&amp;IF(VLOOKUP('.'!O370,Recipes!$A:$D,4,FALSE)="",""," ["&amp;VLOOKUP('.'!O370,Recipes!$A:$D,4,FALSE)&amp;"]"))</f>
        <v/>
      </c>
      <c r="P370" s="46" t="str">
        <f t="array" ref="P370">IF('.'!P370="","",'.'!P370&amp;IF(VLOOKUP('.'!P370,Recipes!$A:$D,4,FALSE)="",""," ["&amp;VLOOKUP('.'!P370,Recipes!$A:$D,4,FALSE)&amp;"]"))</f>
        <v/>
      </c>
      <c r="Q370" s="46" t="str">
        <f t="array" ref="Q370">IF('.'!Q370="","",'.'!Q370&amp;IF(VLOOKUP('.'!Q370,Recipes!$A:$D,4,FALSE)="",""," ["&amp;VLOOKUP('.'!Q370,Recipes!$A:$D,4,FALSE)&amp;"]"))</f>
        <v/>
      </c>
      <c r="R370" s="46" t="str">
        <f t="array" ref="R370">IF('.'!R370="","",'.'!R370&amp;IF(VLOOKUP('.'!R370,Recipes!$A:$D,4,FALSE)="",""," ["&amp;VLOOKUP('.'!R370,Recipes!$A:$D,4,FALSE)&amp;"]"))</f>
        <v/>
      </c>
      <c r="S370" s="46" t="str">
        <f t="array" ref="S370">IF('.'!S370="","",'.'!S370&amp;IF(VLOOKUP('.'!S370,Recipes!$A:$D,4,FALSE)="",""," ["&amp;VLOOKUP('.'!S370,Recipes!$A:$D,4,FALSE)&amp;"]"))</f>
        <v/>
      </c>
      <c r="T370" s="46" t="str">
        <f t="array" ref="T370">IF('.'!T370="","",'.'!T370&amp;IF(VLOOKUP('.'!T370,Recipes!$A:$D,4,FALSE)="",""," ["&amp;VLOOKUP('.'!T370,Recipes!$A:$D,4,FALSE)&amp;"]"))</f>
        <v/>
      </c>
      <c r="U370" s="46" t="str">
        <f t="array" ref="U370">IF('.'!U370="","",'.'!U370&amp;IF(VLOOKUP('.'!U370,Recipes!$A:$D,4,FALSE)="",""," ["&amp;VLOOKUP('.'!U370,Recipes!$A:$D,4,FALSE)&amp;"]"))</f>
        <v/>
      </c>
      <c r="V370" s="46" t="str">
        <f t="array" ref="V370">IF('.'!V370="","",'.'!V370&amp;IF(VLOOKUP('.'!V370,Recipes!$A:$D,4,FALSE)="",""," ["&amp;VLOOKUP('.'!V370,Recipes!$A:$D,4,FALSE)&amp;"]"))</f>
        <v/>
      </c>
      <c r="W370" s="46" t="str">
        <f t="array" ref="W370">IF('.'!W370="","",'.'!W370&amp;IF(VLOOKUP('.'!W370,Recipes!$A:$D,4,FALSE)="",""," ["&amp;VLOOKUP('.'!W370,Recipes!$A:$D,4,FALSE)&amp;"]"))</f>
        <v/>
      </c>
      <c r="X370" s="46" t="str">
        <f t="array" ref="X370">IF('.'!X370="","",'.'!X370&amp;IF(VLOOKUP('.'!X370,Recipes!$A:$D,4,FALSE)="",""," ["&amp;VLOOKUP('.'!X370,Recipes!$A:$D,4,FALSE)&amp;"]"))</f>
        <v/>
      </c>
      <c r="Y370" s="46" t="str">
        <f t="array" ref="Y370">IF('.'!Y370="","",'.'!Y370&amp;IF(VLOOKUP('.'!Y370,Recipes!$A:$D,4,FALSE)="",""," ["&amp;VLOOKUP('.'!Y370,Recipes!$A:$D,4,FALSE)&amp;"]"))</f>
        <v/>
      </c>
      <c r="Z370" s="46" t="str">
        <f t="array" ref="Z370">IF('.'!Z370="","",'.'!Z370&amp;IF(VLOOKUP('.'!Z370,Recipes!$A:$D,4,FALSE)="",""," ["&amp;VLOOKUP('.'!Z370,Recipes!$A:$D,4,FALSE)&amp;"]"))</f>
        <v/>
      </c>
      <c r="AA370" s="46" t="str">
        <f t="array" ref="AA370">IF('.'!AA370="","",'.'!AA370&amp;IF(VLOOKUP('.'!AA370,Recipes!$A:$D,4,FALSE)="",""," ["&amp;VLOOKUP('.'!AA370,Recipes!$A:$D,4,FALSE)&amp;"]"))</f>
        <v/>
      </c>
      <c r="AB370" s="46" t="str">
        <f t="array" ref="AB370">IF('.'!AB370="","",'.'!AB370&amp;IF(VLOOKUP('.'!AB370,Recipes!$A:$D,4,FALSE)="",""," ["&amp;VLOOKUP('.'!AB370,Recipes!$A:$D,4,FALSE)&amp;"]"))</f>
        <v/>
      </c>
      <c r="AC370" s="46" t="str">
        <f t="array" ref="AC370">IF('.'!AC370="","",'.'!AC370&amp;IF(VLOOKUP('.'!AC370,Recipes!$A:$D,4,FALSE)="",""," ["&amp;VLOOKUP('.'!AC370,Recipes!$A:$D,4,FALSE)&amp;"]"))</f>
        <v/>
      </c>
      <c r="AD370" s="46" t="str">
        <f t="array" ref="AD370">IF('.'!AD370="","",'.'!AD370&amp;IF(VLOOKUP('.'!AD370,Recipes!$A:$D,4,FALSE)="",""," ["&amp;VLOOKUP('.'!AD370,Recipes!$A:$D,4,FALSE)&amp;"]"))</f>
        <v/>
      </c>
      <c r="AE370" s="47"/>
      <c r="AF370" s="47"/>
      <c r="AG370" s="47"/>
      <c r="AH370" s="47"/>
      <c r="AI370" s="47"/>
      <c r="AJ370" s="47"/>
      <c r="AK370" s="47"/>
      <c r="AL370" s="47"/>
      <c r="AM370" s="47"/>
      <c r="AN370" s="47"/>
      <c r="AO370" s="47"/>
      <c r="AP370" s="47"/>
      <c r="AQ370" s="47"/>
      <c r="AR370" s="47"/>
      <c r="AS370" s="47"/>
      <c r="AT370" s="47"/>
      <c r="AU370" s="47"/>
      <c r="AV370" s="47"/>
      <c r="AW370" s="47"/>
      <c r="AX370" s="47"/>
      <c r="AY370" s="47"/>
      <c r="AZ370" s="47"/>
      <c r="BA370" s="47"/>
      <c r="BB370" s="47"/>
      <c r="BC370" s="47"/>
      <c r="BD370" s="47"/>
      <c r="BE370" s="47"/>
      <c r="BF370" s="47"/>
      <c r="BG370" s="47"/>
      <c r="BH370" s="47"/>
      <c r="BI370" s="47"/>
      <c r="BJ370" s="47"/>
      <c r="BK370" s="47"/>
      <c r="BL370" s="47"/>
      <c r="BM370" s="47"/>
      <c r="BN370" s="47"/>
      <c r="BO370" s="47"/>
      <c r="BP370" s="47"/>
      <c r="BQ370" s="47"/>
      <c r="BR370" s="47"/>
      <c r="BS370" s="47"/>
      <c r="BT370" s="47"/>
      <c r="BU370" s="47"/>
      <c r="BV370" s="47"/>
      <c r="BW370" s="47"/>
      <c r="BX370" s="47"/>
      <c r="BY370" s="47"/>
      <c r="BZ370" s="47"/>
    </row>
    <row r="371" spans="1:78" ht="13">
      <c r="A371" s="48" t="str">
        <f ca="1">'.'!A371</f>
        <v>Rope</v>
      </c>
      <c r="B371" s="46" t="str">
        <f t="array" aca="1" ref="B371" ca="1">IF('.'!B371="","",'.'!B371&amp;IF(VLOOKUP('.'!B371,Recipes!$A:$D,4,FALSE)="",""," ["&amp;VLOOKUP('.'!B371,Recipes!$A:$D,4,FALSE)&amp;"]"))</f>
        <v>Fuse [1]</v>
      </c>
      <c r="C371" s="46" t="str">
        <f t="array" aca="1" ref="C371" ca="1">IF('.'!C371="","",'.'!C371&amp;IF(VLOOKUP('.'!C371,Recipes!$A:$D,4,FALSE)="",""," ["&amp;VLOOKUP('.'!C371,Recipes!$A:$D,4,FALSE)&amp;"]"))</f>
        <v>Apportation Scroll [-121]</v>
      </c>
      <c r="D371" s="46" t="str">
        <f t="array" aca="1" ref="D371" ca="1">IF('.'!D371="","",'.'!D371&amp;IF(VLOOKUP('.'!D371,Recipes!$A:$D,4,FALSE)="",""," ["&amp;VLOOKUP('.'!D371,Recipes!$A:$D,4,FALSE)&amp;"]"))</f>
        <v>Backpack [13]</v>
      </c>
      <c r="E371" s="46" t="str">
        <f t="array" aca="1" ref="E371" ca="1">IF('.'!E371="","",'.'!E371&amp;IF(VLOOKUP('.'!E371,Recipes!$A:$D,4,FALSE)="",""," ["&amp;VLOOKUP('.'!E371,Recipes!$A:$D,4,FALSE)&amp;"]"))</f>
        <v>Knife on a Stick [V]</v>
      </c>
      <c r="F371" s="46" t="str">
        <f t="array" aca="1" ref="F371" ca="1">IF('.'!F371="","",'.'!F371&amp;IF(VLOOKUP('.'!F371,Recipes!$A:$D,4,FALSE)="",""," ["&amp;VLOOKUP('.'!F371,Recipes!$A:$D,4,FALSE)&amp;"]"))</f>
        <v>Primitive Harpoon [V]</v>
      </c>
      <c r="G371" s="46" t="str">
        <f t="array" ref="G371">IF('.'!G371="","",'.'!G371&amp;IF(VLOOKUP('.'!G371,Recipes!$A:$D,4,FALSE)="",""," ["&amp;VLOOKUP('.'!G371,Recipes!$A:$D,4,FALSE)&amp;"]"))</f>
        <v/>
      </c>
      <c r="H371" s="46" t="str">
        <f t="array" ref="H371">IF('.'!H371="","",'.'!H371&amp;IF(VLOOKUP('.'!H371,Recipes!$A:$D,4,FALSE)="",""," ["&amp;VLOOKUP('.'!H371,Recipes!$A:$D,4,FALSE)&amp;"]"))</f>
        <v/>
      </c>
      <c r="I371" s="46" t="str">
        <f t="array" ref="I371">IF('.'!I371="","",'.'!I371&amp;IF(VLOOKUP('.'!I371,Recipes!$A:$D,4,FALSE)="",""," ["&amp;VLOOKUP('.'!I371,Recipes!$A:$D,4,FALSE)&amp;"]"))</f>
        <v/>
      </c>
      <c r="J371" s="46" t="str">
        <f t="array" ref="J371">IF('.'!J371="","",'.'!J371&amp;IF(VLOOKUP('.'!J371,Recipes!$A:$D,4,FALSE)="",""," ["&amp;VLOOKUP('.'!J371,Recipes!$A:$D,4,FALSE)&amp;"]"))</f>
        <v/>
      </c>
      <c r="K371" s="46" t="str">
        <f t="array" ref="K371">IF('.'!K371="","",'.'!K371&amp;IF(VLOOKUP('.'!K371,Recipes!$A:$D,4,FALSE)="",""," ["&amp;VLOOKUP('.'!K371,Recipes!$A:$D,4,FALSE)&amp;"]"))</f>
        <v/>
      </c>
      <c r="L371" s="46" t="str">
        <f t="array" ref="L371">IF('.'!L371="","",'.'!L371&amp;IF(VLOOKUP('.'!L371,Recipes!$A:$D,4,FALSE)="",""," ["&amp;VLOOKUP('.'!L371,Recipes!$A:$D,4,FALSE)&amp;"]"))</f>
        <v/>
      </c>
      <c r="M371" s="46" t="str">
        <f t="array" ref="M371">IF('.'!M371="","",'.'!M371&amp;IF(VLOOKUP('.'!M371,Recipes!$A:$D,4,FALSE)="",""," ["&amp;VLOOKUP('.'!M371,Recipes!$A:$D,4,FALSE)&amp;"]"))</f>
        <v/>
      </c>
      <c r="N371" s="46" t="str">
        <f t="array" ref="N371">IF('.'!N371="","",'.'!N371&amp;IF(VLOOKUP('.'!N371,Recipes!$A:$D,4,FALSE)="",""," ["&amp;VLOOKUP('.'!N371,Recipes!$A:$D,4,FALSE)&amp;"]"))</f>
        <v/>
      </c>
      <c r="O371" s="46" t="str">
        <f t="array" ref="O371">IF('.'!O371="","",'.'!O371&amp;IF(VLOOKUP('.'!O371,Recipes!$A:$D,4,FALSE)="",""," ["&amp;VLOOKUP('.'!O371,Recipes!$A:$D,4,FALSE)&amp;"]"))</f>
        <v/>
      </c>
      <c r="P371" s="46" t="str">
        <f t="array" ref="P371">IF('.'!P371="","",'.'!P371&amp;IF(VLOOKUP('.'!P371,Recipes!$A:$D,4,FALSE)="",""," ["&amp;VLOOKUP('.'!P371,Recipes!$A:$D,4,FALSE)&amp;"]"))</f>
        <v/>
      </c>
      <c r="Q371" s="46" t="str">
        <f t="array" ref="Q371">IF('.'!Q371="","",'.'!Q371&amp;IF(VLOOKUP('.'!Q371,Recipes!$A:$D,4,FALSE)="",""," ["&amp;VLOOKUP('.'!Q371,Recipes!$A:$D,4,FALSE)&amp;"]"))</f>
        <v/>
      </c>
      <c r="R371" s="46" t="str">
        <f t="array" ref="R371">IF('.'!R371="","",'.'!R371&amp;IF(VLOOKUP('.'!R371,Recipes!$A:$D,4,FALSE)="",""," ["&amp;VLOOKUP('.'!R371,Recipes!$A:$D,4,FALSE)&amp;"]"))</f>
        <v/>
      </c>
      <c r="S371" s="46" t="str">
        <f t="array" ref="S371">IF('.'!S371="","",'.'!S371&amp;IF(VLOOKUP('.'!S371,Recipes!$A:$D,4,FALSE)="",""," ["&amp;VLOOKUP('.'!S371,Recipes!$A:$D,4,FALSE)&amp;"]"))</f>
        <v/>
      </c>
      <c r="T371" s="46" t="str">
        <f t="array" ref="T371">IF('.'!T371="","",'.'!T371&amp;IF(VLOOKUP('.'!T371,Recipes!$A:$D,4,FALSE)="",""," ["&amp;VLOOKUP('.'!T371,Recipes!$A:$D,4,FALSE)&amp;"]"))</f>
        <v/>
      </c>
      <c r="U371" s="46" t="str">
        <f t="array" ref="U371">IF('.'!U371="","",'.'!U371&amp;IF(VLOOKUP('.'!U371,Recipes!$A:$D,4,FALSE)="",""," ["&amp;VLOOKUP('.'!U371,Recipes!$A:$D,4,FALSE)&amp;"]"))</f>
        <v/>
      </c>
      <c r="V371" s="46" t="str">
        <f t="array" ref="V371">IF('.'!V371="","",'.'!V371&amp;IF(VLOOKUP('.'!V371,Recipes!$A:$D,4,FALSE)="",""," ["&amp;VLOOKUP('.'!V371,Recipes!$A:$D,4,FALSE)&amp;"]"))</f>
        <v/>
      </c>
      <c r="W371" s="46" t="str">
        <f t="array" ref="W371">IF('.'!W371="","",'.'!W371&amp;IF(VLOOKUP('.'!W371,Recipes!$A:$D,4,FALSE)="",""," ["&amp;VLOOKUP('.'!W371,Recipes!$A:$D,4,FALSE)&amp;"]"))</f>
        <v/>
      </c>
      <c r="X371" s="46" t="str">
        <f t="array" ref="X371">IF('.'!X371="","",'.'!X371&amp;IF(VLOOKUP('.'!X371,Recipes!$A:$D,4,FALSE)="",""," ["&amp;VLOOKUP('.'!X371,Recipes!$A:$D,4,FALSE)&amp;"]"))</f>
        <v/>
      </c>
      <c r="Y371" s="46" t="str">
        <f t="array" ref="Y371">IF('.'!Y371="","",'.'!Y371&amp;IF(VLOOKUP('.'!Y371,Recipes!$A:$D,4,FALSE)="",""," ["&amp;VLOOKUP('.'!Y371,Recipes!$A:$D,4,FALSE)&amp;"]"))</f>
        <v/>
      </c>
      <c r="Z371" s="46" t="str">
        <f t="array" ref="Z371">IF('.'!Z371="","",'.'!Z371&amp;IF(VLOOKUP('.'!Z371,Recipes!$A:$D,4,FALSE)="",""," ["&amp;VLOOKUP('.'!Z371,Recipes!$A:$D,4,FALSE)&amp;"]"))</f>
        <v/>
      </c>
      <c r="AA371" s="46" t="str">
        <f t="array" ref="AA371">IF('.'!AA371="","",'.'!AA371&amp;IF(VLOOKUP('.'!AA371,Recipes!$A:$D,4,FALSE)="",""," ["&amp;VLOOKUP('.'!AA371,Recipes!$A:$D,4,FALSE)&amp;"]"))</f>
        <v/>
      </c>
      <c r="AB371" s="46" t="str">
        <f t="array" ref="AB371">IF('.'!AB371="","",'.'!AB371&amp;IF(VLOOKUP('.'!AB371,Recipes!$A:$D,4,FALSE)="",""," ["&amp;VLOOKUP('.'!AB371,Recipes!$A:$D,4,FALSE)&amp;"]"))</f>
        <v/>
      </c>
      <c r="AC371" s="46" t="str">
        <f t="array" ref="AC371">IF('.'!AC371="","",'.'!AC371&amp;IF(VLOOKUP('.'!AC371,Recipes!$A:$D,4,FALSE)="",""," ["&amp;VLOOKUP('.'!AC371,Recipes!$A:$D,4,FALSE)&amp;"]"))</f>
        <v/>
      </c>
      <c r="AD371" s="46" t="str">
        <f t="array" ref="AD371">IF('.'!AD371="","",'.'!AD371&amp;IF(VLOOKUP('.'!AD371,Recipes!$A:$D,4,FALSE)="",""," ["&amp;VLOOKUP('.'!AD371,Recipes!$A:$D,4,FALSE)&amp;"]"))</f>
        <v/>
      </c>
      <c r="AE371" s="47"/>
      <c r="AF371" s="47"/>
      <c r="AG371" s="47"/>
      <c r="AH371" s="47"/>
      <c r="AI371" s="47"/>
      <c r="AJ371" s="47"/>
      <c r="AK371" s="47"/>
      <c r="AL371" s="47"/>
      <c r="AM371" s="47"/>
      <c r="AN371" s="47"/>
      <c r="AO371" s="47"/>
      <c r="AP371" s="47"/>
      <c r="AQ371" s="47"/>
      <c r="AR371" s="47"/>
      <c r="AS371" s="47"/>
      <c r="AT371" s="47"/>
      <c r="AU371" s="47"/>
      <c r="AV371" s="47"/>
      <c r="AW371" s="47"/>
      <c r="AX371" s="47"/>
      <c r="AY371" s="47"/>
      <c r="AZ371" s="47"/>
      <c r="BA371" s="47"/>
      <c r="BB371" s="47"/>
      <c r="BC371" s="47"/>
      <c r="BD371" s="47"/>
      <c r="BE371" s="47"/>
      <c r="BF371" s="47"/>
      <c r="BG371" s="47"/>
      <c r="BH371" s="47"/>
      <c r="BI371" s="47"/>
      <c r="BJ371" s="47"/>
      <c r="BK371" s="47"/>
      <c r="BL371" s="47"/>
      <c r="BM371" s="47"/>
      <c r="BN371" s="47"/>
      <c r="BO371" s="47"/>
      <c r="BP371" s="47"/>
      <c r="BQ371" s="47"/>
      <c r="BR371" s="47"/>
      <c r="BS371" s="47"/>
      <c r="BT371" s="47"/>
      <c r="BU371" s="47"/>
      <c r="BV371" s="47"/>
      <c r="BW371" s="47"/>
      <c r="BX371" s="47"/>
      <c r="BY371" s="47"/>
      <c r="BZ371" s="47"/>
    </row>
    <row r="372" spans="1:78" ht="13">
      <c r="A372" s="48" t="str">
        <f ca="1">'.'!A372</f>
        <v>Rotten Eggs</v>
      </c>
      <c r="B372" s="46" t="str">
        <f t="array" aca="1" ref="B372" ca="1">IF('.'!B372="","",'.'!B372&amp;IF(VLOOKUP('.'!B372,Recipes!$A:$D,4,FALSE)="",""," ["&amp;VLOOKUP('.'!B372,Recipes!$A:$D,4,FALSE)&amp;"]"))</f>
        <v>Poison Cloud Grenade [49]</v>
      </c>
      <c r="C372" s="46" t="str">
        <f t="array" ref="C372">IF('.'!C372="","",'.'!C372&amp;IF(VLOOKUP('.'!C372,Recipes!$A:$D,4,FALSE)="",""," ["&amp;VLOOKUP('.'!C372,Recipes!$A:$D,4,FALSE)&amp;"]"))</f>
        <v/>
      </c>
      <c r="D372" s="46" t="str">
        <f t="array" ref="D372">IF('.'!D372="","",'.'!D372&amp;IF(VLOOKUP('.'!D372,Recipes!$A:$D,4,FALSE)="",""," ["&amp;VLOOKUP('.'!D372,Recipes!$A:$D,4,FALSE)&amp;"]"))</f>
        <v/>
      </c>
      <c r="E372" s="46" t="str">
        <f t="array" ref="E372">IF('.'!E372="","",'.'!E372&amp;IF(VLOOKUP('.'!E372,Recipes!$A:$D,4,FALSE)="",""," ["&amp;VLOOKUP('.'!E372,Recipes!$A:$D,4,FALSE)&amp;"]"))</f>
        <v/>
      </c>
      <c r="F372" s="46" t="str">
        <f t="array" ref="F372">IF('.'!F372="","",'.'!F372&amp;IF(VLOOKUP('.'!F372,Recipes!$A:$D,4,FALSE)="",""," ["&amp;VLOOKUP('.'!F372,Recipes!$A:$D,4,FALSE)&amp;"]"))</f>
        <v/>
      </c>
      <c r="G372" s="46" t="str">
        <f t="array" ref="G372">IF('.'!G372="","",'.'!G372&amp;IF(VLOOKUP('.'!G372,Recipes!$A:$D,4,FALSE)="",""," ["&amp;VLOOKUP('.'!G372,Recipes!$A:$D,4,FALSE)&amp;"]"))</f>
        <v/>
      </c>
      <c r="H372" s="46" t="str">
        <f t="array" ref="H372">IF('.'!H372="","",'.'!H372&amp;IF(VLOOKUP('.'!H372,Recipes!$A:$D,4,FALSE)="",""," ["&amp;VLOOKUP('.'!H372,Recipes!$A:$D,4,FALSE)&amp;"]"))</f>
        <v/>
      </c>
      <c r="I372" s="46" t="str">
        <f t="array" ref="I372">IF('.'!I372="","",'.'!I372&amp;IF(VLOOKUP('.'!I372,Recipes!$A:$D,4,FALSE)="",""," ["&amp;VLOOKUP('.'!I372,Recipes!$A:$D,4,FALSE)&amp;"]"))</f>
        <v/>
      </c>
      <c r="J372" s="46" t="str">
        <f t="array" ref="J372">IF('.'!J372="","",'.'!J372&amp;IF(VLOOKUP('.'!J372,Recipes!$A:$D,4,FALSE)="",""," ["&amp;VLOOKUP('.'!J372,Recipes!$A:$D,4,FALSE)&amp;"]"))</f>
        <v/>
      </c>
      <c r="K372" s="46" t="str">
        <f t="array" ref="K372">IF('.'!K372="","",'.'!K372&amp;IF(VLOOKUP('.'!K372,Recipes!$A:$D,4,FALSE)="",""," ["&amp;VLOOKUP('.'!K372,Recipes!$A:$D,4,FALSE)&amp;"]"))</f>
        <v/>
      </c>
      <c r="L372" s="46" t="str">
        <f t="array" ref="L372">IF('.'!L372="","",'.'!L372&amp;IF(VLOOKUP('.'!L372,Recipes!$A:$D,4,FALSE)="",""," ["&amp;VLOOKUP('.'!L372,Recipes!$A:$D,4,FALSE)&amp;"]"))</f>
        <v/>
      </c>
      <c r="M372" s="46" t="str">
        <f t="array" ref="M372">IF('.'!M372="","",'.'!M372&amp;IF(VLOOKUP('.'!M372,Recipes!$A:$D,4,FALSE)="",""," ["&amp;VLOOKUP('.'!M372,Recipes!$A:$D,4,FALSE)&amp;"]"))</f>
        <v/>
      </c>
      <c r="N372" s="46" t="str">
        <f t="array" ref="N372">IF('.'!N372="","",'.'!N372&amp;IF(VLOOKUP('.'!N372,Recipes!$A:$D,4,FALSE)="",""," ["&amp;VLOOKUP('.'!N372,Recipes!$A:$D,4,FALSE)&amp;"]"))</f>
        <v/>
      </c>
      <c r="O372" s="46" t="str">
        <f t="array" ref="O372">IF('.'!O372="","",'.'!O372&amp;IF(VLOOKUP('.'!O372,Recipes!$A:$D,4,FALSE)="",""," ["&amp;VLOOKUP('.'!O372,Recipes!$A:$D,4,FALSE)&amp;"]"))</f>
        <v/>
      </c>
      <c r="P372" s="46" t="str">
        <f t="array" ref="P372">IF('.'!P372="","",'.'!P372&amp;IF(VLOOKUP('.'!P372,Recipes!$A:$D,4,FALSE)="",""," ["&amp;VLOOKUP('.'!P372,Recipes!$A:$D,4,FALSE)&amp;"]"))</f>
        <v/>
      </c>
      <c r="Q372" s="46" t="str">
        <f t="array" ref="Q372">IF('.'!Q372="","",'.'!Q372&amp;IF(VLOOKUP('.'!Q372,Recipes!$A:$D,4,FALSE)="",""," ["&amp;VLOOKUP('.'!Q372,Recipes!$A:$D,4,FALSE)&amp;"]"))</f>
        <v/>
      </c>
      <c r="R372" s="46" t="str">
        <f t="array" ref="R372">IF('.'!R372="","",'.'!R372&amp;IF(VLOOKUP('.'!R372,Recipes!$A:$D,4,FALSE)="",""," ["&amp;VLOOKUP('.'!R372,Recipes!$A:$D,4,FALSE)&amp;"]"))</f>
        <v/>
      </c>
      <c r="S372" s="46" t="str">
        <f t="array" ref="S372">IF('.'!S372="","",'.'!S372&amp;IF(VLOOKUP('.'!S372,Recipes!$A:$D,4,FALSE)="",""," ["&amp;VLOOKUP('.'!S372,Recipes!$A:$D,4,FALSE)&amp;"]"))</f>
        <v/>
      </c>
      <c r="T372" s="46" t="str">
        <f t="array" ref="T372">IF('.'!T372="","",'.'!T372&amp;IF(VLOOKUP('.'!T372,Recipes!$A:$D,4,FALSE)="",""," ["&amp;VLOOKUP('.'!T372,Recipes!$A:$D,4,FALSE)&amp;"]"))</f>
        <v/>
      </c>
      <c r="U372" s="46" t="str">
        <f t="array" ref="U372">IF('.'!U372="","",'.'!U372&amp;IF(VLOOKUP('.'!U372,Recipes!$A:$D,4,FALSE)="",""," ["&amp;VLOOKUP('.'!U372,Recipes!$A:$D,4,FALSE)&amp;"]"))</f>
        <v/>
      </c>
      <c r="V372" s="46" t="str">
        <f t="array" ref="V372">IF('.'!V372="","",'.'!V372&amp;IF(VLOOKUP('.'!V372,Recipes!$A:$D,4,FALSE)="",""," ["&amp;VLOOKUP('.'!V372,Recipes!$A:$D,4,FALSE)&amp;"]"))</f>
        <v/>
      </c>
      <c r="W372" s="46" t="str">
        <f t="array" ref="W372">IF('.'!W372="","",'.'!W372&amp;IF(VLOOKUP('.'!W372,Recipes!$A:$D,4,FALSE)="",""," ["&amp;VLOOKUP('.'!W372,Recipes!$A:$D,4,FALSE)&amp;"]"))</f>
        <v/>
      </c>
      <c r="X372" s="46" t="str">
        <f t="array" ref="X372">IF('.'!X372="","",'.'!X372&amp;IF(VLOOKUP('.'!X372,Recipes!$A:$D,4,FALSE)="",""," ["&amp;VLOOKUP('.'!X372,Recipes!$A:$D,4,FALSE)&amp;"]"))</f>
        <v/>
      </c>
      <c r="Y372" s="46" t="str">
        <f t="array" ref="Y372">IF('.'!Y372="","",'.'!Y372&amp;IF(VLOOKUP('.'!Y372,Recipes!$A:$D,4,FALSE)="",""," ["&amp;VLOOKUP('.'!Y372,Recipes!$A:$D,4,FALSE)&amp;"]"))</f>
        <v/>
      </c>
      <c r="Z372" s="46" t="str">
        <f t="array" ref="Z372">IF('.'!Z372="","",'.'!Z372&amp;IF(VLOOKUP('.'!Z372,Recipes!$A:$D,4,FALSE)="",""," ["&amp;VLOOKUP('.'!Z372,Recipes!$A:$D,4,FALSE)&amp;"]"))</f>
        <v/>
      </c>
      <c r="AA372" s="46" t="str">
        <f t="array" ref="AA372">IF('.'!AA372="","",'.'!AA372&amp;IF(VLOOKUP('.'!AA372,Recipes!$A:$D,4,FALSE)="",""," ["&amp;VLOOKUP('.'!AA372,Recipes!$A:$D,4,FALSE)&amp;"]"))</f>
        <v/>
      </c>
      <c r="AB372" s="46" t="str">
        <f t="array" ref="AB372">IF('.'!AB372="","",'.'!AB372&amp;IF(VLOOKUP('.'!AB372,Recipes!$A:$D,4,FALSE)="",""," ["&amp;VLOOKUP('.'!AB372,Recipes!$A:$D,4,FALSE)&amp;"]"))</f>
        <v/>
      </c>
      <c r="AC372" s="46" t="str">
        <f t="array" ref="AC372">IF('.'!AC372="","",'.'!AC372&amp;IF(VLOOKUP('.'!AC372,Recipes!$A:$D,4,FALSE)="",""," ["&amp;VLOOKUP('.'!AC372,Recipes!$A:$D,4,FALSE)&amp;"]"))</f>
        <v/>
      </c>
      <c r="AD372" s="46" t="str">
        <f t="array" ref="AD372">IF('.'!AD372="","",'.'!AD372&amp;IF(VLOOKUP('.'!AD372,Recipes!$A:$D,4,FALSE)="",""," ["&amp;VLOOKUP('.'!AD372,Recipes!$A:$D,4,FALSE)&amp;"]"))</f>
        <v/>
      </c>
      <c r="AE372" s="47"/>
      <c r="AF372" s="47"/>
      <c r="AG372" s="47"/>
      <c r="AH372" s="47"/>
      <c r="AI372" s="47"/>
      <c r="AJ372" s="47"/>
      <c r="AK372" s="47"/>
      <c r="AL372" s="47"/>
      <c r="AM372" s="47"/>
      <c r="AN372" s="47"/>
      <c r="AO372" s="47"/>
      <c r="AP372" s="47"/>
      <c r="AQ372" s="47"/>
      <c r="AR372" s="47"/>
      <c r="AS372" s="47"/>
      <c r="AT372" s="47"/>
      <c r="AU372" s="47"/>
      <c r="AV372" s="47"/>
      <c r="AW372" s="47"/>
      <c r="AX372" s="47"/>
      <c r="AY372" s="47"/>
      <c r="AZ372" s="47"/>
      <c r="BA372" s="47"/>
      <c r="BB372" s="47"/>
      <c r="BC372" s="47"/>
      <c r="BD372" s="47"/>
      <c r="BE372" s="47"/>
      <c r="BF372" s="47"/>
      <c r="BG372" s="47"/>
      <c r="BH372" s="47"/>
      <c r="BI372" s="47"/>
      <c r="BJ372" s="47"/>
      <c r="BK372" s="47"/>
      <c r="BL372" s="47"/>
      <c r="BM372" s="47"/>
      <c r="BN372" s="47"/>
      <c r="BO372" s="47"/>
      <c r="BP372" s="47"/>
      <c r="BQ372" s="47"/>
      <c r="BR372" s="47"/>
      <c r="BS372" s="47"/>
      <c r="BT372" s="47"/>
      <c r="BU372" s="47"/>
      <c r="BV372" s="47"/>
      <c r="BW372" s="47"/>
      <c r="BX372" s="47"/>
      <c r="BY372" s="47"/>
      <c r="BZ372" s="47"/>
    </row>
    <row r="373" spans="1:78" ht="13">
      <c r="A373" s="48" t="str">
        <f ca="1">'.'!A373</f>
        <v>Rune Frame of Power</v>
      </c>
      <c r="B373" s="46" t="str">
        <f t="array" aca="1" ref="B373" ca="1">IF('.'!B373="","",'.'!B373&amp;IF(VLOOKUP('.'!B373,Recipes!$A:$D,4,FALSE)="",""," ["&amp;VLOOKUP('.'!B373,Recipes!$A:$D,4,FALSE)&amp;"]"))</f>
        <v>Giant Flame Rune of Power [0]</v>
      </c>
      <c r="C373" s="46" t="str">
        <f t="array" aca="1" ref="C373" ca="1">IF('.'!C373="","",'.'!C373&amp;IF(VLOOKUP('.'!C373,Recipes!$A:$D,4,FALSE)="",""," ["&amp;VLOOKUP('.'!C373,Recipes!$A:$D,4,FALSE)&amp;"]"))</f>
        <v>Large Flame Rune of Power [0]</v>
      </c>
      <c r="D373" s="46" t="str">
        <f t="array" aca="1" ref="D373" ca="1">IF('.'!D373="","",'.'!D373&amp;IF(VLOOKUP('.'!D373,Recipes!$A:$D,4,FALSE)="",""," ["&amp;VLOOKUP('.'!D373,Recipes!$A:$D,4,FALSE)&amp;"]"))</f>
        <v>Medium Flame Rune of Power [0]</v>
      </c>
      <c r="E373" s="46" t="str">
        <f t="array" aca="1" ref="E373" ca="1">IF('.'!E373="","",'.'!E373&amp;IF(VLOOKUP('.'!E373,Recipes!$A:$D,4,FALSE)="",""," ["&amp;VLOOKUP('.'!E373,Recipes!$A:$D,4,FALSE)&amp;"]"))</f>
        <v>Small Flame Rune of Power [0]</v>
      </c>
      <c r="F373" s="46" t="str">
        <f t="array" aca="1" ref="F373" ca="1">IF('.'!F373="","",'.'!F373&amp;IF(VLOOKUP('.'!F373,Recipes!$A:$D,4,FALSE)="",""," ["&amp;VLOOKUP('.'!F373,Recipes!$A:$D,4,FALSE)&amp;"]"))</f>
        <v>Giant Frost Rune of Power [0]</v>
      </c>
      <c r="G373" s="46" t="str">
        <f t="array" aca="1" ref="G373" ca="1">IF('.'!G373="","",'.'!G373&amp;IF(VLOOKUP('.'!G373,Recipes!$A:$D,4,FALSE)="",""," ["&amp;VLOOKUP('.'!G373,Recipes!$A:$D,4,FALSE)&amp;"]"))</f>
        <v>Large Frost Rune of Power [0]</v>
      </c>
      <c r="H373" s="46" t="str">
        <f t="array" aca="1" ref="H373" ca="1">IF('.'!H373="","",'.'!H373&amp;IF(VLOOKUP('.'!H373,Recipes!$A:$D,4,FALSE)="",""," ["&amp;VLOOKUP('.'!H373,Recipes!$A:$D,4,FALSE)&amp;"]"))</f>
        <v>Medium Frost Rune of Power [0]</v>
      </c>
      <c r="I373" s="46" t="str">
        <f t="array" aca="1" ref="I373" ca="1">IF('.'!I373="","",'.'!I373&amp;IF(VLOOKUP('.'!I373,Recipes!$A:$D,4,FALSE)="",""," ["&amp;VLOOKUP('.'!I373,Recipes!$A:$D,4,FALSE)&amp;"]"))</f>
        <v>Small Frost Rune of Power [0]</v>
      </c>
      <c r="J373" s="46" t="str">
        <f t="array" aca="1" ref="J373" ca="1">IF('.'!J373="","",'.'!J373&amp;IF(VLOOKUP('.'!J373,Recipes!$A:$D,4,FALSE)="",""," ["&amp;VLOOKUP('.'!J373,Recipes!$A:$D,4,FALSE)&amp;"]"))</f>
        <v>Giant Masterwork Rune of Power [0]</v>
      </c>
      <c r="K373" s="46" t="str">
        <f t="array" aca="1" ref="K373" ca="1">IF('.'!K373="","",'.'!K373&amp;IF(VLOOKUP('.'!K373,Recipes!$A:$D,4,FALSE)="",""," ["&amp;VLOOKUP('.'!K373,Recipes!$A:$D,4,FALSE)&amp;"]"))</f>
        <v>Large Masterwork Rune of Power [0]</v>
      </c>
      <c r="L373" s="46" t="str">
        <f t="array" aca="1" ref="L373" ca="1">IF('.'!L373="","",'.'!L373&amp;IF(VLOOKUP('.'!L373,Recipes!$A:$D,4,FALSE)="",""," ["&amp;VLOOKUP('.'!L373,Recipes!$A:$D,4,FALSE)&amp;"]"))</f>
        <v>Medium Masterwork Rune of Power [0]</v>
      </c>
      <c r="M373" s="46" t="str">
        <f t="array" aca="1" ref="M373" ca="1">IF('.'!M373="","",'.'!M373&amp;IF(VLOOKUP('.'!M373,Recipes!$A:$D,4,FALSE)="",""," ["&amp;VLOOKUP('.'!M373,Recipes!$A:$D,4,FALSE)&amp;"]"))</f>
        <v>Small Masterwork Rune of Power [0]</v>
      </c>
      <c r="N373" s="46" t="str">
        <f t="array" aca="1" ref="N373" ca="1">IF('.'!N373="","",'.'!N373&amp;IF(VLOOKUP('.'!N373,Recipes!$A:$D,4,FALSE)="",""," ["&amp;VLOOKUP('.'!N373,Recipes!$A:$D,4,FALSE)&amp;"]"))</f>
        <v>Giant Rock Rune of Power [0]</v>
      </c>
      <c r="O373" s="46" t="str">
        <f t="array" aca="1" ref="O373" ca="1">IF('.'!O373="","",'.'!O373&amp;IF(VLOOKUP('.'!O373,Recipes!$A:$D,4,FALSE)="",""," ["&amp;VLOOKUP('.'!O373,Recipes!$A:$D,4,FALSE)&amp;"]"))</f>
        <v>Large Rock Rune of Power [0]</v>
      </c>
      <c r="P373" s="46" t="str">
        <f t="array" aca="1" ref="P373" ca="1">IF('.'!P373="","",'.'!P373&amp;IF(VLOOKUP('.'!P373,Recipes!$A:$D,4,FALSE)="",""," ["&amp;VLOOKUP('.'!P373,Recipes!$A:$D,4,FALSE)&amp;"]"))</f>
        <v>Medium Rock Rune of Power [0]</v>
      </c>
      <c r="Q373" s="46" t="str">
        <f t="array" aca="1" ref="Q373" ca="1">IF('.'!Q373="","",'.'!Q373&amp;IF(VLOOKUP('.'!Q373,Recipes!$A:$D,4,FALSE)="",""," ["&amp;VLOOKUP('.'!Q373,Recipes!$A:$D,4,FALSE)&amp;"]"))</f>
        <v>Small Rock Rune of Power [0]</v>
      </c>
      <c r="R373" s="46" t="str">
        <f t="array" aca="1" ref="R373" ca="1">IF('.'!R373="","",'.'!R373&amp;IF(VLOOKUP('.'!R373,Recipes!$A:$D,4,FALSE)="",""," ["&amp;VLOOKUP('.'!R373,Recipes!$A:$D,4,FALSE)&amp;"]"))</f>
        <v>Giant Thunder Rune of Power [0]</v>
      </c>
      <c r="S373" s="46" t="str">
        <f t="array" aca="1" ref="S373" ca="1">IF('.'!S373="","",'.'!S373&amp;IF(VLOOKUP('.'!S373,Recipes!$A:$D,4,FALSE)="",""," ["&amp;VLOOKUP('.'!S373,Recipes!$A:$D,4,FALSE)&amp;"]"))</f>
        <v>Large Thunder Rune of Power [0]</v>
      </c>
      <c r="T373" s="46" t="str">
        <f t="array" aca="1" ref="T373" ca="1">IF('.'!T373="","",'.'!T373&amp;IF(VLOOKUP('.'!T373,Recipes!$A:$D,4,FALSE)="",""," ["&amp;VLOOKUP('.'!T373,Recipes!$A:$D,4,FALSE)&amp;"]"))</f>
        <v>Medium Thunder Rune of Power [0]</v>
      </c>
      <c r="U373" s="46" t="str">
        <f t="array" aca="1" ref="U373" ca="1">IF('.'!U373="","",'.'!U373&amp;IF(VLOOKUP('.'!U373,Recipes!$A:$D,4,FALSE)="",""," ["&amp;VLOOKUP('.'!U373,Recipes!$A:$D,4,FALSE)&amp;"]"))</f>
        <v>Small Thunder Rune of Power [0]</v>
      </c>
      <c r="V373" s="46" t="str">
        <f t="array" aca="1" ref="V373" ca="1">IF('.'!V373="","",'.'!V373&amp;IF(VLOOKUP('.'!V373,Recipes!$A:$D,4,FALSE)="",""," ["&amp;VLOOKUP('.'!V373,Recipes!$A:$D,4,FALSE)&amp;"]"))</f>
        <v>Giant Venom Rune of Power [0]</v>
      </c>
      <c r="W373" s="46" t="str">
        <f t="array" aca="1" ref="W373" ca="1">IF('.'!W373="","",'.'!W373&amp;IF(VLOOKUP('.'!W373,Recipes!$A:$D,4,FALSE)="",""," ["&amp;VLOOKUP('.'!W373,Recipes!$A:$D,4,FALSE)&amp;"]"))</f>
        <v>Large Venom Rune of Power [0]</v>
      </c>
      <c r="X373" s="46" t="str">
        <f t="array" aca="1" ref="X373" ca="1">IF('.'!X373="","",'.'!X373&amp;IF(VLOOKUP('.'!X373,Recipes!$A:$D,4,FALSE)="",""," ["&amp;VLOOKUP('.'!X373,Recipes!$A:$D,4,FALSE)&amp;"]"))</f>
        <v>Medium Venom Rune of Power [0]</v>
      </c>
      <c r="Y373" s="46" t="str">
        <f t="array" aca="1" ref="Y373" ca="1">IF('.'!Y373="","",'.'!Y373&amp;IF(VLOOKUP('.'!Y373,Recipes!$A:$D,4,FALSE)="",""," ["&amp;VLOOKUP('.'!Y373,Recipes!$A:$D,4,FALSE)&amp;"]"))</f>
        <v>Small Venom Rune of Power [0]</v>
      </c>
      <c r="Z373" s="46" t="str">
        <f t="array" ref="Z373">IF('.'!Z373="","",'.'!Z373&amp;IF(VLOOKUP('.'!Z373,Recipes!$A:$D,4,FALSE)="",""," ["&amp;VLOOKUP('.'!Z373,Recipes!$A:$D,4,FALSE)&amp;"]"))</f>
        <v/>
      </c>
      <c r="AA373" s="46" t="str">
        <f t="array" ref="AA373">IF('.'!AA373="","",'.'!AA373&amp;IF(VLOOKUP('.'!AA373,Recipes!$A:$D,4,FALSE)="",""," ["&amp;VLOOKUP('.'!AA373,Recipes!$A:$D,4,FALSE)&amp;"]"))</f>
        <v/>
      </c>
      <c r="AB373" s="46" t="str">
        <f t="array" ref="AB373">IF('.'!AB373="","",'.'!AB373&amp;IF(VLOOKUP('.'!AB373,Recipes!$A:$D,4,FALSE)="",""," ["&amp;VLOOKUP('.'!AB373,Recipes!$A:$D,4,FALSE)&amp;"]"))</f>
        <v/>
      </c>
      <c r="AC373" s="46" t="str">
        <f t="array" ref="AC373">IF('.'!AC373="","",'.'!AC373&amp;IF(VLOOKUP('.'!AC373,Recipes!$A:$D,4,FALSE)="",""," ["&amp;VLOOKUP('.'!AC373,Recipes!$A:$D,4,FALSE)&amp;"]"))</f>
        <v/>
      </c>
      <c r="AD373" s="46" t="str">
        <f t="array" ref="AD373">IF('.'!AD373="","",'.'!AD373&amp;IF(VLOOKUP('.'!AD373,Recipes!$A:$D,4,FALSE)="",""," ["&amp;VLOOKUP('.'!AD373,Recipes!$A:$D,4,FALSE)&amp;"]"))</f>
        <v/>
      </c>
      <c r="AE373" s="47"/>
      <c r="AF373" s="47"/>
      <c r="AG373" s="47"/>
      <c r="AH373" s="47"/>
      <c r="AI373" s="47"/>
      <c r="AJ373" s="47"/>
      <c r="AK373" s="47"/>
      <c r="AL373" s="47"/>
      <c r="AM373" s="47"/>
      <c r="AN373" s="47"/>
      <c r="AO373" s="47"/>
      <c r="AP373" s="47"/>
      <c r="AQ373" s="47"/>
      <c r="AR373" s="47"/>
      <c r="AS373" s="47"/>
      <c r="AT373" s="47"/>
      <c r="AU373" s="47"/>
      <c r="AV373" s="47"/>
      <c r="AW373" s="47"/>
      <c r="AX373" s="47"/>
      <c r="AY373" s="47"/>
      <c r="AZ373" s="47"/>
      <c r="BA373" s="47"/>
      <c r="BB373" s="47"/>
      <c r="BC373" s="47"/>
      <c r="BD373" s="47"/>
      <c r="BE373" s="47"/>
      <c r="BF373" s="47"/>
      <c r="BG373" s="47"/>
      <c r="BH373" s="47"/>
      <c r="BI373" s="47"/>
      <c r="BJ373" s="47"/>
      <c r="BK373" s="47"/>
      <c r="BL373" s="47"/>
      <c r="BM373" s="47"/>
      <c r="BN373" s="47"/>
      <c r="BO373" s="47"/>
      <c r="BP373" s="47"/>
      <c r="BQ373" s="47"/>
      <c r="BR373" s="47"/>
      <c r="BS373" s="47"/>
      <c r="BT373" s="47"/>
      <c r="BU373" s="47"/>
      <c r="BV373" s="47"/>
      <c r="BW373" s="47"/>
      <c r="BX373" s="47"/>
      <c r="BY373" s="47"/>
      <c r="BZ373" s="47"/>
    </row>
    <row r="374" spans="1:78" ht="13">
      <c r="A374" s="48" t="str">
        <f ca="1">'.'!A374</f>
        <v>Sawmill</v>
      </c>
      <c r="B374" s="46" t="str">
        <f t="array" aca="1" ref="B374" ca="1">IF('.'!B374="","",'.'!B374&amp;IF(VLOOKUP('.'!B374,Recipes!$A:$D,4,FALSE)="",""," ["&amp;VLOOKUP('.'!B374,Recipes!$A:$D,4,FALSE)&amp;"]"))</f>
        <v>Arrow Shaft [0]</v>
      </c>
      <c r="C374" s="46" t="str">
        <f t="array" aca="1" ref="C374" ca="1">IF('.'!C374="","",'.'!C374&amp;IF(VLOOKUP('.'!C374,Recipes!$A:$D,4,FALSE)="",""," ["&amp;VLOOKUP('.'!C374,Recipes!$A:$D,4,FALSE)&amp;"]"))</f>
        <v>Long Branch [-1]</v>
      </c>
      <c r="D374" s="46" t="str">
        <f t="array" aca="1" ref="D374" ca="1">IF('.'!D374="","",'.'!D374&amp;IF(VLOOKUP('.'!D374,Recipes!$A:$D,4,FALSE)="",""," ["&amp;VLOOKUP('.'!D374,Recipes!$A:$D,4,FALSE)&amp;"]"))</f>
        <v>Short Stick [-1]</v>
      </c>
      <c r="E374" s="46" t="str">
        <f t="array" ref="E374">IF('.'!E374="","",'.'!E374&amp;IF(VLOOKUP('.'!E374,Recipes!$A:$D,4,FALSE)="",""," ["&amp;VLOOKUP('.'!E374,Recipes!$A:$D,4,FALSE)&amp;"]"))</f>
        <v/>
      </c>
      <c r="F374" s="46" t="str">
        <f t="array" ref="F374">IF('.'!F374="","",'.'!F374&amp;IF(VLOOKUP('.'!F374,Recipes!$A:$D,4,FALSE)="",""," ["&amp;VLOOKUP('.'!F374,Recipes!$A:$D,4,FALSE)&amp;"]"))</f>
        <v/>
      </c>
      <c r="G374" s="46" t="str">
        <f t="array" ref="G374">IF('.'!G374="","",'.'!G374&amp;IF(VLOOKUP('.'!G374,Recipes!$A:$D,4,FALSE)="",""," ["&amp;VLOOKUP('.'!G374,Recipes!$A:$D,4,FALSE)&amp;"]"))</f>
        <v/>
      </c>
      <c r="H374" s="46" t="str">
        <f t="array" ref="H374">IF('.'!H374="","",'.'!H374&amp;IF(VLOOKUP('.'!H374,Recipes!$A:$D,4,FALSE)="",""," ["&amp;VLOOKUP('.'!H374,Recipes!$A:$D,4,FALSE)&amp;"]"))</f>
        <v/>
      </c>
      <c r="I374" s="46" t="str">
        <f t="array" ref="I374">IF('.'!I374="","",'.'!I374&amp;IF(VLOOKUP('.'!I374,Recipes!$A:$D,4,FALSE)="",""," ["&amp;VLOOKUP('.'!I374,Recipes!$A:$D,4,FALSE)&amp;"]"))</f>
        <v/>
      </c>
      <c r="J374" s="46" t="str">
        <f t="array" ref="J374">IF('.'!J374="","",'.'!J374&amp;IF(VLOOKUP('.'!J374,Recipes!$A:$D,4,FALSE)="",""," ["&amp;VLOOKUP('.'!J374,Recipes!$A:$D,4,FALSE)&amp;"]"))</f>
        <v/>
      </c>
      <c r="K374" s="46" t="str">
        <f t="array" ref="K374">IF('.'!K374="","",'.'!K374&amp;IF(VLOOKUP('.'!K374,Recipes!$A:$D,4,FALSE)="",""," ["&amp;VLOOKUP('.'!K374,Recipes!$A:$D,4,FALSE)&amp;"]"))</f>
        <v/>
      </c>
      <c r="L374" s="46" t="str">
        <f t="array" ref="L374">IF('.'!L374="","",'.'!L374&amp;IF(VLOOKUP('.'!L374,Recipes!$A:$D,4,FALSE)="",""," ["&amp;VLOOKUP('.'!L374,Recipes!$A:$D,4,FALSE)&amp;"]"))</f>
        <v/>
      </c>
      <c r="M374" s="46" t="str">
        <f t="array" ref="M374">IF('.'!M374="","",'.'!M374&amp;IF(VLOOKUP('.'!M374,Recipes!$A:$D,4,FALSE)="",""," ["&amp;VLOOKUP('.'!M374,Recipes!$A:$D,4,FALSE)&amp;"]"))</f>
        <v/>
      </c>
      <c r="N374" s="46" t="str">
        <f t="array" ref="N374">IF('.'!N374="","",'.'!N374&amp;IF(VLOOKUP('.'!N374,Recipes!$A:$D,4,FALSE)="",""," ["&amp;VLOOKUP('.'!N374,Recipes!$A:$D,4,FALSE)&amp;"]"))</f>
        <v/>
      </c>
      <c r="O374" s="46" t="str">
        <f t="array" ref="O374">IF('.'!O374="","",'.'!O374&amp;IF(VLOOKUP('.'!O374,Recipes!$A:$D,4,FALSE)="",""," ["&amp;VLOOKUP('.'!O374,Recipes!$A:$D,4,FALSE)&amp;"]"))</f>
        <v/>
      </c>
      <c r="P374" s="46" t="str">
        <f t="array" ref="P374">IF('.'!P374="","",'.'!P374&amp;IF(VLOOKUP('.'!P374,Recipes!$A:$D,4,FALSE)="",""," ["&amp;VLOOKUP('.'!P374,Recipes!$A:$D,4,FALSE)&amp;"]"))</f>
        <v/>
      </c>
      <c r="Q374" s="46" t="str">
        <f t="array" ref="Q374">IF('.'!Q374="","",'.'!Q374&amp;IF(VLOOKUP('.'!Q374,Recipes!$A:$D,4,FALSE)="",""," ["&amp;VLOOKUP('.'!Q374,Recipes!$A:$D,4,FALSE)&amp;"]"))</f>
        <v/>
      </c>
      <c r="R374" s="46" t="str">
        <f t="array" ref="R374">IF('.'!R374="","",'.'!R374&amp;IF(VLOOKUP('.'!R374,Recipes!$A:$D,4,FALSE)="",""," ["&amp;VLOOKUP('.'!R374,Recipes!$A:$D,4,FALSE)&amp;"]"))</f>
        <v/>
      </c>
      <c r="S374" s="46" t="str">
        <f t="array" ref="S374">IF('.'!S374="","",'.'!S374&amp;IF(VLOOKUP('.'!S374,Recipes!$A:$D,4,FALSE)="",""," ["&amp;VLOOKUP('.'!S374,Recipes!$A:$D,4,FALSE)&amp;"]"))</f>
        <v/>
      </c>
      <c r="T374" s="46" t="str">
        <f t="array" ref="T374">IF('.'!T374="","",'.'!T374&amp;IF(VLOOKUP('.'!T374,Recipes!$A:$D,4,FALSE)="",""," ["&amp;VLOOKUP('.'!T374,Recipes!$A:$D,4,FALSE)&amp;"]"))</f>
        <v/>
      </c>
      <c r="U374" s="46" t="str">
        <f t="array" ref="U374">IF('.'!U374="","",'.'!U374&amp;IF(VLOOKUP('.'!U374,Recipes!$A:$D,4,FALSE)="",""," ["&amp;VLOOKUP('.'!U374,Recipes!$A:$D,4,FALSE)&amp;"]"))</f>
        <v/>
      </c>
      <c r="V374" s="46" t="str">
        <f t="array" ref="V374">IF('.'!V374="","",'.'!V374&amp;IF(VLOOKUP('.'!V374,Recipes!$A:$D,4,FALSE)="",""," ["&amp;VLOOKUP('.'!V374,Recipes!$A:$D,4,FALSE)&amp;"]"))</f>
        <v/>
      </c>
      <c r="W374" s="46" t="str">
        <f t="array" ref="W374">IF('.'!W374="","",'.'!W374&amp;IF(VLOOKUP('.'!W374,Recipes!$A:$D,4,FALSE)="",""," ["&amp;VLOOKUP('.'!W374,Recipes!$A:$D,4,FALSE)&amp;"]"))</f>
        <v/>
      </c>
      <c r="X374" s="46" t="str">
        <f t="array" ref="X374">IF('.'!X374="","",'.'!X374&amp;IF(VLOOKUP('.'!X374,Recipes!$A:$D,4,FALSE)="",""," ["&amp;VLOOKUP('.'!X374,Recipes!$A:$D,4,FALSE)&amp;"]"))</f>
        <v/>
      </c>
      <c r="Y374" s="46" t="str">
        <f t="array" ref="Y374">IF('.'!Y374="","",'.'!Y374&amp;IF(VLOOKUP('.'!Y374,Recipes!$A:$D,4,FALSE)="",""," ["&amp;VLOOKUP('.'!Y374,Recipes!$A:$D,4,FALSE)&amp;"]"))</f>
        <v/>
      </c>
      <c r="Z374" s="46" t="str">
        <f t="array" ref="Z374">IF('.'!Z374="","",'.'!Z374&amp;IF(VLOOKUP('.'!Z374,Recipes!$A:$D,4,FALSE)="",""," ["&amp;VLOOKUP('.'!Z374,Recipes!$A:$D,4,FALSE)&amp;"]"))</f>
        <v/>
      </c>
      <c r="AA374" s="46" t="str">
        <f t="array" ref="AA374">IF('.'!AA374="","",'.'!AA374&amp;IF(VLOOKUP('.'!AA374,Recipes!$A:$D,4,FALSE)="",""," ["&amp;VLOOKUP('.'!AA374,Recipes!$A:$D,4,FALSE)&amp;"]"))</f>
        <v/>
      </c>
      <c r="AB374" s="46" t="str">
        <f t="array" ref="AB374">IF('.'!AB374="","",'.'!AB374&amp;IF(VLOOKUP('.'!AB374,Recipes!$A:$D,4,FALSE)="",""," ["&amp;VLOOKUP('.'!AB374,Recipes!$A:$D,4,FALSE)&amp;"]"))</f>
        <v/>
      </c>
      <c r="AC374" s="46" t="str">
        <f t="array" ref="AC374">IF('.'!AC374="","",'.'!AC374&amp;IF(VLOOKUP('.'!AC374,Recipes!$A:$D,4,FALSE)="",""," ["&amp;VLOOKUP('.'!AC374,Recipes!$A:$D,4,FALSE)&amp;"]"))</f>
        <v/>
      </c>
      <c r="AD374" s="46" t="str">
        <f t="array" ref="AD374">IF('.'!AD374="","",'.'!AD374&amp;IF(VLOOKUP('.'!AD374,Recipes!$A:$D,4,FALSE)="",""," ["&amp;VLOOKUP('.'!AD374,Recipes!$A:$D,4,FALSE)&amp;"]"))</f>
        <v/>
      </c>
      <c r="AE374" s="47"/>
      <c r="AF374" s="47"/>
      <c r="AG374" s="47"/>
      <c r="AH374" s="47"/>
      <c r="AI374" s="47"/>
      <c r="AJ374" s="47"/>
      <c r="AK374" s="47"/>
      <c r="AL374" s="47"/>
      <c r="AM374" s="47"/>
      <c r="AN374" s="47"/>
      <c r="AO374" s="47"/>
      <c r="AP374" s="47"/>
      <c r="AQ374" s="47"/>
      <c r="AR374" s="47"/>
      <c r="AS374" s="47"/>
      <c r="AT374" s="47"/>
      <c r="AU374" s="47"/>
      <c r="AV374" s="47"/>
      <c r="AW374" s="47"/>
      <c r="AX374" s="47"/>
      <c r="AY374" s="47"/>
      <c r="AZ374" s="47"/>
      <c r="BA374" s="47"/>
      <c r="BB374" s="47"/>
      <c r="BC374" s="47"/>
      <c r="BD374" s="47"/>
      <c r="BE374" s="47"/>
      <c r="BF374" s="47"/>
      <c r="BG374" s="47"/>
      <c r="BH374" s="47"/>
      <c r="BI374" s="47"/>
      <c r="BJ374" s="47"/>
      <c r="BK374" s="47"/>
      <c r="BL374" s="47"/>
      <c r="BM374" s="47"/>
      <c r="BN374" s="47"/>
      <c r="BO374" s="47"/>
      <c r="BP374" s="47"/>
      <c r="BQ374" s="47"/>
      <c r="BR374" s="47"/>
      <c r="BS374" s="47"/>
      <c r="BT374" s="47"/>
      <c r="BU374" s="47"/>
      <c r="BV374" s="47"/>
      <c r="BW374" s="47"/>
      <c r="BX374" s="47"/>
      <c r="BY374" s="47"/>
      <c r="BZ374" s="47"/>
    </row>
    <row r="375" spans="1:78" ht="13">
      <c r="A375" s="48" t="str">
        <f ca="1">'.'!A375</f>
        <v>Scale Scraps</v>
      </c>
      <c r="B375" s="46" t="str">
        <f t="array" aca="1" ref="B375" ca="1">IF('.'!B375="","",'.'!B375&amp;IF(VLOOKUP('.'!B375,Recipes!$A:$D,4,FALSE)="",""," ["&amp;VLOOKUP('.'!B375,Recipes!$A:$D,4,FALSE)&amp;"]"))</f>
        <v>Handmade Scale Armour [V]</v>
      </c>
      <c r="C375" s="46" t="str">
        <f t="array" ref="C375">IF('.'!C375="","",'.'!C375&amp;IF(VLOOKUP('.'!C375,Recipes!$A:$D,4,FALSE)="",""," ["&amp;VLOOKUP('.'!C375,Recipes!$A:$D,4,FALSE)&amp;"]"))</f>
        <v/>
      </c>
      <c r="D375" s="46" t="str">
        <f t="array" ref="D375">IF('.'!D375="","",'.'!D375&amp;IF(VLOOKUP('.'!D375,Recipes!$A:$D,4,FALSE)="",""," ["&amp;VLOOKUP('.'!D375,Recipes!$A:$D,4,FALSE)&amp;"]"))</f>
        <v/>
      </c>
      <c r="E375" s="46" t="str">
        <f t="array" ref="E375">IF('.'!E375="","",'.'!E375&amp;IF(VLOOKUP('.'!E375,Recipes!$A:$D,4,FALSE)="",""," ["&amp;VLOOKUP('.'!E375,Recipes!$A:$D,4,FALSE)&amp;"]"))</f>
        <v/>
      </c>
      <c r="F375" s="46" t="str">
        <f t="array" ref="F375">IF('.'!F375="","",'.'!F375&amp;IF(VLOOKUP('.'!F375,Recipes!$A:$D,4,FALSE)="",""," ["&amp;VLOOKUP('.'!F375,Recipes!$A:$D,4,FALSE)&amp;"]"))</f>
        <v/>
      </c>
      <c r="G375" s="46" t="str">
        <f t="array" ref="G375">IF('.'!G375="","",'.'!G375&amp;IF(VLOOKUP('.'!G375,Recipes!$A:$D,4,FALSE)="",""," ["&amp;VLOOKUP('.'!G375,Recipes!$A:$D,4,FALSE)&amp;"]"))</f>
        <v/>
      </c>
      <c r="H375" s="46" t="str">
        <f t="array" ref="H375">IF('.'!H375="","",'.'!H375&amp;IF(VLOOKUP('.'!H375,Recipes!$A:$D,4,FALSE)="",""," ["&amp;VLOOKUP('.'!H375,Recipes!$A:$D,4,FALSE)&amp;"]"))</f>
        <v/>
      </c>
      <c r="I375" s="46" t="str">
        <f t="array" ref="I375">IF('.'!I375="","",'.'!I375&amp;IF(VLOOKUP('.'!I375,Recipes!$A:$D,4,FALSE)="",""," ["&amp;VLOOKUP('.'!I375,Recipes!$A:$D,4,FALSE)&amp;"]"))</f>
        <v/>
      </c>
      <c r="J375" s="46" t="str">
        <f t="array" ref="J375">IF('.'!J375="","",'.'!J375&amp;IF(VLOOKUP('.'!J375,Recipes!$A:$D,4,FALSE)="",""," ["&amp;VLOOKUP('.'!J375,Recipes!$A:$D,4,FALSE)&amp;"]"))</f>
        <v/>
      </c>
      <c r="K375" s="46" t="str">
        <f t="array" ref="K375">IF('.'!K375="","",'.'!K375&amp;IF(VLOOKUP('.'!K375,Recipes!$A:$D,4,FALSE)="",""," ["&amp;VLOOKUP('.'!K375,Recipes!$A:$D,4,FALSE)&amp;"]"))</f>
        <v/>
      </c>
      <c r="L375" s="46" t="str">
        <f t="array" ref="L375">IF('.'!L375="","",'.'!L375&amp;IF(VLOOKUP('.'!L375,Recipes!$A:$D,4,FALSE)="",""," ["&amp;VLOOKUP('.'!L375,Recipes!$A:$D,4,FALSE)&amp;"]"))</f>
        <v/>
      </c>
      <c r="M375" s="46" t="str">
        <f t="array" ref="M375">IF('.'!M375="","",'.'!M375&amp;IF(VLOOKUP('.'!M375,Recipes!$A:$D,4,FALSE)="",""," ["&amp;VLOOKUP('.'!M375,Recipes!$A:$D,4,FALSE)&amp;"]"))</f>
        <v/>
      </c>
      <c r="N375" s="46" t="str">
        <f t="array" ref="N375">IF('.'!N375="","",'.'!N375&amp;IF(VLOOKUP('.'!N375,Recipes!$A:$D,4,FALSE)="",""," ["&amp;VLOOKUP('.'!N375,Recipes!$A:$D,4,FALSE)&amp;"]"))</f>
        <v/>
      </c>
      <c r="O375" s="46" t="str">
        <f t="array" ref="O375">IF('.'!O375="","",'.'!O375&amp;IF(VLOOKUP('.'!O375,Recipes!$A:$D,4,FALSE)="",""," ["&amp;VLOOKUP('.'!O375,Recipes!$A:$D,4,FALSE)&amp;"]"))</f>
        <v/>
      </c>
      <c r="P375" s="46" t="str">
        <f t="array" ref="P375">IF('.'!P375="","",'.'!P375&amp;IF(VLOOKUP('.'!P375,Recipes!$A:$D,4,FALSE)="",""," ["&amp;VLOOKUP('.'!P375,Recipes!$A:$D,4,FALSE)&amp;"]"))</f>
        <v/>
      </c>
      <c r="Q375" s="46" t="str">
        <f t="array" ref="Q375">IF('.'!Q375="","",'.'!Q375&amp;IF(VLOOKUP('.'!Q375,Recipes!$A:$D,4,FALSE)="",""," ["&amp;VLOOKUP('.'!Q375,Recipes!$A:$D,4,FALSE)&amp;"]"))</f>
        <v/>
      </c>
      <c r="R375" s="46" t="str">
        <f t="array" ref="R375">IF('.'!R375="","",'.'!R375&amp;IF(VLOOKUP('.'!R375,Recipes!$A:$D,4,FALSE)="",""," ["&amp;VLOOKUP('.'!R375,Recipes!$A:$D,4,FALSE)&amp;"]"))</f>
        <v/>
      </c>
      <c r="S375" s="46" t="str">
        <f t="array" ref="S375">IF('.'!S375="","",'.'!S375&amp;IF(VLOOKUP('.'!S375,Recipes!$A:$D,4,FALSE)="",""," ["&amp;VLOOKUP('.'!S375,Recipes!$A:$D,4,FALSE)&amp;"]"))</f>
        <v/>
      </c>
      <c r="T375" s="46" t="str">
        <f t="array" ref="T375">IF('.'!T375="","",'.'!T375&amp;IF(VLOOKUP('.'!T375,Recipes!$A:$D,4,FALSE)="",""," ["&amp;VLOOKUP('.'!T375,Recipes!$A:$D,4,FALSE)&amp;"]"))</f>
        <v/>
      </c>
      <c r="U375" s="46" t="str">
        <f t="array" ref="U375">IF('.'!U375="","",'.'!U375&amp;IF(VLOOKUP('.'!U375,Recipes!$A:$D,4,FALSE)="",""," ["&amp;VLOOKUP('.'!U375,Recipes!$A:$D,4,FALSE)&amp;"]"))</f>
        <v/>
      </c>
      <c r="V375" s="46" t="str">
        <f t="array" ref="V375">IF('.'!V375="","",'.'!V375&amp;IF(VLOOKUP('.'!V375,Recipes!$A:$D,4,FALSE)="",""," ["&amp;VLOOKUP('.'!V375,Recipes!$A:$D,4,FALSE)&amp;"]"))</f>
        <v/>
      </c>
      <c r="W375" s="46" t="str">
        <f t="array" ref="W375">IF('.'!W375="","",'.'!W375&amp;IF(VLOOKUP('.'!W375,Recipes!$A:$D,4,FALSE)="",""," ["&amp;VLOOKUP('.'!W375,Recipes!$A:$D,4,FALSE)&amp;"]"))</f>
        <v/>
      </c>
      <c r="X375" s="46" t="str">
        <f t="array" ref="X375">IF('.'!X375="","",'.'!X375&amp;IF(VLOOKUP('.'!X375,Recipes!$A:$D,4,FALSE)="",""," ["&amp;VLOOKUP('.'!X375,Recipes!$A:$D,4,FALSE)&amp;"]"))</f>
        <v/>
      </c>
      <c r="Y375" s="46" t="str">
        <f t="array" ref="Y375">IF('.'!Y375="","",'.'!Y375&amp;IF(VLOOKUP('.'!Y375,Recipes!$A:$D,4,FALSE)="",""," ["&amp;VLOOKUP('.'!Y375,Recipes!$A:$D,4,FALSE)&amp;"]"))</f>
        <v/>
      </c>
      <c r="Z375" s="46" t="str">
        <f t="array" ref="Z375">IF('.'!Z375="","",'.'!Z375&amp;IF(VLOOKUP('.'!Z375,Recipes!$A:$D,4,FALSE)="",""," ["&amp;VLOOKUP('.'!Z375,Recipes!$A:$D,4,FALSE)&amp;"]"))</f>
        <v/>
      </c>
      <c r="AA375" s="46" t="str">
        <f t="array" ref="AA375">IF('.'!AA375="","",'.'!AA375&amp;IF(VLOOKUP('.'!AA375,Recipes!$A:$D,4,FALSE)="",""," ["&amp;VLOOKUP('.'!AA375,Recipes!$A:$D,4,FALSE)&amp;"]"))</f>
        <v/>
      </c>
      <c r="AB375" s="46" t="str">
        <f t="array" ref="AB375">IF('.'!AB375="","",'.'!AB375&amp;IF(VLOOKUP('.'!AB375,Recipes!$A:$D,4,FALSE)="",""," ["&amp;VLOOKUP('.'!AB375,Recipes!$A:$D,4,FALSE)&amp;"]"))</f>
        <v/>
      </c>
      <c r="AC375" s="46" t="str">
        <f t="array" ref="AC375">IF('.'!AC375="","",'.'!AC375&amp;IF(VLOOKUP('.'!AC375,Recipes!$A:$D,4,FALSE)="",""," ["&amp;VLOOKUP('.'!AC375,Recipes!$A:$D,4,FALSE)&amp;"]"))</f>
        <v/>
      </c>
      <c r="AD375" s="46" t="str">
        <f t="array" ref="AD375">IF('.'!AD375="","",'.'!AD375&amp;IF(VLOOKUP('.'!AD375,Recipes!$A:$D,4,FALSE)="",""," ["&amp;VLOOKUP('.'!AD375,Recipes!$A:$D,4,FALSE)&amp;"]"))</f>
        <v/>
      </c>
      <c r="AE375" s="47"/>
      <c r="AF375" s="47"/>
      <c r="AG375" s="47"/>
      <c r="AH375" s="47"/>
      <c r="AI375" s="47"/>
      <c r="AJ375" s="47"/>
      <c r="AK375" s="47"/>
      <c r="AL375" s="47"/>
      <c r="AM375" s="47"/>
      <c r="AN375" s="47"/>
      <c r="AO375" s="47"/>
      <c r="AP375" s="47"/>
      <c r="AQ375" s="47"/>
      <c r="AR375" s="47"/>
      <c r="AS375" s="47"/>
      <c r="AT375" s="47"/>
      <c r="AU375" s="47"/>
      <c r="AV375" s="47"/>
      <c r="AW375" s="47"/>
      <c r="AX375" s="47"/>
      <c r="AY375" s="47"/>
      <c r="AZ375" s="47"/>
      <c r="BA375" s="47"/>
      <c r="BB375" s="47"/>
      <c r="BC375" s="47"/>
      <c r="BD375" s="47"/>
      <c r="BE375" s="47"/>
      <c r="BF375" s="47"/>
      <c r="BG375" s="47"/>
      <c r="BH375" s="47"/>
      <c r="BI375" s="47"/>
      <c r="BJ375" s="47"/>
      <c r="BK375" s="47"/>
      <c r="BL375" s="47"/>
      <c r="BM375" s="47"/>
      <c r="BN375" s="47"/>
      <c r="BO375" s="47"/>
      <c r="BP375" s="47"/>
      <c r="BQ375" s="47"/>
      <c r="BR375" s="47"/>
      <c r="BS375" s="47"/>
      <c r="BT375" s="47"/>
      <c r="BU375" s="47"/>
      <c r="BV375" s="47"/>
      <c r="BW375" s="47"/>
      <c r="BX375" s="47"/>
      <c r="BY375" s="47"/>
      <c r="BZ375" s="47"/>
    </row>
    <row r="376" spans="1:78" ht="13">
      <c r="A376" s="48" t="str">
        <f ca="1">'.'!A376</f>
        <v>Searing Daggers Scroll</v>
      </c>
      <c r="B376" s="46" t="str">
        <f t="array" aca="1" ref="B376" ca="1">IF('.'!B376="","",'.'!B376&amp;IF(VLOOKUP('.'!B376,Recipes!$A:$D,4,FALSE)="",""," ["&amp;VLOOKUP('.'!B376,Recipes!$A:$D,4,FALSE)&amp;"]"))</f>
        <v>Searing Daggers Skillbook [-200]</v>
      </c>
      <c r="C376" s="46" t="str">
        <f t="array" ref="C376">IF('.'!C376="","",'.'!C376&amp;IF(VLOOKUP('.'!C376,Recipes!$A:$D,4,FALSE)="",""," ["&amp;VLOOKUP('.'!C376,Recipes!$A:$D,4,FALSE)&amp;"]"))</f>
        <v/>
      </c>
      <c r="D376" s="46" t="str">
        <f t="array" ref="D376">IF('.'!D376="","",'.'!D376&amp;IF(VLOOKUP('.'!D376,Recipes!$A:$D,4,FALSE)="",""," ["&amp;VLOOKUP('.'!D376,Recipes!$A:$D,4,FALSE)&amp;"]"))</f>
        <v/>
      </c>
      <c r="E376" s="46" t="str">
        <f t="array" ref="E376">IF('.'!E376="","",'.'!E376&amp;IF(VLOOKUP('.'!E376,Recipes!$A:$D,4,FALSE)="",""," ["&amp;VLOOKUP('.'!E376,Recipes!$A:$D,4,FALSE)&amp;"]"))</f>
        <v/>
      </c>
      <c r="F376" s="46" t="str">
        <f t="array" ref="F376">IF('.'!F376="","",'.'!F376&amp;IF(VLOOKUP('.'!F376,Recipes!$A:$D,4,FALSE)="",""," ["&amp;VLOOKUP('.'!F376,Recipes!$A:$D,4,FALSE)&amp;"]"))</f>
        <v/>
      </c>
      <c r="G376" s="46" t="str">
        <f t="array" ref="G376">IF('.'!G376="","",'.'!G376&amp;IF(VLOOKUP('.'!G376,Recipes!$A:$D,4,FALSE)="",""," ["&amp;VLOOKUP('.'!G376,Recipes!$A:$D,4,FALSE)&amp;"]"))</f>
        <v/>
      </c>
      <c r="H376" s="46" t="str">
        <f t="array" ref="H376">IF('.'!H376="","",'.'!H376&amp;IF(VLOOKUP('.'!H376,Recipes!$A:$D,4,FALSE)="",""," ["&amp;VLOOKUP('.'!H376,Recipes!$A:$D,4,FALSE)&amp;"]"))</f>
        <v/>
      </c>
      <c r="I376" s="46" t="str">
        <f t="array" ref="I376">IF('.'!I376="","",'.'!I376&amp;IF(VLOOKUP('.'!I376,Recipes!$A:$D,4,FALSE)="",""," ["&amp;VLOOKUP('.'!I376,Recipes!$A:$D,4,FALSE)&amp;"]"))</f>
        <v/>
      </c>
      <c r="J376" s="46" t="str">
        <f t="array" ref="J376">IF('.'!J376="","",'.'!J376&amp;IF(VLOOKUP('.'!J376,Recipes!$A:$D,4,FALSE)="",""," ["&amp;VLOOKUP('.'!J376,Recipes!$A:$D,4,FALSE)&amp;"]"))</f>
        <v/>
      </c>
      <c r="K376" s="46" t="str">
        <f t="array" ref="K376">IF('.'!K376="","",'.'!K376&amp;IF(VLOOKUP('.'!K376,Recipes!$A:$D,4,FALSE)="",""," ["&amp;VLOOKUP('.'!K376,Recipes!$A:$D,4,FALSE)&amp;"]"))</f>
        <v/>
      </c>
      <c r="L376" s="46" t="str">
        <f t="array" ref="L376">IF('.'!L376="","",'.'!L376&amp;IF(VLOOKUP('.'!L376,Recipes!$A:$D,4,FALSE)="",""," ["&amp;VLOOKUP('.'!L376,Recipes!$A:$D,4,FALSE)&amp;"]"))</f>
        <v/>
      </c>
      <c r="M376" s="46" t="str">
        <f t="array" ref="M376">IF('.'!M376="","",'.'!M376&amp;IF(VLOOKUP('.'!M376,Recipes!$A:$D,4,FALSE)="",""," ["&amp;VLOOKUP('.'!M376,Recipes!$A:$D,4,FALSE)&amp;"]"))</f>
        <v/>
      </c>
      <c r="N376" s="46" t="str">
        <f t="array" ref="N376">IF('.'!N376="","",'.'!N376&amp;IF(VLOOKUP('.'!N376,Recipes!$A:$D,4,FALSE)="",""," ["&amp;VLOOKUP('.'!N376,Recipes!$A:$D,4,FALSE)&amp;"]"))</f>
        <v/>
      </c>
      <c r="O376" s="46" t="str">
        <f t="array" ref="O376">IF('.'!O376="","",'.'!O376&amp;IF(VLOOKUP('.'!O376,Recipes!$A:$D,4,FALSE)="",""," ["&amp;VLOOKUP('.'!O376,Recipes!$A:$D,4,FALSE)&amp;"]"))</f>
        <v/>
      </c>
      <c r="P376" s="46" t="str">
        <f t="array" ref="P376">IF('.'!P376="","",'.'!P376&amp;IF(VLOOKUP('.'!P376,Recipes!$A:$D,4,FALSE)="",""," ["&amp;VLOOKUP('.'!P376,Recipes!$A:$D,4,FALSE)&amp;"]"))</f>
        <v/>
      </c>
      <c r="Q376" s="46" t="str">
        <f t="array" ref="Q376">IF('.'!Q376="","",'.'!Q376&amp;IF(VLOOKUP('.'!Q376,Recipes!$A:$D,4,FALSE)="",""," ["&amp;VLOOKUP('.'!Q376,Recipes!$A:$D,4,FALSE)&amp;"]"))</f>
        <v/>
      </c>
      <c r="R376" s="46" t="str">
        <f t="array" ref="R376">IF('.'!R376="","",'.'!R376&amp;IF(VLOOKUP('.'!R376,Recipes!$A:$D,4,FALSE)="",""," ["&amp;VLOOKUP('.'!R376,Recipes!$A:$D,4,FALSE)&amp;"]"))</f>
        <v/>
      </c>
      <c r="S376" s="46" t="str">
        <f t="array" ref="S376">IF('.'!S376="","",'.'!S376&amp;IF(VLOOKUP('.'!S376,Recipes!$A:$D,4,FALSE)="",""," ["&amp;VLOOKUP('.'!S376,Recipes!$A:$D,4,FALSE)&amp;"]"))</f>
        <v/>
      </c>
      <c r="T376" s="46" t="str">
        <f t="array" ref="T376">IF('.'!T376="","",'.'!T376&amp;IF(VLOOKUP('.'!T376,Recipes!$A:$D,4,FALSE)="",""," ["&amp;VLOOKUP('.'!T376,Recipes!$A:$D,4,FALSE)&amp;"]"))</f>
        <v/>
      </c>
      <c r="U376" s="46" t="str">
        <f t="array" ref="U376">IF('.'!U376="","",'.'!U376&amp;IF(VLOOKUP('.'!U376,Recipes!$A:$D,4,FALSE)="",""," ["&amp;VLOOKUP('.'!U376,Recipes!$A:$D,4,FALSE)&amp;"]"))</f>
        <v/>
      </c>
      <c r="V376" s="46" t="str">
        <f t="array" ref="V376">IF('.'!V376="","",'.'!V376&amp;IF(VLOOKUP('.'!V376,Recipes!$A:$D,4,FALSE)="",""," ["&amp;VLOOKUP('.'!V376,Recipes!$A:$D,4,FALSE)&amp;"]"))</f>
        <v/>
      </c>
      <c r="W376" s="46" t="str">
        <f t="array" ref="W376">IF('.'!W376="","",'.'!W376&amp;IF(VLOOKUP('.'!W376,Recipes!$A:$D,4,FALSE)="",""," ["&amp;VLOOKUP('.'!W376,Recipes!$A:$D,4,FALSE)&amp;"]"))</f>
        <v/>
      </c>
      <c r="X376" s="46" t="str">
        <f t="array" ref="X376">IF('.'!X376="","",'.'!X376&amp;IF(VLOOKUP('.'!X376,Recipes!$A:$D,4,FALSE)="",""," ["&amp;VLOOKUP('.'!X376,Recipes!$A:$D,4,FALSE)&amp;"]"))</f>
        <v/>
      </c>
      <c r="Y376" s="46" t="str">
        <f t="array" ref="Y376">IF('.'!Y376="","",'.'!Y376&amp;IF(VLOOKUP('.'!Y376,Recipes!$A:$D,4,FALSE)="",""," ["&amp;VLOOKUP('.'!Y376,Recipes!$A:$D,4,FALSE)&amp;"]"))</f>
        <v/>
      </c>
      <c r="Z376" s="46" t="str">
        <f t="array" ref="Z376">IF('.'!Z376="","",'.'!Z376&amp;IF(VLOOKUP('.'!Z376,Recipes!$A:$D,4,FALSE)="",""," ["&amp;VLOOKUP('.'!Z376,Recipes!$A:$D,4,FALSE)&amp;"]"))</f>
        <v/>
      </c>
      <c r="AA376" s="46" t="str">
        <f t="array" ref="AA376">IF('.'!AA376="","",'.'!AA376&amp;IF(VLOOKUP('.'!AA376,Recipes!$A:$D,4,FALSE)="",""," ["&amp;VLOOKUP('.'!AA376,Recipes!$A:$D,4,FALSE)&amp;"]"))</f>
        <v/>
      </c>
      <c r="AB376" s="46" t="str">
        <f t="array" ref="AB376">IF('.'!AB376="","",'.'!AB376&amp;IF(VLOOKUP('.'!AB376,Recipes!$A:$D,4,FALSE)="",""," ["&amp;VLOOKUP('.'!AB376,Recipes!$A:$D,4,FALSE)&amp;"]"))</f>
        <v/>
      </c>
      <c r="AC376" s="46" t="str">
        <f t="array" ref="AC376">IF('.'!AC376="","",'.'!AC376&amp;IF(VLOOKUP('.'!AC376,Recipes!$A:$D,4,FALSE)="",""," ["&amp;VLOOKUP('.'!AC376,Recipes!$A:$D,4,FALSE)&amp;"]"))</f>
        <v/>
      </c>
      <c r="AD376" s="46" t="str">
        <f t="array" ref="AD376">IF('.'!AD376="","",'.'!AD376&amp;IF(VLOOKUP('.'!AD376,Recipes!$A:$D,4,FALSE)="",""," ["&amp;VLOOKUP('.'!AD376,Recipes!$A:$D,4,FALSE)&amp;"]"))</f>
        <v/>
      </c>
      <c r="AE376" s="47"/>
      <c r="AF376" s="47"/>
      <c r="AG376" s="47"/>
      <c r="AH376" s="47"/>
      <c r="AI376" s="47"/>
      <c r="AJ376" s="47"/>
      <c r="AK376" s="47"/>
      <c r="AL376" s="47"/>
      <c r="AM376" s="47"/>
      <c r="AN376" s="47"/>
      <c r="AO376" s="47"/>
      <c r="AP376" s="47"/>
      <c r="AQ376" s="47"/>
      <c r="AR376" s="47"/>
      <c r="AS376" s="47"/>
      <c r="AT376" s="47"/>
      <c r="AU376" s="47"/>
      <c r="AV376" s="47"/>
      <c r="AW376" s="47"/>
      <c r="AX376" s="47"/>
      <c r="AY376" s="47"/>
      <c r="AZ376" s="47"/>
      <c r="BA376" s="47"/>
      <c r="BB376" s="47"/>
      <c r="BC376" s="47"/>
      <c r="BD376" s="47"/>
      <c r="BE376" s="47"/>
      <c r="BF376" s="47"/>
      <c r="BG376" s="47"/>
      <c r="BH376" s="47"/>
      <c r="BI376" s="47"/>
      <c r="BJ376" s="47"/>
      <c r="BK376" s="47"/>
      <c r="BL376" s="47"/>
      <c r="BM376" s="47"/>
      <c r="BN376" s="47"/>
      <c r="BO376" s="47"/>
      <c r="BP376" s="47"/>
      <c r="BQ376" s="47"/>
      <c r="BR376" s="47"/>
      <c r="BS376" s="47"/>
      <c r="BT376" s="47"/>
      <c r="BU376" s="47"/>
      <c r="BV376" s="47"/>
      <c r="BW376" s="47"/>
      <c r="BX376" s="47"/>
      <c r="BY376" s="47"/>
      <c r="BZ376" s="47"/>
    </row>
    <row r="377" spans="1:78" ht="13">
      <c r="A377" s="48" t="str">
        <f ca="1">'.'!A377</f>
        <v>Shackles of Pain Scroll</v>
      </c>
      <c r="B377" s="46" t="str">
        <f t="array" aca="1" ref="B377" ca="1">IF('.'!B377="","",'.'!B377&amp;IF(VLOOKUP('.'!B377,Recipes!$A:$D,4,FALSE)="",""," ["&amp;VLOOKUP('.'!B377,Recipes!$A:$D,4,FALSE)&amp;"]"))</f>
        <v>Shackles of Pain Skillbook [-160]</v>
      </c>
      <c r="C377" s="46" t="str">
        <f t="array" ref="C377">IF('.'!C377="","",'.'!C377&amp;IF(VLOOKUP('.'!C377,Recipes!$A:$D,4,FALSE)="",""," ["&amp;VLOOKUP('.'!C377,Recipes!$A:$D,4,FALSE)&amp;"]"))</f>
        <v/>
      </c>
      <c r="D377" s="46" t="str">
        <f t="array" ref="D377">IF('.'!D377="","",'.'!D377&amp;IF(VLOOKUP('.'!D377,Recipes!$A:$D,4,FALSE)="",""," ["&amp;VLOOKUP('.'!D377,Recipes!$A:$D,4,FALSE)&amp;"]"))</f>
        <v/>
      </c>
      <c r="E377" s="46" t="str">
        <f t="array" ref="E377">IF('.'!E377="","",'.'!E377&amp;IF(VLOOKUP('.'!E377,Recipes!$A:$D,4,FALSE)="",""," ["&amp;VLOOKUP('.'!E377,Recipes!$A:$D,4,FALSE)&amp;"]"))</f>
        <v/>
      </c>
      <c r="F377" s="46" t="str">
        <f t="array" ref="F377">IF('.'!F377="","",'.'!F377&amp;IF(VLOOKUP('.'!F377,Recipes!$A:$D,4,FALSE)="",""," ["&amp;VLOOKUP('.'!F377,Recipes!$A:$D,4,FALSE)&amp;"]"))</f>
        <v/>
      </c>
      <c r="G377" s="46" t="str">
        <f t="array" ref="G377">IF('.'!G377="","",'.'!G377&amp;IF(VLOOKUP('.'!G377,Recipes!$A:$D,4,FALSE)="",""," ["&amp;VLOOKUP('.'!G377,Recipes!$A:$D,4,FALSE)&amp;"]"))</f>
        <v/>
      </c>
      <c r="H377" s="46" t="str">
        <f t="array" ref="H377">IF('.'!H377="","",'.'!H377&amp;IF(VLOOKUP('.'!H377,Recipes!$A:$D,4,FALSE)="",""," ["&amp;VLOOKUP('.'!H377,Recipes!$A:$D,4,FALSE)&amp;"]"))</f>
        <v/>
      </c>
      <c r="I377" s="46" t="str">
        <f t="array" ref="I377">IF('.'!I377="","",'.'!I377&amp;IF(VLOOKUP('.'!I377,Recipes!$A:$D,4,FALSE)="",""," ["&amp;VLOOKUP('.'!I377,Recipes!$A:$D,4,FALSE)&amp;"]"))</f>
        <v/>
      </c>
      <c r="J377" s="46" t="str">
        <f t="array" ref="J377">IF('.'!J377="","",'.'!J377&amp;IF(VLOOKUP('.'!J377,Recipes!$A:$D,4,FALSE)="",""," ["&amp;VLOOKUP('.'!J377,Recipes!$A:$D,4,FALSE)&amp;"]"))</f>
        <v/>
      </c>
      <c r="K377" s="46" t="str">
        <f t="array" ref="K377">IF('.'!K377="","",'.'!K377&amp;IF(VLOOKUP('.'!K377,Recipes!$A:$D,4,FALSE)="",""," ["&amp;VLOOKUP('.'!K377,Recipes!$A:$D,4,FALSE)&amp;"]"))</f>
        <v/>
      </c>
      <c r="L377" s="46" t="str">
        <f t="array" ref="L377">IF('.'!L377="","",'.'!L377&amp;IF(VLOOKUP('.'!L377,Recipes!$A:$D,4,FALSE)="",""," ["&amp;VLOOKUP('.'!L377,Recipes!$A:$D,4,FALSE)&amp;"]"))</f>
        <v/>
      </c>
      <c r="M377" s="46" t="str">
        <f t="array" ref="M377">IF('.'!M377="","",'.'!M377&amp;IF(VLOOKUP('.'!M377,Recipes!$A:$D,4,FALSE)="",""," ["&amp;VLOOKUP('.'!M377,Recipes!$A:$D,4,FALSE)&amp;"]"))</f>
        <v/>
      </c>
      <c r="N377" s="46" t="str">
        <f t="array" ref="N377">IF('.'!N377="","",'.'!N377&amp;IF(VLOOKUP('.'!N377,Recipes!$A:$D,4,FALSE)="",""," ["&amp;VLOOKUP('.'!N377,Recipes!$A:$D,4,FALSE)&amp;"]"))</f>
        <v/>
      </c>
      <c r="O377" s="46" t="str">
        <f t="array" ref="O377">IF('.'!O377="","",'.'!O377&amp;IF(VLOOKUP('.'!O377,Recipes!$A:$D,4,FALSE)="",""," ["&amp;VLOOKUP('.'!O377,Recipes!$A:$D,4,FALSE)&amp;"]"))</f>
        <v/>
      </c>
      <c r="P377" s="46" t="str">
        <f t="array" ref="P377">IF('.'!P377="","",'.'!P377&amp;IF(VLOOKUP('.'!P377,Recipes!$A:$D,4,FALSE)="",""," ["&amp;VLOOKUP('.'!P377,Recipes!$A:$D,4,FALSE)&amp;"]"))</f>
        <v/>
      </c>
      <c r="Q377" s="46" t="str">
        <f t="array" ref="Q377">IF('.'!Q377="","",'.'!Q377&amp;IF(VLOOKUP('.'!Q377,Recipes!$A:$D,4,FALSE)="",""," ["&amp;VLOOKUP('.'!Q377,Recipes!$A:$D,4,FALSE)&amp;"]"))</f>
        <v/>
      </c>
      <c r="R377" s="46" t="str">
        <f t="array" ref="R377">IF('.'!R377="","",'.'!R377&amp;IF(VLOOKUP('.'!R377,Recipes!$A:$D,4,FALSE)="",""," ["&amp;VLOOKUP('.'!R377,Recipes!$A:$D,4,FALSE)&amp;"]"))</f>
        <v/>
      </c>
      <c r="S377" s="46" t="str">
        <f t="array" ref="S377">IF('.'!S377="","",'.'!S377&amp;IF(VLOOKUP('.'!S377,Recipes!$A:$D,4,FALSE)="",""," ["&amp;VLOOKUP('.'!S377,Recipes!$A:$D,4,FALSE)&amp;"]"))</f>
        <v/>
      </c>
      <c r="T377" s="46" t="str">
        <f t="array" ref="T377">IF('.'!T377="","",'.'!T377&amp;IF(VLOOKUP('.'!T377,Recipes!$A:$D,4,FALSE)="",""," ["&amp;VLOOKUP('.'!T377,Recipes!$A:$D,4,FALSE)&amp;"]"))</f>
        <v/>
      </c>
      <c r="U377" s="46" t="str">
        <f t="array" ref="U377">IF('.'!U377="","",'.'!U377&amp;IF(VLOOKUP('.'!U377,Recipes!$A:$D,4,FALSE)="",""," ["&amp;VLOOKUP('.'!U377,Recipes!$A:$D,4,FALSE)&amp;"]"))</f>
        <v/>
      </c>
      <c r="V377" s="46" t="str">
        <f t="array" ref="V377">IF('.'!V377="","",'.'!V377&amp;IF(VLOOKUP('.'!V377,Recipes!$A:$D,4,FALSE)="",""," ["&amp;VLOOKUP('.'!V377,Recipes!$A:$D,4,FALSE)&amp;"]"))</f>
        <v/>
      </c>
      <c r="W377" s="46" t="str">
        <f t="array" ref="W377">IF('.'!W377="","",'.'!W377&amp;IF(VLOOKUP('.'!W377,Recipes!$A:$D,4,FALSE)="",""," ["&amp;VLOOKUP('.'!W377,Recipes!$A:$D,4,FALSE)&amp;"]"))</f>
        <v/>
      </c>
      <c r="X377" s="46" t="str">
        <f t="array" ref="X377">IF('.'!X377="","",'.'!X377&amp;IF(VLOOKUP('.'!X377,Recipes!$A:$D,4,FALSE)="",""," ["&amp;VLOOKUP('.'!X377,Recipes!$A:$D,4,FALSE)&amp;"]"))</f>
        <v/>
      </c>
      <c r="Y377" s="46" t="str">
        <f t="array" ref="Y377">IF('.'!Y377="","",'.'!Y377&amp;IF(VLOOKUP('.'!Y377,Recipes!$A:$D,4,FALSE)="",""," ["&amp;VLOOKUP('.'!Y377,Recipes!$A:$D,4,FALSE)&amp;"]"))</f>
        <v/>
      </c>
      <c r="Z377" s="46" t="str">
        <f t="array" ref="Z377">IF('.'!Z377="","",'.'!Z377&amp;IF(VLOOKUP('.'!Z377,Recipes!$A:$D,4,FALSE)="",""," ["&amp;VLOOKUP('.'!Z377,Recipes!$A:$D,4,FALSE)&amp;"]"))</f>
        <v/>
      </c>
      <c r="AA377" s="46" t="str">
        <f t="array" ref="AA377">IF('.'!AA377="","",'.'!AA377&amp;IF(VLOOKUP('.'!AA377,Recipes!$A:$D,4,FALSE)="",""," ["&amp;VLOOKUP('.'!AA377,Recipes!$A:$D,4,FALSE)&amp;"]"))</f>
        <v/>
      </c>
      <c r="AB377" s="46" t="str">
        <f t="array" ref="AB377">IF('.'!AB377="","",'.'!AB377&amp;IF(VLOOKUP('.'!AB377,Recipes!$A:$D,4,FALSE)="",""," ["&amp;VLOOKUP('.'!AB377,Recipes!$A:$D,4,FALSE)&amp;"]"))</f>
        <v/>
      </c>
      <c r="AC377" s="46" t="str">
        <f t="array" ref="AC377">IF('.'!AC377="","",'.'!AC377&amp;IF(VLOOKUP('.'!AC377,Recipes!$A:$D,4,FALSE)="",""," ["&amp;VLOOKUP('.'!AC377,Recipes!$A:$D,4,FALSE)&amp;"]"))</f>
        <v/>
      </c>
      <c r="AD377" s="46" t="str">
        <f t="array" ref="AD377">IF('.'!AD377="","",'.'!AD377&amp;IF(VLOOKUP('.'!AD377,Recipes!$A:$D,4,FALSE)="",""," ["&amp;VLOOKUP('.'!AD377,Recipes!$A:$D,4,FALSE)&amp;"]"))</f>
        <v/>
      </c>
      <c r="AE377" s="47"/>
      <c r="AF377" s="47"/>
      <c r="AG377" s="47"/>
      <c r="AH377" s="47"/>
      <c r="AI377" s="47"/>
      <c r="AJ377" s="47"/>
      <c r="AK377" s="47"/>
      <c r="AL377" s="47"/>
      <c r="AM377" s="47"/>
      <c r="AN377" s="47"/>
      <c r="AO377" s="47"/>
      <c r="AP377" s="47"/>
      <c r="AQ377" s="47"/>
      <c r="AR377" s="47"/>
      <c r="AS377" s="47"/>
      <c r="AT377" s="47"/>
      <c r="AU377" s="47"/>
      <c r="AV377" s="47"/>
      <c r="AW377" s="47"/>
      <c r="AX377" s="47"/>
      <c r="AY377" s="47"/>
      <c r="AZ377" s="47"/>
      <c r="BA377" s="47"/>
      <c r="BB377" s="47"/>
      <c r="BC377" s="47"/>
      <c r="BD377" s="47"/>
      <c r="BE377" s="47"/>
      <c r="BF377" s="47"/>
      <c r="BG377" s="47"/>
      <c r="BH377" s="47"/>
      <c r="BI377" s="47"/>
      <c r="BJ377" s="47"/>
      <c r="BK377" s="47"/>
      <c r="BL377" s="47"/>
      <c r="BM377" s="47"/>
      <c r="BN377" s="47"/>
      <c r="BO377" s="47"/>
      <c r="BP377" s="47"/>
      <c r="BQ377" s="47"/>
      <c r="BR377" s="47"/>
      <c r="BS377" s="47"/>
      <c r="BT377" s="47"/>
      <c r="BU377" s="47"/>
      <c r="BV377" s="47"/>
      <c r="BW377" s="47"/>
      <c r="BX377" s="47"/>
      <c r="BY377" s="47"/>
      <c r="BZ377" s="47"/>
    </row>
    <row r="378" spans="1:78" ht="13">
      <c r="A378" s="48" t="str">
        <f ca="1">'.'!A378</f>
        <v>Shadow Essence</v>
      </c>
      <c r="B378" s="46" t="str">
        <f t="array" aca="1" ref="B378" ca="1">IF('.'!B378="","",'.'!B378&amp;IF(VLOOKUP('.'!B378,Recipes!$A:$D,4,FALSE)="",""," ["&amp;VLOOKUP('.'!B378,Recipes!$A:$D,4,FALSE)&amp;"]"))</f>
        <v>Blood Sucker Scroll [-15]</v>
      </c>
      <c r="C378" s="46" t="str">
        <f t="array" aca="1" ref="C378" ca="1">IF('.'!C378="","",'.'!C378&amp;IF(VLOOKUP('.'!C378,Recipes!$A:$D,4,FALSE)="",""," ["&amp;VLOOKUP('.'!C378,Recipes!$A:$D,4,FALSE)&amp;"]"))</f>
        <v>Decaying Touch Scroll [-75]</v>
      </c>
      <c r="D378" s="46" t="str">
        <f t="array" aca="1" ref="D378" ca="1">IF('.'!D378="","",'.'!D378&amp;IF(VLOOKUP('.'!D378,Recipes!$A:$D,4,FALSE)="",""," ["&amp;VLOOKUP('.'!D378,Recipes!$A:$D,4,FALSE)&amp;"]"))</f>
        <v>Infect Scroll [54]</v>
      </c>
      <c r="E378" s="46" t="e">
        <f t="array" aca="1" ref="E378" ca="1">IF('.'!E378="","",'.'!E378&amp;IF(VLOOKUP('.'!E378,Recipes!$A:$D,4,FALSE)="",""," ["&amp;VLOOKUP('.'!E378,Recipes!$A:$D,4,FALSE)&amp;"]"))</f>
        <v>#VALUE!</v>
      </c>
      <c r="F378" s="46" t="str">
        <f t="array" aca="1" ref="F378" ca="1">IF('.'!F378="","",'.'!F378&amp;IF(VLOOKUP('.'!F378,Recipes!$A:$D,4,FALSE)="",""," ["&amp;VLOOKUP('.'!F378,Recipes!$A:$D,4,FALSE)&amp;"]"))</f>
        <v>Shackles of Pain Scroll [-5]</v>
      </c>
      <c r="G378" s="46" t="str">
        <f t="array" ref="G378">IF('.'!G378="","",'.'!G378&amp;IF(VLOOKUP('.'!G378,Recipes!$A:$D,4,FALSE)="",""," ["&amp;VLOOKUP('.'!G378,Recipes!$A:$D,4,FALSE)&amp;"]"))</f>
        <v/>
      </c>
      <c r="H378" s="46" t="str">
        <f t="array" ref="H378">IF('.'!H378="","",'.'!H378&amp;IF(VLOOKUP('.'!H378,Recipes!$A:$D,4,FALSE)="",""," ["&amp;VLOOKUP('.'!H378,Recipes!$A:$D,4,FALSE)&amp;"]"))</f>
        <v/>
      </c>
      <c r="I378" s="46" t="str">
        <f t="array" ref="I378">IF('.'!I378="","",'.'!I378&amp;IF(VLOOKUP('.'!I378,Recipes!$A:$D,4,FALSE)="",""," ["&amp;VLOOKUP('.'!I378,Recipes!$A:$D,4,FALSE)&amp;"]"))</f>
        <v/>
      </c>
      <c r="J378" s="46" t="str">
        <f t="array" ref="J378">IF('.'!J378="","",'.'!J378&amp;IF(VLOOKUP('.'!J378,Recipes!$A:$D,4,FALSE)="",""," ["&amp;VLOOKUP('.'!J378,Recipes!$A:$D,4,FALSE)&amp;"]"))</f>
        <v/>
      </c>
      <c r="K378" s="46" t="str">
        <f t="array" ref="K378">IF('.'!K378="","",'.'!K378&amp;IF(VLOOKUP('.'!K378,Recipes!$A:$D,4,FALSE)="",""," ["&amp;VLOOKUP('.'!K378,Recipes!$A:$D,4,FALSE)&amp;"]"))</f>
        <v/>
      </c>
      <c r="L378" s="46" t="str">
        <f t="array" ref="L378">IF('.'!L378="","",'.'!L378&amp;IF(VLOOKUP('.'!L378,Recipes!$A:$D,4,FALSE)="",""," ["&amp;VLOOKUP('.'!L378,Recipes!$A:$D,4,FALSE)&amp;"]"))</f>
        <v/>
      </c>
      <c r="M378" s="46" t="str">
        <f t="array" ref="M378">IF('.'!M378="","",'.'!M378&amp;IF(VLOOKUP('.'!M378,Recipes!$A:$D,4,FALSE)="",""," ["&amp;VLOOKUP('.'!M378,Recipes!$A:$D,4,FALSE)&amp;"]"))</f>
        <v/>
      </c>
      <c r="N378" s="46" t="str">
        <f t="array" ref="N378">IF('.'!N378="","",'.'!N378&amp;IF(VLOOKUP('.'!N378,Recipes!$A:$D,4,FALSE)="",""," ["&amp;VLOOKUP('.'!N378,Recipes!$A:$D,4,FALSE)&amp;"]"))</f>
        <v/>
      </c>
      <c r="O378" s="46" t="str">
        <f t="array" ref="O378">IF('.'!O378="","",'.'!O378&amp;IF(VLOOKUP('.'!O378,Recipes!$A:$D,4,FALSE)="",""," ["&amp;VLOOKUP('.'!O378,Recipes!$A:$D,4,FALSE)&amp;"]"))</f>
        <v/>
      </c>
      <c r="P378" s="46" t="str">
        <f t="array" ref="P378">IF('.'!P378="","",'.'!P378&amp;IF(VLOOKUP('.'!P378,Recipes!$A:$D,4,FALSE)="",""," ["&amp;VLOOKUP('.'!P378,Recipes!$A:$D,4,FALSE)&amp;"]"))</f>
        <v/>
      </c>
      <c r="Q378" s="46" t="str">
        <f t="array" ref="Q378">IF('.'!Q378="","",'.'!Q378&amp;IF(VLOOKUP('.'!Q378,Recipes!$A:$D,4,FALSE)="",""," ["&amp;VLOOKUP('.'!Q378,Recipes!$A:$D,4,FALSE)&amp;"]"))</f>
        <v/>
      </c>
      <c r="R378" s="46" t="str">
        <f t="array" ref="R378">IF('.'!R378="","",'.'!R378&amp;IF(VLOOKUP('.'!R378,Recipes!$A:$D,4,FALSE)="",""," ["&amp;VLOOKUP('.'!R378,Recipes!$A:$D,4,FALSE)&amp;"]"))</f>
        <v/>
      </c>
      <c r="S378" s="46" t="str">
        <f t="array" ref="S378">IF('.'!S378="","",'.'!S378&amp;IF(VLOOKUP('.'!S378,Recipes!$A:$D,4,FALSE)="",""," ["&amp;VLOOKUP('.'!S378,Recipes!$A:$D,4,FALSE)&amp;"]"))</f>
        <v/>
      </c>
      <c r="T378" s="46" t="str">
        <f t="array" ref="T378">IF('.'!T378="","",'.'!T378&amp;IF(VLOOKUP('.'!T378,Recipes!$A:$D,4,FALSE)="",""," ["&amp;VLOOKUP('.'!T378,Recipes!$A:$D,4,FALSE)&amp;"]"))</f>
        <v/>
      </c>
      <c r="U378" s="46" t="str">
        <f t="array" ref="U378">IF('.'!U378="","",'.'!U378&amp;IF(VLOOKUP('.'!U378,Recipes!$A:$D,4,FALSE)="",""," ["&amp;VLOOKUP('.'!U378,Recipes!$A:$D,4,FALSE)&amp;"]"))</f>
        <v/>
      </c>
      <c r="V378" s="46" t="str">
        <f t="array" ref="V378">IF('.'!V378="","",'.'!V378&amp;IF(VLOOKUP('.'!V378,Recipes!$A:$D,4,FALSE)="",""," ["&amp;VLOOKUP('.'!V378,Recipes!$A:$D,4,FALSE)&amp;"]"))</f>
        <v/>
      </c>
      <c r="W378" s="46" t="str">
        <f t="array" ref="W378">IF('.'!W378="","",'.'!W378&amp;IF(VLOOKUP('.'!W378,Recipes!$A:$D,4,FALSE)="",""," ["&amp;VLOOKUP('.'!W378,Recipes!$A:$D,4,FALSE)&amp;"]"))</f>
        <v/>
      </c>
      <c r="X378" s="46" t="str">
        <f t="array" ref="X378">IF('.'!X378="","",'.'!X378&amp;IF(VLOOKUP('.'!X378,Recipes!$A:$D,4,FALSE)="",""," ["&amp;VLOOKUP('.'!X378,Recipes!$A:$D,4,FALSE)&amp;"]"))</f>
        <v/>
      </c>
      <c r="Y378" s="46" t="str">
        <f t="array" ref="Y378">IF('.'!Y378="","",'.'!Y378&amp;IF(VLOOKUP('.'!Y378,Recipes!$A:$D,4,FALSE)="",""," ["&amp;VLOOKUP('.'!Y378,Recipes!$A:$D,4,FALSE)&amp;"]"))</f>
        <v/>
      </c>
      <c r="Z378" s="46" t="str">
        <f t="array" ref="Z378">IF('.'!Z378="","",'.'!Z378&amp;IF(VLOOKUP('.'!Z378,Recipes!$A:$D,4,FALSE)="",""," ["&amp;VLOOKUP('.'!Z378,Recipes!$A:$D,4,FALSE)&amp;"]"))</f>
        <v/>
      </c>
      <c r="AA378" s="46" t="str">
        <f t="array" ref="AA378">IF('.'!AA378="","",'.'!AA378&amp;IF(VLOOKUP('.'!AA378,Recipes!$A:$D,4,FALSE)="",""," ["&amp;VLOOKUP('.'!AA378,Recipes!$A:$D,4,FALSE)&amp;"]"))</f>
        <v/>
      </c>
      <c r="AB378" s="46" t="str">
        <f t="array" ref="AB378">IF('.'!AB378="","",'.'!AB378&amp;IF(VLOOKUP('.'!AB378,Recipes!$A:$D,4,FALSE)="",""," ["&amp;VLOOKUP('.'!AB378,Recipes!$A:$D,4,FALSE)&amp;"]"))</f>
        <v/>
      </c>
      <c r="AC378" s="46" t="str">
        <f t="array" ref="AC378">IF('.'!AC378="","",'.'!AC378&amp;IF(VLOOKUP('.'!AC378,Recipes!$A:$D,4,FALSE)="",""," ["&amp;VLOOKUP('.'!AC378,Recipes!$A:$D,4,FALSE)&amp;"]"))</f>
        <v/>
      </c>
      <c r="AD378" s="46" t="str">
        <f t="array" ref="AD378">IF('.'!AD378="","",'.'!AD378&amp;IF(VLOOKUP('.'!AD378,Recipes!$A:$D,4,FALSE)="",""," ["&amp;VLOOKUP('.'!AD378,Recipes!$A:$D,4,FALSE)&amp;"]"))</f>
        <v/>
      </c>
      <c r="AE378" s="47"/>
      <c r="AF378" s="47"/>
      <c r="AG378" s="47"/>
      <c r="AH378" s="47"/>
      <c r="AI378" s="47"/>
      <c r="AJ378" s="47"/>
      <c r="AK378" s="47"/>
      <c r="AL378" s="47"/>
      <c r="AM378" s="47"/>
      <c r="AN378" s="47"/>
      <c r="AO378" s="47"/>
      <c r="AP378" s="47"/>
      <c r="AQ378" s="47"/>
      <c r="AR378" s="47"/>
      <c r="AS378" s="47"/>
      <c r="AT378" s="47"/>
      <c r="AU378" s="47"/>
      <c r="AV378" s="47"/>
      <c r="AW378" s="47"/>
      <c r="AX378" s="47"/>
      <c r="AY378" s="47"/>
      <c r="AZ378" s="47"/>
      <c r="BA378" s="47"/>
      <c r="BB378" s="47"/>
      <c r="BC378" s="47"/>
      <c r="BD378" s="47"/>
      <c r="BE378" s="47"/>
      <c r="BF378" s="47"/>
      <c r="BG378" s="47"/>
      <c r="BH378" s="47"/>
      <c r="BI378" s="47"/>
      <c r="BJ378" s="47"/>
      <c r="BK378" s="47"/>
      <c r="BL378" s="47"/>
      <c r="BM378" s="47"/>
      <c r="BN378" s="47"/>
      <c r="BO378" s="47"/>
      <c r="BP378" s="47"/>
      <c r="BQ378" s="47"/>
      <c r="BR378" s="47"/>
      <c r="BS378" s="47"/>
      <c r="BT378" s="47"/>
      <c r="BU378" s="47"/>
      <c r="BV378" s="47"/>
      <c r="BW378" s="47"/>
      <c r="BX378" s="47"/>
      <c r="BY378" s="47"/>
      <c r="BZ378" s="47"/>
    </row>
    <row r="379" spans="1:78" ht="13">
      <c r="A379" s="48" t="str">
        <f ca="1">'.'!A379</f>
        <v>Shadow Infusion Scroll</v>
      </c>
      <c r="B379" s="46" t="str">
        <f t="array" aca="1" ref="B379" ca="1">IF('.'!B379="","",'.'!B379&amp;IF(VLOOKUP('.'!B379,Recipes!$A:$D,4,FALSE)="",""," ["&amp;VLOOKUP('.'!B379,Recipes!$A:$D,4,FALSE)&amp;"]"))</f>
        <v>Shadow Infusion Skillbook [250]</v>
      </c>
      <c r="C379" s="46" t="str">
        <f t="array" ref="C379">IF('.'!C379="","",'.'!C379&amp;IF(VLOOKUP('.'!C379,Recipes!$A:$D,4,FALSE)="",""," ["&amp;VLOOKUP('.'!C379,Recipes!$A:$D,4,FALSE)&amp;"]"))</f>
        <v/>
      </c>
      <c r="D379" s="46" t="str">
        <f t="array" ref="D379">IF('.'!D379="","",'.'!D379&amp;IF(VLOOKUP('.'!D379,Recipes!$A:$D,4,FALSE)="",""," ["&amp;VLOOKUP('.'!D379,Recipes!$A:$D,4,FALSE)&amp;"]"))</f>
        <v/>
      </c>
      <c r="E379" s="46" t="str">
        <f t="array" ref="E379">IF('.'!E379="","",'.'!E379&amp;IF(VLOOKUP('.'!E379,Recipes!$A:$D,4,FALSE)="",""," ["&amp;VLOOKUP('.'!E379,Recipes!$A:$D,4,FALSE)&amp;"]"))</f>
        <v/>
      </c>
      <c r="F379" s="46" t="str">
        <f t="array" ref="F379">IF('.'!F379="","",'.'!F379&amp;IF(VLOOKUP('.'!F379,Recipes!$A:$D,4,FALSE)="",""," ["&amp;VLOOKUP('.'!F379,Recipes!$A:$D,4,FALSE)&amp;"]"))</f>
        <v/>
      </c>
      <c r="G379" s="46" t="str">
        <f t="array" ref="G379">IF('.'!G379="","",'.'!G379&amp;IF(VLOOKUP('.'!G379,Recipes!$A:$D,4,FALSE)="",""," ["&amp;VLOOKUP('.'!G379,Recipes!$A:$D,4,FALSE)&amp;"]"))</f>
        <v/>
      </c>
      <c r="H379" s="46" t="str">
        <f t="array" ref="H379">IF('.'!H379="","",'.'!H379&amp;IF(VLOOKUP('.'!H379,Recipes!$A:$D,4,FALSE)="",""," ["&amp;VLOOKUP('.'!H379,Recipes!$A:$D,4,FALSE)&amp;"]"))</f>
        <v/>
      </c>
      <c r="I379" s="46" t="str">
        <f t="array" ref="I379">IF('.'!I379="","",'.'!I379&amp;IF(VLOOKUP('.'!I379,Recipes!$A:$D,4,FALSE)="",""," ["&amp;VLOOKUP('.'!I379,Recipes!$A:$D,4,FALSE)&amp;"]"))</f>
        <v/>
      </c>
      <c r="J379" s="46" t="str">
        <f t="array" ref="J379">IF('.'!J379="","",'.'!J379&amp;IF(VLOOKUP('.'!J379,Recipes!$A:$D,4,FALSE)="",""," ["&amp;VLOOKUP('.'!J379,Recipes!$A:$D,4,FALSE)&amp;"]"))</f>
        <v/>
      </c>
      <c r="K379" s="46" t="str">
        <f t="array" ref="K379">IF('.'!K379="","",'.'!K379&amp;IF(VLOOKUP('.'!K379,Recipes!$A:$D,4,FALSE)="",""," ["&amp;VLOOKUP('.'!K379,Recipes!$A:$D,4,FALSE)&amp;"]"))</f>
        <v/>
      </c>
      <c r="L379" s="46" t="str">
        <f t="array" ref="L379">IF('.'!L379="","",'.'!L379&amp;IF(VLOOKUP('.'!L379,Recipes!$A:$D,4,FALSE)="",""," ["&amp;VLOOKUP('.'!L379,Recipes!$A:$D,4,FALSE)&amp;"]"))</f>
        <v/>
      </c>
      <c r="M379" s="46" t="str">
        <f t="array" ref="M379">IF('.'!M379="","",'.'!M379&amp;IF(VLOOKUP('.'!M379,Recipes!$A:$D,4,FALSE)="",""," ["&amp;VLOOKUP('.'!M379,Recipes!$A:$D,4,FALSE)&amp;"]"))</f>
        <v/>
      </c>
      <c r="N379" s="46" t="str">
        <f t="array" ref="N379">IF('.'!N379="","",'.'!N379&amp;IF(VLOOKUP('.'!N379,Recipes!$A:$D,4,FALSE)="",""," ["&amp;VLOOKUP('.'!N379,Recipes!$A:$D,4,FALSE)&amp;"]"))</f>
        <v/>
      </c>
      <c r="O379" s="46" t="str">
        <f t="array" ref="O379">IF('.'!O379="","",'.'!O379&amp;IF(VLOOKUP('.'!O379,Recipes!$A:$D,4,FALSE)="",""," ["&amp;VLOOKUP('.'!O379,Recipes!$A:$D,4,FALSE)&amp;"]"))</f>
        <v/>
      </c>
      <c r="P379" s="46" t="str">
        <f t="array" ref="P379">IF('.'!P379="","",'.'!P379&amp;IF(VLOOKUP('.'!P379,Recipes!$A:$D,4,FALSE)="",""," ["&amp;VLOOKUP('.'!P379,Recipes!$A:$D,4,FALSE)&amp;"]"))</f>
        <v/>
      </c>
      <c r="Q379" s="46" t="str">
        <f t="array" ref="Q379">IF('.'!Q379="","",'.'!Q379&amp;IF(VLOOKUP('.'!Q379,Recipes!$A:$D,4,FALSE)="",""," ["&amp;VLOOKUP('.'!Q379,Recipes!$A:$D,4,FALSE)&amp;"]"))</f>
        <v/>
      </c>
      <c r="R379" s="46" t="str">
        <f t="array" ref="R379">IF('.'!R379="","",'.'!R379&amp;IF(VLOOKUP('.'!R379,Recipes!$A:$D,4,FALSE)="",""," ["&amp;VLOOKUP('.'!R379,Recipes!$A:$D,4,FALSE)&amp;"]"))</f>
        <v/>
      </c>
      <c r="S379" s="46" t="str">
        <f t="array" ref="S379">IF('.'!S379="","",'.'!S379&amp;IF(VLOOKUP('.'!S379,Recipes!$A:$D,4,FALSE)="",""," ["&amp;VLOOKUP('.'!S379,Recipes!$A:$D,4,FALSE)&amp;"]"))</f>
        <v/>
      </c>
      <c r="T379" s="46" t="str">
        <f t="array" ref="T379">IF('.'!T379="","",'.'!T379&amp;IF(VLOOKUP('.'!T379,Recipes!$A:$D,4,FALSE)="",""," ["&amp;VLOOKUP('.'!T379,Recipes!$A:$D,4,FALSE)&amp;"]"))</f>
        <v/>
      </c>
      <c r="U379" s="46" t="str">
        <f t="array" ref="U379">IF('.'!U379="","",'.'!U379&amp;IF(VLOOKUP('.'!U379,Recipes!$A:$D,4,FALSE)="",""," ["&amp;VLOOKUP('.'!U379,Recipes!$A:$D,4,FALSE)&amp;"]"))</f>
        <v/>
      </c>
      <c r="V379" s="46" t="str">
        <f t="array" ref="V379">IF('.'!V379="","",'.'!V379&amp;IF(VLOOKUP('.'!V379,Recipes!$A:$D,4,FALSE)="",""," ["&amp;VLOOKUP('.'!V379,Recipes!$A:$D,4,FALSE)&amp;"]"))</f>
        <v/>
      </c>
      <c r="W379" s="46" t="str">
        <f t="array" ref="W379">IF('.'!W379="","",'.'!W379&amp;IF(VLOOKUP('.'!W379,Recipes!$A:$D,4,FALSE)="",""," ["&amp;VLOOKUP('.'!W379,Recipes!$A:$D,4,FALSE)&amp;"]"))</f>
        <v/>
      </c>
      <c r="X379" s="46" t="str">
        <f t="array" ref="X379">IF('.'!X379="","",'.'!X379&amp;IF(VLOOKUP('.'!X379,Recipes!$A:$D,4,FALSE)="",""," ["&amp;VLOOKUP('.'!X379,Recipes!$A:$D,4,FALSE)&amp;"]"))</f>
        <v/>
      </c>
      <c r="Y379" s="46" t="str">
        <f t="array" ref="Y379">IF('.'!Y379="","",'.'!Y379&amp;IF(VLOOKUP('.'!Y379,Recipes!$A:$D,4,FALSE)="",""," ["&amp;VLOOKUP('.'!Y379,Recipes!$A:$D,4,FALSE)&amp;"]"))</f>
        <v/>
      </c>
      <c r="Z379" s="46" t="str">
        <f t="array" ref="Z379">IF('.'!Z379="","",'.'!Z379&amp;IF(VLOOKUP('.'!Z379,Recipes!$A:$D,4,FALSE)="",""," ["&amp;VLOOKUP('.'!Z379,Recipes!$A:$D,4,FALSE)&amp;"]"))</f>
        <v/>
      </c>
      <c r="AA379" s="46" t="str">
        <f t="array" ref="AA379">IF('.'!AA379="","",'.'!AA379&amp;IF(VLOOKUP('.'!AA379,Recipes!$A:$D,4,FALSE)="",""," ["&amp;VLOOKUP('.'!AA379,Recipes!$A:$D,4,FALSE)&amp;"]"))</f>
        <v/>
      </c>
      <c r="AB379" s="46" t="str">
        <f t="array" ref="AB379">IF('.'!AB379="","",'.'!AB379&amp;IF(VLOOKUP('.'!AB379,Recipes!$A:$D,4,FALSE)="",""," ["&amp;VLOOKUP('.'!AB379,Recipes!$A:$D,4,FALSE)&amp;"]"))</f>
        <v/>
      </c>
      <c r="AC379" s="46" t="str">
        <f t="array" ref="AC379">IF('.'!AC379="","",'.'!AC379&amp;IF(VLOOKUP('.'!AC379,Recipes!$A:$D,4,FALSE)="",""," ["&amp;VLOOKUP('.'!AC379,Recipes!$A:$D,4,FALSE)&amp;"]"))</f>
        <v/>
      </c>
      <c r="AD379" s="46" t="str">
        <f t="array" ref="AD379">IF('.'!AD379="","",'.'!AD379&amp;IF(VLOOKUP('.'!AD379,Recipes!$A:$D,4,FALSE)="",""," ["&amp;VLOOKUP('.'!AD379,Recipes!$A:$D,4,FALSE)&amp;"]"))</f>
        <v/>
      </c>
      <c r="AE379" s="47"/>
      <c r="AF379" s="47"/>
      <c r="AG379" s="47"/>
      <c r="AH379" s="47"/>
      <c r="AI379" s="47"/>
      <c r="AJ379" s="47"/>
      <c r="AK379" s="47"/>
      <c r="AL379" s="47"/>
      <c r="AM379" s="47"/>
      <c r="AN379" s="47"/>
      <c r="AO379" s="47"/>
      <c r="AP379" s="47"/>
      <c r="AQ379" s="47"/>
      <c r="AR379" s="47"/>
      <c r="AS379" s="47"/>
      <c r="AT379" s="47"/>
      <c r="AU379" s="47"/>
      <c r="AV379" s="47"/>
      <c r="AW379" s="47"/>
      <c r="AX379" s="47"/>
      <c r="AY379" s="47"/>
      <c r="AZ379" s="47"/>
      <c r="BA379" s="47"/>
      <c r="BB379" s="47"/>
      <c r="BC379" s="47"/>
      <c r="BD379" s="47"/>
      <c r="BE379" s="47"/>
      <c r="BF379" s="47"/>
      <c r="BG379" s="47"/>
      <c r="BH379" s="47"/>
      <c r="BI379" s="47"/>
      <c r="BJ379" s="47"/>
      <c r="BK379" s="47"/>
      <c r="BL379" s="47"/>
      <c r="BM379" s="47"/>
      <c r="BN379" s="47"/>
      <c r="BO379" s="47"/>
      <c r="BP379" s="47"/>
      <c r="BQ379" s="47"/>
      <c r="BR379" s="47"/>
      <c r="BS379" s="47"/>
      <c r="BT379" s="47"/>
      <c r="BU379" s="47"/>
      <c r="BV379" s="47"/>
      <c r="BW379" s="47"/>
      <c r="BX379" s="47"/>
      <c r="BY379" s="47"/>
      <c r="BZ379" s="47"/>
    </row>
    <row r="380" spans="1:78" ht="13">
      <c r="A380" s="48" t="str">
        <f ca="1">'.'!A380</f>
        <v>Sharp Claw</v>
      </c>
      <c r="B380" s="46" t="str">
        <f t="array" aca="1" ref="B380" ca="1">IF('.'!B380="","",'.'!B380&amp;IF(VLOOKUP('.'!B380,Recipes!$A:$D,4,FALSE)="",""," ["&amp;VLOOKUP('.'!B380,Recipes!$A:$D,4,FALSE)&amp;"]"))</f>
        <v>Fireball Scroll [-50]</v>
      </c>
      <c r="C380" s="46" t="str">
        <f t="array" ref="C380">IF('.'!C380="","",'.'!C380&amp;IF(VLOOKUP('.'!C380,Recipes!$A:$D,4,FALSE)="",""," ["&amp;VLOOKUP('.'!C380,Recipes!$A:$D,4,FALSE)&amp;"]"))</f>
        <v/>
      </c>
      <c r="D380" s="46" t="str">
        <f t="array" ref="D380">IF('.'!D380="","",'.'!D380&amp;IF(VLOOKUP('.'!D380,Recipes!$A:$D,4,FALSE)="",""," ["&amp;VLOOKUP('.'!D380,Recipes!$A:$D,4,FALSE)&amp;"]"))</f>
        <v/>
      </c>
      <c r="E380" s="46" t="str">
        <f t="array" ref="E380">IF('.'!E380="","",'.'!E380&amp;IF(VLOOKUP('.'!E380,Recipes!$A:$D,4,FALSE)="",""," ["&amp;VLOOKUP('.'!E380,Recipes!$A:$D,4,FALSE)&amp;"]"))</f>
        <v/>
      </c>
      <c r="F380" s="46" t="str">
        <f t="array" ref="F380">IF('.'!F380="","",'.'!F380&amp;IF(VLOOKUP('.'!F380,Recipes!$A:$D,4,FALSE)="",""," ["&amp;VLOOKUP('.'!F380,Recipes!$A:$D,4,FALSE)&amp;"]"))</f>
        <v/>
      </c>
      <c r="G380" s="46" t="str">
        <f t="array" ref="G380">IF('.'!G380="","",'.'!G380&amp;IF(VLOOKUP('.'!G380,Recipes!$A:$D,4,FALSE)="",""," ["&amp;VLOOKUP('.'!G380,Recipes!$A:$D,4,FALSE)&amp;"]"))</f>
        <v/>
      </c>
      <c r="H380" s="46" t="str">
        <f t="array" ref="H380">IF('.'!H380="","",'.'!H380&amp;IF(VLOOKUP('.'!H380,Recipes!$A:$D,4,FALSE)="",""," ["&amp;VLOOKUP('.'!H380,Recipes!$A:$D,4,FALSE)&amp;"]"))</f>
        <v/>
      </c>
      <c r="I380" s="46" t="str">
        <f t="array" ref="I380">IF('.'!I380="","",'.'!I380&amp;IF(VLOOKUP('.'!I380,Recipes!$A:$D,4,FALSE)="",""," ["&amp;VLOOKUP('.'!I380,Recipes!$A:$D,4,FALSE)&amp;"]"))</f>
        <v/>
      </c>
      <c r="J380" s="46" t="str">
        <f t="array" ref="J380">IF('.'!J380="","",'.'!J380&amp;IF(VLOOKUP('.'!J380,Recipes!$A:$D,4,FALSE)="",""," ["&amp;VLOOKUP('.'!J380,Recipes!$A:$D,4,FALSE)&amp;"]"))</f>
        <v/>
      </c>
      <c r="K380" s="46" t="str">
        <f t="array" ref="K380">IF('.'!K380="","",'.'!K380&amp;IF(VLOOKUP('.'!K380,Recipes!$A:$D,4,FALSE)="",""," ["&amp;VLOOKUP('.'!K380,Recipes!$A:$D,4,FALSE)&amp;"]"))</f>
        <v/>
      </c>
      <c r="L380" s="46" t="str">
        <f t="array" ref="L380">IF('.'!L380="","",'.'!L380&amp;IF(VLOOKUP('.'!L380,Recipes!$A:$D,4,FALSE)="",""," ["&amp;VLOOKUP('.'!L380,Recipes!$A:$D,4,FALSE)&amp;"]"))</f>
        <v/>
      </c>
      <c r="M380" s="46" t="str">
        <f t="array" ref="M380">IF('.'!M380="","",'.'!M380&amp;IF(VLOOKUP('.'!M380,Recipes!$A:$D,4,FALSE)="",""," ["&amp;VLOOKUP('.'!M380,Recipes!$A:$D,4,FALSE)&amp;"]"))</f>
        <v/>
      </c>
      <c r="N380" s="46" t="str">
        <f t="array" ref="N380">IF('.'!N380="","",'.'!N380&amp;IF(VLOOKUP('.'!N380,Recipes!$A:$D,4,FALSE)="",""," ["&amp;VLOOKUP('.'!N380,Recipes!$A:$D,4,FALSE)&amp;"]"))</f>
        <v/>
      </c>
      <c r="O380" s="46" t="str">
        <f t="array" ref="O380">IF('.'!O380="","",'.'!O380&amp;IF(VLOOKUP('.'!O380,Recipes!$A:$D,4,FALSE)="",""," ["&amp;VLOOKUP('.'!O380,Recipes!$A:$D,4,FALSE)&amp;"]"))</f>
        <v/>
      </c>
      <c r="P380" s="46" t="str">
        <f t="array" ref="P380">IF('.'!P380="","",'.'!P380&amp;IF(VLOOKUP('.'!P380,Recipes!$A:$D,4,FALSE)="",""," ["&amp;VLOOKUP('.'!P380,Recipes!$A:$D,4,FALSE)&amp;"]"))</f>
        <v/>
      </c>
      <c r="Q380" s="46" t="str">
        <f t="array" ref="Q380">IF('.'!Q380="","",'.'!Q380&amp;IF(VLOOKUP('.'!Q380,Recipes!$A:$D,4,FALSE)="",""," ["&amp;VLOOKUP('.'!Q380,Recipes!$A:$D,4,FALSE)&amp;"]"))</f>
        <v/>
      </c>
      <c r="R380" s="46" t="str">
        <f t="array" ref="R380">IF('.'!R380="","",'.'!R380&amp;IF(VLOOKUP('.'!R380,Recipes!$A:$D,4,FALSE)="",""," ["&amp;VLOOKUP('.'!R380,Recipes!$A:$D,4,FALSE)&amp;"]"))</f>
        <v/>
      </c>
      <c r="S380" s="46" t="str">
        <f t="array" ref="S380">IF('.'!S380="","",'.'!S380&amp;IF(VLOOKUP('.'!S380,Recipes!$A:$D,4,FALSE)="",""," ["&amp;VLOOKUP('.'!S380,Recipes!$A:$D,4,FALSE)&amp;"]"))</f>
        <v/>
      </c>
      <c r="T380" s="46" t="str">
        <f t="array" ref="T380">IF('.'!T380="","",'.'!T380&amp;IF(VLOOKUP('.'!T380,Recipes!$A:$D,4,FALSE)="",""," ["&amp;VLOOKUP('.'!T380,Recipes!$A:$D,4,FALSE)&amp;"]"))</f>
        <v/>
      </c>
      <c r="U380" s="46" t="str">
        <f t="array" ref="U380">IF('.'!U380="","",'.'!U380&amp;IF(VLOOKUP('.'!U380,Recipes!$A:$D,4,FALSE)="",""," ["&amp;VLOOKUP('.'!U380,Recipes!$A:$D,4,FALSE)&amp;"]"))</f>
        <v/>
      </c>
      <c r="V380" s="46" t="str">
        <f t="array" ref="V380">IF('.'!V380="","",'.'!V380&amp;IF(VLOOKUP('.'!V380,Recipes!$A:$D,4,FALSE)="",""," ["&amp;VLOOKUP('.'!V380,Recipes!$A:$D,4,FALSE)&amp;"]"))</f>
        <v/>
      </c>
      <c r="W380" s="46" t="str">
        <f t="array" ref="W380">IF('.'!W380="","",'.'!W380&amp;IF(VLOOKUP('.'!W380,Recipes!$A:$D,4,FALSE)="",""," ["&amp;VLOOKUP('.'!W380,Recipes!$A:$D,4,FALSE)&amp;"]"))</f>
        <v/>
      </c>
      <c r="X380" s="46" t="str">
        <f t="array" ref="X380">IF('.'!X380="","",'.'!X380&amp;IF(VLOOKUP('.'!X380,Recipes!$A:$D,4,FALSE)="",""," ["&amp;VLOOKUP('.'!X380,Recipes!$A:$D,4,FALSE)&amp;"]"))</f>
        <v/>
      </c>
      <c r="Y380" s="46" t="str">
        <f t="array" ref="Y380">IF('.'!Y380="","",'.'!Y380&amp;IF(VLOOKUP('.'!Y380,Recipes!$A:$D,4,FALSE)="",""," ["&amp;VLOOKUP('.'!Y380,Recipes!$A:$D,4,FALSE)&amp;"]"))</f>
        <v/>
      </c>
      <c r="Z380" s="46" t="str">
        <f t="array" ref="Z380">IF('.'!Z380="","",'.'!Z380&amp;IF(VLOOKUP('.'!Z380,Recipes!$A:$D,4,FALSE)="",""," ["&amp;VLOOKUP('.'!Z380,Recipes!$A:$D,4,FALSE)&amp;"]"))</f>
        <v/>
      </c>
      <c r="AA380" s="46" t="str">
        <f t="array" ref="AA380">IF('.'!AA380="","",'.'!AA380&amp;IF(VLOOKUP('.'!AA380,Recipes!$A:$D,4,FALSE)="",""," ["&amp;VLOOKUP('.'!AA380,Recipes!$A:$D,4,FALSE)&amp;"]"))</f>
        <v/>
      </c>
      <c r="AB380" s="46" t="str">
        <f t="array" ref="AB380">IF('.'!AB380="","",'.'!AB380&amp;IF(VLOOKUP('.'!AB380,Recipes!$A:$D,4,FALSE)="",""," ["&amp;VLOOKUP('.'!AB380,Recipes!$A:$D,4,FALSE)&amp;"]"))</f>
        <v/>
      </c>
      <c r="AC380" s="46" t="str">
        <f t="array" ref="AC380">IF('.'!AC380="","",'.'!AC380&amp;IF(VLOOKUP('.'!AC380,Recipes!$A:$D,4,FALSE)="",""," ["&amp;VLOOKUP('.'!AC380,Recipes!$A:$D,4,FALSE)&amp;"]"))</f>
        <v/>
      </c>
      <c r="AD380" s="46" t="str">
        <f t="array" ref="AD380">IF('.'!AD380="","",'.'!AD380&amp;IF(VLOOKUP('.'!AD380,Recipes!$A:$D,4,FALSE)="",""," ["&amp;VLOOKUP('.'!AD380,Recipes!$A:$D,4,FALSE)&amp;"]"))</f>
        <v/>
      </c>
      <c r="AE380" s="47"/>
      <c r="AF380" s="47"/>
      <c r="AG380" s="47"/>
      <c r="AH380" s="47"/>
      <c r="AI380" s="47"/>
      <c r="AJ380" s="47"/>
      <c r="AK380" s="47"/>
      <c r="AL380" s="47"/>
      <c r="AM380" s="47"/>
      <c r="AN380" s="47"/>
      <c r="AO380" s="47"/>
      <c r="AP380" s="47"/>
      <c r="AQ380" s="47"/>
      <c r="AR380" s="47"/>
      <c r="AS380" s="47"/>
      <c r="AT380" s="47"/>
      <c r="AU380" s="47"/>
      <c r="AV380" s="47"/>
      <c r="AW380" s="47"/>
      <c r="AX380" s="47"/>
      <c r="AY380" s="47"/>
      <c r="AZ380" s="47"/>
      <c r="BA380" s="47"/>
      <c r="BB380" s="47"/>
      <c r="BC380" s="47"/>
      <c r="BD380" s="47"/>
      <c r="BE380" s="47"/>
      <c r="BF380" s="47"/>
      <c r="BG380" s="47"/>
      <c r="BH380" s="47"/>
      <c r="BI380" s="47"/>
      <c r="BJ380" s="47"/>
      <c r="BK380" s="47"/>
      <c r="BL380" s="47"/>
      <c r="BM380" s="47"/>
      <c r="BN380" s="47"/>
      <c r="BO380" s="47"/>
      <c r="BP380" s="47"/>
      <c r="BQ380" s="47"/>
      <c r="BR380" s="47"/>
      <c r="BS380" s="47"/>
      <c r="BT380" s="47"/>
      <c r="BU380" s="47"/>
      <c r="BV380" s="47"/>
      <c r="BW380" s="47"/>
      <c r="BX380" s="47"/>
      <c r="BY380" s="47"/>
      <c r="BZ380" s="47"/>
    </row>
    <row r="381" spans="1:78" ht="13">
      <c r="A381" s="48" t="str">
        <f ca="1">'.'!A381</f>
        <v>Sharp Piece of Metal</v>
      </c>
      <c r="B381" s="46" t="str">
        <f t="array" aca="1" ref="B381" ca="1">IF('.'!B381="","",'.'!B381&amp;IF(VLOOKUP('.'!B381,Recipes!$A:$D,4,FALSE)="",""," ["&amp;VLOOKUP('.'!B381,Recipes!$A:$D,4,FALSE)&amp;"]"))</f>
        <v>Arrowhead [-48]</v>
      </c>
      <c r="C381" s="46" t="str">
        <f t="array" aca="1" ref="C381" ca="1">IF('.'!C381="","",'.'!C381&amp;IF(VLOOKUP('.'!C381,Recipes!$A:$D,4,FALSE)="",""," ["&amp;VLOOKUP('.'!C381,Recipes!$A:$D,4,FALSE)&amp;"]"))</f>
        <v>Impalement Scroll [54]</v>
      </c>
      <c r="D381" s="46" t="str">
        <f t="array" aca="1" ref="D381" ca="1">IF('.'!D381="","",'.'!D381&amp;IF(VLOOKUP('.'!D381,Recipes!$A:$D,4,FALSE)="",""," ["&amp;VLOOKUP('.'!D381,Recipes!$A:$D,4,FALSE)&amp;"]"))</f>
        <v>Trap Disarming Kit [8]</v>
      </c>
      <c r="E381" s="46" t="str">
        <f t="array" aca="1" ref="E381" ca="1">IF('.'!E381="","",'.'!E381&amp;IF(VLOOKUP('.'!E381,Recipes!$A:$D,4,FALSE)="",""," ["&amp;VLOOKUP('.'!E381,Recipes!$A:$D,4,FALSE)&amp;"]"))</f>
        <v>Primitive Harpoon [V]</v>
      </c>
      <c r="F381" s="46" t="str">
        <f t="array" aca="1" ref="F381" ca="1">IF('.'!F381="","",'.'!F381&amp;IF(VLOOKUP('.'!F381,Recipes!$A:$D,4,FALSE)="",""," ["&amp;VLOOKUP('.'!F381,Recipes!$A:$D,4,FALSE)&amp;"]"))</f>
        <v>Shiv [V]</v>
      </c>
      <c r="G381" s="46" t="str">
        <f t="array" ref="G381">IF('.'!G381="","",'.'!G381&amp;IF(VLOOKUP('.'!G381,Recipes!$A:$D,4,FALSE)="",""," ["&amp;VLOOKUP('.'!G381,Recipes!$A:$D,4,FALSE)&amp;"]"))</f>
        <v/>
      </c>
      <c r="H381" s="46" t="str">
        <f t="array" ref="H381">IF('.'!H381="","",'.'!H381&amp;IF(VLOOKUP('.'!H381,Recipes!$A:$D,4,FALSE)="",""," ["&amp;VLOOKUP('.'!H381,Recipes!$A:$D,4,FALSE)&amp;"]"))</f>
        <v/>
      </c>
      <c r="I381" s="46" t="str">
        <f t="array" ref="I381">IF('.'!I381="","",'.'!I381&amp;IF(VLOOKUP('.'!I381,Recipes!$A:$D,4,FALSE)="",""," ["&amp;VLOOKUP('.'!I381,Recipes!$A:$D,4,FALSE)&amp;"]"))</f>
        <v/>
      </c>
      <c r="J381" s="46" t="str">
        <f t="array" ref="J381">IF('.'!J381="","",'.'!J381&amp;IF(VLOOKUP('.'!J381,Recipes!$A:$D,4,FALSE)="",""," ["&amp;VLOOKUP('.'!J381,Recipes!$A:$D,4,FALSE)&amp;"]"))</f>
        <v/>
      </c>
      <c r="K381" s="46" t="str">
        <f t="array" ref="K381">IF('.'!K381="","",'.'!K381&amp;IF(VLOOKUP('.'!K381,Recipes!$A:$D,4,FALSE)="",""," ["&amp;VLOOKUP('.'!K381,Recipes!$A:$D,4,FALSE)&amp;"]"))</f>
        <v/>
      </c>
      <c r="L381" s="46" t="str">
        <f t="array" ref="L381">IF('.'!L381="","",'.'!L381&amp;IF(VLOOKUP('.'!L381,Recipes!$A:$D,4,FALSE)="",""," ["&amp;VLOOKUP('.'!L381,Recipes!$A:$D,4,FALSE)&amp;"]"))</f>
        <v/>
      </c>
      <c r="M381" s="46" t="str">
        <f t="array" ref="M381">IF('.'!M381="","",'.'!M381&amp;IF(VLOOKUP('.'!M381,Recipes!$A:$D,4,FALSE)="",""," ["&amp;VLOOKUP('.'!M381,Recipes!$A:$D,4,FALSE)&amp;"]"))</f>
        <v/>
      </c>
      <c r="N381" s="46" t="str">
        <f t="array" ref="N381">IF('.'!N381="","",'.'!N381&amp;IF(VLOOKUP('.'!N381,Recipes!$A:$D,4,FALSE)="",""," ["&amp;VLOOKUP('.'!N381,Recipes!$A:$D,4,FALSE)&amp;"]"))</f>
        <v/>
      </c>
      <c r="O381" s="46" t="str">
        <f t="array" ref="O381">IF('.'!O381="","",'.'!O381&amp;IF(VLOOKUP('.'!O381,Recipes!$A:$D,4,FALSE)="",""," ["&amp;VLOOKUP('.'!O381,Recipes!$A:$D,4,FALSE)&amp;"]"))</f>
        <v/>
      </c>
      <c r="P381" s="46" t="str">
        <f t="array" ref="P381">IF('.'!P381="","",'.'!P381&amp;IF(VLOOKUP('.'!P381,Recipes!$A:$D,4,FALSE)="",""," ["&amp;VLOOKUP('.'!P381,Recipes!$A:$D,4,FALSE)&amp;"]"))</f>
        <v/>
      </c>
      <c r="Q381" s="46" t="str">
        <f t="array" ref="Q381">IF('.'!Q381="","",'.'!Q381&amp;IF(VLOOKUP('.'!Q381,Recipes!$A:$D,4,FALSE)="",""," ["&amp;VLOOKUP('.'!Q381,Recipes!$A:$D,4,FALSE)&amp;"]"))</f>
        <v/>
      </c>
      <c r="R381" s="46" t="str">
        <f t="array" ref="R381">IF('.'!R381="","",'.'!R381&amp;IF(VLOOKUP('.'!R381,Recipes!$A:$D,4,FALSE)="",""," ["&amp;VLOOKUP('.'!R381,Recipes!$A:$D,4,FALSE)&amp;"]"))</f>
        <v/>
      </c>
      <c r="S381" s="46" t="str">
        <f t="array" ref="S381">IF('.'!S381="","",'.'!S381&amp;IF(VLOOKUP('.'!S381,Recipes!$A:$D,4,FALSE)="",""," ["&amp;VLOOKUP('.'!S381,Recipes!$A:$D,4,FALSE)&amp;"]"))</f>
        <v/>
      </c>
      <c r="T381" s="46" t="str">
        <f t="array" ref="T381">IF('.'!T381="","",'.'!T381&amp;IF(VLOOKUP('.'!T381,Recipes!$A:$D,4,FALSE)="",""," ["&amp;VLOOKUP('.'!T381,Recipes!$A:$D,4,FALSE)&amp;"]"))</f>
        <v/>
      </c>
      <c r="U381" s="46" t="str">
        <f t="array" ref="U381">IF('.'!U381="","",'.'!U381&amp;IF(VLOOKUP('.'!U381,Recipes!$A:$D,4,FALSE)="",""," ["&amp;VLOOKUP('.'!U381,Recipes!$A:$D,4,FALSE)&amp;"]"))</f>
        <v/>
      </c>
      <c r="V381" s="46" t="str">
        <f t="array" ref="V381">IF('.'!V381="","",'.'!V381&amp;IF(VLOOKUP('.'!V381,Recipes!$A:$D,4,FALSE)="",""," ["&amp;VLOOKUP('.'!V381,Recipes!$A:$D,4,FALSE)&amp;"]"))</f>
        <v/>
      </c>
      <c r="W381" s="46" t="str">
        <f t="array" ref="W381">IF('.'!W381="","",'.'!W381&amp;IF(VLOOKUP('.'!W381,Recipes!$A:$D,4,FALSE)="",""," ["&amp;VLOOKUP('.'!W381,Recipes!$A:$D,4,FALSE)&amp;"]"))</f>
        <v/>
      </c>
      <c r="X381" s="46" t="str">
        <f t="array" ref="X381">IF('.'!X381="","",'.'!X381&amp;IF(VLOOKUP('.'!X381,Recipes!$A:$D,4,FALSE)="",""," ["&amp;VLOOKUP('.'!X381,Recipes!$A:$D,4,FALSE)&amp;"]"))</f>
        <v/>
      </c>
      <c r="Y381" s="46" t="str">
        <f t="array" ref="Y381">IF('.'!Y381="","",'.'!Y381&amp;IF(VLOOKUP('.'!Y381,Recipes!$A:$D,4,FALSE)="",""," ["&amp;VLOOKUP('.'!Y381,Recipes!$A:$D,4,FALSE)&amp;"]"))</f>
        <v/>
      </c>
      <c r="Z381" s="46" t="str">
        <f t="array" ref="Z381">IF('.'!Z381="","",'.'!Z381&amp;IF(VLOOKUP('.'!Z381,Recipes!$A:$D,4,FALSE)="",""," ["&amp;VLOOKUP('.'!Z381,Recipes!$A:$D,4,FALSE)&amp;"]"))</f>
        <v/>
      </c>
      <c r="AA381" s="46" t="str">
        <f t="array" ref="AA381">IF('.'!AA381="","",'.'!AA381&amp;IF(VLOOKUP('.'!AA381,Recipes!$A:$D,4,FALSE)="",""," ["&amp;VLOOKUP('.'!AA381,Recipes!$A:$D,4,FALSE)&amp;"]"))</f>
        <v/>
      </c>
      <c r="AB381" s="46" t="str">
        <f t="array" ref="AB381">IF('.'!AB381="","",'.'!AB381&amp;IF(VLOOKUP('.'!AB381,Recipes!$A:$D,4,FALSE)="",""," ["&amp;VLOOKUP('.'!AB381,Recipes!$A:$D,4,FALSE)&amp;"]"))</f>
        <v/>
      </c>
      <c r="AC381" s="46" t="str">
        <f t="array" ref="AC381">IF('.'!AC381="","",'.'!AC381&amp;IF(VLOOKUP('.'!AC381,Recipes!$A:$D,4,FALSE)="",""," ["&amp;VLOOKUP('.'!AC381,Recipes!$A:$D,4,FALSE)&amp;"]"))</f>
        <v/>
      </c>
      <c r="AD381" s="46" t="str">
        <f t="array" ref="AD381">IF('.'!AD381="","",'.'!AD381&amp;IF(VLOOKUP('.'!AD381,Recipes!$A:$D,4,FALSE)="",""," ["&amp;VLOOKUP('.'!AD381,Recipes!$A:$D,4,FALSE)&amp;"]"))</f>
        <v/>
      </c>
      <c r="AE381" s="47"/>
      <c r="AF381" s="47"/>
      <c r="AG381" s="47"/>
      <c r="AH381" s="47"/>
      <c r="AI381" s="47"/>
      <c r="AJ381" s="47"/>
      <c r="AK381" s="47"/>
      <c r="AL381" s="47"/>
      <c r="AM381" s="47"/>
      <c r="AN381" s="47"/>
      <c r="AO381" s="47"/>
      <c r="AP381" s="47"/>
      <c r="AQ381" s="47"/>
      <c r="AR381" s="47"/>
      <c r="AS381" s="47"/>
      <c r="AT381" s="47"/>
      <c r="AU381" s="47"/>
      <c r="AV381" s="47"/>
      <c r="AW381" s="47"/>
      <c r="AX381" s="47"/>
      <c r="AY381" s="47"/>
      <c r="AZ381" s="47"/>
      <c r="BA381" s="47"/>
      <c r="BB381" s="47"/>
      <c r="BC381" s="47"/>
      <c r="BD381" s="47"/>
      <c r="BE381" s="47"/>
      <c r="BF381" s="47"/>
      <c r="BG381" s="47"/>
      <c r="BH381" s="47"/>
      <c r="BI381" s="47"/>
      <c r="BJ381" s="47"/>
      <c r="BK381" s="47"/>
      <c r="BL381" s="47"/>
      <c r="BM381" s="47"/>
      <c r="BN381" s="47"/>
      <c r="BO381" s="47"/>
      <c r="BP381" s="47"/>
      <c r="BQ381" s="47"/>
      <c r="BR381" s="47"/>
      <c r="BS381" s="47"/>
      <c r="BT381" s="47"/>
      <c r="BU381" s="47"/>
      <c r="BV381" s="47"/>
      <c r="BW381" s="47"/>
      <c r="BX381" s="47"/>
      <c r="BY381" s="47"/>
      <c r="BZ381" s="47"/>
    </row>
    <row r="382" spans="1:78" ht="13">
      <c r="A382" s="48" t="str">
        <f ca="1">'.'!A382</f>
        <v>Sharp Rock</v>
      </c>
      <c r="B382" s="46" t="str">
        <f t="array" aca="1" ref="B382" ca="1">IF('.'!B382="","",'.'!B382&amp;IF(VLOOKUP('.'!B382,Recipes!$A:$D,4,FALSE)="",""," ["&amp;VLOOKUP('.'!B382,Recipes!$A:$D,4,FALSE)&amp;"]"))</f>
        <v>Arrowhead [-48]</v>
      </c>
      <c r="C382" s="46" t="str">
        <f t="array" aca="1" ref="C382" ca="1">IF('.'!C382="","",'.'!C382&amp;IF(VLOOKUP('.'!C382,Recipes!$A:$D,4,FALSE)="",""," ["&amp;VLOOKUP('.'!C382,Recipes!$A:$D,4,FALSE)&amp;"]"))</f>
        <v>Fossil Strike Scroll [24]</v>
      </c>
      <c r="D382" s="46" t="str">
        <f t="array" aca="1" ref="D382" ca="1">IF('.'!D382="","",'.'!D382&amp;IF(VLOOKUP('.'!D382,Recipes!$A:$D,4,FALSE)="",""," ["&amp;VLOOKUP('.'!D382,Recipes!$A:$D,4,FALSE)&amp;"]"))</f>
        <v>Small Rock Rune [-301]</v>
      </c>
      <c r="E382" s="46" t="str">
        <f t="array" aca="1" ref="E382" ca="1">IF('.'!E382="","",'.'!E382&amp;IF(VLOOKUP('.'!E382,Recipes!$A:$D,4,FALSE)="",""," ["&amp;VLOOKUP('.'!E382,Recipes!$A:$D,4,FALSE)&amp;"]"))</f>
        <v>Makeshift Club [1H] [V]</v>
      </c>
      <c r="F382" s="46" t="str">
        <f t="array" aca="1" ref="F382" ca="1">IF('.'!F382="","",'.'!F382&amp;IF(VLOOKUP('.'!F382,Recipes!$A:$D,4,FALSE)="",""," ["&amp;VLOOKUP('.'!F382,Recipes!$A:$D,4,FALSE)&amp;"]"))</f>
        <v>Sharp Stone on a Long Stick [V]</v>
      </c>
      <c r="G382" s="46" t="str">
        <f t="array" aca="1" ref="G382" ca="1">IF('.'!G382="","",'.'!G382&amp;IF(VLOOKUP('.'!G382,Recipes!$A:$D,4,FALSE)="",""," ["&amp;VLOOKUP('.'!G382,Recipes!$A:$D,4,FALSE)&amp;"]"))</f>
        <v>Sharp Stone on a Stick [V]</v>
      </c>
      <c r="H382" s="46" t="str">
        <f t="array" ref="H382">IF('.'!H382="","",'.'!H382&amp;IF(VLOOKUP('.'!H382,Recipes!$A:$D,4,FALSE)="",""," ["&amp;VLOOKUP('.'!H382,Recipes!$A:$D,4,FALSE)&amp;"]"))</f>
        <v/>
      </c>
      <c r="I382" s="46" t="str">
        <f t="array" ref="I382">IF('.'!I382="","",'.'!I382&amp;IF(VLOOKUP('.'!I382,Recipes!$A:$D,4,FALSE)="",""," ["&amp;VLOOKUP('.'!I382,Recipes!$A:$D,4,FALSE)&amp;"]"))</f>
        <v/>
      </c>
      <c r="J382" s="46" t="str">
        <f t="array" ref="J382">IF('.'!J382="","",'.'!J382&amp;IF(VLOOKUP('.'!J382,Recipes!$A:$D,4,FALSE)="",""," ["&amp;VLOOKUP('.'!J382,Recipes!$A:$D,4,FALSE)&amp;"]"))</f>
        <v/>
      </c>
      <c r="K382" s="46" t="str">
        <f t="array" ref="K382">IF('.'!K382="","",'.'!K382&amp;IF(VLOOKUP('.'!K382,Recipes!$A:$D,4,FALSE)="",""," ["&amp;VLOOKUP('.'!K382,Recipes!$A:$D,4,FALSE)&amp;"]"))</f>
        <v/>
      </c>
      <c r="L382" s="46" t="str">
        <f t="array" ref="L382">IF('.'!L382="","",'.'!L382&amp;IF(VLOOKUP('.'!L382,Recipes!$A:$D,4,FALSE)="",""," ["&amp;VLOOKUP('.'!L382,Recipes!$A:$D,4,FALSE)&amp;"]"))</f>
        <v/>
      </c>
      <c r="M382" s="46" t="str">
        <f t="array" ref="M382">IF('.'!M382="","",'.'!M382&amp;IF(VLOOKUP('.'!M382,Recipes!$A:$D,4,FALSE)="",""," ["&amp;VLOOKUP('.'!M382,Recipes!$A:$D,4,FALSE)&amp;"]"))</f>
        <v/>
      </c>
      <c r="N382" s="46" t="str">
        <f t="array" ref="N382">IF('.'!N382="","",'.'!N382&amp;IF(VLOOKUP('.'!N382,Recipes!$A:$D,4,FALSE)="",""," ["&amp;VLOOKUP('.'!N382,Recipes!$A:$D,4,FALSE)&amp;"]"))</f>
        <v/>
      </c>
      <c r="O382" s="46" t="str">
        <f t="array" ref="O382">IF('.'!O382="","",'.'!O382&amp;IF(VLOOKUP('.'!O382,Recipes!$A:$D,4,FALSE)="",""," ["&amp;VLOOKUP('.'!O382,Recipes!$A:$D,4,FALSE)&amp;"]"))</f>
        <v/>
      </c>
      <c r="P382" s="46" t="str">
        <f t="array" ref="P382">IF('.'!P382="","",'.'!P382&amp;IF(VLOOKUP('.'!P382,Recipes!$A:$D,4,FALSE)="",""," ["&amp;VLOOKUP('.'!P382,Recipes!$A:$D,4,FALSE)&amp;"]"))</f>
        <v/>
      </c>
      <c r="Q382" s="46" t="str">
        <f t="array" ref="Q382">IF('.'!Q382="","",'.'!Q382&amp;IF(VLOOKUP('.'!Q382,Recipes!$A:$D,4,FALSE)="",""," ["&amp;VLOOKUP('.'!Q382,Recipes!$A:$D,4,FALSE)&amp;"]"))</f>
        <v/>
      </c>
      <c r="R382" s="46" t="str">
        <f t="array" ref="R382">IF('.'!R382="","",'.'!R382&amp;IF(VLOOKUP('.'!R382,Recipes!$A:$D,4,FALSE)="",""," ["&amp;VLOOKUP('.'!R382,Recipes!$A:$D,4,FALSE)&amp;"]"))</f>
        <v/>
      </c>
      <c r="S382" s="46" t="str">
        <f t="array" ref="S382">IF('.'!S382="","",'.'!S382&amp;IF(VLOOKUP('.'!S382,Recipes!$A:$D,4,FALSE)="",""," ["&amp;VLOOKUP('.'!S382,Recipes!$A:$D,4,FALSE)&amp;"]"))</f>
        <v/>
      </c>
      <c r="T382" s="46" t="str">
        <f t="array" ref="T382">IF('.'!T382="","",'.'!T382&amp;IF(VLOOKUP('.'!T382,Recipes!$A:$D,4,FALSE)="",""," ["&amp;VLOOKUP('.'!T382,Recipes!$A:$D,4,FALSE)&amp;"]"))</f>
        <v/>
      </c>
      <c r="U382" s="46" t="str">
        <f t="array" ref="U382">IF('.'!U382="","",'.'!U382&amp;IF(VLOOKUP('.'!U382,Recipes!$A:$D,4,FALSE)="",""," ["&amp;VLOOKUP('.'!U382,Recipes!$A:$D,4,FALSE)&amp;"]"))</f>
        <v/>
      </c>
      <c r="V382" s="46" t="str">
        <f t="array" ref="V382">IF('.'!V382="","",'.'!V382&amp;IF(VLOOKUP('.'!V382,Recipes!$A:$D,4,FALSE)="",""," ["&amp;VLOOKUP('.'!V382,Recipes!$A:$D,4,FALSE)&amp;"]"))</f>
        <v/>
      </c>
      <c r="W382" s="46" t="str">
        <f t="array" ref="W382">IF('.'!W382="","",'.'!W382&amp;IF(VLOOKUP('.'!W382,Recipes!$A:$D,4,FALSE)="",""," ["&amp;VLOOKUP('.'!W382,Recipes!$A:$D,4,FALSE)&amp;"]"))</f>
        <v/>
      </c>
      <c r="X382" s="46" t="str">
        <f t="array" ref="X382">IF('.'!X382="","",'.'!X382&amp;IF(VLOOKUP('.'!X382,Recipes!$A:$D,4,FALSE)="",""," ["&amp;VLOOKUP('.'!X382,Recipes!$A:$D,4,FALSE)&amp;"]"))</f>
        <v/>
      </c>
      <c r="Y382" s="46" t="str">
        <f t="array" ref="Y382">IF('.'!Y382="","",'.'!Y382&amp;IF(VLOOKUP('.'!Y382,Recipes!$A:$D,4,FALSE)="",""," ["&amp;VLOOKUP('.'!Y382,Recipes!$A:$D,4,FALSE)&amp;"]"))</f>
        <v/>
      </c>
      <c r="Z382" s="46" t="str">
        <f t="array" ref="Z382">IF('.'!Z382="","",'.'!Z382&amp;IF(VLOOKUP('.'!Z382,Recipes!$A:$D,4,FALSE)="",""," ["&amp;VLOOKUP('.'!Z382,Recipes!$A:$D,4,FALSE)&amp;"]"))</f>
        <v/>
      </c>
      <c r="AA382" s="46" t="str">
        <f t="array" ref="AA382">IF('.'!AA382="","",'.'!AA382&amp;IF(VLOOKUP('.'!AA382,Recipes!$A:$D,4,FALSE)="",""," ["&amp;VLOOKUP('.'!AA382,Recipes!$A:$D,4,FALSE)&amp;"]"))</f>
        <v/>
      </c>
      <c r="AB382" s="46" t="str">
        <f t="array" ref="AB382">IF('.'!AB382="","",'.'!AB382&amp;IF(VLOOKUP('.'!AB382,Recipes!$A:$D,4,FALSE)="",""," ["&amp;VLOOKUP('.'!AB382,Recipes!$A:$D,4,FALSE)&amp;"]"))</f>
        <v/>
      </c>
      <c r="AC382" s="46" t="str">
        <f t="array" ref="AC382">IF('.'!AC382="","",'.'!AC382&amp;IF(VLOOKUP('.'!AC382,Recipes!$A:$D,4,FALSE)="",""," ["&amp;VLOOKUP('.'!AC382,Recipes!$A:$D,4,FALSE)&amp;"]"))</f>
        <v/>
      </c>
      <c r="AD382" s="46" t="str">
        <f t="array" ref="AD382">IF('.'!AD382="","",'.'!AD382&amp;IF(VLOOKUP('.'!AD382,Recipes!$A:$D,4,FALSE)="",""," ["&amp;VLOOKUP('.'!AD382,Recipes!$A:$D,4,FALSE)&amp;"]"))</f>
        <v/>
      </c>
      <c r="AE382" s="47"/>
      <c r="AF382" s="47"/>
      <c r="AG382" s="47"/>
      <c r="AH382" s="47"/>
      <c r="AI382" s="47"/>
      <c r="AJ382" s="47"/>
      <c r="AK382" s="47"/>
      <c r="AL382" s="47"/>
      <c r="AM382" s="47"/>
      <c r="AN382" s="47"/>
      <c r="AO382" s="47"/>
      <c r="AP382" s="47"/>
      <c r="AQ382" s="47"/>
      <c r="AR382" s="47"/>
      <c r="AS382" s="47"/>
      <c r="AT382" s="47"/>
      <c r="AU382" s="47"/>
      <c r="AV382" s="47"/>
      <c r="AW382" s="47"/>
      <c r="AX382" s="47"/>
      <c r="AY382" s="47"/>
      <c r="AZ382" s="47"/>
      <c r="BA382" s="47"/>
      <c r="BB382" s="47"/>
      <c r="BC382" s="47"/>
      <c r="BD382" s="47"/>
      <c r="BE382" s="47"/>
      <c r="BF382" s="47"/>
      <c r="BG382" s="47"/>
      <c r="BH382" s="47"/>
      <c r="BI382" s="47"/>
      <c r="BJ382" s="47"/>
      <c r="BK382" s="47"/>
      <c r="BL382" s="47"/>
      <c r="BM382" s="47"/>
      <c r="BN382" s="47"/>
      <c r="BO382" s="47"/>
      <c r="BP382" s="47"/>
      <c r="BQ382" s="47"/>
      <c r="BR382" s="47"/>
      <c r="BS382" s="47"/>
      <c r="BT382" s="47"/>
      <c r="BU382" s="47"/>
      <c r="BV382" s="47"/>
      <c r="BW382" s="47"/>
      <c r="BX382" s="47"/>
      <c r="BY382" s="47"/>
      <c r="BZ382" s="47"/>
    </row>
    <row r="383" spans="1:78" ht="13">
      <c r="A383" s="48" t="str">
        <f ca="1">'.'!A383</f>
        <v>Sharp Tooth</v>
      </c>
      <c r="B383" s="46" t="str">
        <f t="array" aca="1" ref="B383" ca="1">IF('.'!B383="","",'.'!B383&amp;IF(VLOOKUP('.'!B383,Recipes!$A:$D,4,FALSE)="",""," ["&amp;VLOOKUP('.'!B383,Recipes!$A:$D,4,FALSE)&amp;"]"))</f>
        <v>Supernova Scroll [-200]</v>
      </c>
      <c r="C383" s="46" t="str">
        <f t="array" ref="C383">IF('.'!C383="","",'.'!C383&amp;IF(VLOOKUP('.'!C383,Recipes!$A:$D,4,FALSE)="",""," ["&amp;VLOOKUP('.'!C383,Recipes!$A:$D,4,FALSE)&amp;"]"))</f>
        <v/>
      </c>
      <c r="D383" s="46" t="str">
        <f t="array" ref="D383">IF('.'!D383="","",'.'!D383&amp;IF(VLOOKUP('.'!D383,Recipes!$A:$D,4,FALSE)="",""," ["&amp;VLOOKUP('.'!D383,Recipes!$A:$D,4,FALSE)&amp;"]"))</f>
        <v/>
      </c>
      <c r="E383" s="46" t="str">
        <f t="array" ref="E383">IF('.'!E383="","",'.'!E383&amp;IF(VLOOKUP('.'!E383,Recipes!$A:$D,4,FALSE)="",""," ["&amp;VLOOKUP('.'!E383,Recipes!$A:$D,4,FALSE)&amp;"]"))</f>
        <v/>
      </c>
      <c r="F383" s="46" t="str">
        <f t="array" ref="F383">IF('.'!F383="","",'.'!F383&amp;IF(VLOOKUP('.'!F383,Recipes!$A:$D,4,FALSE)="",""," ["&amp;VLOOKUP('.'!F383,Recipes!$A:$D,4,FALSE)&amp;"]"))</f>
        <v/>
      </c>
      <c r="G383" s="46" t="str">
        <f t="array" ref="G383">IF('.'!G383="","",'.'!G383&amp;IF(VLOOKUP('.'!G383,Recipes!$A:$D,4,FALSE)="",""," ["&amp;VLOOKUP('.'!G383,Recipes!$A:$D,4,FALSE)&amp;"]"))</f>
        <v/>
      </c>
      <c r="H383" s="46" t="str">
        <f t="array" ref="H383">IF('.'!H383="","",'.'!H383&amp;IF(VLOOKUP('.'!H383,Recipes!$A:$D,4,FALSE)="",""," ["&amp;VLOOKUP('.'!H383,Recipes!$A:$D,4,FALSE)&amp;"]"))</f>
        <v/>
      </c>
      <c r="I383" s="46" t="str">
        <f t="array" ref="I383">IF('.'!I383="","",'.'!I383&amp;IF(VLOOKUP('.'!I383,Recipes!$A:$D,4,FALSE)="",""," ["&amp;VLOOKUP('.'!I383,Recipes!$A:$D,4,FALSE)&amp;"]"))</f>
        <v/>
      </c>
      <c r="J383" s="46" t="str">
        <f t="array" ref="J383">IF('.'!J383="","",'.'!J383&amp;IF(VLOOKUP('.'!J383,Recipes!$A:$D,4,FALSE)="",""," ["&amp;VLOOKUP('.'!J383,Recipes!$A:$D,4,FALSE)&amp;"]"))</f>
        <v/>
      </c>
      <c r="K383" s="46" t="str">
        <f t="array" ref="K383">IF('.'!K383="","",'.'!K383&amp;IF(VLOOKUP('.'!K383,Recipes!$A:$D,4,FALSE)="",""," ["&amp;VLOOKUP('.'!K383,Recipes!$A:$D,4,FALSE)&amp;"]"))</f>
        <v/>
      </c>
      <c r="L383" s="46" t="str">
        <f t="array" ref="L383">IF('.'!L383="","",'.'!L383&amp;IF(VLOOKUP('.'!L383,Recipes!$A:$D,4,FALSE)="",""," ["&amp;VLOOKUP('.'!L383,Recipes!$A:$D,4,FALSE)&amp;"]"))</f>
        <v/>
      </c>
      <c r="M383" s="46" t="str">
        <f t="array" ref="M383">IF('.'!M383="","",'.'!M383&amp;IF(VLOOKUP('.'!M383,Recipes!$A:$D,4,FALSE)="",""," ["&amp;VLOOKUP('.'!M383,Recipes!$A:$D,4,FALSE)&amp;"]"))</f>
        <v/>
      </c>
      <c r="N383" s="46" t="str">
        <f t="array" ref="N383">IF('.'!N383="","",'.'!N383&amp;IF(VLOOKUP('.'!N383,Recipes!$A:$D,4,FALSE)="",""," ["&amp;VLOOKUP('.'!N383,Recipes!$A:$D,4,FALSE)&amp;"]"))</f>
        <v/>
      </c>
      <c r="O383" s="46" t="str">
        <f t="array" ref="O383">IF('.'!O383="","",'.'!O383&amp;IF(VLOOKUP('.'!O383,Recipes!$A:$D,4,FALSE)="",""," ["&amp;VLOOKUP('.'!O383,Recipes!$A:$D,4,FALSE)&amp;"]"))</f>
        <v/>
      </c>
      <c r="P383" s="46" t="str">
        <f t="array" ref="P383">IF('.'!P383="","",'.'!P383&amp;IF(VLOOKUP('.'!P383,Recipes!$A:$D,4,FALSE)="",""," ["&amp;VLOOKUP('.'!P383,Recipes!$A:$D,4,FALSE)&amp;"]"))</f>
        <v/>
      </c>
      <c r="Q383" s="46" t="str">
        <f t="array" ref="Q383">IF('.'!Q383="","",'.'!Q383&amp;IF(VLOOKUP('.'!Q383,Recipes!$A:$D,4,FALSE)="",""," ["&amp;VLOOKUP('.'!Q383,Recipes!$A:$D,4,FALSE)&amp;"]"))</f>
        <v/>
      </c>
      <c r="R383" s="46" t="str">
        <f t="array" ref="R383">IF('.'!R383="","",'.'!R383&amp;IF(VLOOKUP('.'!R383,Recipes!$A:$D,4,FALSE)="",""," ["&amp;VLOOKUP('.'!R383,Recipes!$A:$D,4,FALSE)&amp;"]"))</f>
        <v/>
      </c>
      <c r="S383" s="46" t="str">
        <f t="array" ref="S383">IF('.'!S383="","",'.'!S383&amp;IF(VLOOKUP('.'!S383,Recipes!$A:$D,4,FALSE)="",""," ["&amp;VLOOKUP('.'!S383,Recipes!$A:$D,4,FALSE)&amp;"]"))</f>
        <v/>
      </c>
      <c r="T383" s="46" t="str">
        <f t="array" ref="T383">IF('.'!T383="","",'.'!T383&amp;IF(VLOOKUP('.'!T383,Recipes!$A:$D,4,FALSE)="",""," ["&amp;VLOOKUP('.'!T383,Recipes!$A:$D,4,FALSE)&amp;"]"))</f>
        <v/>
      </c>
      <c r="U383" s="46" t="str">
        <f t="array" ref="U383">IF('.'!U383="","",'.'!U383&amp;IF(VLOOKUP('.'!U383,Recipes!$A:$D,4,FALSE)="",""," ["&amp;VLOOKUP('.'!U383,Recipes!$A:$D,4,FALSE)&amp;"]"))</f>
        <v/>
      </c>
      <c r="V383" s="46" t="str">
        <f t="array" ref="V383">IF('.'!V383="","",'.'!V383&amp;IF(VLOOKUP('.'!V383,Recipes!$A:$D,4,FALSE)="",""," ["&amp;VLOOKUP('.'!V383,Recipes!$A:$D,4,FALSE)&amp;"]"))</f>
        <v/>
      </c>
      <c r="W383" s="46" t="str">
        <f t="array" ref="W383">IF('.'!W383="","",'.'!W383&amp;IF(VLOOKUP('.'!W383,Recipes!$A:$D,4,FALSE)="",""," ["&amp;VLOOKUP('.'!W383,Recipes!$A:$D,4,FALSE)&amp;"]"))</f>
        <v/>
      </c>
      <c r="X383" s="46" t="str">
        <f t="array" ref="X383">IF('.'!X383="","",'.'!X383&amp;IF(VLOOKUP('.'!X383,Recipes!$A:$D,4,FALSE)="",""," ["&amp;VLOOKUP('.'!X383,Recipes!$A:$D,4,FALSE)&amp;"]"))</f>
        <v/>
      </c>
      <c r="Y383" s="46" t="str">
        <f t="array" ref="Y383">IF('.'!Y383="","",'.'!Y383&amp;IF(VLOOKUP('.'!Y383,Recipes!$A:$D,4,FALSE)="",""," ["&amp;VLOOKUP('.'!Y383,Recipes!$A:$D,4,FALSE)&amp;"]"))</f>
        <v/>
      </c>
      <c r="Z383" s="46" t="str">
        <f t="array" ref="Z383">IF('.'!Z383="","",'.'!Z383&amp;IF(VLOOKUP('.'!Z383,Recipes!$A:$D,4,FALSE)="",""," ["&amp;VLOOKUP('.'!Z383,Recipes!$A:$D,4,FALSE)&amp;"]"))</f>
        <v/>
      </c>
      <c r="AA383" s="46" t="str">
        <f t="array" ref="AA383">IF('.'!AA383="","",'.'!AA383&amp;IF(VLOOKUP('.'!AA383,Recipes!$A:$D,4,FALSE)="",""," ["&amp;VLOOKUP('.'!AA383,Recipes!$A:$D,4,FALSE)&amp;"]"))</f>
        <v/>
      </c>
      <c r="AB383" s="46" t="str">
        <f t="array" ref="AB383">IF('.'!AB383="","",'.'!AB383&amp;IF(VLOOKUP('.'!AB383,Recipes!$A:$D,4,FALSE)="",""," ["&amp;VLOOKUP('.'!AB383,Recipes!$A:$D,4,FALSE)&amp;"]"))</f>
        <v/>
      </c>
      <c r="AC383" s="46" t="str">
        <f t="array" ref="AC383">IF('.'!AC383="","",'.'!AC383&amp;IF(VLOOKUP('.'!AC383,Recipes!$A:$D,4,FALSE)="",""," ["&amp;VLOOKUP('.'!AC383,Recipes!$A:$D,4,FALSE)&amp;"]"))</f>
        <v/>
      </c>
      <c r="AD383" s="46" t="str">
        <f t="array" ref="AD383">IF('.'!AD383="","",'.'!AD383&amp;IF(VLOOKUP('.'!AD383,Recipes!$A:$D,4,FALSE)="",""," ["&amp;VLOOKUP('.'!AD383,Recipes!$A:$D,4,FALSE)&amp;"]"))</f>
        <v/>
      </c>
      <c r="AE383" s="47"/>
      <c r="AF383" s="47"/>
      <c r="AG383" s="47"/>
      <c r="AH383" s="47"/>
      <c r="AI383" s="47"/>
      <c r="AJ383" s="47"/>
      <c r="AK383" s="47"/>
      <c r="AL383" s="47"/>
      <c r="AM383" s="47"/>
      <c r="AN383" s="47"/>
      <c r="AO383" s="47"/>
      <c r="AP383" s="47"/>
      <c r="AQ383" s="47"/>
      <c r="AR383" s="47"/>
      <c r="AS383" s="47"/>
      <c r="AT383" s="47"/>
      <c r="AU383" s="47"/>
      <c r="AV383" s="47"/>
      <c r="AW383" s="47"/>
      <c r="AX383" s="47"/>
      <c r="AY383" s="47"/>
      <c r="AZ383" s="47"/>
      <c r="BA383" s="47"/>
      <c r="BB383" s="47"/>
      <c r="BC383" s="47"/>
      <c r="BD383" s="47"/>
      <c r="BE383" s="47"/>
      <c r="BF383" s="47"/>
      <c r="BG383" s="47"/>
      <c r="BH383" s="47"/>
      <c r="BI383" s="47"/>
      <c r="BJ383" s="47"/>
      <c r="BK383" s="47"/>
      <c r="BL383" s="47"/>
      <c r="BM383" s="47"/>
      <c r="BN383" s="47"/>
      <c r="BO383" s="47"/>
      <c r="BP383" s="47"/>
      <c r="BQ383" s="47"/>
      <c r="BR383" s="47"/>
      <c r="BS383" s="47"/>
      <c r="BT383" s="47"/>
      <c r="BU383" s="47"/>
      <c r="BV383" s="47"/>
      <c r="BW383" s="47"/>
      <c r="BX383" s="47"/>
      <c r="BY383" s="47"/>
      <c r="BZ383" s="47"/>
    </row>
    <row r="384" spans="1:78" ht="13">
      <c r="A384" s="48" t="str">
        <f ca="1">'.'!A384</f>
        <v>Sheet of Paper</v>
      </c>
      <c r="B384" s="46" t="str">
        <f t="array" aca="1" ref="B384" ca="1">IF('.'!B384="","",'.'!B384&amp;IF(VLOOKUP('.'!B384,Recipes!$A:$D,4,FALSE)="",""," ["&amp;VLOOKUP('.'!B384,Recipes!$A:$D,4,FALSE)&amp;"]"))</f>
        <v>Acid Spores Scroll [-1905]</v>
      </c>
      <c r="C384" s="46" t="str">
        <f t="array" aca="1" ref="C384" ca="1">IF('.'!C384="","",'.'!C384&amp;IF(VLOOKUP('.'!C384,Recipes!$A:$D,4,FALSE)="",""," ["&amp;VLOOKUP('.'!C384,Recipes!$A:$D,4,FALSE)&amp;"]"))</f>
        <v>Apotheosis Scroll</v>
      </c>
      <c r="D384" s="46" t="str">
        <f t="array" aca="1" ref="D384" ca="1">IF('.'!D384="","",'.'!D384&amp;IF(VLOOKUP('.'!D384,Recipes!$A:$D,4,FALSE)="",""," ["&amp;VLOOKUP('.'!D384,Recipes!$A:$D,4,FALSE)&amp;"]"))</f>
        <v>Apportation Scroll [-121]</v>
      </c>
      <c r="E384" s="46" t="str">
        <f t="array" aca="1" ref="E384" ca="1">IF('.'!E384="","",'.'!E384&amp;IF(VLOOKUP('.'!E384,Recipes!$A:$D,4,FALSE)="",""," ["&amp;VLOOKUP('.'!E384,Recipes!$A:$D,4,FALSE)&amp;"]"))</f>
        <v>Armour of Frost Scroll [-75]</v>
      </c>
      <c r="F384" s="46" t="str">
        <f t="array" aca="1" ref="F384" ca="1">IF('.'!F384="","",'.'!F384&amp;IF(VLOOKUP('.'!F384,Recipes!$A:$D,4,FALSE)="",""," ["&amp;VLOOKUP('.'!F384,Recipes!$A:$D,4,FALSE)&amp;"]"))</f>
        <v>Artillery Plant Scroll [-1245]</v>
      </c>
      <c r="G384" s="46" t="str">
        <f t="array" aca="1" ref="G384" ca="1">IF('.'!G384="","",'.'!G384&amp;IF(VLOOKUP('.'!G384,Recipes!$A:$D,4,FALSE)="",""," ["&amp;VLOOKUP('.'!G384,Recipes!$A:$D,4,FALSE)&amp;"]"))</f>
        <v>Black Shroud Scroll [-1265]</v>
      </c>
      <c r="H384" s="46" t="e">
        <f t="array" aca="1" ref="H384" ca="1">IF('.'!H384="","",'.'!H384&amp;IF(VLOOKUP('.'!H384,Recipes!$A:$D,4,FALSE)="",""," ["&amp;VLOOKUP('.'!H384,Recipes!$A:$D,4,FALSE)&amp;"]"))</f>
        <v>#VALUE!</v>
      </c>
      <c r="I384" s="46" t="str">
        <f t="array" aca="1" ref="I384" ca="1">IF('.'!I384="","",'.'!I384&amp;IF(VLOOKUP('.'!I384,Recipes!$A:$D,4,FALSE)="",""," ["&amp;VLOOKUP('.'!I384,Recipes!$A:$D,4,FALSE)&amp;"]"))</f>
        <v>Blood Sucker Scroll [-15]</v>
      </c>
      <c r="J384" s="46" t="str">
        <f t="array" aca="1" ref="J384" ca="1">IF('.'!J384="","",'.'!J384&amp;IF(VLOOKUP('.'!J384,Recipes!$A:$D,4,FALSE)="",""," ["&amp;VLOOKUP('.'!J384,Recipes!$A:$D,4,FALSE)&amp;"]"))</f>
        <v>Bone Cage Scroll [139]</v>
      </c>
      <c r="K384" s="46" t="str">
        <f t="array" aca="1" ref="K384" ca="1">IF('.'!K384="","",'.'!K384&amp;IF(VLOOKUP('.'!K384,Recipes!$A:$D,4,FALSE)="",""," ["&amp;VLOOKUP('.'!K384,Recipes!$A:$D,4,FALSE)&amp;"]"))</f>
        <v>Bull Horns Scroll [-75]</v>
      </c>
      <c r="L384" s="46" t="str">
        <f t="array" aca="1" ref="L384" ca="1">IF('.'!L384="","",'.'!L384&amp;IF(VLOOKUP('.'!L384,Recipes!$A:$D,4,FALSE)="",""," ["&amp;VLOOKUP('.'!L384,Recipes!$A:$D,4,FALSE)&amp;"]"))</f>
        <v>Chain Lightning Scroll [-1156]</v>
      </c>
      <c r="M384" s="46" t="str">
        <f t="array" aca="1" ref="M384" ca="1">IF('.'!M384="","",'.'!M384&amp;IF(VLOOKUP('.'!M384,Recipes!$A:$D,4,FALSE)="",""," ["&amp;VLOOKUP('.'!M384,Recipes!$A:$D,4,FALSE)&amp;"]"))</f>
        <v>Chameleon Cloak Scroll [-5]</v>
      </c>
      <c r="N384" s="46" t="str">
        <f t="array" aca="1" ref="N384" ca="1">IF('.'!N384="","",'.'!N384&amp;IF(VLOOKUP('.'!N384,Recipes!$A:$D,4,FALSE)="",""," ["&amp;VLOOKUP('.'!N384,Recipes!$A:$D,4,FALSE)&amp;"]"))</f>
        <v>Charm Scroll [-297]</v>
      </c>
      <c r="O384" s="46" t="str">
        <f t="array" aca="1" ref="O384" ca="1">IF('.'!O384="","",'.'!O384&amp;IF(VLOOKUP('.'!O384,Recipes!$A:$D,4,FALSE)="",""," ["&amp;VLOOKUP('.'!O384,Recipes!$A:$D,4,FALSE)&amp;"]"))</f>
        <v>Chicken Claw Scroll [-10]</v>
      </c>
      <c r="P384" s="46" t="str">
        <f t="array" aca="1" ref="P384" ca="1">IF('.'!P384="","",'.'!P384&amp;IF(VLOOKUP('.'!P384,Recipes!$A:$D,4,FALSE)="",""," ["&amp;VLOOKUP('.'!P384,Recipes!$A:$D,4,FALSE)&amp;"]"))</f>
        <v>Closed Circuit Scroll [-1215]</v>
      </c>
      <c r="Q384" s="46" t="str">
        <f t="array" aca="1" ref="Q384" ca="1">IF('.'!Q384="","",'.'!Q384&amp;IF(VLOOKUP('.'!Q384,Recipes!$A:$D,4,FALSE)="",""," ["&amp;VLOOKUP('.'!Q384,Recipes!$A:$D,4,FALSE)&amp;"]"))</f>
        <v>Contamination Scroll [14]</v>
      </c>
      <c r="R384" s="46" t="str">
        <f t="array" aca="1" ref="R384" ca="1">IF('.'!R384="","",'.'!R384&amp;IF(VLOOKUP('.'!R384,Recipes!$A:$D,4,FALSE)="",""," ["&amp;VLOOKUP('.'!R384,Recipes!$A:$D,4,FALSE)&amp;"]"))</f>
        <v>Curse Scroll [279]</v>
      </c>
      <c r="S384" s="46" t="str">
        <f t="array" aca="1" ref="S384" ca="1">IF('.'!S384="","",'.'!S384&amp;IF(VLOOKUP('.'!S384,Recipes!$A:$D,4,FALSE)="",""," ["&amp;VLOOKUP('.'!S384,Recipes!$A:$D,4,FALSE)&amp;"]"))</f>
        <v>Decaying Touch Scroll [-75]</v>
      </c>
      <c r="T384" s="46" t="str">
        <f t="array" aca="1" ref="T384" ca="1">IF('.'!T384="","",'.'!T384&amp;IF(VLOOKUP('.'!T384,Recipes!$A:$D,4,FALSE)="",""," ["&amp;VLOOKUP('.'!T384,Recipes!$A:$D,4,FALSE)&amp;"]"))</f>
        <v>Deep Freeze Scroll [3]</v>
      </c>
      <c r="U384" s="46" t="str">
        <f t="array" aca="1" ref="U384" ca="1">IF('.'!U384="","",'.'!U384&amp;IF(VLOOKUP('.'!U384,Recipes!$A:$D,4,FALSE)="",""," ["&amp;VLOOKUP('.'!U384,Recipes!$A:$D,4,FALSE)&amp;"]"))</f>
        <v>Dimensional Bolt Scroll [24]</v>
      </c>
      <c r="V384" s="46" t="str">
        <f t="array" aca="1" ref="V384" ca="1">IF('.'!V384="","",'.'!V384&amp;IF(VLOOKUP('.'!V384,Recipes!$A:$D,4,FALSE)="",""," ["&amp;VLOOKUP('.'!V384,Recipes!$A:$D,4,FALSE)&amp;"]"))</f>
        <v>Earthquake Scroll [139]</v>
      </c>
      <c r="W384" s="46" t="str">
        <f t="array" aca="1" ref="W384" ca="1">IF('.'!W384="","",'.'!W384&amp;IF(VLOOKUP('.'!W384,Recipes!$A:$D,4,FALSE)="",""," ["&amp;VLOOKUP('.'!W384,Recipes!$A:$D,4,FALSE)&amp;"]"))</f>
        <v>Electric Discharge Scroll [-10]</v>
      </c>
      <c r="X384" s="46" t="str">
        <f t="array" aca="1" ref="X384" ca="1">IF('.'!X384="","",'.'!X384&amp;IF(VLOOKUP('.'!X384,Recipes!$A:$D,4,FALSE)="",""," ["&amp;VLOOKUP('.'!X384,Recipes!$A:$D,4,FALSE)&amp;"]"))</f>
        <v>Elemental Totem Scroll [-105]</v>
      </c>
      <c r="Y384" s="46" t="str">
        <f t="array" aca="1" ref="Y384" ca="1">IF('.'!Y384="","",'.'!Y384&amp;IF(VLOOKUP('.'!Y384,Recipes!$A:$D,4,FALSE)="",""," ["&amp;VLOOKUP('.'!Y384,Recipes!$A:$D,4,FALSE)&amp;"]"))</f>
        <v>Epidemic of Fire Scroll [-1265]</v>
      </c>
      <c r="Z384" s="46" t="str">
        <f t="array" aca="1" ref="Z384" ca="1">IF('.'!Z384="","",'.'!Z384&amp;IF(VLOOKUP('.'!Z384,Recipes!$A:$D,4,FALSE)="",""," ["&amp;VLOOKUP('.'!Z384,Recipes!$A:$D,4,FALSE)&amp;"]"))</f>
        <v>Equalise Scroll [-5]</v>
      </c>
      <c r="AA384" s="46" t="str">
        <f t="array" aca="1" ref="AA384" ca="1">IF('.'!AA384="","",'.'!AA384&amp;IF(VLOOKUP('.'!AA384,Recipes!$A:$D,4,FALSE)="",""," ["&amp;VLOOKUP('.'!AA384,Recipes!$A:$D,4,FALSE)&amp;"]"))</f>
        <v>Ethereal Storm Scroll [-1167]</v>
      </c>
      <c r="AB384" s="46" t="str">
        <f t="array" aca="1" ref="AB384" ca="1">IF('.'!AB384="","",'.'!AB384&amp;IF(VLOOKUP('.'!AB384,Recipes!$A:$D,4,FALSE)="",""," ["&amp;VLOOKUP('.'!AB384,Recipes!$A:$D,4,FALSE)&amp;"]"))</f>
        <v>Favourable Wind Scroll [14]</v>
      </c>
      <c r="AC384" s="46" t="str">
        <f t="array" aca="1" ref="AC384" ca="1">IF('.'!AC384="","",'.'!AC384&amp;IF(VLOOKUP('.'!AC384,Recipes!$A:$D,4,FALSE)="",""," ["&amp;VLOOKUP('.'!AC384,Recipes!$A:$D,4,FALSE)&amp;"]"))</f>
        <v>Fire Whip Scroll [90]</v>
      </c>
      <c r="AD384" s="46" t="str">
        <f t="array" aca="1" ref="AD384" ca="1">IF('.'!AD384="","",'.'!AD384&amp;IF(VLOOKUP('.'!AD384,Recipes!$A:$D,4,FALSE)="",""," ["&amp;VLOOKUP('.'!AD384,Recipes!$A:$D,4,FALSE)&amp;"]"))</f>
        <v>Fireball Scroll [-50]</v>
      </c>
      <c r="AE384" s="47"/>
      <c r="AF384" s="47"/>
      <c r="AG384" s="47"/>
      <c r="AH384" s="47"/>
      <c r="AI384" s="47"/>
      <c r="AJ384" s="47"/>
      <c r="AK384" s="47"/>
      <c r="AL384" s="47"/>
      <c r="AM384" s="47"/>
      <c r="AN384" s="47"/>
      <c r="AO384" s="47"/>
      <c r="AP384" s="47"/>
      <c r="AQ384" s="47"/>
      <c r="AR384" s="47"/>
      <c r="AS384" s="47"/>
      <c r="AT384" s="47"/>
      <c r="AU384" s="47"/>
      <c r="AV384" s="47"/>
      <c r="AW384" s="47"/>
      <c r="AX384" s="47"/>
      <c r="AY384" s="47"/>
      <c r="AZ384" s="47"/>
      <c r="BA384" s="47"/>
      <c r="BB384" s="47"/>
      <c r="BC384" s="47"/>
      <c r="BD384" s="47"/>
      <c r="BE384" s="47"/>
      <c r="BF384" s="47"/>
      <c r="BG384" s="47"/>
      <c r="BH384" s="47"/>
      <c r="BI384" s="47"/>
      <c r="BJ384" s="47"/>
      <c r="BK384" s="47"/>
      <c r="BL384" s="47"/>
      <c r="BM384" s="47"/>
      <c r="BN384" s="47"/>
      <c r="BO384" s="47"/>
      <c r="BP384" s="47"/>
      <c r="BQ384" s="47"/>
      <c r="BR384" s="47"/>
      <c r="BS384" s="47"/>
      <c r="BT384" s="47"/>
      <c r="BU384" s="47"/>
      <c r="BV384" s="47"/>
      <c r="BW384" s="47"/>
      <c r="BX384" s="47"/>
      <c r="BY384" s="47"/>
      <c r="BZ384" s="47"/>
    </row>
    <row r="385" spans="1:78" ht="13">
      <c r="A385" s="48" t="str">
        <f ca="1">'.'!A385</f>
        <v>Shell</v>
      </c>
      <c r="B385" s="46" t="str">
        <f t="array" aca="1" ref="B385" ca="1">IF('.'!B385="","",'.'!B385&amp;IF(VLOOKUP('.'!B385,Recipes!$A:$D,4,FALSE)="",""," ["&amp;VLOOKUP('.'!B385,Recipes!$A:$D,4,FALSE)&amp;"]"))</f>
        <v>Improvised Staff [V]</v>
      </c>
      <c r="C385" s="46" t="str">
        <f t="array" ref="C385">IF('.'!C385="","",'.'!C385&amp;IF(VLOOKUP('.'!C385,Recipes!$A:$D,4,FALSE)="",""," ["&amp;VLOOKUP('.'!C385,Recipes!$A:$D,4,FALSE)&amp;"]"))</f>
        <v/>
      </c>
      <c r="D385" s="46" t="str">
        <f t="array" ref="D385">IF('.'!D385="","",'.'!D385&amp;IF(VLOOKUP('.'!D385,Recipes!$A:$D,4,FALSE)="",""," ["&amp;VLOOKUP('.'!D385,Recipes!$A:$D,4,FALSE)&amp;"]"))</f>
        <v/>
      </c>
      <c r="E385" s="46" t="str">
        <f t="array" ref="E385">IF('.'!E385="","",'.'!E385&amp;IF(VLOOKUP('.'!E385,Recipes!$A:$D,4,FALSE)="",""," ["&amp;VLOOKUP('.'!E385,Recipes!$A:$D,4,FALSE)&amp;"]"))</f>
        <v/>
      </c>
      <c r="F385" s="46" t="str">
        <f t="array" ref="F385">IF('.'!F385="","",'.'!F385&amp;IF(VLOOKUP('.'!F385,Recipes!$A:$D,4,FALSE)="",""," ["&amp;VLOOKUP('.'!F385,Recipes!$A:$D,4,FALSE)&amp;"]"))</f>
        <v/>
      </c>
      <c r="G385" s="46" t="str">
        <f t="array" ref="G385">IF('.'!G385="","",'.'!G385&amp;IF(VLOOKUP('.'!G385,Recipes!$A:$D,4,FALSE)="",""," ["&amp;VLOOKUP('.'!G385,Recipes!$A:$D,4,FALSE)&amp;"]"))</f>
        <v/>
      </c>
      <c r="H385" s="46" t="str">
        <f t="array" ref="H385">IF('.'!H385="","",'.'!H385&amp;IF(VLOOKUP('.'!H385,Recipes!$A:$D,4,FALSE)="",""," ["&amp;VLOOKUP('.'!H385,Recipes!$A:$D,4,FALSE)&amp;"]"))</f>
        <v/>
      </c>
      <c r="I385" s="46" t="str">
        <f t="array" ref="I385">IF('.'!I385="","",'.'!I385&amp;IF(VLOOKUP('.'!I385,Recipes!$A:$D,4,FALSE)="",""," ["&amp;VLOOKUP('.'!I385,Recipes!$A:$D,4,FALSE)&amp;"]"))</f>
        <v/>
      </c>
      <c r="J385" s="46" t="str">
        <f t="array" ref="J385">IF('.'!J385="","",'.'!J385&amp;IF(VLOOKUP('.'!J385,Recipes!$A:$D,4,FALSE)="",""," ["&amp;VLOOKUP('.'!J385,Recipes!$A:$D,4,FALSE)&amp;"]"))</f>
        <v/>
      </c>
      <c r="K385" s="46" t="str">
        <f t="array" ref="K385">IF('.'!K385="","",'.'!K385&amp;IF(VLOOKUP('.'!K385,Recipes!$A:$D,4,FALSE)="",""," ["&amp;VLOOKUP('.'!K385,Recipes!$A:$D,4,FALSE)&amp;"]"))</f>
        <v/>
      </c>
      <c r="L385" s="46" t="str">
        <f t="array" ref="L385">IF('.'!L385="","",'.'!L385&amp;IF(VLOOKUP('.'!L385,Recipes!$A:$D,4,FALSE)="",""," ["&amp;VLOOKUP('.'!L385,Recipes!$A:$D,4,FALSE)&amp;"]"))</f>
        <v/>
      </c>
      <c r="M385" s="46" t="str">
        <f t="array" ref="M385">IF('.'!M385="","",'.'!M385&amp;IF(VLOOKUP('.'!M385,Recipes!$A:$D,4,FALSE)="",""," ["&amp;VLOOKUP('.'!M385,Recipes!$A:$D,4,FALSE)&amp;"]"))</f>
        <v/>
      </c>
      <c r="N385" s="46" t="str">
        <f t="array" ref="N385">IF('.'!N385="","",'.'!N385&amp;IF(VLOOKUP('.'!N385,Recipes!$A:$D,4,FALSE)="",""," ["&amp;VLOOKUP('.'!N385,Recipes!$A:$D,4,FALSE)&amp;"]"))</f>
        <v/>
      </c>
      <c r="O385" s="46" t="str">
        <f t="array" ref="O385">IF('.'!O385="","",'.'!O385&amp;IF(VLOOKUP('.'!O385,Recipes!$A:$D,4,FALSE)="",""," ["&amp;VLOOKUP('.'!O385,Recipes!$A:$D,4,FALSE)&amp;"]"))</f>
        <v/>
      </c>
      <c r="P385" s="46" t="str">
        <f t="array" ref="P385">IF('.'!P385="","",'.'!P385&amp;IF(VLOOKUP('.'!P385,Recipes!$A:$D,4,FALSE)="",""," ["&amp;VLOOKUP('.'!P385,Recipes!$A:$D,4,FALSE)&amp;"]"))</f>
        <v/>
      </c>
      <c r="Q385" s="46" t="str">
        <f t="array" ref="Q385">IF('.'!Q385="","",'.'!Q385&amp;IF(VLOOKUP('.'!Q385,Recipes!$A:$D,4,FALSE)="",""," ["&amp;VLOOKUP('.'!Q385,Recipes!$A:$D,4,FALSE)&amp;"]"))</f>
        <v/>
      </c>
      <c r="R385" s="46" t="str">
        <f t="array" ref="R385">IF('.'!R385="","",'.'!R385&amp;IF(VLOOKUP('.'!R385,Recipes!$A:$D,4,FALSE)="",""," ["&amp;VLOOKUP('.'!R385,Recipes!$A:$D,4,FALSE)&amp;"]"))</f>
        <v/>
      </c>
      <c r="S385" s="46" t="str">
        <f t="array" ref="S385">IF('.'!S385="","",'.'!S385&amp;IF(VLOOKUP('.'!S385,Recipes!$A:$D,4,FALSE)="",""," ["&amp;VLOOKUP('.'!S385,Recipes!$A:$D,4,FALSE)&amp;"]"))</f>
        <v/>
      </c>
      <c r="T385" s="46" t="str">
        <f t="array" ref="T385">IF('.'!T385="","",'.'!T385&amp;IF(VLOOKUP('.'!T385,Recipes!$A:$D,4,FALSE)="",""," ["&amp;VLOOKUP('.'!T385,Recipes!$A:$D,4,FALSE)&amp;"]"))</f>
        <v/>
      </c>
      <c r="U385" s="46" t="str">
        <f t="array" ref="U385">IF('.'!U385="","",'.'!U385&amp;IF(VLOOKUP('.'!U385,Recipes!$A:$D,4,FALSE)="",""," ["&amp;VLOOKUP('.'!U385,Recipes!$A:$D,4,FALSE)&amp;"]"))</f>
        <v/>
      </c>
      <c r="V385" s="46" t="str">
        <f t="array" ref="V385">IF('.'!V385="","",'.'!V385&amp;IF(VLOOKUP('.'!V385,Recipes!$A:$D,4,FALSE)="",""," ["&amp;VLOOKUP('.'!V385,Recipes!$A:$D,4,FALSE)&amp;"]"))</f>
        <v/>
      </c>
      <c r="W385" s="46" t="str">
        <f t="array" ref="W385">IF('.'!W385="","",'.'!W385&amp;IF(VLOOKUP('.'!W385,Recipes!$A:$D,4,FALSE)="",""," ["&amp;VLOOKUP('.'!W385,Recipes!$A:$D,4,FALSE)&amp;"]"))</f>
        <v/>
      </c>
      <c r="X385" s="46" t="str">
        <f t="array" ref="X385">IF('.'!X385="","",'.'!X385&amp;IF(VLOOKUP('.'!X385,Recipes!$A:$D,4,FALSE)="",""," ["&amp;VLOOKUP('.'!X385,Recipes!$A:$D,4,FALSE)&amp;"]"))</f>
        <v/>
      </c>
      <c r="Y385" s="46" t="str">
        <f t="array" ref="Y385">IF('.'!Y385="","",'.'!Y385&amp;IF(VLOOKUP('.'!Y385,Recipes!$A:$D,4,FALSE)="",""," ["&amp;VLOOKUP('.'!Y385,Recipes!$A:$D,4,FALSE)&amp;"]"))</f>
        <v/>
      </c>
      <c r="Z385" s="46" t="str">
        <f t="array" ref="Z385">IF('.'!Z385="","",'.'!Z385&amp;IF(VLOOKUP('.'!Z385,Recipes!$A:$D,4,FALSE)="",""," ["&amp;VLOOKUP('.'!Z385,Recipes!$A:$D,4,FALSE)&amp;"]"))</f>
        <v/>
      </c>
      <c r="AA385" s="46" t="str">
        <f t="array" ref="AA385">IF('.'!AA385="","",'.'!AA385&amp;IF(VLOOKUP('.'!AA385,Recipes!$A:$D,4,FALSE)="",""," ["&amp;VLOOKUP('.'!AA385,Recipes!$A:$D,4,FALSE)&amp;"]"))</f>
        <v/>
      </c>
      <c r="AB385" s="46" t="str">
        <f t="array" ref="AB385">IF('.'!AB385="","",'.'!AB385&amp;IF(VLOOKUP('.'!AB385,Recipes!$A:$D,4,FALSE)="",""," ["&amp;VLOOKUP('.'!AB385,Recipes!$A:$D,4,FALSE)&amp;"]"))</f>
        <v/>
      </c>
      <c r="AC385" s="46" t="str">
        <f t="array" ref="AC385">IF('.'!AC385="","",'.'!AC385&amp;IF(VLOOKUP('.'!AC385,Recipes!$A:$D,4,FALSE)="",""," ["&amp;VLOOKUP('.'!AC385,Recipes!$A:$D,4,FALSE)&amp;"]"))</f>
        <v/>
      </c>
      <c r="AD385" s="46" t="str">
        <f t="array" ref="AD385">IF('.'!AD385="","",'.'!AD385&amp;IF(VLOOKUP('.'!AD385,Recipes!$A:$D,4,FALSE)="",""," ["&amp;VLOOKUP('.'!AD385,Recipes!$A:$D,4,FALSE)&amp;"]"))</f>
        <v/>
      </c>
      <c r="AE385" s="47"/>
      <c r="AF385" s="47"/>
      <c r="AG385" s="47"/>
      <c r="AH385" s="47"/>
      <c r="AI385" s="47"/>
      <c r="AJ385" s="47"/>
      <c r="AK385" s="47"/>
      <c r="AL385" s="47"/>
      <c r="AM385" s="47"/>
      <c r="AN385" s="47"/>
      <c r="AO385" s="47"/>
      <c r="AP385" s="47"/>
      <c r="AQ385" s="47"/>
      <c r="AR385" s="47"/>
      <c r="AS385" s="47"/>
      <c r="AT385" s="47"/>
      <c r="AU385" s="47"/>
      <c r="AV385" s="47"/>
      <c r="AW385" s="47"/>
      <c r="AX385" s="47"/>
      <c r="AY385" s="47"/>
      <c r="AZ385" s="47"/>
      <c r="BA385" s="47"/>
      <c r="BB385" s="47"/>
      <c r="BC385" s="47"/>
      <c r="BD385" s="47"/>
      <c r="BE385" s="47"/>
      <c r="BF385" s="47"/>
      <c r="BG385" s="47"/>
      <c r="BH385" s="47"/>
      <c r="BI385" s="47"/>
      <c r="BJ385" s="47"/>
      <c r="BK385" s="47"/>
      <c r="BL385" s="47"/>
      <c r="BM385" s="47"/>
      <c r="BN385" s="47"/>
      <c r="BO385" s="47"/>
      <c r="BP385" s="47"/>
      <c r="BQ385" s="47"/>
      <c r="BR385" s="47"/>
      <c r="BS385" s="47"/>
      <c r="BT385" s="47"/>
      <c r="BU385" s="47"/>
      <c r="BV385" s="47"/>
      <c r="BW385" s="47"/>
      <c r="BX385" s="47"/>
      <c r="BY385" s="47"/>
      <c r="BZ385" s="47"/>
    </row>
    <row r="386" spans="1:78" ht="13">
      <c r="A386" s="48" t="str">
        <f ca="1">'.'!A386</f>
        <v>Shocking Arrowhead</v>
      </c>
      <c r="B386" s="46" t="str">
        <f t="array" aca="1" ref="B386" ca="1">IF('.'!B386="","",'.'!B386&amp;IF(VLOOKUP('.'!B386,Recipes!$A:$D,4,FALSE)="",""," ["&amp;VLOOKUP('.'!B386,Recipes!$A:$D,4,FALSE)&amp;"]"))</f>
        <v>Shocking Arrow [19]</v>
      </c>
      <c r="C386" s="46" t="str">
        <f t="array" ref="C386">IF('.'!C386="","",'.'!C386&amp;IF(VLOOKUP('.'!C386,Recipes!$A:$D,4,FALSE)="",""," ["&amp;VLOOKUP('.'!C386,Recipes!$A:$D,4,FALSE)&amp;"]"))</f>
        <v/>
      </c>
      <c r="D386" s="46" t="str">
        <f t="array" ref="D386">IF('.'!D386="","",'.'!D386&amp;IF(VLOOKUP('.'!D386,Recipes!$A:$D,4,FALSE)="",""," ["&amp;VLOOKUP('.'!D386,Recipes!$A:$D,4,FALSE)&amp;"]"))</f>
        <v/>
      </c>
      <c r="E386" s="46" t="str">
        <f t="array" ref="E386">IF('.'!E386="","",'.'!E386&amp;IF(VLOOKUP('.'!E386,Recipes!$A:$D,4,FALSE)="",""," ["&amp;VLOOKUP('.'!E386,Recipes!$A:$D,4,FALSE)&amp;"]"))</f>
        <v/>
      </c>
      <c r="F386" s="46" t="str">
        <f t="array" ref="F386">IF('.'!F386="","",'.'!F386&amp;IF(VLOOKUP('.'!F386,Recipes!$A:$D,4,FALSE)="",""," ["&amp;VLOOKUP('.'!F386,Recipes!$A:$D,4,FALSE)&amp;"]"))</f>
        <v/>
      </c>
      <c r="G386" s="46" t="str">
        <f t="array" ref="G386">IF('.'!G386="","",'.'!G386&amp;IF(VLOOKUP('.'!G386,Recipes!$A:$D,4,FALSE)="",""," ["&amp;VLOOKUP('.'!G386,Recipes!$A:$D,4,FALSE)&amp;"]"))</f>
        <v/>
      </c>
      <c r="H386" s="46" t="str">
        <f t="array" ref="H386">IF('.'!H386="","",'.'!H386&amp;IF(VLOOKUP('.'!H386,Recipes!$A:$D,4,FALSE)="",""," ["&amp;VLOOKUP('.'!H386,Recipes!$A:$D,4,FALSE)&amp;"]"))</f>
        <v/>
      </c>
      <c r="I386" s="46" t="str">
        <f t="array" ref="I386">IF('.'!I386="","",'.'!I386&amp;IF(VLOOKUP('.'!I386,Recipes!$A:$D,4,FALSE)="",""," ["&amp;VLOOKUP('.'!I386,Recipes!$A:$D,4,FALSE)&amp;"]"))</f>
        <v/>
      </c>
      <c r="J386" s="46" t="str">
        <f t="array" ref="J386">IF('.'!J386="","",'.'!J386&amp;IF(VLOOKUP('.'!J386,Recipes!$A:$D,4,FALSE)="",""," ["&amp;VLOOKUP('.'!J386,Recipes!$A:$D,4,FALSE)&amp;"]"))</f>
        <v/>
      </c>
      <c r="K386" s="46" t="str">
        <f t="array" ref="K386">IF('.'!K386="","",'.'!K386&amp;IF(VLOOKUP('.'!K386,Recipes!$A:$D,4,FALSE)="",""," ["&amp;VLOOKUP('.'!K386,Recipes!$A:$D,4,FALSE)&amp;"]"))</f>
        <v/>
      </c>
      <c r="L386" s="46" t="str">
        <f t="array" ref="L386">IF('.'!L386="","",'.'!L386&amp;IF(VLOOKUP('.'!L386,Recipes!$A:$D,4,FALSE)="",""," ["&amp;VLOOKUP('.'!L386,Recipes!$A:$D,4,FALSE)&amp;"]"))</f>
        <v/>
      </c>
      <c r="M386" s="46" t="str">
        <f t="array" ref="M386">IF('.'!M386="","",'.'!M386&amp;IF(VLOOKUP('.'!M386,Recipes!$A:$D,4,FALSE)="",""," ["&amp;VLOOKUP('.'!M386,Recipes!$A:$D,4,FALSE)&amp;"]"))</f>
        <v/>
      </c>
      <c r="N386" s="46" t="str">
        <f t="array" ref="N386">IF('.'!N386="","",'.'!N386&amp;IF(VLOOKUP('.'!N386,Recipes!$A:$D,4,FALSE)="",""," ["&amp;VLOOKUP('.'!N386,Recipes!$A:$D,4,FALSE)&amp;"]"))</f>
        <v/>
      </c>
      <c r="O386" s="46" t="str">
        <f t="array" ref="O386">IF('.'!O386="","",'.'!O386&amp;IF(VLOOKUP('.'!O386,Recipes!$A:$D,4,FALSE)="",""," ["&amp;VLOOKUP('.'!O386,Recipes!$A:$D,4,FALSE)&amp;"]"))</f>
        <v/>
      </c>
      <c r="P386" s="46" t="str">
        <f t="array" ref="P386">IF('.'!P386="","",'.'!P386&amp;IF(VLOOKUP('.'!P386,Recipes!$A:$D,4,FALSE)="",""," ["&amp;VLOOKUP('.'!P386,Recipes!$A:$D,4,FALSE)&amp;"]"))</f>
        <v/>
      </c>
      <c r="Q386" s="46" t="str">
        <f t="array" ref="Q386">IF('.'!Q386="","",'.'!Q386&amp;IF(VLOOKUP('.'!Q386,Recipes!$A:$D,4,FALSE)="",""," ["&amp;VLOOKUP('.'!Q386,Recipes!$A:$D,4,FALSE)&amp;"]"))</f>
        <v/>
      </c>
      <c r="R386" s="46" t="str">
        <f t="array" ref="R386">IF('.'!R386="","",'.'!R386&amp;IF(VLOOKUP('.'!R386,Recipes!$A:$D,4,FALSE)="",""," ["&amp;VLOOKUP('.'!R386,Recipes!$A:$D,4,FALSE)&amp;"]"))</f>
        <v/>
      </c>
      <c r="S386" s="46" t="str">
        <f t="array" ref="S386">IF('.'!S386="","",'.'!S386&amp;IF(VLOOKUP('.'!S386,Recipes!$A:$D,4,FALSE)="",""," ["&amp;VLOOKUP('.'!S386,Recipes!$A:$D,4,FALSE)&amp;"]"))</f>
        <v/>
      </c>
      <c r="T386" s="46" t="str">
        <f t="array" ref="T386">IF('.'!T386="","",'.'!T386&amp;IF(VLOOKUP('.'!T386,Recipes!$A:$D,4,FALSE)="",""," ["&amp;VLOOKUP('.'!T386,Recipes!$A:$D,4,FALSE)&amp;"]"))</f>
        <v/>
      </c>
      <c r="U386" s="46" t="str">
        <f t="array" ref="U386">IF('.'!U386="","",'.'!U386&amp;IF(VLOOKUP('.'!U386,Recipes!$A:$D,4,FALSE)="",""," ["&amp;VLOOKUP('.'!U386,Recipes!$A:$D,4,FALSE)&amp;"]"))</f>
        <v/>
      </c>
      <c r="V386" s="46" t="str">
        <f t="array" ref="V386">IF('.'!V386="","",'.'!V386&amp;IF(VLOOKUP('.'!V386,Recipes!$A:$D,4,FALSE)="",""," ["&amp;VLOOKUP('.'!V386,Recipes!$A:$D,4,FALSE)&amp;"]"))</f>
        <v/>
      </c>
      <c r="W386" s="46" t="str">
        <f t="array" ref="W386">IF('.'!W386="","",'.'!W386&amp;IF(VLOOKUP('.'!W386,Recipes!$A:$D,4,FALSE)="",""," ["&amp;VLOOKUP('.'!W386,Recipes!$A:$D,4,FALSE)&amp;"]"))</f>
        <v/>
      </c>
      <c r="X386" s="46" t="str">
        <f t="array" ref="X386">IF('.'!X386="","",'.'!X386&amp;IF(VLOOKUP('.'!X386,Recipes!$A:$D,4,FALSE)="",""," ["&amp;VLOOKUP('.'!X386,Recipes!$A:$D,4,FALSE)&amp;"]"))</f>
        <v/>
      </c>
      <c r="Y386" s="46" t="str">
        <f t="array" ref="Y386">IF('.'!Y386="","",'.'!Y386&amp;IF(VLOOKUP('.'!Y386,Recipes!$A:$D,4,FALSE)="",""," ["&amp;VLOOKUP('.'!Y386,Recipes!$A:$D,4,FALSE)&amp;"]"))</f>
        <v/>
      </c>
      <c r="Z386" s="46" t="str">
        <f t="array" ref="Z386">IF('.'!Z386="","",'.'!Z386&amp;IF(VLOOKUP('.'!Z386,Recipes!$A:$D,4,FALSE)="",""," ["&amp;VLOOKUP('.'!Z386,Recipes!$A:$D,4,FALSE)&amp;"]"))</f>
        <v/>
      </c>
      <c r="AA386" s="46" t="str">
        <f t="array" ref="AA386">IF('.'!AA386="","",'.'!AA386&amp;IF(VLOOKUP('.'!AA386,Recipes!$A:$D,4,FALSE)="",""," ["&amp;VLOOKUP('.'!AA386,Recipes!$A:$D,4,FALSE)&amp;"]"))</f>
        <v/>
      </c>
      <c r="AB386" s="46" t="str">
        <f t="array" ref="AB386">IF('.'!AB386="","",'.'!AB386&amp;IF(VLOOKUP('.'!AB386,Recipes!$A:$D,4,FALSE)="",""," ["&amp;VLOOKUP('.'!AB386,Recipes!$A:$D,4,FALSE)&amp;"]"))</f>
        <v/>
      </c>
      <c r="AC386" s="46" t="str">
        <f t="array" ref="AC386">IF('.'!AC386="","",'.'!AC386&amp;IF(VLOOKUP('.'!AC386,Recipes!$A:$D,4,FALSE)="",""," ["&amp;VLOOKUP('.'!AC386,Recipes!$A:$D,4,FALSE)&amp;"]"))</f>
        <v/>
      </c>
      <c r="AD386" s="46" t="str">
        <f t="array" ref="AD386">IF('.'!AD386="","",'.'!AD386&amp;IF(VLOOKUP('.'!AD386,Recipes!$A:$D,4,FALSE)="",""," ["&amp;VLOOKUP('.'!AD386,Recipes!$A:$D,4,FALSE)&amp;"]"))</f>
        <v/>
      </c>
      <c r="AE386" s="47"/>
      <c r="AF386" s="47"/>
      <c r="AG386" s="47"/>
      <c r="AH386" s="47"/>
      <c r="AI386" s="47"/>
      <c r="AJ386" s="47"/>
      <c r="AK386" s="47"/>
      <c r="AL386" s="47"/>
      <c r="AM386" s="47"/>
      <c r="AN386" s="47"/>
      <c r="AO386" s="47"/>
      <c r="AP386" s="47"/>
      <c r="AQ386" s="47"/>
      <c r="AR386" s="47"/>
      <c r="AS386" s="47"/>
      <c r="AT386" s="47"/>
      <c r="AU386" s="47"/>
      <c r="AV386" s="47"/>
      <c r="AW386" s="47"/>
      <c r="AX386" s="47"/>
      <c r="AY386" s="47"/>
      <c r="AZ386" s="47"/>
      <c r="BA386" s="47"/>
      <c r="BB386" s="47"/>
      <c r="BC386" s="47"/>
      <c r="BD386" s="47"/>
      <c r="BE386" s="47"/>
      <c r="BF386" s="47"/>
      <c r="BG386" s="47"/>
      <c r="BH386" s="47"/>
      <c r="BI386" s="47"/>
      <c r="BJ386" s="47"/>
      <c r="BK386" s="47"/>
      <c r="BL386" s="47"/>
      <c r="BM386" s="47"/>
      <c r="BN386" s="47"/>
      <c r="BO386" s="47"/>
      <c r="BP386" s="47"/>
      <c r="BQ386" s="47"/>
      <c r="BR386" s="47"/>
      <c r="BS386" s="47"/>
      <c r="BT386" s="47"/>
      <c r="BU386" s="47"/>
      <c r="BV386" s="47"/>
      <c r="BW386" s="47"/>
      <c r="BX386" s="47"/>
      <c r="BY386" s="47"/>
      <c r="BZ386" s="47"/>
    </row>
    <row r="387" spans="1:78" ht="13">
      <c r="A387" s="48" t="str">
        <f ca="1">'.'!A387</f>
        <v>Shocking Touch Scroll</v>
      </c>
      <c r="B387" s="46" t="str">
        <f t="array" aca="1" ref="B387" ca="1">IF('.'!B387="","",'.'!B387&amp;IF(VLOOKUP('.'!B387,Recipes!$A:$D,4,FALSE)="",""," ["&amp;VLOOKUP('.'!B387,Recipes!$A:$D,4,FALSE)&amp;"]"))</f>
        <v>Shocking Touch Skillbook [-190]</v>
      </c>
      <c r="C387" s="46" t="str">
        <f t="array" ref="C387">IF('.'!C387="","",'.'!C387&amp;IF(VLOOKUP('.'!C387,Recipes!$A:$D,4,FALSE)="",""," ["&amp;VLOOKUP('.'!C387,Recipes!$A:$D,4,FALSE)&amp;"]"))</f>
        <v/>
      </c>
      <c r="D387" s="46" t="str">
        <f t="array" ref="D387">IF('.'!D387="","",'.'!D387&amp;IF(VLOOKUP('.'!D387,Recipes!$A:$D,4,FALSE)="",""," ["&amp;VLOOKUP('.'!D387,Recipes!$A:$D,4,FALSE)&amp;"]"))</f>
        <v/>
      </c>
      <c r="E387" s="46" t="str">
        <f t="array" ref="E387">IF('.'!E387="","",'.'!E387&amp;IF(VLOOKUP('.'!E387,Recipes!$A:$D,4,FALSE)="",""," ["&amp;VLOOKUP('.'!E387,Recipes!$A:$D,4,FALSE)&amp;"]"))</f>
        <v/>
      </c>
      <c r="F387" s="46" t="str">
        <f t="array" ref="F387">IF('.'!F387="","",'.'!F387&amp;IF(VLOOKUP('.'!F387,Recipes!$A:$D,4,FALSE)="",""," ["&amp;VLOOKUP('.'!F387,Recipes!$A:$D,4,FALSE)&amp;"]"))</f>
        <v/>
      </c>
      <c r="G387" s="46" t="str">
        <f t="array" ref="G387">IF('.'!G387="","",'.'!G387&amp;IF(VLOOKUP('.'!G387,Recipes!$A:$D,4,FALSE)="",""," ["&amp;VLOOKUP('.'!G387,Recipes!$A:$D,4,FALSE)&amp;"]"))</f>
        <v/>
      </c>
      <c r="H387" s="46" t="str">
        <f t="array" ref="H387">IF('.'!H387="","",'.'!H387&amp;IF(VLOOKUP('.'!H387,Recipes!$A:$D,4,FALSE)="",""," ["&amp;VLOOKUP('.'!H387,Recipes!$A:$D,4,FALSE)&amp;"]"))</f>
        <v/>
      </c>
      <c r="I387" s="46" t="str">
        <f t="array" ref="I387">IF('.'!I387="","",'.'!I387&amp;IF(VLOOKUP('.'!I387,Recipes!$A:$D,4,FALSE)="",""," ["&amp;VLOOKUP('.'!I387,Recipes!$A:$D,4,FALSE)&amp;"]"))</f>
        <v/>
      </c>
      <c r="J387" s="46" t="str">
        <f t="array" ref="J387">IF('.'!J387="","",'.'!J387&amp;IF(VLOOKUP('.'!J387,Recipes!$A:$D,4,FALSE)="",""," ["&amp;VLOOKUP('.'!J387,Recipes!$A:$D,4,FALSE)&amp;"]"))</f>
        <v/>
      </c>
      <c r="K387" s="46" t="str">
        <f t="array" ref="K387">IF('.'!K387="","",'.'!K387&amp;IF(VLOOKUP('.'!K387,Recipes!$A:$D,4,FALSE)="",""," ["&amp;VLOOKUP('.'!K387,Recipes!$A:$D,4,FALSE)&amp;"]"))</f>
        <v/>
      </c>
      <c r="L387" s="46" t="str">
        <f t="array" ref="L387">IF('.'!L387="","",'.'!L387&amp;IF(VLOOKUP('.'!L387,Recipes!$A:$D,4,FALSE)="",""," ["&amp;VLOOKUP('.'!L387,Recipes!$A:$D,4,FALSE)&amp;"]"))</f>
        <v/>
      </c>
      <c r="M387" s="46" t="str">
        <f t="array" ref="M387">IF('.'!M387="","",'.'!M387&amp;IF(VLOOKUP('.'!M387,Recipes!$A:$D,4,FALSE)="",""," ["&amp;VLOOKUP('.'!M387,Recipes!$A:$D,4,FALSE)&amp;"]"))</f>
        <v/>
      </c>
      <c r="N387" s="46" t="str">
        <f t="array" ref="N387">IF('.'!N387="","",'.'!N387&amp;IF(VLOOKUP('.'!N387,Recipes!$A:$D,4,FALSE)="",""," ["&amp;VLOOKUP('.'!N387,Recipes!$A:$D,4,FALSE)&amp;"]"))</f>
        <v/>
      </c>
      <c r="O387" s="46" t="str">
        <f t="array" ref="O387">IF('.'!O387="","",'.'!O387&amp;IF(VLOOKUP('.'!O387,Recipes!$A:$D,4,FALSE)="",""," ["&amp;VLOOKUP('.'!O387,Recipes!$A:$D,4,FALSE)&amp;"]"))</f>
        <v/>
      </c>
      <c r="P387" s="46" t="str">
        <f t="array" ref="P387">IF('.'!P387="","",'.'!P387&amp;IF(VLOOKUP('.'!P387,Recipes!$A:$D,4,FALSE)="",""," ["&amp;VLOOKUP('.'!P387,Recipes!$A:$D,4,FALSE)&amp;"]"))</f>
        <v/>
      </c>
      <c r="Q387" s="46" t="str">
        <f t="array" ref="Q387">IF('.'!Q387="","",'.'!Q387&amp;IF(VLOOKUP('.'!Q387,Recipes!$A:$D,4,FALSE)="",""," ["&amp;VLOOKUP('.'!Q387,Recipes!$A:$D,4,FALSE)&amp;"]"))</f>
        <v/>
      </c>
      <c r="R387" s="46" t="str">
        <f t="array" ref="R387">IF('.'!R387="","",'.'!R387&amp;IF(VLOOKUP('.'!R387,Recipes!$A:$D,4,FALSE)="",""," ["&amp;VLOOKUP('.'!R387,Recipes!$A:$D,4,FALSE)&amp;"]"))</f>
        <v/>
      </c>
      <c r="S387" s="46" t="str">
        <f t="array" ref="S387">IF('.'!S387="","",'.'!S387&amp;IF(VLOOKUP('.'!S387,Recipes!$A:$D,4,FALSE)="",""," ["&amp;VLOOKUP('.'!S387,Recipes!$A:$D,4,FALSE)&amp;"]"))</f>
        <v/>
      </c>
      <c r="T387" s="46" t="str">
        <f t="array" ref="T387">IF('.'!T387="","",'.'!T387&amp;IF(VLOOKUP('.'!T387,Recipes!$A:$D,4,FALSE)="",""," ["&amp;VLOOKUP('.'!T387,Recipes!$A:$D,4,FALSE)&amp;"]"))</f>
        <v/>
      </c>
      <c r="U387" s="46" t="str">
        <f t="array" ref="U387">IF('.'!U387="","",'.'!U387&amp;IF(VLOOKUP('.'!U387,Recipes!$A:$D,4,FALSE)="",""," ["&amp;VLOOKUP('.'!U387,Recipes!$A:$D,4,FALSE)&amp;"]"))</f>
        <v/>
      </c>
      <c r="V387" s="46" t="str">
        <f t="array" ref="V387">IF('.'!V387="","",'.'!V387&amp;IF(VLOOKUP('.'!V387,Recipes!$A:$D,4,FALSE)="",""," ["&amp;VLOOKUP('.'!V387,Recipes!$A:$D,4,FALSE)&amp;"]"))</f>
        <v/>
      </c>
      <c r="W387" s="46" t="str">
        <f t="array" ref="W387">IF('.'!W387="","",'.'!W387&amp;IF(VLOOKUP('.'!W387,Recipes!$A:$D,4,FALSE)="",""," ["&amp;VLOOKUP('.'!W387,Recipes!$A:$D,4,FALSE)&amp;"]"))</f>
        <v/>
      </c>
      <c r="X387" s="46" t="str">
        <f t="array" ref="X387">IF('.'!X387="","",'.'!X387&amp;IF(VLOOKUP('.'!X387,Recipes!$A:$D,4,FALSE)="",""," ["&amp;VLOOKUP('.'!X387,Recipes!$A:$D,4,FALSE)&amp;"]"))</f>
        <v/>
      </c>
      <c r="Y387" s="46" t="str">
        <f t="array" ref="Y387">IF('.'!Y387="","",'.'!Y387&amp;IF(VLOOKUP('.'!Y387,Recipes!$A:$D,4,FALSE)="",""," ["&amp;VLOOKUP('.'!Y387,Recipes!$A:$D,4,FALSE)&amp;"]"))</f>
        <v/>
      </c>
      <c r="Z387" s="46" t="str">
        <f t="array" ref="Z387">IF('.'!Z387="","",'.'!Z387&amp;IF(VLOOKUP('.'!Z387,Recipes!$A:$D,4,FALSE)="",""," ["&amp;VLOOKUP('.'!Z387,Recipes!$A:$D,4,FALSE)&amp;"]"))</f>
        <v/>
      </c>
      <c r="AA387" s="46" t="str">
        <f t="array" ref="AA387">IF('.'!AA387="","",'.'!AA387&amp;IF(VLOOKUP('.'!AA387,Recipes!$A:$D,4,FALSE)="",""," ["&amp;VLOOKUP('.'!AA387,Recipes!$A:$D,4,FALSE)&amp;"]"))</f>
        <v/>
      </c>
      <c r="AB387" s="46" t="str">
        <f t="array" ref="AB387">IF('.'!AB387="","",'.'!AB387&amp;IF(VLOOKUP('.'!AB387,Recipes!$A:$D,4,FALSE)="",""," ["&amp;VLOOKUP('.'!AB387,Recipes!$A:$D,4,FALSE)&amp;"]"))</f>
        <v/>
      </c>
      <c r="AC387" s="46" t="str">
        <f t="array" ref="AC387">IF('.'!AC387="","",'.'!AC387&amp;IF(VLOOKUP('.'!AC387,Recipes!$A:$D,4,FALSE)="",""," ["&amp;VLOOKUP('.'!AC387,Recipes!$A:$D,4,FALSE)&amp;"]"))</f>
        <v/>
      </c>
      <c r="AD387" s="46" t="str">
        <f t="array" ref="AD387">IF('.'!AD387="","",'.'!AD387&amp;IF(VLOOKUP('.'!AD387,Recipes!$A:$D,4,FALSE)="",""," ["&amp;VLOOKUP('.'!AD387,Recipes!$A:$D,4,FALSE)&amp;"]"))</f>
        <v/>
      </c>
      <c r="AE387" s="47"/>
      <c r="AF387" s="47"/>
      <c r="AG387" s="47"/>
      <c r="AH387" s="47"/>
      <c r="AI387" s="47"/>
      <c r="AJ387" s="47"/>
      <c r="AK387" s="47"/>
      <c r="AL387" s="47"/>
      <c r="AM387" s="47"/>
      <c r="AN387" s="47"/>
      <c r="AO387" s="47"/>
      <c r="AP387" s="47"/>
      <c r="AQ387" s="47"/>
      <c r="AR387" s="47"/>
      <c r="AS387" s="47"/>
      <c r="AT387" s="47"/>
      <c r="AU387" s="47"/>
      <c r="AV387" s="47"/>
      <c r="AW387" s="47"/>
      <c r="AX387" s="47"/>
      <c r="AY387" s="47"/>
      <c r="AZ387" s="47"/>
      <c r="BA387" s="47"/>
      <c r="BB387" s="47"/>
      <c r="BC387" s="47"/>
      <c r="BD387" s="47"/>
      <c r="BE387" s="47"/>
      <c r="BF387" s="47"/>
      <c r="BG387" s="47"/>
      <c r="BH387" s="47"/>
      <c r="BI387" s="47"/>
      <c r="BJ387" s="47"/>
      <c r="BK387" s="47"/>
      <c r="BL387" s="47"/>
      <c r="BM387" s="47"/>
      <c r="BN387" s="47"/>
      <c r="BO387" s="47"/>
      <c r="BP387" s="47"/>
      <c r="BQ387" s="47"/>
      <c r="BR387" s="47"/>
      <c r="BS387" s="47"/>
      <c r="BT387" s="47"/>
      <c r="BU387" s="47"/>
      <c r="BV387" s="47"/>
      <c r="BW387" s="47"/>
      <c r="BX387" s="47"/>
      <c r="BY387" s="47"/>
      <c r="BZ387" s="47"/>
    </row>
    <row r="388" spans="1:78" ht="13">
      <c r="A388" s="48" t="str">
        <f ca="1">'.'!A388</f>
        <v>Shoes</v>
      </c>
      <c r="B388" s="46" t="str">
        <f t="array" aca="1" ref="B388" ca="1">IF('.'!B388="","",'.'!B388&amp;IF(VLOOKUP('.'!B388,Recipes!$A:$D,4,FALSE)="",""," ["&amp;VLOOKUP('.'!B388,Recipes!$A:$D,4,FALSE)&amp;"]"))</f>
        <v>Boost Boots [-700]</v>
      </c>
      <c r="C388" s="46" t="str">
        <f t="array" aca="1" ref="C388" ca="1">IF('.'!C388="","",'.'!C388&amp;IF(VLOOKUP('.'!C388,Recipes!$A:$D,4,FALSE)="",""," ["&amp;VLOOKUP('.'!C388,Recipes!$A:$D,4,FALSE)&amp;"]"))</f>
        <v>Slipping Immunity [-1]</v>
      </c>
      <c r="D388" s="46" t="str">
        <f t="array" ref="D388">IF('.'!D388="","",'.'!D388&amp;IF(VLOOKUP('.'!D388,Recipes!$A:$D,4,FALSE)="",""," ["&amp;VLOOKUP('.'!D388,Recipes!$A:$D,4,FALSE)&amp;"]"))</f>
        <v/>
      </c>
      <c r="E388" s="46" t="str">
        <f t="array" ref="E388">IF('.'!E388="","",'.'!E388&amp;IF(VLOOKUP('.'!E388,Recipes!$A:$D,4,FALSE)="",""," ["&amp;VLOOKUP('.'!E388,Recipes!$A:$D,4,FALSE)&amp;"]"))</f>
        <v/>
      </c>
      <c r="F388" s="46" t="str">
        <f t="array" ref="F388">IF('.'!F388="","",'.'!F388&amp;IF(VLOOKUP('.'!F388,Recipes!$A:$D,4,FALSE)="",""," ["&amp;VLOOKUP('.'!F388,Recipes!$A:$D,4,FALSE)&amp;"]"))</f>
        <v/>
      </c>
      <c r="G388" s="46" t="str">
        <f t="array" ref="G388">IF('.'!G388="","",'.'!G388&amp;IF(VLOOKUP('.'!G388,Recipes!$A:$D,4,FALSE)="",""," ["&amp;VLOOKUP('.'!G388,Recipes!$A:$D,4,FALSE)&amp;"]"))</f>
        <v/>
      </c>
      <c r="H388" s="46" t="str">
        <f t="array" ref="H388">IF('.'!H388="","",'.'!H388&amp;IF(VLOOKUP('.'!H388,Recipes!$A:$D,4,FALSE)="",""," ["&amp;VLOOKUP('.'!H388,Recipes!$A:$D,4,FALSE)&amp;"]"))</f>
        <v/>
      </c>
      <c r="I388" s="46" t="str">
        <f t="array" ref="I388">IF('.'!I388="","",'.'!I388&amp;IF(VLOOKUP('.'!I388,Recipes!$A:$D,4,FALSE)="",""," ["&amp;VLOOKUP('.'!I388,Recipes!$A:$D,4,FALSE)&amp;"]"))</f>
        <v/>
      </c>
      <c r="J388" s="46" t="str">
        <f t="array" ref="J388">IF('.'!J388="","",'.'!J388&amp;IF(VLOOKUP('.'!J388,Recipes!$A:$D,4,FALSE)="",""," ["&amp;VLOOKUP('.'!J388,Recipes!$A:$D,4,FALSE)&amp;"]"))</f>
        <v/>
      </c>
      <c r="K388" s="46" t="str">
        <f t="array" ref="K388">IF('.'!K388="","",'.'!K388&amp;IF(VLOOKUP('.'!K388,Recipes!$A:$D,4,FALSE)="",""," ["&amp;VLOOKUP('.'!K388,Recipes!$A:$D,4,FALSE)&amp;"]"))</f>
        <v/>
      </c>
      <c r="L388" s="46" t="str">
        <f t="array" ref="L388">IF('.'!L388="","",'.'!L388&amp;IF(VLOOKUP('.'!L388,Recipes!$A:$D,4,FALSE)="",""," ["&amp;VLOOKUP('.'!L388,Recipes!$A:$D,4,FALSE)&amp;"]"))</f>
        <v/>
      </c>
      <c r="M388" s="46" t="str">
        <f t="array" ref="M388">IF('.'!M388="","",'.'!M388&amp;IF(VLOOKUP('.'!M388,Recipes!$A:$D,4,FALSE)="",""," ["&amp;VLOOKUP('.'!M388,Recipes!$A:$D,4,FALSE)&amp;"]"))</f>
        <v/>
      </c>
      <c r="N388" s="46" t="str">
        <f t="array" ref="N388">IF('.'!N388="","",'.'!N388&amp;IF(VLOOKUP('.'!N388,Recipes!$A:$D,4,FALSE)="",""," ["&amp;VLOOKUP('.'!N388,Recipes!$A:$D,4,FALSE)&amp;"]"))</f>
        <v/>
      </c>
      <c r="O388" s="46" t="str">
        <f t="array" ref="O388">IF('.'!O388="","",'.'!O388&amp;IF(VLOOKUP('.'!O388,Recipes!$A:$D,4,FALSE)="",""," ["&amp;VLOOKUP('.'!O388,Recipes!$A:$D,4,FALSE)&amp;"]"))</f>
        <v/>
      </c>
      <c r="P388" s="46" t="str">
        <f t="array" ref="P388">IF('.'!P388="","",'.'!P388&amp;IF(VLOOKUP('.'!P388,Recipes!$A:$D,4,FALSE)="",""," ["&amp;VLOOKUP('.'!P388,Recipes!$A:$D,4,FALSE)&amp;"]"))</f>
        <v/>
      </c>
      <c r="Q388" s="46" t="str">
        <f t="array" ref="Q388">IF('.'!Q388="","",'.'!Q388&amp;IF(VLOOKUP('.'!Q388,Recipes!$A:$D,4,FALSE)="",""," ["&amp;VLOOKUP('.'!Q388,Recipes!$A:$D,4,FALSE)&amp;"]"))</f>
        <v/>
      </c>
      <c r="R388" s="46" t="str">
        <f t="array" ref="R388">IF('.'!R388="","",'.'!R388&amp;IF(VLOOKUP('.'!R388,Recipes!$A:$D,4,FALSE)="",""," ["&amp;VLOOKUP('.'!R388,Recipes!$A:$D,4,FALSE)&amp;"]"))</f>
        <v/>
      </c>
      <c r="S388" s="46" t="str">
        <f t="array" ref="S388">IF('.'!S388="","",'.'!S388&amp;IF(VLOOKUP('.'!S388,Recipes!$A:$D,4,FALSE)="",""," ["&amp;VLOOKUP('.'!S388,Recipes!$A:$D,4,FALSE)&amp;"]"))</f>
        <v/>
      </c>
      <c r="T388" s="46" t="str">
        <f t="array" ref="T388">IF('.'!T388="","",'.'!T388&amp;IF(VLOOKUP('.'!T388,Recipes!$A:$D,4,FALSE)="",""," ["&amp;VLOOKUP('.'!T388,Recipes!$A:$D,4,FALSE)&amp;"]"))</f>
        <v/>
      </c>
      <c r="U388" s="46" t="str">
        <f t="array" ref="U388">IF('.'!U388="","",'.'!U388&amp;IF(VLOOKUP('.'!U388,Recipes!$A:$D,4,FALSE)="",""," ["&amp;VLOOKUP('.'!U388,Recipes!$A:$D,4,FALSE)&amp;"]"))</f>
        <v/>
      </c>
      <c r="V388" s="46" t="str">
        <f t="array" ref="V388">IF('.'!V388="","",'.'!V388&amp;IF(VLOOKUP('.'!V388,Recipes!$A:$D,4,FALSE)="",""," ["&amp;VLOOKUP('.'!V388,Recipes!$A:$D,4,FALSE)&amp;"]"))</f>
        <v/>
      </c>
      <c r="W388" s="46" t="str">
        <f t="array" ref="W388">IF('.'!W388="","",'.'!W388&amp;IF(VLOOKUP('.'!W388,Recipes!$A:$D,4,FALSE)="",""," ["&amp;VLOOKUP('.'!W388,Recipes!$A:$D,4,FALSE)&amp;"]"))</f>
        <v/>
      </c>
      <c r="X388" s="46" t="str">
        <f t="array" ref="X388">IF('.'!X388="","",'.'!X388&amp;IF(VLOOKUP('.'!X388,Recipes!$A:$D,4,FALSE)="",""," ["&amp;VLOOKUP('.'!X388,Recipes!$A:$D,4,FALSE)&amp;"]"))</f>
        <v/>
      </c>
      <c r="Y388" s="46" t="str">
        <f t="array" ref="Y388">IF('.'!Y388="","",'.'!Y388&amp;IF(VLOOKUP('.'!Y388,Recipes!$A:$D,4,FALSE)="",""," ["&amp;VLOOKUP('.'!Y388,Recipes!$A:$D,4,FALSE)&amp;"]"))</f>
        <v/>
      </c>
      <c r="Z388" s="46" t="str">
        <f t="array" ref="Z388">IF('.'!Z388="","",'.'!Z388&amp;IF(VLOOKUP('.'!Z388,Recipes!$A:$D,4,FALSE)="",""," ["&amp;VLOOKUP('.'!Z388,Recipes!$A:$D,4,FALSE)&amp;"]"))</f>
        <v/>
      </c>
      <c r="AA388" s="46" t="str">
        <f t="array" ref="AA388">IF('.'!AA388="","",'.'!AA388&amp;IF(VLOOKUP('.'!AA388,Recipes!$A:$D,4,FALSE)="",""," ["&amp;VLOOKUP('.'!AA388,Recipes!$A:$D,4,FALSE)&amp;"]"))</f>
        <v/>
      </c>
      <c r="AB388" s="46" t="str">
        <f t="array" ref="AB388">IF('.'!AB388="","",'.'!AB388&amp;IF(VLOOKUP('.'!AB388,Recipes!$A:$D,4,FALSE)="",""," ["&amp;VLOOKUP('.'!AB388,Recipes!$A:$D,4,FALSE)&amp;"]"))</f>
        <v/>
      </c>
      <c r="AC388" s="46" t="str">
        <f t="array" ref="AC388">IF('.'!AC388="","",'.'!AC388&amp;IF(VLOOKUP('.'!AC388,Recipes!$A:$D,4,FALSE)="",""," ["&amp;VLOOKUP('.'!AC388,Recipes!$A:$D,4,FALSE)&amp;"]"))</f>
        <v/>
      </c>
      <c r="AD388" s="46" t="str">
        <f t="array" ref="AD388">IF('.'!AD388="","",'.'!AD388&amp;IF(VLOOKUP('.'!AD388,Recipes!$A:$D,4,FALSE)="",""," ["&amp;VLOOKUP('.'!AD388,Recipes!$A:$D,4,FALSE)&amp;"]"))</f>
        <v/>
      </c>
      <c r="AE388" s="47"/>
      <c r="AF388" s="47"/>
      <c r="AG388" s="47"/>
      <c r="AH388" s="47"/>
      <c r="AI388" s="47"/>
      <c r="AJ388" s="47"/>
      <c r="AK388" s="47"/>
      <c r="AL388" s="47"/>
      <c r="AM388" s="47"/>
      <c r="AN388" s="47"/>
      <c r="AO388" s="47"/>
      <c r="AP388" s="47"/>
      <c r="AQ388" s="47"/>
      <c r="AR388" s="47"/>
      <c r="AS388" s="47"/>
      <c r="AT388" s="47"/>
      <c r="AU388" s="47"/>
      <c r="AV388" s="47"/>
      <c r="AW388" s="47"/>
      <c r="AX388" s="47"/>
      <c r="AY388" s="47"/>
      <c r="AZ388" s="47"/>
      <c r="BA388" s="47"/>
      <c r="BB388" s="47"/>
      <c r="BC388" s="47"/>
      <c r="BD388" s="47"/>
      <c r="BE388" s="47"/>
      <c r="BF388" s="47"/>
      <c r="BG388" s="47"/>
      <c r="BH388" s="47"/>
      <c r="BI388" s="47"/>
      <c r="BJ388" s="47"/>
      <c r="BK388" s="47"/>
      <c r="BL388" s="47"/>
      <c r="BM388" s="47"/>
      <c r="BN388" s="47"/>
      <c r="BO388" s="47"/>
      <c r="BP388" s="47"/>
      <c r="BQ388" s="47"/>
      <c r="BR388" s="47"/>
      <c r="BS388" s="47"/>
      <c r="BT388" s="47"/>
      <c r="BU388" s="47"/>
      <c r="BV388" s="47"/>
      <c r="BW388" s="47"/>
      <c r="BX388" s="47"/>
      <c r="BY388" s="47"/>
      <c r="BZ388" s="47"/>
    </row>
    <row r="389" spans="1:78" ht="13">
      <c r="A389" s="48" t="str">
        <f ca="1">'.'!A389</f>
        <v>Short Stick</v>
      </c>
      <c r="B389" s="46" t="str">
        <f t="array" aca="1" ref="B389" ca="1">IF('.'!B389="","",'.'!B389&amp;IF(VLOOKUP('.'!B389,Recipes!$A:$D,4,FALSE)="",""," ["&amp;VLOOKUP('.'!B389,Recipes!$A:$D,4,FALSE)&amp;"]"))</f>
        <v>Arrow Shaft [0]</v>
      </c>
      <c r="C389" s="46" t="str">
        <f t="array" aca="1" ref="C389" ca="1">IF('.'!C389="","",'.'!C389&amp;IF(VLOOKUP('.'!C389,Recipes!$A:$D,4,FALSE)="",""," ["&amp;VLOOKUP('.'!C389,Recipes!$A:$D,4,FALSE)&amp;"]"))</f>
        <v>Knife on a Stick [V]</v>
      </c>
      <c r="D389" s="46" t="str">
        <f t="array" aca="1" ref="D389" ca="1">IF('.'!D389="","",'.'!D389&amp;IF(VLOOKUP('.'!D389,Recipes!$A:$D,4,FALSE)="",""," ["&amp;VLOOKUP('.'!D389,Recipes!$A:$D,4,FALSE)&amp;"]"))</f>
        <v>Makeshift Wand [V]</v>
      </c>
      <c r="E389" s="46" t="str">
        <f t="array" aca="1" ref="E389" ca="1">IF('.'!E389="","",'.'!E389&amp;IF(VLOOKUP('.'!E389,Recipes!$A:$D,4,FALSE)="",""," ["&amp;VLOOKUP('.'!E389,Recipes!$A:$D,4,FALSE)&amp;"]"))</f>
        <v>Sharp Stone on a Stick [V]</v>
      </c>
      <c r="F389" s="46" t="str">
        <f t="array" aca="1" ref="F389" ca="1">IF('.'!F389="","",'.'!F389&amp;IF(VLOOKUP('.'!F389,Recipes!$A:$D,4,FALSE)="",""," ["&amp;VLOOKUP('.'!F389,Recipes!$A:$D,4,FALSE)&amp;"]"))</f>
        <v>Toy Crossbow [V]</v>
      </c>
      <c r="G389" s="46" t="str">
        <f t="array" aca="1" ref="G389" ca="1">IF('.'!G389="","",'.'!G389&amp;IF(VLOOKUP('.'!G389,Recipes!$A:$D,4,FALSE)="",""," ["&amp;VLOOKUP('.'!G389,Recipes!$A:$D,4,FALSE)&amp;"]"))</f>
        <v>Twig with a String [V]</v>
      </c>
      <c r="H389" s="46" t="str">
        <f t="array" ref="H389">IF('.'!H389="","",'.'!H389&amp;IF(VLOOKUP('.'!H389,Recipes!$A:$D,4,FALSE)="",""," ["&amp;VLOOKUP('.'!H389,Recipes!$A:$D,4,FALSE)&amp;"]"))</f>
        <v/>
      </c>
      <c r="I389" s="46" t="str">
        <f t="array" ref="I389">IF('.'!I389="","",'.'!I389&amp;IF(VLOOKUP('.'!I389,Recipes!$A:$D,4,FALSE)="",""," ["&amp;VLOOKUP('.'!I389,Recipes!$A:$D,4,FALSE)&amp;"]"))</f>
        <v/>
      </c>
      <c r="J389" s="46" t="str">
        <f t="array" ref="J389">IF('.'!J389="","",'.'!J389&amp;IF(VLOOKUP('.'!J389,Recipes!$A:$D,4,FALSE)="",""," ["&amp;VLOOKUP('.'!J389,Recipes!$A:$D,4,FALSE)&amp;"]"))</f>
        <v/>
      </c>
      <c r="K389" s="46" t="str">
        <f t="array" ref="K389">IF('.'!K389="","",'.'!K389&amp;IF(VLOOKUP('.'!K389,Recipes!$A:$D,4,FALSE)="",""," ["&amp;VLOOKUP('.'!K389,Recipes!$A:$D,4,FALSE)&amp;"]"))</f>
        <v/>
      </c>
      <c r="L389" s="46" t="str">
        <f t="array" ref="L389">IF('.'!L389="","",'.'!L389&amp;IF(VLOOKUP('.'!L389,Recipes!$A:$D,4,FALSE)="",""," ["&amp;VLOOKUP('.'!L389,Recipes!$A:$D,4,FALSE)&amp;"]"))</f>
        <v/>
      </c>
      <c r="M389" s="46" t="str">
        <f t="array" ref="M389">IF('.'!M389="","",'.'!M389&amp;IF(VLOOKUP('.'!M389,Recipes!$A:$D,4,FALSE)="",""," ["&amp;VLOOKUP('.'!M389,Recipes!$A:$D,4,FALSE)&amp;"]"))</f>
        <v/>
      </c>
      <c r="N389" s="46" t="str">
        <f t="array" ref="N389">IF('.'!N389="","",'.'!N389&amp;IF(VLOOKUP('.'!N389,Recipes!$A:$D,4,FALSE)="",""," ["&amp;VLOOKUP('.'!N389,Recipes!$A:$D,4,FALSE)&amp;"]"))</f>
        <v/>
      </c>
      <c r="O389" s="46" t="str">
        <f t="array" ref="O389">IF('.'!O389="","",'.'!O389&amp;IF(VLOOKUP('.'!O389,Recipes!$A:$D,4,FALSE)="",""," ["&amp;VLOOKUP('.'!O389,Recipes!$A:$D,4,FALSE)&amp;"]"))</f>
        <v/>
      </c>
      <c r="P389" s="46" t="str">
        <f t="array" ref="P389">IF('.'!P389="","",'.'!P389&amp;IF(VLOOKUP('.'!P389,Recipes!$A:$D,4,FALSE)="",""," ["&amp;VLOOKUP('.'!P389,Recipes!$A:$D,4,FALSE)&amp;"]"))</f>
        <v/>
      </c>
      <c r="Q389" s="46" t="str">
        <f t="array" ref="Q389">IF('.'!Q389="","",'.'!Q389&amp;IF(VLOOKUP('.'!Q389,Recipes!$A:$D,4,FALSE)="",""," ["&amp;VLOOKUP('.'!Q389,Recipes!$A:$D,4,FALSE)&amp;"]"))</f>
        <v/>
      </c>
      <c r="R389" s="46" t="str">
        <f t="array" ref="R389">IF('.'!R389="","",'.'!R389&amp;IF(VLOOKUP('.'!R389,Recipes!$A:$D,4,FALSE)="",""," ["&amp;VLOOKUP('.'!R389,Recipes!$A:$D,4,FALSE)&amp;"]"))</f>
        <v/>
      </c>
      <c r="S389" s="46" t="str">
        <f t="array" ref="S389">IF('.'!S389="","",'.'!S389&amp;IF(VLOOKUP('.'!S389,Recipes!$A:$D,4,FALSE)="",""," ["&amp;VLOOKUP('.'!S389,Recipes!$A:$D,4,FALSE)&amp;"]"))</f>
        <v/>
      </c>
      <c r="T389" s="46" t="str">
        <f t="array" ref="T389">IF('.'!T389="","",'.'!T389&amp;IF(VLOOKUP('.'!T389,Recipes!$A:$D,4,FALSE)="",""," ["&amp;VLOOKUP('.'!T389,Recipes!$A:$D,4,FALSE)&amp;"]"))</f>
        <v/>
      </c>
      <c r="U389" s="46" t="str">
        <f t="array" ref="U389">IF('.'!U389="","",'.'!U389&amp;IF(VLOOKUP('.'!U389,Recipes!$A:$D,4,FALSE)="",""," ["&amp;VLOOKUP('.'!U389,Recipes!$A:$D,4,FALSE)&amp;"]"))</f>
        <v/>
      </c>
      <c r="V389" s="46" t="str">
        <f t="array" ref="V389">IF('.'!V389="","",'.'!V389&amp;IF(VLOOKUP('.'!V389,Recipes!$A:$D,4,FALSE)="",""," ["&amp;VLOOKUP('.'!V389,Recipes!$A:$D,4,FALSE)&amp;"]"))</f>
        <v/>
      </c>
      <c r="W389" s="46" t="str">
        <f t="array" ref="W389">IF('.'!W389="","",'.'!W389&amp;IF(VLOOKUP('.'!W389,Recipes!$A:$D,4,FALSE)="",""," ["&amp;VLOOKUP('.'!W389,Recipes!$A:$D,4,FALSE)&amp;"]"))</f>
        <v/>
      </c>
      <c r="X389" s="46" t="str">
        <f t="array" ref="X389">IF('.'!X389="","",'.'!X389&amp;IF(VLOOKUP('.'!X389,Recipes!$A:$D,4,FALSE)="",""," ["&amp;VLOOKUP('.'!X389,Recipes!$A:$D,4,FALSE)&amp;"]"))</f>
        <v/>
      </c>
      <c r="Y389" s="46" t="str">
        <f t="array" ref="Y389">IF('.'!Y389="","",'.'!Y389&amp;IF(VLOOKUP('.'!Y389,Recipes!$A:$D,4,FALSE)="",""," ["&amp;VLOOKUP('.'!Y389,Recipes!$A:$D,4,FALSE)&amp;"]"))</f>
        <v/>
      </c>
      <c r="Z389" s="46" t="str">
        <f t="array" ref="Z389">IF('.'!Z389="","",'.'!Z389&amp;IF(VLOOKUP('.'!Z389,Recipes!$A:$D,4,FALSE)="",""," ["&amp;VLOOKUP('.'!Z389,Recipes!$A:$D,4,FALSE)&amp;"]"))</f>
        <v/>
      </c>
      <c r="AA389" s="46" t="str">
        <f t="array" ref="AA389">IF('.'!AA389="","",'.'!AA389&amp;IF(VLOOKUP('.'!AA389,Recipes!$A:$D,4,FALSE)="",""," ["&amp;VLOOKUP('.'!AA389,Recipes!$A:$D,4,FALSE)&amp;"]"))</f>
        <v/>
      </c>
      <c r="AB389" s="46" t="str">
        <f t="array" ref="AB389">IF('.'!AB389="","",'.'!AB389&amp;IF(VLOOKUP('.'!AB389,Recipes!$A:$D,4,FALSE)="",""," ["&amp;VLOOKUP('.'!AB389,Recipes!$A:$D,4,FALSE)&amp;"]"))</f>
        <v/>
      </c>
      <c r="AC389" s="46" t="str">
        <f t="array" ref="AC389">IF('.'!AC389="","",'.'!AC389&amp;IF(VLOOKUP('.'!AC389,Recipes!$A:$D,4,FALSE)="",""," ["&amp;VLOOKUP('.'!AC389,Recipes!$A:$D,4,FALSE)&amp;"]"))</f>
        <v/>
      </c>
      <c r="AD389" s="46" t="str">
        <f t="array" ref="AD389">IF('.'!AD389="","",'.'!AD389&amp;IF(VLOOKUP('.'!AD389,Recipes!$A:$D,4,FALSE)="",""," ["&amp;VLOOKUP('.'!AD389,Recipes!$A:$D,4,FALSE)&amp;"]"))</f>
        <v/>
      </c>
      <c r="AE389" s="47"/>
      <c r="AF389" s="47"/>
      <c r="AG389" s="47"/>
      <c r="AH389" s="47"/>
      <c r="AI389" s="47"/>
      <c r="AJ389" s="47"/>
      <c r="AK389" s="47"/>
      <c r="AL389" s="47"/>
      <c r="AM389" s="47"/>
      <c r="AN389" s="47"/>
      <c r="AO389" s="47"/>
      <c r="AP389" s="47"/>
      <c r="AQ389" s="47"/>
      <c r="AR389" s="47"/>
      <c r="AS389" s="47"/>
      <c r="AT389" s="47"/>
      <c r="AU389" s="47"/>
      <c r="AV389" s="47"/>
      <c r="AW389" s="47"/>
      <c r="AX389" s="47"/>
      <c r="AY389" s="47"/>
      <c r="AZ389" s="47"/>
      <c r="BA389" s="47"/>
      <c r="BB389" s="47"/>
      <c r="BC389" s="47"/>
      <c r="BD389" s="47"/>
      <c r="BE389" s="47"/>
      <c r="BF389" s="47"/>
      <c r="BG389" s="47"/>
      <c r="BH389" s="47"/>
      <c r="BI389" s="47"/>
      <c r="BJ389" s="47"/>
      <c r="BK389" s="47"/>
      <c r="BL389" s="47"/>
      <c r="BM389" s="47"/>
      <c r="BN389" s="47"/>
      <c r="BO389" s="47"/>
      <c r="BP389" s="47"/>
      <c r="BQ389" s="47"/>
      <c r="BR389" s="47"/>
      <c r="BS389" s="47"/>
      <c r="BT389" s="47"/>
      <c r="BU389" s="47"/>
      <c r="BV389" s="47"/>
      <c r="BW389" s="47"/>
      <c r="BX389" s="47"/>
      <c r="BY389" s="47"/>
      <c r="BZ389" s="47"/>
    </row>
    <row r="390" spans="1:78" ht="13">
      <c r="A390" s="48" t="str">
        <f ca="1">'.'!A390</f>
        <v>Silencing Stare Scroll</v>
      </c>
      <c r="B390" s="46" t="str">
        <f t="array" aca="1" ref="B390" ca="1">IF('.'!B390="","",'.'!B390&amp;IF(VLOOKUP('.'!B390,Recipes!$A:$D,4,FALSE)="",""," ["&amp;VLOOKUP('.'!B390,Recipes!$A:$D,4,FALSE)&amp;"]"))</f>
        <v>Silencing Stare Skillbook [650]</v>
      </c>
      <c r="C390" s="46" t="str">
        <f t="array" ref="C390">IF('.'!C390="","",'.'!C390&amp;IF(VLOOKUP('.'!C390,Recipes!$A:$D,4,FALSE)="",""," ["&amp;VLOOKUP('.'!C390,Recipes!$A:$D,4,FALSE)&amp;"]"))</f>
        <v/>
      </c>
      <c r="D390" s="46" t="str">
        <f t="array" ref="D390">IF('.'!D390="","",'.'!D390&amp;IF(VLOOKUP('.'!D390,Recipes!$A:$D,4,FALSE)="",""," ["&amp;VLOOKUP('.'!D390,Recipes!$A:$D,4,FALSE)&amp;"]"))</f>
        <v/>
      </c>
      <c r="E390" s="46" t="str">
        <f t="array" ref="E390">IF('.'!E390="","",'.'!E390&amp;IF(VLOOKUP('.'!E390,Recipes!$A:$D,4,FALSE)="",""," ["&amp;VLOOKUP('.'!E390,Recipes!$A:$D,4,FALSE)&amp;"]"))</f>
        <v/>
      </c>
      <c r="F390" s="46" t="str">
        <f t="array" ref="F390">IF('.'!F390="","",'.'!F390&amp;IF(VLOOKUP('.'!F390,Recipes!$A:$D,4,FALSE)="",""," ["&amp;VLOOKUP('.'!F390,Recipes!$A:$D,4,FALSE)&amp;"]"))</f>
        <v/>
      </c>
      <c r="G390" s="46" t="str">
        <f t="array" ref="G390">IF('.'!G390="","",'.'!G390&amp;IF(VLOOKUP('.'!G390,Recipes!$A:$D,4,FALSE)="",""," ["&amp;VLOOKUP('.'!G390,Recipes!$A:$D,4,FALSE)&amp;"]"))</f>
        <v/>
      </c>
      <c r="H390" s="46" t="str">
        <f t="array" ref="H390">IF('.'!H390="","",'.'!H390&amp;IF(VLOOKUP('.'!H390,Recipes!$A:$D,4,FALSE)="",""," ["&amp;VLOOKUP('.'!H390,Recipes!$A:$D,4,FALSE)&amp;"]"))</f>
        <v/>
      </c>
      <c r="I390" s="46" t="str">
        <f t="array" ref="I390">IF('.'!I390="","",'.'!I390&amp;IF(VLOOKUP('.'!I390,Recipes!$A:$D,4,FALSE)="",""," ["&amp;VLOOKUP('.'!I390,Recipes!$A:$D,4,FALSE)&amp;"]"))</f>
        <v/>
      </c>
      <c r="J390" s="46" t="str">
        <f t="array" ref="J390">IF('.'!J390="","",'.'!J390&amp;IF(VLOOKUP('.'!J390,Recipes!$A:$D,4,FALSE)="",""," ["&amp;VLOOKUP('.'!J390,Recipes!$A:$D,4,FALSE)&amp;"]"))</f>
        <v/>
      </c>
      <c r="K390" s="46" t="str">
        <f t="array" ref="K390">IF('.'!K390="","",'.'!K390&amp;IF(VLOOKUP('.'!K390,Recipes!$A:$D,4,FALSE)="",""," ["&amp;VLOOKUP('.'!K390,Recipes!$A:$D,4,FALSE)&amp;"]"))</f>
        <v/>
      </c>
      <c r="L390" s="46" t="str">
        <f t="array" ref="L390">IF('.'!L390="","",'.'!L390&amp;IF(VLOOKUP('.'!L390,Recipes!$A:$D,4,FALSE)="",""," ["&amp;VLOOKUP('.'!L390,Recipes!$A:$D,4,FALSE)&amp;"]"))</f>
        <v/>
      </c>
      <c r="M390" s="46" t="str">
        <f t="array" ref="M390">IF('.'!M390="","",'.'!M390&amp;IF(VLOOKUP('.'!M390,Recipes!$A:$D,4,FALSE)="",""," ["&amp;VLOOKUP('.'!M390,Recipes!$A:$D,4,FALSE)&amp;"]"))</f>
        <v/>
      </c>
      <c r="N390" s="46" t="str">
        <f t="array" ref="N390">IF('.'!N390="","",'.'!N390&amp;IF(VLOOKUP('.'!N390,Recipes!$A:$D,4,FALSE)="",""," ["&amp;VLOOKUP('.'!N390,Recipes!$A:$D,4,FALSE)&amp;"]"))</f>
        <v/>
      </c>
      <c r="O390" s="46" t="str">
        <f t="array" ref="O390">IF('.'!O390="","",'.'!O390&amp;IF(VLOOKUP('.'!O390,Recipes!$A:$D,4,FALSE)="",""," ["&amp;VLOOKUP('.'!O390,Recipes!$A:$D,4,FALSE)&amp;"]"))</f>
        <v/>
      </c>
      <c r="P390" s="46" t="str">
        <f t="array" ref="P390">IF('.'!P390="","",'.'!P390&amp;IF(VLOOKUP('.'!P390,Recipes!$A:$D,4,FALSE)="",""," ["&amp;VLOOKUP('.'!P390,Recipes!$A:$D,4,FALSE)&amp;"]"))</f>
        <v/>
      </c>
      <c r="Q390" s="46" t="str">
        <f t="array" ref="Q390">IF('.'!Q390="","",'.'!Q390&amp;IF(VLOOKUP('.'!Q390,Recipes!$A:$D,4,FALSE)="",""," ["&amp;VLOOKUP('.'!Q390,Recipes!$A:$D,4,FALSE)&amp;"]"))</f>
        <v/>
      </c>
      <c r="R390" s="46" t="str">
        <f t="array" ref="R390">IF('.'!R390="","",'.'!R390&amp;IF(VLOOKUP('.'!R390,Recipes!$A:$D,4,FALSE)="",""," ["&amp;VLOOKUP('.'!R390,Recipes!$A:$D,4,FALSE)&amp;"]"))</f>
        <v/>
      </c>
      <c r="S390" s="46" t="str">
        <f t="array" ref="S390">IF('.'!S390="","",'.'!S390&amp;IF(VLOOKUP('.'!S390,Recipes!$A:$D,4,FALSE)="",""," ["&amp;VLOOKUP('.'!S390,Recipes!$A:$D,4,FALSE)&amp;"]"))</f>
        <v/>
      </c>
      <c r="T390" s="46" t="str">
        <f t="array" ref="T390">IF('.'!T390="","",'.'!T390&amp;IF(VLOOKUP('.'!T390,Recipes!$A:$D,4,FALSE)="",""," ["&amp;VLOOKUP('.'!T390,Recipes!$A:$D,4,FALSE)&amp;"]"))</f>
        <v/>
      </c>
      <c r="U390" s="46" t="str">
        <f t="array" ref="U390">IF('.'!U390="","",'.'!U390&amp;IF(VLOOKUP('.'!U390,Recipes!$A:$D,4,FALSE)="",""," ["&amp;VLOOKUP('.'!U390,Recipes!$A:$D,4,FALSE)&amp;"]"))</f>
        <v/>
      </c>
      <c r="V390" s="46" t="str">
        <f t="array" ref="V390">IF('.'!V390="","",'.'!V390&amp;IF(VLOOKUP('.'!V390,Recipes!$A:$D,4,FALSE)="",""," ["&amp;VLOOKUP('.'!V390,Recipes!$A:$D,4,FALSE)&amp;"]"))</f>
        <v/>
      </c>
      <c r="W390" s="46" t="str">
        <f t="array" ref="W390">IF('.'!W390="","",'.'!W390&amp;IF(VLOOKUP('.'!W390,Recipes!$A:$D,4,FALSE)="",""," ["&amp;VLOOKUP('.'!W390,Recipes!$A:$D,4,FALSE)&amp;"]"))</f>
        <v/>
      </c>
      <c r="X390" s="46" t="str">
        <f t="array" ref="X390">IF('.'!X390="","",'.'!X390&amp;IF(VLOOKUP('.'!X390,Recipes!$A:$D,4,FALSE)="",""," ["&amp;VLOOKUP('.'!X390,Recipes!$A:$D,4,FALSE)&amp;"]"))</f>
        <v/>
      </c>
      <c r="Y390" s="46" t="str">
        <f t="array" ref="Y390">IF('.'!Y390="","",'.'!Y390&amp;IF(VLOOKUP('.'!Y390,Recipes!$A:$D,4,FALSE)="",""," ["&amp;VLOOKUP('.'!Y390,Recipes!$A:$D,4,FALSE)&amp;"]"))</f>
        <v/>
      </c>
      <c r="Z390" s="46" t="str">
        <f t="array" ref="Z390">IF('.'!Z390="","",'.'!Z390&amp;IF(VLOOKUP('.'!Z390,Recipes!$A:$D,4,FALSE)="",""," ["&amp;VLOOKUP('.'!Z390,Recipes!$A:$D,4,FALSE)&amp;"]"))</f>
        <v/>
      </c>
      <c r="AA390" s="46" t="str">
        <f t="array" ref="AA390">IF('.'!AA390="","",'.'!AA390&amp;IF(VLOOKUP('.'!AA390,Recipes!$A:$D,4,FALSE)="",""," ["&amp;VLOOKUP('.'!AA390,Recipes!$A:$D,4,FALSE)&amp;"]"))</f>
        <v/>
      </c>
      <c r="AB390" s="46" t="str">
        <f t="array" ref="AB390">IF('.'!AB390="","",'.'!AB390&amp;IF(VLOOKUP('.'!AB390,Recipes!$A:$D,4,FALSE)="",""," ["&amp;VLOOKUP('.'!AB390,Recipes!$A:$D,4,FALSE)&amp;"]"))</f>
        <v/>
      </c>
      <c r="AC390" s="46" t="str">
        <f t="array" ref="AC390">IF('.'!AC390="","",'.'!AC390&amp;IF(VLOOKUP('.'!AC390,Recipes!$A:$D,4,FALSE)="",""," ["&amp;VLOOKUP('.'!AC390,Recipes!$A:$D,4,FALSE)&amp;"]"))</f>
        <v/>
      </c>
      <c r="AD390" s="46" t="str">
        <f t="array" ref="AD390">IF('.'!AD390="","",'.'!AD390&amp;IF(VLOOKUP('.'!AD390,Recipes!$A:$D,4,FALSE)="",""," ["&amp;VLOOKUP('.'!AD390,Recipes!$A:$D,4,FALSE)&amp;"]"))</f>
        <v/>
      </c>
      <c r="AE390" s="47"/>
      <c r="AF390" s="47"/>
      <c r="AG390" s="47"/>
      <c r="AH390" s="47"/>
      <c r="AI390" s="47"/>
      <c r="AJ390" s="47"/>
      <c r="AK390" s="47"/>
      <c r="AL390" s="47"/>
      <c r="AM390" s="47"/>
      <c r="AN390" s="47"/>
      <c r="AO390" s="47"/>
      <c r="AP390" s="47"/>
      <c r="AQ390" s="47"/>
      <c r="AR390" s="47"/>
      <c r="AS390" s="47"/>
      <c r="AT390" s="47"/>
      <c r="AU390" s="47"/>
      <c r="AV390" s="47"/>
      <c r="AW390" s="47"/>
      <c r="AX390" s="47"/>
      <c r="AY390" s="47"/>
      <c r="AZ390" s="47"/>
      <c r="BA390" s="47"/>
      <c r="BB390" s="47"/>
      <c r="BC390" s="47"/>
      <c r="BD390" s="47"/>
      <c r="BE390" s="47"/>
      <c r="BF390" s="47"/>
      <c r="BG390" s="47"/>
      <c r="BH390" s="47"/>
      <c r="BI390" s="47"/>
      <c r="BJ390" s="47"/>
      <c r="BK390" s="47"/>
      <c r="BL390" s="47"/>
      <c r="BM390" s="47"/>
      <c r="BN390" s="47"/>
      <c r="BO390" s="47"/>
      <c r="BP390" s="47"/>
      <c r="BQ390" s="47"/>
      <c r="BR390" s="47"/>
      <c r="BS390" s="47"/>
      <c r="BT390" s="47"/>
      <c r="BU390" s="47"/>
      <c r="BV390" s="47"/>
      <c r="BW390" s="47"/>
      <c r="BX390" s="47"/>
      <c r="BY390" s="47"/>
      <c r="BZ390" s="47"/>
    </row>
    <row r="391" spans="1:78" ht="13">
      <c r="A391" s="48" t="str">
        <f ca="1">'.'!A391</f>
        <v>Silver Bar</v>
      </c>
      <c r="B391" s="46" t="str">
        <f t="array" aca="1" ref="B391" ca="1">IF('.'!B391="","",'.'!B391&amp;IF(VLOOKUP('.'!B391,Recipes!$A:$D,4,FALSE)="",""," ["&amp;VLOOKUP('.'!B391,Recipes!$A:$D,4,FALSE)&amp;"]"))</f>
        <v>Silver Lever Shaft [-75]</v>
      </c>
      <c r="C391" s="46" t="str">
        <f t="array" ref="C391">IF('.'!C391="","",'.'!C391&amp;IF(VLOOKUP('.'!C391,Recipes!$A:$D,4,FALSE)="",""," ["&amp;VLOOKUP('.'!C391,Recipes!$A:$D,4,FALSE)&amp;"]"))</f>
        <v/>
      </c>
      <c r="D391" s="46" t="str">
        <f t="array" ref="D391">IF('.'!D391="","",'.'!D391&amp;IF(VLOOKUP('.'!D391,Recipes!$A:$D,4,FALSE)="",""," ["&amp;VLOOKUP('.'!D391,Recipes!$A:$D,4,FALSE)&amp;"]"))</f>
        <v/>
      </c>
      <c r="E391" s="46" t="str">
        <f t="array" ref="E391">IF('.'!E391="","",'.'!E391&amp;IF(VLOOKUP('.'!E391,Recipes!$A:$D,4,FALSE)="",""," ["&amp;VLOOKUP('.'!E391,Recipes!$A:$D,4,FALSE)&amp;"]"))</f>
        <v/>
      </c>
      <c r="F391" s="46" t="str">
        <f t="array" ref="F391">IF('.'!F391="","",'.'!F391&amp;IF(VLOOKUP('.'!F391,Recipes!$A:$D,4,FALSE)="",""," ["&amp;VLOOKUP('.'!F391,Recipes!$A:$D,4,FALSE)&amp;"]"))</f>
        <v/>
      </c>
      <c r="G391" s="46" t="str">
        <f t="array" ref="G391">IF('.'!G391="","",'.'!G391&amp;IF(VLOOKUP('.'!G391,Recipes!$A:$D,4,FALSE)="",""," ["&amp;VLOOKUP('.'!G391,Recipes!$A:$D,4,FALSE)&amp;"]"))</f>
        <v/>
      </c>
      <c r="H391" s="46" t="str">
        <f t="array" ref="H391">IF('.'!H391="","",'.'!H391&amp;IF(VLOOKUP('.'!H391,Recipes!$A:$D,4,FALSE)="",""," ["&amp;VLOOKUP('.'!H391,Recipes!$A:$D,4,FALSE)&amp;"]"))</f>
        <v/>
      </c>
      <c r="I391" s="46" t="str">
        <f t="array" ref="I391">IF('.'!I391="","",'.'!I391&amp;IF(VLOOKUP('.'!I391,Recipes!$A:$D,4,FALSE)="",""," ["&amp;VLOOKUP('.'!I391,Recipes!$A:$D,4,FALSE)&amp;"]"))</f>
        <v/>
      </c>
      <c r="J391" s="46" t="str">
        <f t="array" ref="J391">IF('.'!J391="","",'.'!J391&amp;IF(VLOOKUP('.'!J391,Recipes!$A:$D,4,FALSE)="",""," ["&amp;VLOOKUP('.'!J391,Recipes!$A:$D,4,FALSE)&amp;"]"))</f>
        <v/>
      </c>
      <c r="K391" s="46" t="str">
        <f t="array" ref="K391">IF('.'!K391="","",'.'!K391&amp;IF(VLOOKUP('.'!K391,Recipes!$A:$D,4,FALSE)="",""," ["&amp;VLOOKUP('.'!K391,Recipes!$A:$D,4,FALSE)&amp;"]"))</f>
        <v/>
      </c>
      <c r="L391" s="46" t="str">
        <f t="array" ref="L391">IF('.'!L391="","",'.'!L391&amp;IF(VLOOKUP('.'!L391,Recipes!$A:$D,4,FALSE)="",""," ["&amp;VLOOKUP('.'!L391,Recipes!$A:$D,4,FALSE)&amp;"]"))</f>
        <v/>
      </c>
      <c r="M391" s="46" t="str">
        <f t="array" ref="M391">IF('.'!M391="","",'.'!M391&amp;IF(VLOOKUP('.'!M391,Recipes!$A:$D,4,FALSE)="",""," ["&amp;VLOOKUP('.'!M391,Recipes!$A:$D,4,FALSE)&amp;"]"))</f>
        <v/>
      </c>
      <c r="N391" s="46" t="str">
        <f t="array" ref="N391">IF('.'!N391="","",'.'!N391&amp;IF(VLOOKUP('.'!N391,Recipes!$A:$D,4,FALSE)="",""," ["&amp;VLOOKUP('.'!N391,Recipes!$A:$D,4,FALSE)&amp;"]"))</f>
        <v/>
      </c>
      <c r="O391" s="46" t="str">
        <f t="array" ref="O391">IF('.'!O391="","",'.'!O391&amp;IF(VLOOKUP('.'!O391,Recipes!$A:$D,4,FALSE)="",""," ["&amp;VLOOKUP('.'!O391,Recipes!$A:$D,4,FALSE)&amp;"]"))</f>
        <v/>
      </c>
      <c r="P391" s="46" t="str">
        <f t="array" ref="P391">IF('.'!P391="","",'.'!P391&amp;IF(VLOOKUP('.'!P391,Recipes!$A:$D,4,FALSE)="",""," ["&amp;VLOOKUP('.'!P391,Recipes!$A:$D,4,FALSE)&amp;"]"))</f>
        <v/>
      </c>
      <c r="Q391" s="46" t="str">
        <f t="array" ref="Q391">IF('.'!Q391="","",'.'!Q391&amp;IF(VLOOKUP('.'!Q391,Recipes!$A:$D,4,FALSE)="",""," ["&amp;VLOOKUP('.'!Q391,Recipes!$A:$D,4,FALSE)&amp;"]"))</f>
        <v/>
      </c>
      <c r="R391" s="46" t="str">
        <f t="array" ref="R391">IF('.'!R391="","",'.'!R391&amp;IF(VLOOKUP('.'!R391,Recipes!$A:$D,4,FALSE)="",""," ["&amp;VLOOKUP('.'!R391,Recipes!$A:$D,4,FALSE)&amp;"]"))</f>
        <v/>
      </c>
      <c r="S391" s="46" t="str">
        <f t="array" ref="S391">IF('.'!S391="","",'.'!S391&amp;IF(VLOOKUP('.'!S391,Recipes!$A:$D,4,FALSE)="",""," ["&amp;VLOOKUP('.'!S391,Recipes!$A:$D,4,FALSE)&amp;"]"))</f>
        <v/>
      </c>
      <c r="T391" s="46" t="str">
        <f t="array" ref="T391">IF('.'!T391="","",'.'!T391&amp;IF(VLOOKUP('.'!T391,Recipes!$A:$D,4,FALSE)="",""," ["&amp;VLOOKUP('.'!T391,Recipes!$A:$D,4,FALSE)&amp;"]"))</f>
        <v/>
      </c>
      <c r="U391" s="46" t="str">
        <f t="array" ref="U391">IF('.'!U391="","",'.'!U391&amp;IF(VLOOKUP('.'!U391,Recipes!$A:$D,4,FALSE)="",""," ["&amp;VLOOKUP('.'!U391,Recipes!$A:$D,4,FALSE)&amp;"]"))</f>
        <v/>
      </c>
      <c r="V391" s="46" t="str">
        <f t="array" ref="V391">IF('.'!V391="","",'.'!V391&amp;IF(VLOOKUP('.'!V391,Recipes!$A:$D,4,FALSE)="",""," ["&amp;VLOOKUP('.'!V391,Recipes!$A:$D,4,FALSE)&amp;"]"))</f>
        <v/>
      </c>
      <c r="W391" s="46" t="str">
        <f t="array" ref="W391">IF('.'!W391="","",'.'!W391&amp;IF(VLOOKUP('.'!W391,Recipes!$A:$D,4,FALSE)="",""," ["&amp;VLOOKUP('.'!W391,Recipes!$A:$D,4,FALSE)&amp;"]"))</f>
        <v/>
      </c>
      <c r="X391" s="46" t="str">
        <f t="array" ref="X391">IF('.'!X391="","",'.'!X391&amp;IF(VLOOKUP('.'!X391,Recipes!$A:$D,4,FALSE)="",""," ["&amp;VLOOKUP('.'!X391,Recipes!$A:$D,4,FALSE)&amp;"]"))</f>
        <v/>
      </c>
      <c r="Y391" s="46" t="str">
        <f t="array" ref="Y391">IF('.'!Y391="","",'.'!Y391&amp;IF(VLOOKUP('.'!Y391,Recipes!$A:$D,4,FALSE)="",""," ["&amp;VLOOKUP('.'!Y391,Recipes!$A:$D,4,FALSE)&amp;"]"))</f>
        <v/>
      </c>
      <c r="Z391" s="46" t="str">
        <f t="array" ref="Z391">IF('.'!Z391="","",'.'!Z391&amp;IF(VLOOKUP('.'!Z391,Recipes!$A:$D,4,FALSE)="",""," ["&amp;VLOOKUP('.'!Z391,Recipes!$A:$D,4,FALSE)&amp;"]"))</f>
        <v/>
      </c>
      <c r="AA391" s="46" t="str">
        <f t="array" ref="AA391">IF('.'!AA391="","",'.'!AA391&amp;IF(VLOOKUP('.'!AA391,Recipes!$A:$D,4,FALSE)="",""," ["&amp;VLOOKUP('.'!AA391,Recipes!$A:$D,4,FALSE)&amp;"]"))</f>
        <v/>
      </c>
      <c r="AB391" s="46" t="str">
        <f t="array" ref="AB391">IF('.'!AB391="","",'.'!AB391&amp;IF(VLOOKUP('.'!AB391,Recipes!$A:$D,4,FALSE)="",""," ["&amp;VLOOKUP('.'!AB391,Recipes!$A:$D,4,FALSE)&amp;"]"))</f>
        <v/>
      </c>
      <c r="AC391" s="46" t="str">
        <f t="array" ref="AC391">IF('.'!AC391="","",'.'!AC391&amp;IF(VLOOKUP('.'!AC391,Recipes!$A:$D,4,FALSE)="",""," ["&amp;VLOOKUP('.'!AC391,Recipes!$A:$D,4,FALSE)&amp;"]"))</f>
        <v/>
      </c>
      <c r="AD391" s="46" t="str">
        <f t="array" ref="AD391">IF('.'!AD391="","",'.'!AD391&amp;IF(VLOOKUP('.'!AD391,Recipes!$A:$D,4,FALSE)="",""," ["&amp;VLOOKUP('.'!AD391,Recipes!$A:$D,4,FALSE)&amp;"]"))</f>
        <v/>
      </c>
      <c r="AE391" s="47"/>
      <c r="AF391" s="47"/>
      <c r="AG391" s="47"/>
      <c r="AH391" s="47"/>
      <c r="AI391" s="47"/>
      <c r="AJ391" s="47"/>
      <c r="AK391" s="47"/>
      <c r="AL391" s="47"/>
      <c r="AM391" s="47"/>
      <c r="AN391" s="47"/>
      <c r="AO391" s="47"/>
      <c r="AP391" s="47"/>
      <c r="AQ391" s="47"/>
      <c r="AR391" s="47"/>
      <c r="AS391" s="47"/>
      <c r="AT391" s="47"/>
      <c r="AU391" s="47"/>
      <c r="AV391" s="47"/>
      <c r="AW391" s="47"/>
      <c r="AX391" s="47"/>
      <c r="AY391" s="47"/>
      <c r="AZ391" s="47"/>
      <c r="BA391" s="47"/>
      <c r="BB391" s="47"/>
      <c r="BC391" s="47"/>
      <c r="BD391" s="47"/>
      <c r="BE391" s="47"/>
      <c r="BF391" s="47"/>
      <c r="BG391" s="47"/>
      <c r="BH391" s="47"/>
      <c r="BI391" s="47"/>
      <c r="BJ391" s="47"/>
      <c r="BK391" s="47"/>
      <c r="BL391" s="47"/>
      <c r="BM391" s="47"/>
      <c r="BN391" s="47"/>
      <c r="BO391" s="47"/>
      <c r="BP391" s="47"/>
      <c r="BQ391" s="47"/>
      <c r="BR391" s="47"/>
      <c r="BS391" s="47"/>
      <c r="BT391" s="47"/>
      <c r="BU391" s="47"/>
      <c r="BV391" s="47"/>
      <c r="BW391" s="47"/>
      <c r="BX391" s="47"/>
      <c r="BY391" s="47"/>
      <c r="BZ391" s="47"/>
    </row>
    <row r="392" spans="1:78" ht="13">
      <c r="A392" s="48" t="str">
        <f ca="1">'.'!A392</f>
        <v>Silver Cup</v>
      </c>
      <c r="B392" s="46" t="str">
        <f t="array" aca="1" ref="B392" ca="1">IF('.'!B392="","",'.'!B392&amp;IF(VLOOKUP('.'!B392,Recipes!$A:$D,4,FALSE)="",""," ["&amp;VLOOKUP('.'!B392,Recipes!$A:$D,4,FALSE)&amp;"]"))</f>
        <v>Silver Lever Shaft [-75]</v>
      </c>
      <c r="C392" s="46" t="str">
        <f t="array" ref="C392">IF('.'!C392="","",'.'!C392&amp;IF(VLOOKUP('.'!C392,Recipes!$A:$D,4,FALSE)="",""," ["&amp;VLOOKUP('.'!C392,Recipes!$A:$D,4,FALSE)&amp;"]"))</f>
        <v/>
      </c>
      <c r="D392" s="46" t="str">
        <f t="array" ref="D392">IF('.'!D392="","",'.'!D392&amp;IF(VLOOKUP('.'!D392,Recipes!$A:$D,4,FALSE)="",""," ["&amp;VLOOKUP('.'!D392,Recipes!$A:$D,4,FALSE)&amp;"]"))</f>
        <v/>
      </c>
      <c r="E392" s="46" t="str">
        <f t="array" ref="E392">IF('.'!E392="","",'.'!E392&amp;IF(VLOOKUP('.'!E392,Recipes!$A:$D,4,FALSE)="",""," ["&amp;VLOOKUP('.'!E392,Recipes!$A:$D,4,FALSE)&amp;"]"))</f>
        <v/>
      </c>
      <c r="F392" s="46" t="str">
        <f t="array" ref="F392">IF('.'!F392="","",'.'!F392&amp;IF(VLOOKUP('.'!F392,Recipes!$A:$D,4,FALSE)="",""," ["&amp;VLOOKUP('.'!F392,Recipes!$A:$D,4,FALSE)&amp;"]"))</f>
        <v/>
      </c>
      <c r="G392" s="46" t="str">
        <f t="array" ref="G392">IF('.'!G392="","",'.'!G392&amp;IF(VLOOKUP('.'!G392,Recipes!$A:$D,4,FALSE)="",""," ["&amp;VLOOKUP('.'!G392,Recipes!$A:$D,4,FALSE)&amp;"]"))</f>
        <v/>
      </c>
      <c r="H392" s="46" t="str">
        <f t="array" ref="H392">IF('.'!H392="","",'.'!H392&amp;IF(VLOOKUP('.'!H392,Recipes!$A:$D,4,FALSE)="",""," ["&amp;VLOOKUP('.'!H392,Recipes!$A:$D,4,FALSE)&amp;"]"))</f>
        <v/>
      </c>
      <c r="I392" s="46" t="str">
        <f t="array" ref="I392">IF('.'!I392="","",'.'!I392&amp;IF(VLOOKUP('.'!I392,Recipes!$A:$D,4,FALSE)="",""," ["&amp;VLOOKUP('.'!I392,Recipes!$A:$D,4,FALSE)&amp;"]"))</f>
        <v/>
      </c>
      <c r="J392" s="46" t="str">
        <f t="array" ref="J392">IF('.'!J392="","",'.'!J392&amp;IF(VLOOKUP('.'!J392,Recipes!$A:$D,4,FALSE)="",""," ["&amp;VLOOKUP('.'!J392,Recipes!$A:$D,4,FALSE)&amp;"]"))</f>
        <v/>
      </c>
      <c r="K392" s="46" t="str">
        <f t="array" ref="K392">IF('.'!K392="","",'.'!K392&amp;IF(VLOOKUP('.'!K392,Recipes!$A:$D,4,FALSE)="",""," ["&amp;VLOOKUP('.'!K392,Recipes!$A:$D,4,FALSE)&amp;"]"))</f>
        <v/>
      </c>
      <c r="L392" s="46" t="str">
        <f t="array" ref="L392">IF('.'!L392="","",'.'!L392&amp;IF(VLOOKUP('.'!L392,Recipes!$A:$D,4,FALSE)="",""," ["&amp;VLOOKUP('.'!L392,Recipes!$A:$D,4,FALSE)&amp;"]"))</f>
        <v/>
      </c>
      <c r="M392" s="46" t="str">
        <f t="array" ref="M392">IF('.'!M392="","",'.'!M392&amp;IF(VLOOKUP('.'!M392,Recipes!$A:$D,4,FALSE)="",""," ["&amp;VLOOKUP('.'!M392,Recipes!$A:$D,4,FALSE)&amp;"]"))</f>
        <v/>
      </c>
      <c r="N392" s="46" t="str">
        <f t="array" ref="N392">IF('.'!N392="","",'.'!N392&amp;IF(VLOOKUP('.'!N392,Recipes!$A:$D,4,FALSE)="",""," ["&amp;VLOOKUP('.'!N392,Recipes!$A:$D,4,FALSE)&amp;"]"))</f>
        <v/>
      </c>
      <c r="O392" s="46" t="str">
        <f t="array" ref="O392">IF('.'!O392="","",'.'!O392&amp;IF(VLOOKUP('.'!O392,Recipes!$A:$D,4,FALSE)="",""," ["&amp;VLOOKUP('.'!O392,Recipes!$A:$D,4,FALSE)&amp;"]"))</f>
        <v/>
      </c>
      <c r="P392" s="46" t="str">
        <f t="array" ref="P392">IF('.'!P392="","",'.'!P392&amp;IF(VLOOKUP('.'!P392,Recipes!$A:$D,4,FALSE)="",""," ["&amp;VLOOKUP('.'!P392,Recipes!$A:$D,4,FALSE)&amp;"]"))</f>
        <v/>
      </c>
      <c r="Q392" s="46" t="str">
        <f t="array" ref="Q392">IF('.'!Q392="","",'.'!Q392&amp;IF(VLOOKUP('.'!Q392,Recipes!$A:$D,4,FALSE)="",""," ["&amp;VLOOKUP('.'!Q392,Recipes!$A:$D,4,FALSE)&amp;"]"))</f>
        <v/>
      </c>
      <c r="R392" s="46" t="str">
        <f t="array" ref="R392">IF('.'!R392="","",'.'!R392&amp;IF(VLOOKUP('.'!R392,Recipes!$A:$D,4,FALSE)="",""," ["&amp;VLOOKUP('.'!R392,Recipes!$A:$D,4,FALSE)&amp;"]"))</f>
        <v/>
      </c>
      <c r="S392" s="46" t="str">
        <f t="array" ref="S392">IF('.'!S392="","",'.'!S392&amp;IF(VLOOKUP('.'!S392,Recipes!$A:$D,4,FALSE)="",""," ["&amp;VLOOKUP('.'!S392,Recipes!$A:$D,4,FALSE)&amp;"]"))</f>
        <v/>
      </c>
      <c r="T392" s="46" t="str">
        <f t="array" ref="T392">IF('.'!T392="","",'.'!T392&amp;IF(VLOOKUP('.'!T392,Recipes!$A:$D,4,FALSE)="",""," ["&amp;VLOOKUP('.'!T392,Recipes!$A:$D,4,FALSE)&amp;"]"))</f>
        <v/>
      </c>
      <c r="U392" s="46" t="str">
        <f t="array" ref="U392">IF('.'!U392="","",'.'!U392&amp;IF(VLOOKUP('.'!U392,Recipes!$A:$D,4,FALSE)="",""," ["&amp;VLOOKUP('.'!U392,Recipes!$A:$D,4,FALSE)&amp;"]"))</f>
        <v/>
      </c>
      <c r="V392" s="46" t="str">
        <f t="array" ref="V392">IF('.'!V392="","",'.'!V392&amp;IF(VLOOKUP('.'!V392,Recipes!$A:$D,4,FALSE)="",""," ["&amp;VLOOKUP('.'!V392,Recipes!$A:$D,4,FALSE)&amp;"]"))</f>
        <v/>
      </c>
      <c r="W392" s="46" t="str">
        <f t="array" ref="W392">IF('.'!W392="","",'.'!W392&amp;IF(VLOOKUP('.'!W392,Recipes!$A:$D,4,FALSE)="",""," ["&amp;VLOOKUP('.'!W392,Recipes!$A:$D,4,FALSE)&amp;"]"))</f>
        <v/>
      </c>
      <c r="X392" s="46" t="str">
        <f t="array" ref="X392">IF('.'!X392="","",'.'!X392&amp;IF(VLOOKUP('.'!X392,Recipes!$A:$D,4,FALSE)="",""," ["&amp;VLOOKUP('.'!X392,Recipes!$A:$D,4,FALSE)&amp;"]"))</f>
        <v/>
      </c>
      <c r="Y392" s="46" t="str">
        <f t="array" ref="Y392">IF('.'!Y392="","",'.'!Y392&amp;IF(VLOOKUP('.'!Y392,Recipes!$A:$D,4,FALSE)="",""," ["&amp;VLOOKUP('.'!Y392,Recipes!$A:$D,4,FALSE)&amp;"]"))</f>
        <v/>
      </c>
      <c r="Z392" s="46" t="str">
        <f t="array" ref="Z392">IF('.'!Z392="","",'.'!Z392&amp;IF(VLOOKUP('.'!Z392,Recipes!$A:$D,4,FALSE)="",""," ["&amp;VLOOKUP('.'!Z392,Recipes!$A:$D,4,FALSE)&amp;"]"))</f>
        <v/>
      </c>
      <c r="AA392" s="46" t="str">
        <f t="array" ref="AA392">IF('.'!AA392="","",'.'!AA392&amp;IF(VLOOKUP('.'!AA392,Recipes!$A:$D,4,FALSE)="",""," ["&amp;VLOOKUP('.'!AA392,Recipes!$A:$D,4,FALSE)&amp;"]"))</f>
        <v/>
      </c>
      <c r="AB392" s="46" t="str">
        <f t="array" ref="AB392">IF('.'!AB392="","",'.'!AB392&amp;IF(VLOOKUP('.'!AB392,Recipes!$A:$D,4,FALSE)="",""," ["&amp;VLOOKUP('.'!AB392,Recipes!$A:$D,4,FALSE)&amp;"]"))</f>
        <v/>
      </c>
      <c r="AC392" s="46" t="str">
        <f t="array" ref="AC392">IF('.'!AC392="","",'.'!AC392&amp;IF(VLOOKUP('.'!AC392,Recipes!$A:$D,4,FALSE)="",""," ["&amp;VLOOKUP('.'!AC392,Recipes!$A:$D,4,FALSE)&amp;"]"))</f>
        <v/>
      </c>
      <c r="AD392" s="46" t="str">
        <f t="array" ref="AD392">IF('.'!AD392="","",'.'!AD392&amp;IF(VLOOKUP('.'!AD392,Recipes!$A:$D,4,FALSE)="",""," ["&amp;VLOOKUP('.'!AD392,Recipes!$A:$D,4,FALSE)&amp;"]"))</f>
        <v/>
      </c>
      <c r="AE392" s="47"/>
      <c r="AF392" s="47"/>
      <c r="AG392" s="47"/>
      <c r="AH392" s="47"/>
      <c r="AI392" s="47"/>
      <c r="AJ392" s="47"/>
      <c r="AK392" s="47"/>
      <c r="AL392" s="47"/>
      <c r="AM392" s="47"/>
      <c r="AN392" s="47"/>
      <c r="AO392" s="47"/>
      <c r="AP392" s="47"/>
      <c r="AQ392" s="47"/>
      <c r="AR392" s="47"/>
      <c r="AS392" s="47"/>
      <c r="AT392" s="47"/>
      <c r="AU392" s="47"/>
      <c r="AV392" s="47"/>
      <c r="AW392" s="47"/>
      <c r="AX392" s="47"/>
      <c r="AY392" s="47"/>
      <c r="AZ392" s="47"/>
      <c r="BA392" s="47"/>
      <c r="BB392" s="47"/>
      <c r="BC392" s="47"/>
      <c r="BD392" s="47"/>
      <c r="BE392" s="47"/>
      <c r="BF392" s="47"/>
      <c r="BG392" s="47"/>
      <c r="BH392" s="47"/>
      <c r="BI392" s="47"/>
      <c r="BJ392" s="47"/>
      <c r="BK392" s="47"/>
      <c r="BL392" s="47"/>
      <c r="BM392" s="47"/>
      <c r="BN392" s="47"/>
      <c r="BO392" s="47"/>
      <c r="BP392" s="47"/>
      <c r="BQ392" s="47"/>
      <c r="BR392" s="47"/>
      <c r="BS392" s="47"/>
      <c r="BT392" s="47"/>
      <c r="BU392" s="47"/>
      <c r="BV392" s="47"/>
      <c r="BW392" s="47"/>
      <c r="BX392" s="47"/>
      <c r="BY392" s="47"/>
      <c r="BZ392" s="47"/>
    </row>
    <row r="393" spans="1:78" ht="13">
      <c r="A393" s="48" t="str">
        <f ca="1">'.'!A393</f>
        <v>Silver Glass</v>
      </c>
      <c r="B393" s="46" t="str">
        <f t="array" aca="1" ref="B393" ca="1">IF('.'!B393="","",'.'!B393&amp;IF(VLOOKUP('.'!B393,Recipes!$A:$D,4,FALSE)="",""," ["&amp;VLOOKUP('.'!B393,Recipes!$A:$D,4,FALSE)&amp;"]"))</f>
        <v>Silver Lever Shaft [-75]</v>
      </c>
      <c r="C393" s="46" t="str">
        <f t="array" ref="C393">IF('.'!C393="","",'.'!C393&amp;IF(VLOOKUP('.'!C393,Recipes!$A:$D,4,FALSE)="",""," ["&amp;VLOOKUP('.'!C393,Recipes!$A:$D,4,FALSE)&amp;"]"))</f>
        <v/>
      </c>
      <c r="D393" s="46" t="str">
        <f t="array" ref="D393">IF('.'!D393="","",'.'!D393&amp;IF(VLOOKUP('.'!D393,Recipes!$A:$D,4,FALSE)="",""," ["&amp;VLOOKUP('.'!D393,Recipes!$A:$D,4,FALSE)&amp;"]"))</f>
        <v/>
      </c>
      <c r="E393" s="46" t="str">
        <f t="array" ref="E393">IF('.'!E393="","",'.'!E393&amp;IF(VLOOKUP('.'!E393,Recipes!$A:$D,4,FALSE)="",""," ["&amp;VLOOKUP('.'!E393,Recipes!$A:$D,4,FALSE)&amp;"]"))</f>
        <v/>
      </c>
      <c r="F393" s="46" t="str">
        <f t="array" ref="F393">IF('.'!F393="","",'.'!F393&amp;IF(VLOOKUP('.'!F393,Recipes!$A:$D,4,FALSE)="",""," ["&amp;VLOOKUP('.'!F393,Recipes!$A:$D,4,FALSE)&amp;"]"))</f>
        <v/>
      </c>
      <c r="G393" s="46" t="str">
        <f t="array" ref="G393">IF('.'!G393="","",'.'!G393&amp;IF(VLOOKUP('.'!G393,Recipes!$A:$D,4,FALSE)="",""," ["&amp;VLOOKUP('.'!G393,Recipes!$A:$D,4,FALSE)&amp;"]"))</f>
        <v/>
      </c>
      <c r="H393" s="46" t="str">
        <f t="array" ref="H393">IF('.'!H393="","",'.'!H393&amp;IF(VLOOKUP('.'!H393,Recipes!$A:$D,4,FALSE)="",""," ["&amp;VLOOKUP('.'!H393,Recipes!$A:$D,4,FALSE)&amp;"]"))</f>
        <v/>
      </c>
      <c r="I393" s="46" t="str">
        <f t="array" ref="I393">IF('.'!I393="","",'.'!I393&amp;IF(VLOOKUP('.'!I393,Recipes!$A:$D,4,FALSE)="",""," ["&amp;VLOOKUP('.'!I393,Recipes!$A:$D,4,FALSE)&amp;"]"))</f>
        <v/>
      </c>
      <c r="J393" s="46" t="str">
        <f t="array" ref="J393">IF('.'!J393="","",'.'!J393&amp;IF(VLOOKUP('.'!J393,Recipes!$A:$D,4,FALSE)="",""," ["&amp;VLOOKUP('.'!J393,Recipes!$A:$D,4,FALSE)&amp;"]"))</f>
        <v/>
      </c>
      <c r="K393" s="46" t="str">
        <f t="array" ref="K393">IF('.'!K393="","",'.'!K393&amp;IF(VLOOKUP('.'!K393,Recipes!$A:$D,4,FALSE)="",""," ["&amp;VLOOKUP('.'!K393,Recipes!$A:$D,4,FALSE)&amp;"]"))</f>
        <v/>
      </c>
      <c r="L393" s="46" t="str">
        <f t="array" ref="L393">IF('.'!L393="","",'.'!L393&amp;IF(VLOOKUP('.'!L393,Recipes!$A:$D,4,FALSE)="",""," ["&amp;VLOOKUP('.'!L393,Recipes!$A:$D,4,FALSE)&amp;"]"))</f>
        <v/>
      </c>
      <c r="M393" s="46" t="str">
        <f t="array" ref="M393">IF('.'!M393="","",'.'!M393&amp;IF(VLOOKUP('.'!M393,Recipes!$A:$D,4,FALSE)="",""," ["&amp;VLOOKUP('.'!M393,Recipes!$A:$D,4,FALSE)&amp;"]"))</f>
        <v/>
      </c>
      <c r="N393" s="46" t="str">
        <f t="array" ref="N393">IF('.'!N393="","",'.'!N393&amp;IF(VLOOKUP('.'!N393,Recipes!$A:$D,4,FALSE)="",""," ["&amp;VLOOKUP('.'!N393,Recipes!$A:$D,4,FALSE)&amp;"]"))</f>
        <v/>
      </c>
      <c r="O393" s="46" t="str">
        <f t="array" ref="O393">IF('.'!O393="","",'.'!O393&amp;IF(VLOOKUP('.'!O393,Recipes!$A:$D,4,FALSE)="",""," ["&amp;VLOOKUP('.'!O393,Recipes!$A:$D,4,FALSE)&amp;"]"))</f>
        <v/>
      </c>
      <c r="P393" s="46" t="str">
        <f t="array" ref="P393">IF('.'!P393="","",'.'!P393&amp;IF(VLOOKUP('.'!P393,Recipes!$A:$D,4,FALSE)="",""," ["&amp;VLOOKUP('.'!P393,Recipes!$A:$D,4,FALSE)&amp;"]"))</f>
        <v/>
      </c>
      <c r="Q393" s="46" t="str">
        <f t="array" ref="Q393">IF('.'!Q393="","",'.'!Q393&amp;IF(VLOOKUP('.'!Q393,Recipes!$A:$D,4,FALSE)="",""," ["&amp;VLOOKUP('.'!Q393,Recipes!$A:$D,4,FALSE)&amp;"]"))</f>
        <v/>
      </c>
      <c r="R393" s="46" t="str">
        <f t="array" ref="R393">IF('.'!R393="","",'.'!R393&amp;IF(VLOOKUP('.'!R393,Recipes!$A:$D,4,FALSE)="",""," ["&amp;VLOOKUP('.'!R393,Recipes!$A:$D,4,FALSE)&amp;"]"))</f>
        <v/>
      </c>
      <c r="S393" s="46" t="str">
        <f t="array" ref="S393">IF('.'!S393="","",'.'!S393&amp;IF(VLOOKUP('.'!S393,Recipes!$A:$D,4,FALSE)="",""," ["&amp;VLOOKUP('.'!S393,Recipes!$A:$D,4,FALSE)&amp;"]"))</f>
        <v/>
      </c>
      <c r="T393" s="46" t="str">
        <f t="array" ref="T393">IF('.'!T393="","",'.'!T393&amp;IF(VLOOKUP('.'!T393,Recipes!$A:$D,4,FALSE)="",""," ["&amp;VLOOKUP('.'!T393,Recipes!$A:$D,4,FALSE)&amp;"]"))</f>
        <v/>
      </c>
      <c r="U393" s="46" t="str">
        <f t="array" ref="U393">IF('.'!U393="","",'.'!U393&amp;IF(VLOOKUP('.'!U393,Recipes!$A:$D,4,FALSE)="",""," ["&amp;VLOOKUP('.'!U393,Recipes!$A:$D,4,FALSE)&amp;"]"))</f>
        <v/>
      </c>
      <c r="V393" s="46" t="str">
        <f t="array" ref="V393">IF('.'!V393="","",'.'!V393&amp;IF(VLOOKUP('.'!V393,Recipes!$A:$D,4,FALSE)="",""," ["&amp;VLOOKUP('.'!V393,Recipes!$A:$D,4,FALSE)&amp;"]"))</f>
        <v/>
      </c>
      <c r="W393" s="46" t="str">
        <f t="array" ref="W393">IF('.'!W393="","",'.'!W393&amp;IF(VLOOKUP('.'!W393,Recipes!$A:$D,4,FALSE)="",""," ["&amp;VLOOKUP('.'!W393,Recipes!$A:$D,4,FALSE)&amp;"]"))</f>
        <v/>
      </c>
      <c r="X393" s="46" t="str">
        <f t="array" ref="X393">IF('.'!X393="","",'.'!X393&amp;IF(VLOOKUP('.'!X393,Recipes!$A:$D,4,FALSE)="",""," ["&amp;VLOOKUP('.'!X393,Recipes!$A:$D,4,FALSE)&amp;"]"))</f>
        <v/>
      </c>
      <c r="Y393" s="46" t="str">
        <f t="array" ref="Y393">IF('.'!Y393="","",'.'!Y393&amp;IF(VLOOKUP('.'!Y393,Recipes!$A:$D,4,FALSE)="",""," ["&amp;VLOOKUP('.'!Y393,Recipes!$A:$D,4,FALSE)&amp;"]"))</f>
        <v/>
      </c>
      <c r="Z393" s="46" t="str">
        <f t="array" ref="Z393">IF('.'!Z393="","",'.'!Z393&amp;IF(VLOOKUP('.'!Z393,Recipes!$A:$D,4,FALSE)="",""," ["&amp;VLOOKUP('.'!Z393,Recipes!$A:$D,4,FALSE)&amp;"]"))</f>
        <v/>
      </c>
      <c r="AA393" s="46" t="str">
        <f t="array" ref="AA393">IF('.'!AA393="","",'.'!AA393&amp;IF(VLOOKUP('.'!AA393,Recipes!$A:$D,4,FALSE)="",""," ["&amp;VLOOKUP('.'!AA393,Recipes!$A:$D,4,FALSE)&amp;"]"))</f>
        <v/>
      </c>
      <c r="AB393" s="46" t="str">
        <f t="array" ref="AB393">IF('.'!AB393="","",'.'!AB393&amp;IF(VLOOKUP('.'!AB393,Recipes!$A:$D,4,FALSE)="",""," ["&amp;VLOOKUP('.'!AB393,Recipes!$A:$D,4,FALSE)&amp;"]"))</f>
        <v/>
      </c>
      <c r="AC393" s="46" t="str">
        <f t="array" ref="AC393">IF('.'!AC393="","",'.'!AC393&amp;IF(VLOOKUP('.'!AC393,Recipes!$A:$D,4,FALSE)="",""," ["&amp;VLOOKUP('.'!AC393,Recipes!$A:$D,4,FALSE)&amp;"]"))</f>
        <v/>
      </c>
      <c r="AD393" s="46" t="str">
        <f t="array" ref="AD393">IF('.'!AD393="","",'.'!AD393&amp;IF(VLOOKUP('.'!AD393,Recipes!$A:$D,4,FALSE)="",""," ["&amp;VLOOKUP('.'!AD393,Recipes!$A:$D,4,FALSE)&amp;"]"))</f>
        <v/>
      </c>
      <c r="AE393" s="47" t="str">
        <f t="array" ref="AE393">IF('.'!AE393="","",'.'!AE393&amp;IF(VLOOKUP('.'!AE393,Recipes!$A:$D,4,FALSE)="",""," ["&amp;VLOOKUP('.'!AE393,Recipes!$A:$D,4,FALSE)&amp;"]"))</f>
        <v/>
      </c>
      <c r="AF393" s="47" t="str">
        <f t="array" ref="AF393">IF('.'!AF393="","",'.'!AF393&amp;IF(VLOOKUP('.'!AF393,Recipes!$A:$D,4,FALSE)="",""," ["&amp;VLOOKUP('.'!AF393,Recipes!$A:$D,4,FALSE)&amp;"]"))</f>
        <v/>
      </c>
      <c r="AG393" s="47" t="str">
        <f t="array" ref="AG393">IF('.'!AG393="","",'.'!AG393&amp;IF(VLOOKUP('.'!AG393,Recipes!$A:$D,4,FALSE)="",""," ["&amp;VLOOKUP('.'!AG393,Recipes!$A:$D,4,FALSE)&amp;"]"))</f>
        <v/>
      </c>
      <c r="AH393" s="47" t="str">
        <f t="array" ref="AH393">IF('.'!AH393="","",'.'!AH393&amp;IF(VLOOKUP('.'!AH393,Recipes!$A:$D,4,FALSE)="",""," ["&amp;VLOOKUP('.'!AH393,Recipes!$A:$D,4,FALSE)&amp;"]"))</f>
        <v/>
      </c>
      <c r="AI393" s="47" t="str">
        <f t="array" ref="AI393">IF('.'!AI393="","",'.'!AI393&amp;IF(VLOOKUP('.'!AI393,Recipes!$A:$D,4,FALSE)="",""," ["&amp;VLOOKUP('.'!AI393,Recipes!$A:$D,4,FALSE)&amp;"]"))</f>
        <v/>
      </c>
      <c r="AJ393" s="47" t="str">
        <f t="array" ref="AJ393">IF('.'!AJ393="","",'.'!AJ393&amp;IF(VLOOKUP('.'!AJ393,Recipes!$A:$D,4,FALSE)="",""," ["&amp;VLOOKUP('.'!AJ393,Recipes!$A:$D,4,FALSE)&amp;"]"))</f>
        <v/>
      </c>
      <c r="AK393" s="47" t="str">
        <f t="array" ref="AK393">IF('.'!AK393="","",'.'!AK393&amp;IF(VLOOKUP('.'!AK393,Recipes!$A:$D,4,FALSE)="",""," ["&amp;VLOOKUP('.'!AK393,Recipes!$A:$D,4,FALSE)&amp;"]"))</f>
        <v/>
      </c>
      <c r="AL393" s="47" t="str">
        <f t="array" ref="AL393">IF('.'!AL393="","",'.'!AL393&amp;IF(VLOOKUP('.'!AL393,Recipes!$A:$D,4,FALSE)="",""," ["&amp;VLOOKUP('.'!AL393,Recipes!$A:$D,4,FALSE)&amp;"]"))</f>
        <v/>
      </c>
      <c r="AM393" s="47" t="str">
        <f t="array" ref="AM393">IF('.'!AM393="","",'.'!AM393&amp;IF(VLOOKUP('.'!AM393,Recipes!$A:$D,4,FALSE)="",""," ["&amp;VLOOKUP('.'!AM393,Recipes!$A:$D,4,FALSE)&amp;"]"))</f>
        <v/>
      </c>
      <c r="AN393" s="47" t="str">
        <f t="array" ref="AN393">IF('.'!AN393="","",'.'!AN393&amp;IF(VLOOKUP('.'!AN393,Recipes!$A:$D,4,FALSE)="",""," ["&amp;VLOOKUP('.'!AN393,Recipes!$A:$D,4,FALSE)&amp;"]"))</f>
        <v/>
      </c>
      <c r="AO393" s="47" t="str">
        <f t="array" ref="AO393">IF('.'!AO393="","",'.'!AO393&amp;IF(VLOOKUP('.'!AO393,Recipes!$A:$D,4,FALSE)="",""," ["&amp;VLOOKUP('.'!AO393,Recipes!$A:$D,4,FALSE)&amp;"]"))</f>
        <v/>
      </c>
      <c r="AP393" s="47" t="str">
        <f t="array" ref="AP393">IF('.'!AP393="","",'.'!AP393&amp;IF(VLOOKUP('.'!AP393,Recipes!$A:$D,4,FALSE)="",""," ["&amp;VLOOKUP('.'!AP393,Recipes!$A:$D,4,FALSE)&amp;"]"))</f>
        <v/>
      </c>
      <c r="AQ393" s="47" t="str">
        <f t="array" ref="AQ393">IF('.'!AQ393="","",'.'!AQ393&amp;IF(VLOOKUP('.'!AQ393,Recipes!$A:$D,4,FALSE)="",""," ["&amp;VLOOKUP('.'!AQ393,Recipes!$A:$D,4,FALSE)&amp;"]"))</f>
        <v/>
      </c>
      <c r="AR393" s="47" t="str">
        <f t="array" ref="AR393">IF('.'!AR393="","",'.'!AR393&amp;IF(VLOOKUP('.'!AR393,Recipes!$A:$D,4,FALSE)="",""," ["&amp;VLOOKUP('.'!AR393,Recipes!$A:$D,4,FALSE)&amp;"]"))</f>
        <v/>
      </c>
      <c r="AS393" s="47" t="str">
        <f t="array" ref="AS393">IF('.'!AS393="","",'.'!AS393&amp;IF(VLOOKUP('.'!AS393,Recipes!$A:$D,4,FALSE)="",""," ["&amp;VLOOKUP('.'!AS393,Recipes!$A:$D,4,FALSE)&amp;"]"))</f>
        <v/>
      </c>
      <c r="AT393" s="47" t="str">
        <f t="array" ref="AT393">IF('.'!AT393="","",'.'!AT393&amp;IF(VLOOKUP('.'!AT393,Recipes!$A:$D,4,FALSE)="",""," ["&amp;VLOOKUP('.'!AT393,Recipes!$A:$D,4,FALSE)&amp;"]"))</f>
        <v/>
      </c>
      <c r="AU393" s="47" t="str">
        <f t="array" ref="AU393">IF('.'!AU393="","",'.'!AU393&amp;IF(VLOOKUP('.'!AU393,Recipes!$A:$D,4,FALSE)="",""," ["&amp;VLOOKUP('.'!AU393,Recipes!$A:$D,4,FALSE)&amp;"]"))</f>
        <v/>
      </c>
      <c r="AV393" s="47" t="str">
        <f t="array" ref="AV393">IF('.'!AV393="","",'.'!AV393&amp;IF(VLOOKUP('.'!AV393,Recipes!$A:$D,4,FALSE)="",""," ["&amp;VLOOKUP('.'!AV393,Recipes!$A:$D,4,FALSE)&amp;"]"))</f>
        <v/>
      </c>
      <c r="AW393" s="47" t="str">
        <f t="array" ref="AW393">IF('.'!AW393="","",'.'!AW393&amp;IF(VLOOKUP('.'!AW393,Recipes!$A:$D,4,FALSE)="",""," ["&amp;VLOOKUP('.'!AW393,Recipes!$A:$D,4,FALSE)&amp;"]"))</f>
        <v/>
      </c>
      <c r="AX393" s="47" t="str">
        <f t="array" ref="AX393">IF('.'!AX393="","",'.'!AX393&amp;IF(VLOOKUP('.'!AX393,Recipes!$A:$D,4,FALSE)="",""," ["&amp;VLOOKUP('.'!AX393,Recipes!$A:$D,4,FALSE)&amp;"]"))</f>
        <v/>
      </c>
      <c r="AY393" s="47" t="str">
        <f t="array" ref="AY393">IF('.'!AY393="","",'.'!AY393&amp;IF(VLOOKUP('.'!AY393,Recipes!$A:$D,4,FALSE)="",""," ["&amp;VLOOKUP('.'!AY393,Recipes!$A:$D,4,FALSE)&amp;"]"))</f>
        <v/>
      </c>
      <c r="AZ393" s="47" t="str">
        <f t="array" ref="AZ393">IF('.'!AZ393="","",'.'!AZ393&amp;IF(VLOOKUP('.'!AZ393,Recipes!$A:$D,4,FALSE)="",""," ["&amp;VLOOKUP('.'!AZ393,Recipes!$A:$D,4,FALSE)&amp;"]"))</f>
        <v/>
      </c>
      <c r="BA393" s="47" t="str">
        <f t="array" ref="BA393">IF('.'!BA393="","",'.'!BA393&amp;IF(VLOOKUP('.'!BA393,Recipes!$A:$D,4,FALSE)="",""," ["&amp;VLOOKUP('.'!BA393,Recipes!$A:$D,4,FALSE)&amp;"]"))</f>
        <v/>
      </c>
      <c r="BB393" s="47" t="str">
        <f t="array" ref="BB393">IF('.'!BB393="","",'.'!BB393&amp;IF(VLOOKUP('.'!BB393,Recipes!$A:$D,4,FALSE)="",""," ["&amp;VLOOKUP('.'!BB393,Recipes!$A:$D,4,FALSE)&amp;"]"))</f>
        <v/>
      </c>
      <c r="BC393" s="47" t="str">
        <f t="array" ref="BC393">IF('.'!BC393="","",'.'!BC393&amp;IF(VLOOKUP('.'!BC393,Recipes!$A:$D,4,FALSE)="",""," ["&amp;VLOOKUP('.'!BC393,Recipes!$A:$D,4,FALSE)&amp;"]"))</f>
        <v/>
      </c>
      <c r="BD393" s="47" t="str">
        <f t="array" ref="BD393">IF('.'!BD393="","",'.'!BD393&amp;IF(VLOOKUP('.'!BD393,Recipes!$A:$D,4,FALSE)="",""," ["&amp;VLOOKUP('.'!BD393,Recipes!$A:$D,4,FALSE)&amp;"]"))</f>
        <v/>
      </c>
      <c r="BE393" s="47" t="str">
        <f t="array" ref="BE393">IF('.'!BE393="","",'.'!BE393&amp;IF(VLOOKUP('.'!BE393,Recipes!$A:$D,4,FALSE)="",""," ["&amp;VLOOKUP('.'!BE393,Recipes!$A:$D,4,FALSE)&amp;"]"))</f>
        <v/>
      </c>
      <c r="BF393" s="47" t="str">
        <f t="array" ref="BF393">IF('.'!BF393="","",'.'!BF393&amp;IF(VLOOKUP('.'!BF393,Recipes!$A:$D,4,FALSE)="",""," ["&amp;VLOOKUP('.'!BF393,Recipes!$A:$D,4,FALSE)&amp;"]"))</f>
        <v/>
      </c>
      <c r="BG393" s="47" t="str">
        <f t="array" ref="BG393">IF('.'!BG393="","",'.'!BG393&amp;IF(VLOOKUP('.'!BG393,Recipes!$A:$D,4,FALSE)="",""," ["&amp;VLOOKUP('.'!BG393,Recipes!$A:$D,4,FALSE)&amp;"]"))</f>
        <v/>
      </c>
      <c r="BH393" s="47" t="str">
        <f t="array" ref="BH393">IF('.'!BH393="","",'.'!BH393&amp;IF(VLOOKUP('.'!BH393,Recipes!$A:$D,4,FALSE)="",""," ["&amp;VLOOKUP('.'!BH393,Recipes!$A:$D,4,FALSE)&amp;"]"))</f>
        <v/>
      </c>
      <c r="BI393" s="47" t="str">
        <f t="array" ref="BI393">IF('.'!BI393="","",'.'!BI393&amp;IF(VLOOKUP('.'!BI393,Recipes!$A:$D,4,FALSE)="",""," ["&amp;VLOOKUP('.'!BI393,Recipes!$A:$D,4,FALSE)&amp;"]"))</f>
        <v/>
      </c>
      <c r="BJ393" s="47" t="str">
        <f t="array" ref="BJ393">IF('.'!BJ393="","",'.'!BJ393&amp;IF(VLOOKUP('.'!BJ393,Recipes!$A:$D,4,FALSE)="",""," ["&amp;VLOOKUP('.'!BJ393,Recipes!$A:$D,4,FALSE)&amp;"]"))</f>
        <v/>
      </c>
      <c r="BK393" s="47" t="str">
        <f t="array" ref="BK393">IF('.'!BK393="","",'.'!BK393&amp;IF(VLOOKUP('.'!BK393,Recipes!$A:$D,4,FALSE)="",""," ["&amp;VLOOKUP('.'!BK393,Recipes!$A:$D,4,FALSE)&amp;"]"))</f>
        <v/>
      </c>
      <c r="BL393" s="47" t="str">
        <f t="array" ref="BL393">IF('.'!BL393="","",'.'!BL393&amp;IF(VLOOKUP('.'!BL393,Recipes!$A:$D,4,FALSE)="",""," ["&amp;VLOOKUP('.'!BL393,Recipes!$A:$D,4,FALSE)&amp;"]"))</f>
        <v/>
      </c>
      <c r="BM393" s="47" t="str">
        <f t="array" ref="BM393">IF('.'!BM393="","",'.'!BM393&amp;IF(VLOOKUP('.'!BM393,Recipes!$A:$D,4,FALSE)="",""," ["&amp;VLOOKUP('.'!BM393,Recipes!$A:$D,4,FALSE)&amp;"]"))</f>
        <v/>
      </c>
      <c r="BN393" s="47" t="str">
        <f t="array" ref="BN393">IF('.'!BN393="","",'.'!BN393&amp;IF(VLOOKUP('.'!BN393,Recipes!$A:$D,4,FALSE)="",""," ["&amp;VLOOKUP('.'!BN393,Recipes!$A:$D,4,FALSE)&amp;"]"))</f>
        <v/>
      </c>
      <c r="BO393" s="47" t="str">
        <f t="array" ref="BO393">IF('.'!BO393="","",'.'!BO393&amp;IF(VLOOKUP('.'!BO393,Recipes!$A:$D,4,FALSE)="",""," ["&amp;VLOOKUP('.'!BO393,Recipes!$A:$D,4,FALSE)&amp;"]"))</f>
        <v/>
      </c>
      <c r="BP393" s="47" t="str">
        <f t="array" ref="BP393">IF('.'!BP393="","",'.'!BP393&amp;IF(VLOOKUP('.'!BP393,Recipes!$A:$D,4,FALSE)="",""," ["&amp;VLOOKUP('.'!BP393,Recipes!$A:$D,4,FALSE)&amp;"]"))</f>
        <v/>
      </c>
      <c r="BQ393" s="47" t="str">
        <f t="array" ref="BQ393">IF('.'!BQ393="","",'.'!BQ393&amp;IF(VLOOKUP('.'!BQ393,Recipes!$A:$D,4,FALSE)="",""," ["&amp;VLOOKUP('.'!BQ393,Recipes!$A:$D,4,FALSE)&amp;"]"))</f>
        <v/>
      </c>
      <c r="BR393" s="47" t="str">
        <f t="array" ref="BR393">IF('.'!BR393="","",'.'!BR393&amp;IF(VLOOKUP('.'!BR393,Recipes!$A:$D,4,FALSE)="",""," ["&amp;VLOOKUP('.'!BR393,Recipes!$A:$D,4,FALSE)&amp;"]"))</f>
        <v/>
      </c>
      <c r="BS393" s="47" t="str">
        <f t="array" ref="BS393">IF('.'!BS393="","",'.'!BS393&amp;IF(VLOOKUP('.'!BS393,Recipes!$A:$D,4,FALSE)="",""," ["&amp;VLOOKUP('.'!BS393,Recipes!$A:$D,4,FALSE)&amp;"]"))</f>
        <v/>
      </c>
      <c r="BT393" s="47" t="str">
        <f t="array" ref="BT393">IF('.'!BT393="","",'.'!BT393&amp;IF(VLOOKUP('.'!BT393,Recipes!$A:$D,4,FALSE)="",""," ["&amp;VLOOKUP('.'!BT393,Recipes!$A:$D,4,FALSE)&amp;"]"))</f>
        <v/>
      </c>
      <c r="BU393" s="47" t="str">
        <f t="array" ref="BU393">IF('.'!BU393="","",'.'!BU393&amp;IF(VLOOKUP('.'!BU393,Recipes!$A:$D,4,FALSE)="",""," ["&amp;VLOOKUP('.'!BU393,Recipes!$A:$D,4,FALSE)&amp;"]"))</f>
        <v/>
      </c>
      <c r="BV393" s="47" t="str">
        <f t="array" ref="BV393">IF('.'!BV393="","",'.'!BV393&amp;IF(VLOOKUP('.'!BV393,Recipes!$A:$D,4,FALSE)="",""," ["&amp;VLOOKUP('.'!BV393,Recipes!$A:$D,4,FALSE)&amp;"]"))</f>
        <v/>
      </c>
      <c r="BW393" s="47" t="str">
        <f t="array" ref="BW393">IF('.'!BW393="","",'.'!BW393&amp;IF(VLOOKUP('.'!BW393,Recipes!$A:$D,4,FALSE)="",""," ["&amp;VLOOKUP('.'!BW393,Recipes!$A:$D,4,FALSE)&amp;"]"))</f>
        <v/>
      </c>
      <c r="BX393" s="47" t="str">
        <f t="array" ref="BX393">IF('.'!BX393="","",'.'!BX393&amp;IF(VLOOKUP('.'!BX393,Recipes!$A:$D,4,FALSE)="",""," ["&amp;VLOOKUP('.'!BX393,Recipes!$A:$D,4,FALSE)&amp;"]"))</f>
        <v/>
      </c>
      <c r="BY393" s="47" t="str">
        <f t="array" ref="BY393">IF('.'!BY393="","",'.'!BY393&amp;IF(VLOOKUP('.'!BY393,Recipes!$A:$D,4,FALSE)="",""," ["&amp;VLOOKUP('.'!BY393,Recipes!$A:$D,4,FALSE)&amp;"]"))</f>
        <v/>
      </c>
      <c r="BZ393" s="47" t="str">
        <f t="array" ref="BZ393">IF('.'!BZ393="","",'.'!BZ393&amp;IF(VLOOKUP('.'!BZ393,Recipes!$A:$D,4,FALSE)="",""," ["&amp;VLOOKUP('.'!BZ393,Recipes!$A:$D,4,FALSE)&amp;"]"))</f>
        <v/>
      </c>
    </row>
    <row r="394" spans="1:78" ht="13">
      <c r="A394" s="48" t="str">
        <f ca="1">'.'!A394</f>
        <v>Silver Lever Shaft</v>
      </c>
      <c r="B394" s="46" t="e">
        <f t="array" aca="1" ref="B394" ca="1">IF('.'!B394="","",'.'!B394&amp;IF(VLOOKUP('.'!B394,Recipes!$A:$D,4,FALSE)="",""," ["&amp;VLOOKUP('.'!B394,Recipes!$A:$D,4,FALSE)&amp;"]"))</f>
        <v>#VALUE!</v>
      </c>
      <c r="C394" s="46" t="str">
        <f t="array" ref="C394">IF('.'!C394="","",'.'!C394&amp;IF(VLOOKUP('.'!C394,Recipes!$A:$D,4,FALSE)="",""," ["&amp;VLOOKUP('.'!C394,Recipes!$A:$D,4,FALSE)&amp;"]"))</f>
        <v/>
      </c>
      <c r="D394" s="46" t="str">
        <f t="array" ref="D394">IF('.'!D394="","",'.'!D394&amp;IF(VLOOKUP('.'!D394,Recipes!$A:$D,4,FALSE)="",""," ["&amp;VLOOKUP('.'!D394,Recipes!$A:$D,4,FALSE)&amp;"]"))</f>
        <v/>
      </c>
      <c r="E394" s="46" t="str">
        <f t="array" ref="E394">IF('.'!E394="","",'.'!E394&amp;IF(VLOOKUP('.'!E394,Recipes!$A:$D,4,FALSE)="",""," ["&amp;VLOOKUP('.'!E394,Recipes!$A:$D,4,FALSE)&amp;"]"))</f>
        <v/>
      </c>
      <c r="F394" s="46" t="str">
        <f t="array" ref="F394">IF('.'!F394="","",'.'!F394&amp;IF(VLOOKUP('.'!F394,Recipes!$A:$D,4,FALSE)="",""," ["&amp;VLOOKUP('.'!F394,Recipes!$A:$D,4,FALSE)&amp;"]"))</f>
        <v/>
      </c>
      <c r="G394" s="46" t="str">
        <f t="array" ref="G394">IF('.'!G394="","",'.'!G394&amp;IF(VLOOKUP('.'!G394,Recipes!$A:$D,4,FALSE)="",""," ["&amp;VLOOKUP('.'!G394,Recipes!$A:$D,4,FALSE)&amp;"]"))</f>
        <v/>
      </c>
      <c r="H394" s="46" t="str">
        <f t="array" ref="H394">IF('.'!H394="","",'.'!H394&amp;IF(VLOOKUP('.'!H394,Recipes!$A:$D,4,FALSE)="",""," ["&amp;VLOOKUP('.'!H394,Recipes!$A:$D,4,FALSE)&amp;"]"))</f>
        <v/>
      </c>
      <c r="I394" s="46" t="str">
        <f t="array" ref="I394">IF('.'!I394="","",'.'!I394&amp;IF(VLOOKUP('.'!I394,Recipes!$A:$D,4,FALSE)="",""," ["&amp;VLOOKUP('.'!I394,Recipes!$A:$D,4,FALSE)&amp;"]"))</f>
        <v/>
      </c>
      <c r="J394" s="46" t="str">
        <f t="array" ref="J394">IF('.'!J394="","",'.'!J394&amp;IF(VLOOKUP('.'!J394,Recipes!$A:$D,4,FALSE)="",""," ["&amp;VLOOKUP('.'!J394,Recipes!$A:$D,4,FALSE)&amp;"]"))</f>
        <v/>
      </c>
      <c r="K394" s="46" t="str">
        <f t="array" ref="K394">IF('.'!K394="","",'.'!K394&amp;IF(VLOOKUP('.'!K394,Recipes!$A:$D,4,FALSE)="",""," ["&amp;VLOOKUP('.'!K394,Recipes!$A:$D,4,FALSE)&amp;"]"))</f>
        <v/>
      </c>
      <c r="L394" s="46" t="str">
        <f t="array" ref="L394">IF('.'!L394="","",'.'!L394&amp;IF(VLOOKUP('.'!L394,Recipes!$A:$D,4,FALSE)="",""," ["&amp;VLOOKUP('.'!L394,Recipes!$A:$D,4,FALSE)&amp;"]"))</f>
        <v/>
      </c>
      <c r="M394" s="46" t="str">
        <f t="array" ref="M394">IF('.'!M394="","",'.'!M394&amp;IF(VLOOKUP('.'!M394,Recipes!$A:$D,4,FALSE)="",""," ["&amp;VLOOKUP('.'!M394,Recipes!$A:$D,4,FALSE)&amp;"]"))</f>
        <v/>
      </c>
      <c r="N394" s="46" t="str">
        <f t="array" ref="N394">IF('.'!N394="","",'.'!N394&amp;IF(VLOOKUP('.'!N394,Recipes!$A:$D,4,FALSE)="",""," ["&amp;VLOOKUP('.'!N394,Recipes!$A:$D,4,FALSE)&amp;"]"))</f>
        <v/>
      </c>
      <c r="O394" s="46" t="str">
        <f t="array" ref="O394">IF('.'!O394="","",'.'!O394&amp;IF(VLOOKUP('.'!O394,Recipes!$A:$D,4,FALSE)="",""," ["&amp;VLOOKUP('.'!O394,Recipes!$A:$D,4,FALSE)&amp;"]"))</f>
        <v/>
      </c>
      <c r="P394" s="46" t="str">
        <f t="array" ref="P394">IF('.'!P394="","",'.'!P394&amp;IF(VLOOKUP('.'!P394,Recipes!$A:$D,4,FALSE)="",""," ["&amp;VLOOKUP('.'!P394,Recipes!$A:$D,4,FALSE)&amp;"]"))</f>
        <v/>
      </c>
      <c r="Q394" s="46" t="str">
        <f t="array" ref="Q394">IF('.'!Q394="","",'.'!Q394&amp;IF(VLOOKUP('.'!Q394,Recipes!$A:$D,4,FALSE)="",""," ["&amp;VLOOKUP('.'!Q394,Recipes!$A:$D,4,FALSE)&amp;"]"))</f>
        <v/>
      </c>
      <c r="R394" s="46" t="str">
        <f t="array" ref="R394">IF('.'!R394="","",'.'!R394&amp;IF(VLOOKUP('.'!R394,Recipes!$A:$D,4,FALSE)="",""," ["&amp;VLOOKUP('.'!R394,Recipes!$A:$D,4,FALSE)&amp;"]"))</f>
        <v/>
      </c>
      <c r="S394" s="46" t="str">
        <f t="array" ref="S394">IF('.'!S394="","",'.'!S394&amp;IF(VLOOKUP('.'!S394,Recipes!$A:$D,4,FALSE)="",""," ["&amp;VLOOKUP('.'!S394,Recipes!$A:$D,4,FALSE)&amp;"]"))</f>
        <v/>
      </c>
      <c r="T394" s="46" t="str">
        <f t="array" ref="T394">IF('.'!T394="","",'.'!T394&amp;IF(VLOOKUP('.'!T394,Recipes!$A:$D,4,FALSE)="",""," ["&amp;VLOOKUP('.'!T394,Recipes!$A:$D,4,FALSE)&amp;"]"))</f>
        <v/>
      </c>
      <c r="U394" s="46" t="str">
        <f t="array" ref="U394">IF('.'!U394="","",'.'!U394&amp;IF(VLOOKUP('.'!U394,Recipes!$A:$D,4,FALSE)="",""," ["&amp;VLOOKUP('.'!U394,Recipes!$A:$D,4,FALSE)&amp;"]"))</f>
        <v/>
      </c>
      <c r="V394" s="46" t="str">
        <f t="array" ref="V394">IF('.'!V394="","",'.'!V394&amp;IF(VLOOKUP('.'!V394,Recipes!$A:$D,4,FALSE)="",""," ["&amp;VLOOKUP('.'!V394,Recipes!$A:$D,4,FALSE)&amp;"]"))</f>
        <v/>
      </c>
      <c r="W394" s="46" t="str">
        <f t="array" ref="W394">IF('.'!W394="","",'.'!W394&amp;IF(VLOOKUP('.'!W394,Recipes!$A:$D,4,FALSE)="",""," ["&amp;VLOOKUP('.'!W394,Recipes!$A:$D,4,FALSE)&amp;"]"))</f>
        <v/>
      </c>
      <c r="X394" s="46" t="str">
        <f t="array" ref="X394">IF('.'!X394="","",'.'!X394&amp;IF(VLOOKUP('.'!X394,Recipes!$A:$D,4,FALSE)="",""," ["&amp;VLOOKUP('.'!X394,Recipes!$A:$D,4,FALSE)&amp;"]"))</f>
        <v/>
      </c>
      <c r="Y394" s="46" t="str">
        <f t="array" ref="Y394">IF('.'!Y394="","",'.'!Y394&amp;IF(VLOOKUP('.'!Y394,Recipes!$A:$D,4,FALSE)="",""," ["&amp;VLOOKUP('.'!Y394,Recipes!$A:$D,4,FALSE)&amp;"]"))</f>
        <v/>
      </c>
      <c r="Z394" s="46" t="str">
        <f t="array" ref="Z394">IF('.'!Z394="","",'.'!Z394&amp;IF(VLOOKUP('.'!Z394,Recipes!$A:$D,4,FALSE)="",""," ["&amp;VLOOKUP('.'!Z394,Recipes!$A:$D,4,FALSE)&amp;"]"))</f>
        <v/>
      </c>
      <c r="AA394" s="46" t="str">
        <f t="array" ref="AA394">IF('.'!AA394="","",'.'!AA394&amp;IF(VLOOKUP('.'!AA394,Recipes!$A:$D,4,FALSE)="",""," ["&amp;VLOOKUP('.'!AA394,Recipes!$A:$D,4,FALSE)&amp;"]"))</f>
        <v/>
      </c>
      <c r="AB394" s="46" t="str">
        <f t="array" ref="AB394">IF('.'!AB394="","",'.'!AB394&amp;IF(VLOOKUP('.'!AB394,Recipes!$A:$D,4,FALSE)="",""," ["&amp;VLOOKUP('.'!AB394,Recipes!$A:$D,4,FALSE)&amp;"]"))</f>
        <v/>
      </c>
      <c r="AC394" s="46" t="str">
        <f t="array" ref="AC394">IF('.'!AC394="","",'.'!AC394&amp;IF(VLOOKUP('.'!AC394,Recipes!$A:$D,4,FALSE)="",""," ["&amp;VLOOKUP('.'!AC394,Recipes!$A:$D,4,FALSE)&amp;"]"))</f>
        <v/>
      </c>
      <c r="AD394" s="46" t="str">
        <f t="array" ref="AD394">IF('.'!AD394="","",'.'!AD394&amp;IF(VLOOKUP('.'!AD394,Recipes!$A:$D,4,FALSE)="",""," ["&amp;VLOOKUP('.'!AD394,Recipes!$A:$D,4,FALSE)&amp;"]"))</f>
        <v/>
      </c>
      <c r="AE394" s="47" t="str">
        <f t="array" ref="AE394">IF('.'!AE394="","",'.'!AE394&amp;IF(VLOOKUP('.'!AE394,Recipes!$A:$D,4,FALSE)="",""," ["&amp;VLOOKUP('.'!AE394,Recipes!$A:$D,4,FALSE)&amp;"]"))</f>
        <v/>
      </c>
      <c r="AF394" s="47"/>
      <c r="AG394" s="47"/>
      <c r="AH394" s="47"/>
      <c r="AI394" s="47"/>
      <c r="AJ394" s="47"/>
      <c r="AK394" s="47"/>
      <c r="AL394" s="47"/>
      <c r="AM394" s="47"/>
      <c r="AN394" s="47"/>
      <c r="AO394" s="47"/>
      <c r="AP394" s="47"/>
      <c r="AQ394" s="47"/>
      <c r="AR394" s="47"/>
      <c r="AS394" s="47"/>
      <c r="AT394" s="47"/>
      <c r="AU394" s="47"/>
      <c r="AV394" s="47"/>
      <c r="AW394" s="47"/>
      <c r="AX394" s="47"/>
      <c r="AY394" s="47"/>
      <c r="AZ394" s="47"/>
      <c r="BA394" s="47"/>
      <c r="BB394" s="47"/>
      <c r="BC394" s="47"/>
      <c r="BD394" s="47"/>
      <c r="BE394" s="47"/>
      <c r="BF394" s="47"/>
      <c r="BG394" s="47"/>
      <c r="BH394" s="47"/>
      <c r="BI394" s="47"/>
      <c r="BJ394" s="47"/>
      <c r="BK394" s="47"/>
      <c r="BL394" s="47"/>
      <c r="BM394" s="47"/>
      <c r="BN394" s="47"/>
      <c r="BO394" s="47"/>
      <c r="BP394" s="47"/>
      <c r="BQ394" s="47"/>
      <c r="BR394" s="47"/>
      <c r="BS394" s="47"/>
      <c r="BT394" s="47"/>
      <c r="BU394" s="47"/>
      <c r="BV394" s="47"/>
      <c r="BW394" s="47"/>
      <c r="BX394" s="47"/>
      <c r="BY394" s="47"/>
      <c r="BZ394" s="47"/>
    </row>
    <row r="395" spans="1:78" ht="13">
      <c r="A395" s="48" t="str">
        <f ca="1">'.'!A395</f>
        <v>Silver Ore</v>
      </c>
      <c r="B395" s="46" t="str">
        <f t="array" aca="1" ref="B395" ca="1">IF('.'!B395="","",'.'!B395&amp;IF(VLOOKUP('.'!B395,Recipes!$A:$D,4,FALSE)="",""," ["&amp;VLOOKUP('.'!B395,Recipes!$A:$D,4,FALSE)&amp;"]"))</f>
        <v>Silver Lever Shaft [-75]</v>
      </c>
      <c r="C395" s="46" t="str">
        <f t="array" ref="C395">IF('.'!C395="","",'.'!C395&amp;IF(VLOOKUP('.'!C395,Recipes!$A:$D,4,FALSE)="",""," ["&amp;VLOOKUP('.'!C395,Recipes!$A:$D,4,FALSE)&amp;"]"))</f>
        <v/>
      </c>
      <c r="D395" s="46" t="str">
        <f t="array" ref="D395">IF('.'!D395="","",'.'!D395&amp;IF(VLOOKUP('.'!D395,Recipes!$A:$D,4,FALSE)="",""," ["&amp;VLOOKUP('.'!D395,Recipes!$A:$D,4,FALSE)&amp;"]"))</f>
        <v/>
      </c>
      <c r="E395" s="46" t="str">
        <f t="array" ref="E395">IF('.'!E395="","",'.'!E395&amp;IF(VLOOKUP('.'!E395,Recipes!$A:$D,4,FALSE)="",""," ["&amp;VLOOKUP('.'!E395,Recipes!$A:$D,4,FALSE)&amp;"]"))</f>
        <v/>
      </c>
      <c r="F395" s="46" t="str">
        <f t="array" ref="F395">IF('.'!F395="","",'.'!F395&amp;IF(VLOOKUP('.'!F395,Recipes!$A:$D,4,FALSE)="",""," ["&amp;VLOOKUP('.'!F395,Recipes!$A:$D,4,FALSE)&amp;"]"))</f>
        <v/>
      </c>
      <c r="G395" s="46" t="str">
        <f t="array" ref="G395">IF('.'!G395="","",'.'!G395&amp;IF(VLOOKUP('.'!G395,Recipes!$A:$D,4,FALSE)="",""," ["&amp;VLOOKUP('.'!G395,Recipes!$A:$D,4,FALSE)&amp;"]"))</f>
        <v/>
      </c>
      <c r="H395" s="46" t="str">
        <f t="array" ref="H395">IF('.'!H395="","",'.'!H395&amp;IF(VLOOKUP('.'!H395,Recipes!$A:$D,4,FALSE)="",""," ["&amp;VLOOKUP('.'!H395,Recipes!$A:$D,4,FALSE)&amp;"]"))</f>
        <v/>
      </c>
      <c r="I395" s="46" t="str">
        <f t="array" ref="I395">IF('.'!I395="","",'.'!I395&amp;IF(VLOOKUP('.'!I395,Recipes!$A:$D,4,FALSE)="",""," ["&amp;VLOOKUP('.'!I395,Recipes!$A:$D,4,FALSE)&amp;"]"))</f>
        <v/>
      </c>
      <c r="J395" s="46" t="str">
        <f t="array" ref="J395">IF('.'!J395="","",'.'!J395&amp;IF(VLOOKUP('.'!J395,Recipes!$A:$D,4,FALSE)="",""," ["&amp;VLOOKUP('.'!J395,Recipes!$A:$D,4,FALSE)&amp;"]"))</f>
        <v/>
      </c>
      <c r="K395" s="46" t="str">
        <f t="array" ref="K395">IF('.'!K395="","",'.'!K395&amp;IF(VLOOKUP('.'!K395,Recipes!$A:$D,4,FALSE)="",""," ["&amp;VLOOKUP('.'!K395,Recipes!$A:$D,4,FALSE)&amp;"]"))</f>
        <v/>
      </c>
      <c r="L395" s="46" t="str">
        <f t="array" ref="L395">IF('.'!L395="","",'.'!L395&amp;IF(VLOOKUP('.'!L395,Recipes!$A:$D,4,FALSE)="",""," ["&amp;VLOOKUP('.'!L395,Recipes!$A:$D,4,FALSE)&amp;"]"))</f>
        <v/>
      </c>
      <c r="M395" s="46" t="str">
        <f t="array" ref="M395">IF('.'!M395="","",'.'!M395&amp;IF(VLOOKUP('.'!M395,Recipes!$A:$D,4,FALSE)="",""," ["&amp;VLOOKUP('.'!M395,Recipes!$A:$D,4,FALSE)&amp;"]"))</f>
        <v/>
      </c>
      <c r="N395" s="46" t="str">
        <f t="array" ref="N395">IF('.'!N395="","",'.'!N395&amp;IF(VLOOKUP('.'!N395,Recipes!$A:$D,4,FALSE)="",""," ["&amp;VLOOKUP('.'!N395,Recipes!$A:$D,4,FALSE)&amp;"]"))</f>
        <v/>
      </c>
      <c r="O395" s="46" t="str">
        <f t="array" ref="O395">IF('.'!O395="","",'.'!O395&amp;IF(VLOOKUP('.'!O395,Recipes!$A:$D,4,FALSE)="",""," ["&amp;VLOOKUP('.'!O395,Recipes!$A:$D,4,FALSE)&amp;"]"))</f>
        <v/>
      </c>
      <c r="P395" s="46" t="str">
        <f t="array" ref="P395">IF('.'!P395="","",'.'!P395&amp;IF(VLOOKUP('.'!P395,Recipes!$A:$D,4,FALSE)="",""," ["&amp;VLOOKUP('.'!P395,Recipes!$A:$D,4,FALSE)&amp;"]"))</f>
        <v/>
      </c>
      <c r="Q395" s="46" t="str">
        <f t="array" ref="Q395">IF('.'!Q395="","",'.'!Q395&amp;IF(VLOOKUP('.'!Q395,Recipes!$A:$D,4,FALSE)="",""," ["&amp;VLOOKUP('.'!Q395,Recipes!$A:$D,4,FALSE)&amp;"]"))</f>
        <v/>
      </c>
      <c r="R395" s="46" t="str">
        <f t="array" ref="R395">IF('.'!R395="","",'.'!R395&amp;IF(VLOOKUP('.'!R395,Recipes!$A:$D,4,FALSE)="",""," ["&amp;VLOOKUP('.'!R395,Recipes!$A:$D,4,FALSE)&amp;"]"))</f>
        <v/>
      </c>
      <c r="S395" s="46" t="str">
        <f t="array" ref="S395">IF('.'!S395="","",'.'!S395&amp;IF(VLOOKUP('.'!S395,Recipes!$A:$D,4,FALSE)="",""," ["&amp;VLOOKUP('.'!S395,Recipes!$A:$D,4,FALSE)&amp;"]"))</f>
        <v/>
      </c>
      <c r="T395" s="46" t="str">
        <f t="array" ref="T395">IF('.'!T395="","",'.'!T395&amp;IF(VLOOKUP('.'!T395,Recipes!$A:$D,4,FALSE)="",""," ["&amp;VLOOKUP('.'!T395,Recipes!$A:$D,4,FALSE)&amp;"]"))</f>
        <v/>
      </c>
      <c r="U395" s="46" t="str">
        <f t="array" ref="U395">IF('.'!U395="","",'.'!U395&amp;IF(VLOOKUP('.'!U395,Recipes!$A:$D,4,FALSE)="",""," ["&amp;VLOOKUP('.'!U395,Recipes!$A:$D,4,FALSE)&amp;"]"))</f>
        <v/>
      </c>
      <c r="V395" s="46" t="str">
        <f t="array" ref="V395">IF('.'!V395="","",'.'!V395&amp;IF(VLOOKUP('.'!V395,Recipes!$A:$D,4,FALSE)="",""," ["&amp;VLOOKUP('.'!V395,Recipes!$A:$D,4,FALSE)&amp;"]"))</f>
        <v/>
      </c>
      <c r="W395" s="46" t="str">
        <f t="array" ref="W395">IF('.'!W395="","",'.'!W395&amp;IF(VLOOKUP('.'!W395,Recipes!$A:$D,4,FALSE)="",""," ["&amp;VLOOKUP('.'!W395,Recipes!$A:$D,4,FALSE)&amp;"]"))</f>
        <v/>
      </c>
      <c r="X395" s="46" t="str">
        <f t="array" ref="X395">IF('.'!X395="","",'.'!X395&amp;IF(VLOOKUP('.'!X395,Recipes!$A:$D,4,FALSE)="",""," ["&amp;VLOOKUP('.'!X395,Recipes!$A:$D,4,FALSE)&amp;"]"))</f>
        <v/>
      </c>
      <c r="Y395" s="46" t="str">
        <f t="array" ref="Y395">IF('.'!Y395="","",'.'!Y395&amp;IF(VLOOKUP('.'!Y395,Recipes!$A:$D,4,FALSE)="",""," ["&amp;VLOOKUP('.'!Y395,Recipes!$A:$D,4,FALSE)&amp;"]"))</f>
        <v/>
      </c>
      <c r="Z395" s="46" t="str">
        <f t="array" ref="Z395">IF('.'!Z395="","",'.'!Z395&amp;IF(VLOOKUP('.'!Z395,Recipes!$A:$D,4,FALSE)="",""," ["&amp;VLOOKUP('.'!Z395,Recipes!$A:$D,4,FALSE)&amp;"]"))</f>
        <v/>
      </c>
      <c r="AA395" s="46" t="str">
        <f t="array" ref="AA395">IF('.'!AA395="","",'.'!AA395&amp;IF(VLOOKUP('.'!AA395,Recipes!$A:$D,4,FALSE)="",""," ["&amp;VLOOKUP('.'!AA395,Recipes!$A:$D,4,FALSE)&amp;"]"))</f>
        <v/>
      </c>
      <c r="AB395" s="46" t="str">
        <f t="array" ref="AB395">IF('.'!AB395="","",'.'!AB395&amp;IF(VLOOKUP('.'!AB395,Recipes!$A:$D,4,FALSE)="",""," ["&amp;VLOOKUP('.'!AB395,Recipes!$A:$D,4,FALSE)&amp;"]"))</f>
        <v/>
      </c>
      <c r="AC395" s="46" t="str">
        <f t="array" ref="AC395">IF('.'!AC395="","",'.'!AC395&amp;IF(VLOOKUP('.'!AC395,Recipes!$A:$D,4,FALSE)="",""," ["&amp;VLOOKUP('.'!AC395,Recipes!$A:$D,4,FALSE)&amp;"]"))</f>
        <v/>
      </c>
      <c r="AD395" s="46" t="str">
        <f t="array" ref="AD395">IF('.'!AD395="","",'.'!AD395&amp;IF(VLOOKUP('.'!AD395,Recipes!$A:$D,4,FALSE)="",""," ["&amp;VLOOKUP('.'!AD395,Recipes!$A:$D,4,FALSE)&amp;"]"))</f>
        <v/>
      </c>
      <c r="AE395" s="47" t="str">
        <f t="array" ref="AE395">IF('.'!AE395="","",'.'!AE395&amp;IF(VLOOKUP('.'!AE395,Recipes!$A:$D,4,FALSE)="",""," ["&amp;VLOOKUP('.'!AE395,Recipes!$A:$D,4,FALSE)&amp;"]"))</f>
        <v/>
      </c>
      <c r="AF395" s="47"/>
      <c r="AG395" s="47"/>
      <c r="AH395" s="47"/>
      <c r="AI395" s="47"/>
      <c r="AJ395" s="47"/>
      <c r="AK395" s="47"/>
      <c r="AL395" s="47"/>
      <c r="AM395" s="47"/>
      <c r="AN395" s="47"/>
      <c r="AO395" s="47"/>
      <c r="AP395" s="47"/>
      <c r="AQ395" s="47"/>
      <c r="AR395" s="47"/>
      <c r="AS395" s="47"/>
      <c r="AT395" s="47"/>
      <c r="AU395" s="47"/>
      <c r="AV395" s="47"/>
      <c r="AW395" s="47"/>
      <c r="AX395" s="47"/>
      <c r="AY395" s="47"/>
      <c r="AZ395" s="47"/>
      <c r="BA395" s="47"/>
      <c r="BB395" s="47"/>
      <c r="BC395" s="47"/>
      <c r="BD395" s="47"/>
      <c r="BE395" s="47"/>
      <c r="BF395" s="47"/>
      <c r="BG395" s="47"/>
      <c r="BH395" s="47"/>
      <c r="BI395" s="47"/>
      <c r="BJ395" s="47"/>
      <c r="BK395" s="47"/>
      <c r="BL395" s="47"/>
      <c r="BM395" s="47"/>
      <c r="BN395" s="47"/>
      <c r="BO395" s="47"/>
      <c r="BP395" s="47"/>
      <c r="BQ395" s="47"/>
      <c r="BR395" s="47"/>
      <c r="BS395" s="47"/>
      <c r="BT395" s="47"/>
      <c r="BU395" s="47"/>
      <c r="BV395" s="47"/>
      <c r="BW395" s="47"/>
      <c r="BX395" s="47"/>
      <c r="BY395" s="47"/>
      <c r="BZ395" s="47"/>
    </row>
    <row r="396" spans="1:78" ht="13">
      <c r="A396" s="48" t="str">
        <f ca="1">'.'!A396</f>
        <v>Sinew</v>
      </c>
      <c r="B396" s="46" t="str">
        <f t="array" aca="1" ref="B396" ca="1">IF('.'!B396="","",'.'!B396&amp;IF(VLOOKUP('.'!B396,Recipes!$A:$D,4,FALSE)="",""," ["&amp;VLOOKUP('.'!B396,Recipes!$A:$D,4,FALSE)&amp;"]"))</f>
        <v>Spread Your Wings Scroll [10]</v>
      </c>
      <c r="C396" s="46" t="str">
        <f t="array" aca="1" ref="C396" ca="1">IF('.'!C396="","",'.'!C396&amp;IF(VLOOKUP('.'!C396,Recipes!$A:$D,4,FALSE)="",""," ["&amp;VLOOKUP('.'!C396,Recipes!$A:$D,4,FALSE)&amp;"]"))</f>
        <v>Bow String [-120]</v>
      </c>
      <c r="D396" s="46" t="str">
        <f t="array" ref="D396">IF('.'!D396="","",'.'!D396&amp;IF(VLOOKUP('.'!D396,Recipes!$A:$D,4,FALSE)="",""," ["&amp;VLOOKUP('.'!D396,Recipes!$A:$D,4,FALSE)&amp;"]"))</f>
        <v/>
      </c>
      <c r="E396" s="46" t="str">
        <f t="array" ref="E396">IF('.'!E396="","",'.'!E396&amp;IF(VLOOKUP('.'!E396,Recipes!$A:$D,4,FALSE)="",""," ["&amp;VLOOKUP('.'!E396,Recipes!$A:$D,4,FALSE)&amp;"]"))</f>
        <v/>
      </c>
      <c r="F396" s="46" t="str">
        <f t="array" ref="F396">IF('.'!F396="","",'.'!F396&amp;IF(VLOOKUP('.'!F396,Recipes!$A:$D,4,FALSE)="",""," ["&amp;VLOOKUP('.'!F396,Recipes!$A:$D,4,FALSE)&amp;"]"))</f>
        <v/>
      </c>
      <c r="G396" s="46" t="str">
        <f t="array" ref="G396">IF('.'!G396="","",'.'!G396&amp;IF(VLOOKUP('.'!G396,Recipes!$A:$D,4,FALSE)="",""," ["&amp;VLOOKUP('.'!G396,Recipes!$A:$D,4,FALSE)&amp;"]"))</f>
        <v/>
      </c>
      <c r="H396" s="46" t="str">
        <f t="array" ref="H396">IF('.'!H396="","",'.'!H396&amp;IF(VLOOKUP('.'!H396,Recipes!$A:$D,4,FALSE)="",""," ["&amp;VLOOKUP('.'!H396,Recipes!$A:$D,4,FALSE)&amp;"]"))</f>
        <v/>
      </c>
      <c r="I396" s="46" t="str">
        <f t="array" ref="I396">IF('.'!I396="","",'.'!I396&amp;IF(VLOOKUP('.'!I396,Recipes!$A:$D,4,FALSE)="",""," ["&amp;VLOOKUP('.'!I396,Recipes!$A:$D,4,FALSE)&amp;"]"))</f>
        <v/>
      </c>
      <c r="J396" s="46" t="str">
        <f t="array" ref="J396">IF('.'!J396="","",'.'!J396&amp;IF(VLOOKUP('.'!J396,Recipes!$A:$D,4,FALSE)="",""," ["&amp;VLOOKUP('.'!J396,Recipes!$A:$D,4,FALSE)&amp;"]"))</f>
        <v/>
      </c>
      <c r="K396" s="46" t="str">
        <f t="array" ref="K396">IF('.'!K396="","",'.'!K396&amp;IF(VLOOKUP('.'!K396,Recipes!$A:$D,4,FALSE)="",""," ["&amp;VLOOKUP('.'!K396,Recipes!$A:$D,4,FALSE)&amp;"]"))</f>
        <v/>
      </c>
      <c r="L396" s="46" t="str">
        <f t="array" ref="L396">IF('.'!L396="","",'.'!L396&amp;IF(VLOOKUP('.'!L396,Recipes!$A:$D,4,FALSE)="",""," ["&amp;VLOOKUP('.'!L396,Recipes!$A:$D,4,FALSE)&amp;"]"))</f>
        <v/>
      </c>
      <c r="M396" s="46" t="str">
        <f t="array" ref="M396">IF('.'!M396="","",'.'!M396&amp;IF(VLOOKUP('.'!M396,Recipes!$A:$D,4,FALSE)="",""," ["&amp;VLOOKUP('.'!M396,Recipes!$A:$D,4,FALSE)&amp;"]"))</f>
        <v/>
      </c>
      <c r="N396" s="46" t="str">
        <f t="array" ref="N396">IF('.'!N396="","",'.'!N396&amp;IF(VLOOKUP('.'!N396,Recipes!$A:$D,4,FALSE)="",""," ["&amp;VLOOKUP('.'!N396,Recipes!$A:$D,4,FALSE)&amp;"]"))</f>
        <v/>
      </c>
      <c r="O396" s="46" t="str">
        <f t="array" ref="O396">IF('.'!O396="","",'.'!O396&amp;IF(VLOOKUP('.'!O396,Recipes!$A:$D,4,FALSE)="",""," ["&amp;VLOOKUP('.'!O396,Recipes!$A:$D,4,FALSE)&amp;"]"))</f>
        <v/>
      </c>
      <c r="P396" s="46" t="str">
        <f t="array" ref="P396">IF('.'!P396="","",'.'!P396&amp;IF(VLOOKUP('.'!P396,Recipes!$A:$D,4,FALSE)="",""," ["&amp;VLOOKUP('.'!P396,Recipes!$A:$D,4,FALSE)&amp;"]"))</f>
        <v/>
      </c>
      <c r="Q396" s="46" t="str">
        <f t="array" ref="Q396">IF('.'!Q396="","",'.'!Q396&amp;IF(VLOOKUP('.'!Q396,Recipes!$A:$D,4,FALSE)="",""," ["&amp;VLOOKUP('.'!Q396,Recipes!$A:$D,4,FALSE)&amp;"]"))</f>
        <v/>
      </c>
      <c r="R396" s="46" t="str">
        <f t="array" ref="R396">IF('.'!R396="","",'.'!R396&amp;IF(VLOOKUP('.'!R396,Recipes!$A:$D,4,FALSE)="",""," ["&amp;VLOOKUP('.'!R396,Recipes!$A:$D,4,FALSE)&amp;"]"))</f>
        <v/>
      </c>
      <c r="S396" s="46" t="str">
        <f t="array" ref="S396">IF('.'!S396="","",'.'!S396&amp;IF(VLOOKUP('.'!S396,Recipes!$A:$D,4,FALSE)="",""," ["&amp;VLOOKUP('.'!S396,Recipes!$A:$D,4,FALSE)&amp;"]"))</f>
        <v/>
      </c>
      <c r="T396" s="46" t="str">
        <f t="array" ref="T396">IF('.'!T396="","",'.'!T396&amp;IF(VLOOKUP('.'!T396,Recipes!$A:$D,4,FALSE)="",""," ["&amp;VLOOKUP('.'!T396,Recipes!$A:$D,4,FALSE)&amp;"]"))</f>
        <v/>
      </c>
      <c r="U396" s="46" t="str">
        <f t="array" ref="U396">IF('.'!U396="","",'.'!U396&amp;IF(VLOOKUP('.'!U396,Recipes!$A:$D,4,FALSE)="",""," ["&amp;VLOOKUP('.'!U396,Recipes!$A:$D,4,FALSE)&amp;"]"))</f>
        <v/>
      </c>
      <c r="V396" s="46" t="str">
        <f t="array" ref="V396">IF('.'!V396="","",'.'!V396&amp;IF(VLOOKUP('.'!V396,Recipes!$A:$D,4,FALSE)="",""," ["&amp;VLOOKUP('.'!V396,Recipes!$A:$D,4,FALSE)&amp;"]"))</f>
        <v/>
      </c>
      <c r="W396" s="46" t="str">
        <f t="array" ref="W396">IF('.'!W396="","",'.'!W396&amp;IF(VLOOKUP('.'!W396,Recipes!$A:$D,4,FALSE)="",""," ["&amp;VLOOKUP('.'!W396,Recipes!$A:$D,4,FALSE)&amp;"]"))</f>
        <v/>
      </c>
      <c r="X396" s="46" t="str">
        <f t="array" ref="X396">IF('.'!X396="","",'.'!X396&amp;IF(VLOOKUP('.'!X396,Recipes!$A:$D,4,FALSE)="",""," ["&amp;VLOOKUP('.'!X396,Recipes!$A:$D,4,FALSE)&amp;"]"))</f>
        <v/>
      </c>
      <c r="Y396" s="46" t="str">
        <f t="array" ref="Y396">IF('.'!Y396="","",'.'!Y396&amp;IF(VLOOKUP('.'!Y396,Recipes!$A:$D,4,FALSE)="",""," ["&amp;VLOOKUP('.'!Y396,Recipes!$A:$D,4,FALSE)&amp;"]"))</f>
        <v/>
      </c>
      <c r="Z396" s="46" t="str">
        <f t="array" ref="Z396">IF('.'!Z396="","",'.'!Z396&amp;IF(VLOOKUP('.'!Z396,Recipes!$A:$D,4,FALSE)="",""," ["&amp;VLOOKUP('.'!Z396,Recipes!$A:$D,4,FALSE)&amp;"]"))</f>
        <v/>
      </c>
      <c r="AA396" s="46" t="str">
        <f t="array" ref="AA396">IF('.'!AA396="","",'.'!AA396&amp;IF(VLOOKUP('.'!AA396,Recipes!$A:$D,4,FALSE)="",""," ["&amp;VLOOKUP('.'!AA396,Recipes!$A:$D,4,FALSE)&amp;"]"))</f>
        <v/>
      </c>
      <c r="AB396" s="46" t="str">
        <f t="array" ref="AB396">IF('.'!AB396="","",'.'!AB396&amp;IF(VLOOKUP('.'!AB396,Recipes!$A:$D,4,FALSE)="",""," ["&amp;VLOOKUP('.'!AB396,Recipes!$A:$D,4,FALSE)&amp;"]"))</f>
        <v/>
      </c>
      <c r="AC396" s="46" t="str">
        <f t="array" ref="AC396">IF('.'!AC396="","",'.'!AC396&amp;IF(VLOOKUP('.'!AC396,Recipes!$A:$D,4,FALSE)="",""," ["&amp;VLOOKUP('.'!AC396,Recipes!$A:$D,4,FALSE)&amp;"]"))</f>
        <v/>
      </c>
      <c r="AD396" s="46" t="str">
        <f t="array" ref="AD396">IF('.'!AD396="","",'.'!AD396&amp;IF(VLOOKUP('.'!AD396,Recipes!$A:$D,4,FALSE)="",""," ["&amp;VLOOKUP('.'!AD396,Recipes!$A:$D,4,FALSE)&amp;"]"))</f>
        <v/>
      </c>
      <c r="AE396" s="47" t="str">
        <f t="array" ref="AE396">IF('.'!AE396="","",'.'!AE396&amp;IF(VLOOKUP('.'!AE396,Recipes!$A:$D,4,FALSE)="",""," ["&amp;VLOOKUP('.'!AE396,Recipes!$A:$D,4,FALSE)&amp;"]"))</f>
        <v/>
      </c>
      <c r="AF396" s="47"/>
      <c r="AG396" s="47"/>
      <c r="AH396" s="47"/>
      <c r="AI396" s="47"/>
      <c r="AJ396" s="47"/>
      <c r="AK396" s="47"/>
      <c r="AL396" s="47"/>
      <c r="AM396" s="47"/>
      <c r="AN396" s="47"/>
      <c r="AO396" s="47"/>
      <c r="AP396" s="47"/>
      <c r="AQ396" s="47"/>
      <c r="AR396" s="47"/>
      <c r="AS396" s="47"/>
      <c r="AT396" s="47"/>
      <c r="AU396" s="47"/>
      <c r="AV396" s="47"/>
      <c r="AW396" s="47"/>
      <c r="AX396" s="47"/>
      <c r="AY396" s="47"/>
      <c r="AZ396" s="47"/>
      <c r="BA396" s="47"/>
      <c r="BB396" s="47"/>
      <c r="BC396" s="47"/>
      <c r="BD396" s="47"/>
      <c r="BE396" s="47"/>
      <c r="BF396" s="47"/>
      <c r="BG396" s="47"/>
      <c r="BH396" s="47"/>
      <c r="BI396" s="47"/>
      <c r="BJ396" s="47"/>
      <c r="BK396" s="47"/>
      <c r="BL396" s="47"/>
      <c r="BM396" s="47"/>
      <c r="BN396" s="47"/>
      <c r="BO396" s="47"/>
      <c r="BP396" s="47"/>
      <c r="BQ396" s="47"/>
      <c r="BR396" s="47"/>
      <c r="BS396" s="47"/>
      <c r="BT396" s="47"/>
      <c r="BU396" s="47"/>
      <c r="BV396" s="47"/>
      <c r="BW396" s="47"/>
      <c r="BX396" s="47"/>
      <c r="BY396" s="47"/>
      <c r="BZ396" s="47"/>
    </row>
    <row r="397" spans="1:78" ht="13">
      <c r="A397" s="48" t="str">
        <f ca="1">'.'!A397</f>
        <v>Siphon Poison Scroll</v>
      </c>
      <c r="B397" s="46" t="str">
        <f t="array" aca="1" ref="B397" ca="1">IF('.'!B397="","",'.'!B397&amp;IF(VLOOKUP('.'!B397,Recipes!$A:$D,4,FALSE)="",""," ["&amp;VLOOKUP('.'!B397,Recipes!$A:$D,4,FALSE)&amp;"]"))</f>
        <v>Siphon Poison Skillbook [1000]</v>
      </c>
      <c r="C397" s="46" t="str">
        <f t="array" ref="C397">IF('.'!C397="","",'.'!C397&amp;IF(VLOOKUP('.'!C397,Recipes!$A:$D,4,FALSE)="",""," ["&amp;VLOOKUP('.'!C397,Recipes!$A:$D,4,FALSE)&amp;"]"))</f>
        <v/>
      </c>
      <c r="D397" s="46" t="str">
        <f t="array" ref="D397">IF('.'!D397="","",'.'!D397&amp;IF(VLOOKUP('.'!D397,Recipes!$A:$D,4,FALSE)="",""," ["&amp;VLOOKUP('.'!D397,Recipes!$A:$D,4,FALSE)&amp;"]"))</f>
        <v/>
      </c>
      <c r="E397" s="46" t="str">
        <f t="array" ref="E397">IF('.'!E397="","",'.'!E397&amp;IF(VLOOKUP('.'!E397,Recipes!$A:$D,4,FALSE)="",""," ["&amp;VLOOKUP('.'!E397,Recipes!$A:$D,4,FALSE)&amp;"]"))</f>
        <v/>
      </c>
      <c r="F397" s="46" t="str">
        <f t="array" ref="F397">IF('.'!F397="","",'.'!F397&amp;IF(VLOOKUP('.'!F397,Recipes!$A:$D,4,FALSE)="",""," ["&amp;VLOOKUP('.'!F397,Recipes!$A:$D,4,FALSE)&amp;"]"))</f>
        <v/>
      </c>
      <c r="G397" s="46" t="str">
        <f t="array" ref="G397">IF('.'!G397="","",'.'!G397&amp;IF(VLOOKUP('.'!G397,Recipes!$A:$D,4,FALSE)="",""," ["&amp;VLOOKUP('.'!G397,Recipes!$A:$D,4,FALSE)&amp;"]"))</f>
        <v/>
      </c>
      <c r="H397" s="46" t="str">
        <f t="array" ref="H397">IF('.'!H397="","",'.'!H397&amp;IF(VLOOKUP('.'!H397,Recipes!$A:$D,4,FALSE)="",""," ["&amp;VLOOKUP('.'!H397,Recipes!$A:$D,4,FALSE)&amp;"]"))</f>
        <v/>
      </c>
      <c r="I397" s="46" t="str">
        <f t="array" ref="I397">IF('.'!I397="","",'.'!I397&amp;IF(VLOOKUP('.'!I397,Recipes!$A:$D,4,FALSE)="",""," ["&amp;VLOOKUP('.'!I397,Recipes!$A:$D,4,FALSE)&amp;"]"))</f>
        <v/>
      </c>
      <c r="J397" s="46" t="str">
        <f t="array" ref="J397">IF('.'!J397="","",'.'!J397&amp;IF(VLOOKUP('.'!J397,Recipes!$A:$D,4,FALSE)="",""," ["&amp;VLOOKUP('.'!J397,Recipes!$A:$D,4,FALSE)&amp;"]"))</f>
        <v/>
      </c>
      <c r="K397" s="46" t="str">
        <f t="array" ref="K397">IF('.'!K397="","",'.'!K397&amp;IF(VLOOKUP('.'!K397,Recipes!$A:$D,4,FALSE)="",""," ["&amp;VLOOKUP('.'!K397,Recipes!$A:$D,4,FALSE)&amp;"]"))</f>
        <v/>
      </c>
      <c r="L397" s="46" t="str">
        <f t="array" ref="L397">IF('.'!L397="","",'.'!L397&amp;IF(VLOOKUP('.'!L397,Recipes!$A:$D,4,FALSE)="",""," ["&amp;VLOOKUP('.'!L397,Recipes!$A:$D,4,FALSE)&amp;"]"))</f>
        <v/>
      </c>
      <c r="M397" s="46" t="str">
        <f t="array" ref="M397">IF('.'!M397="","",'.'!M397&amp;IF(VLOOKUP('.'!M397,Recipes!$A:$D,4,FALSE)="",""," ["&amp;VLOOKUP('.'!M397,Recipes!$A:$D,4,FALSE)&amp;"]"))</f>
        <v/>
      </c>
      <c r="N397" s="46" t="str">
        <f t="array" ref="N397">IF('.'!N397="","",'.'!N397&amp;IF(VLOOKUP('.'!N397,Recipes!$A:$D,4,FALSE)="",""," ["&amp;VLOOKUP('.'!N397,Recipes!$A:$D,4,FALSE)&amp;"]"))</f>
        <v/>
      </c>
      <c r="O397" s="46" t="str">
        <f t="array" ref="O397">IF('.'!O397="","",'.'!O397&amp;IF(VLOOKUP('.'!O397,Recipes!$A:$D,4,FALSE)="",""," ["&amp;VLOOKUP('.'!O397,Recipes!$A:$D,4,FALSE)&amp;"]"))</f>
        <v/>
      </c>
      <c r="P397" s="46" t="str">
        <f t="array" ref="P397">IF('.'!P397="","",'.'!P397&amp;IF(VLOOKUP('.'!P397,Recipes!$A:$D,4,FALSE)="",""," ["&amp;VLOOKUP('.'!P397,Recipes!$A:$D,4,FALSE)&amp;"]"))</f>
        <v/>
      </c>
      <c r="Q397" s="46" t="str">
        <f t="array" ref="Q397">IF('.'!Q397="","",'.'!Q397&amp;IF(VLOOKUP('.'!Q397,Recipes!$A:$D,4,FALSE)="",""," ["&amp;VLOOKUP('.'!Q397,Recipes!$A:$D,4,FALSE)&amp;"]"))</f>
        <v/>
      </c>
      <c r="R397" s="46" t="str">
        <f t="array" ref="R397">IF('.'!R397="","",'.'!R397&amp;IF(VLOOKUP('.'!R397,Recipes!$A:$D,4,FALSE)="",""," ["&amp;VLOOKUP('.'!R397,Recipes!$A:$D,4,FALSE)&amp;"]"))</f>
        <v/>
      </c>
      <c r="S397" s="46" t="str">
        <f t="array" ref="S397">IF('.'!S397="","",'.'!S397&amp;IF(VLOOKUP('.'!S397,Recipes!$A:$D,4,FALSE)="",""," ["&amp;VLOOKUP('.'!S397,Recipes!$A:$D,4,FALSE)&amp;"]"))</f>
        <v/>
      </c>
      <c r="T397" s="46" t="str">
        <f t="array" ref="T397">IF('.'!T397="","",'.'!T397&amp;IF(VLOOKUP('.'!T397,Recipes!$A:$D,4,FALSE)="",""," ["&amp;VLOOKUP('.'!T397,Recipes!$A:$D,4,FALSE)&amp;"]"))</f>
        <v/>
      </c>
      <c r="U397" s="46" t="str">
        <f t="array" ref="U397">IF('.'!U397="","",'.'!U397&amp;IF(VLOOKUP('.'!U397,Recipes!$A:$D,4,FALSE)="",""," ["&amp;VLOOKUP('.'!U397,Recipes!$A:$D,4,FALSE)&amp;"]"))</f>
        <v/>
      </c>
      <c r="V397" s="46" t="str">
        <f t="array" ref="V397">IF('.'!V397="","",'.'!V397&amp;IF(VLOOKUP('.'!V397,Recipes!$A:$D,4,FALSE)="",""," ["&amp;VLOOKUP('.'!V397,Recipes!$A:$D,4,FALSE)&amp;"]"))</f>
        <v/>
      </c>
      <c r="W397" s="46" t="str">
        <f t="array" ref="W397">IF('.'!W397="","",'.'!W397&amp;IF(VLOOKUP('.'!W397,Recipes!$A:$D,4,FALSE)="",""," ["&amp;VLOOKUP('.'!W397,Recipes!$A:$D,4,FALSE)&amp;"]"))</f>
        <v/>
      </c>
      <c r="X397" s="46" t="str">
        <f t="array" ref="X397">IF('.'!X397="","",'.'!X397&amp;IF(VLOOKUP('.'!X397,Recipes!$A:$D,4,FALSE)="",""," ["&amp;VLOOKUP('.'!X397,Recipes!$A:$D,4,FALSE)&amp;"]"))</f>
        <v/>
      </c>
      <c r="Y397" s="46" t="str">
        <f t="array" ref="Y397">IF('.'!Y397="","",'.'!Y397&amp;IF(VLOOKUP('.'!Y397,Recipes!$A:$D,4,FALSE)="",""," ["&amp;VLOOKUP('.'!Y397,Recipes!$A:$D,4,FALSE)&amp;"]"))</f>
        <v/>
      </c>
      <c r="Z397" s="46" t="str">
        <f t="array" ref="Z397">IF('.'!Z397="","",'.'!Z397&amp;IF(VLOOKUP('.'!Z397,Recipes!$A:$D,4,FALSE)="",""," ["&amp;VLOOKUP('.'!Z397,Recipes!$A:$D,4,FALSE)&amp;"]"))</f>
        <v/>
      </c>
      <c r="AA397" s="46" t="str">
        <f t="array" ref="AA397">IF('.'!AA397="","",'.'!AA397&amp;IF(VLOOKUP('.'!AA397,Recipes!$A:$D,4,FALSE)="",""," ["&amp;VLOOKUP('.'!AA397,Recipes!$A:$D,4,FALSE)&amp;"]"))</f>
        <v/>
      </c>
      <c r="AB397" s="46" t="str">
        <f t="array" ref="AB397">IF('.'!AB397="","",'.'!AB397&amp;IF(VLOOKUP('.'!AB397,Recipes!$A:$D,4,FALSE)="",""," ["&amp;VLOOKUP('.'!AB397,Recipes!$A:$D,4,FALSE)&amp;"]"))</f>
        <v/>
      </c>
      <c r="AC397" s="46" t="str">
        <f t="array" ref="AC397">IF('.'!AC397="","",'.'!AC397&amp;IF(VLOOKUP('.'!AC397,Recipes!$A:$D,4,FALSE)="",""," ["&amp;VLOOKUP('.'!AC397,Recipes!$A:$D,4,FALSE)&amp;"]"))</f>
        <v/>
      </c>
      <c r="AD397" s="46" t="str">
        <f t="array" ref="AD397">IF('.'!AD397="","",'.'!AD397&amp;IF(VLOOKUP('.'!AD397,Recipes!$A:$D,4,FALSE)="",""," ["&amp;VLOOKUP('.'!AD397,Recipes!$A:$D,4,FALSE)&amp;"]"))</f>
        <v/>
      </c>
      <c r="AE397" s="47" t="str">
        <f t="array" ref="AE397">IF('.'!AE397="","",'.'!AE397&amp;IF(VLOOKUP('.'!AE397,Recipes!$A:$D,4,FALSE)="",""," ["&amp;VLOOKUP('.'!AE397,Recipes!$A:$D,4,FALSE)&amp;"]"))</f>
        <v/>
      </c>
      <c r="AF397" s="47"/>
      <c r="AG397" s="47"/>
      <c r="AH397" s="47"/>
      <c r="AI397" s="47"/>
      <c r="AJ397" s="47"/>
      <c r="AK397" s="47"/>
      <c r="AL397" s="47"/>
      <c r="AM397" s="47"/>
      <c r="AN397" s="47"/>
      <c r="AO397" s="47"/>
      <c r="AP397" s="47"/>
      <c r="AQ397" s="47"/>
      <c r="AR397" s="47"/>
      <c r="AS397" s="47"/>
      <c r="AT397" s="47"/>
      <c r="AU397" s="47"/>
      <c r="AV397" s="47"/>
      <c r="AW397" s="47"/>
      <c r="AX397" s="47"/>
      <c r="AY397" s="47"/>
      <c r="AZ397" s="47"/>
      <c r="BA397" s="47"/>
      <c r="BB397" s="47"/>
      <c r="BC397" s="47"/>
      <c r="BD397" s="47"/>
      <c r="BE397" s="47"/>
      <c r="BF397" s="47"/>
      <c r="BG397" s="47"/>
      <c r="BH397" s="47"/>
      <c r="BI397" s="47"/>
      <c r="BJ397" s="47"/>
      <c r="BK397" s="47"/>
      <c r="BL397" s="47"/>
      <c r="BM397" s="47"/>
      <c r="BN397" s="47"/>
      <c r="BO397" s="47"/>
      <c r="BP397" s="47"/>
      <c r="BQ397" s="47"/>
      <c r="BR397" s="47"/>
      <c r="BS397" s="47"/>
      <c r="BT397" s="47"/>
      <c r="BU397" s="47"/>
      <c r="BV397" s="47"/>
      <c r="BW397" s="47"/>
      <c r="BX397" s="47"/>
      <c r="BY397" s="47"/>
      <c r="BZ397" s="47"/>
    </row>
    <row r="398" spans="1:78" ht="13">
      <c r="A398" s="48" t="str">
        <f ca="1">'.'!A398</f>
        <v>Skin Graft Scroll</v>
      </c>
      <c r="B398" s="46" t="str">
        <f t="array" aca="1" ref="B398" ca="1">IF('.'!B398="","",'.'!B398&amp;IF(VLOOKUP('.'!B398,Recipes!$A:$D,4,FALSE)="",""," ["&amp;VLOOKUP('.'!B398,Recipes!$A:$D,4,FALSE)&amp;"]"))</f>
        <v>Skin Graft Skillbook [450]</v>
      </c>
      <c r="C398" s="46" t="str">
        <f t="array" ref="C398">IF('.'!C398="","",'.'!C398&amp;IF(VLOOKUP('.'!C398,Recipes!$A:$D,4,FALSE)="",""," ["&amp;VLOOKUP('.'!C398,Recipes!$A:$D,4,FALSE)&amp;"]"))</f>
        <v/>
      </c>
      <c r="D398" s="46" t="str">
        <f t="array" ref="D398">IF('.'!D398="","",'.'!D398&amp;IF(VLOOKUP('.'!D398,Recipes!$A:$D,4,FALSE)="",""," ["&amp;VLOOKUP('.'!D398,Recipes!$A:$D,4,FALSE)&amp;"]"))</f>
        <v/>
      </c>
      <c r="E398" s="46" t="str">
        <f t="array" ref="E398">IF('.'!E398="","",'.'!E398&amp;IF(VLOOKUP('.'!E398,Recipes!$A:$D,4,FALSE)="",""," ["&amp;VLOOKUP('.'!E398,Recipes!$A:$D,4,FALSE)&amp;"]"))</f>
        <v/>
      </c>
      <c r="F398" s="46" t="str">
        <f t="array" ref="F398">IF('.'!F398="","",'.'!F398&amp;IF(VLOOKUP('.'!F398,Recipes!$A:$D,4,FALSE)="",""," ["&amp;VLOOKUP('.'!F398,Recipes!$A:$D,4,FALSE)&amp;"]"))</f>
        <v/>
      </c>
      <c r="G398" s="46" t="str">
        <f t="array" ref="G398">IF('.'!G398="","",'.'!G398&amp;IF(VLOOKUP('.'!G398,Recipes!$A:$D,4,FALSE)="",""," ["&amp;VLOOKUP('.'!G398,Recipes!$A:$D,4,FALSE)&amp;"]"))</f>
        <v/>
      </c>
      <c r="H398" s="46" t="str">
        <f t="array" ref="H398">IF('.'!H398="","",'.'!H398&amp;IF(VLOOKUP('.'!H398,Recipes!$A:$D,4,FALSE)="",""," ["&amp;VLOOKUP('.'!H398,Recipes!$A:$D,4,FALSE)&amp;"]"))</f>
        <v/>
      </c>
      <c r="I398" s="46" t="str">
        <f t="array" ref="I398">IF('.'!I398="","",'.'!I398&amp;IF(VLOOKUP('.'!I398,Recipes!$A:$D,4,FALSE)="",""," ["&amp;VLOOKUP('.'!I398,Recipes!$A:$D,4,FALSE)&amp;"]"))</f>
        <v/>
      </c>
      <c r="J398" s="46" t="str">
        <f t="array" ref="J398">IF('.'!J398="","",'.'!J398&amp;IF(VLOOKUP('.'!J398,Recipes!$A:$D,4,FALSE)="",""," ["&amp;VLOOKUP('.'!J398,Recipes!$A:$D,4,FALSE)&amp;"]"))</f>
        <v/>
      </c>
      <c r="K398" s="46" t="str">
        <f t="array" ref="K398">IF('.'!K398="","",'.'!K398&amp;IF(VLOOKUP('.'!K398,Recipes!$A:$D,4,FALSE)="",""," ["&amp;VLOOKUP('.'!K398,Recipes!$A:$D,4,FALSE)&amp;"]"))</f>
        <v/>
      </c>
      <c r="L398" s="46" t="str">
        <f t="array" ref="L398">IF('.'!L398="","",'.'!L398&amp;IF(VLOOKUP('.'!L398,Recipes!$A:$D,4,FALSE)="",""," ["&amp;VLOOKUP('.'!L398,Recipes!$A:$D,4,FALSE)&amp;"]"))</f>
        <v/>
      </c>
      <c r="M398" s="46" t="str">
        <f t="array" ref="M398">IF('.'!M398="","",'.'!M398&amp;IF(VLOOKUP('.'!M398,Recipes!$A:$D,4,FALSE)="",""," ["&amp;VLOOKUP('.'!M398,Recipes!$A:$D,4,FALSE)&amp;"]"))</f>
        <v/>
      </c>
      <c r="N398" s="46" t="str">
        <f t="array" ref="N398">IF('.'!N398="","",'.'!N398&amp;IF(VLOOKUP('.'!N398,Recipes!$A:$D,4,FALSE)="",""," ["&amp;VLOOKUP('.'!N398,Recipes!$A:$D,4,FALSE)&amp;"]"))</f>
        <v/>
      </c>
      <c r="O398" s="46" t="str">
        <f t="array" ref="O398">IF('.'!O398="","",'.'!O398&amp;IF(VLOOKUP('.'!O398,Recipes!$A:$D,4,FALSE)="",""," ["&amp;VLOOKUP('.'!O398,Recipes!$A:$D,4,FALSE)&amp;"]"))</f>
        <v/>
      </c>
      <c r="P398" s="46" t="str">
        <f t="array" ref="P398">IF('.'!P398="","",'.'!P398&amp;IF(VLOOKUP('.'!P398,Recipes!$A:$D,4,FALSE)="",""," ["&amp;VLOOKUP('.'!P398,Recipes!$A:$D,4,FALSE)&amp;"]"))</f>
        <v/>
      </c>
      <c r="Q398" s="46" t="str">
        <f t="array" ref="Q398">IF('.'!Q398="","",'.'!Q398&amp;IF(VLOOKUP('.'!Q398,Recipes!$A:$D,4,FALSE)="",""," ["&amp;VLOOKUP('.'!Q398,Recipes!$A:$D,4,FALSE)&amp;"]"))</f>
        <v/>
      </c>
      <c r="R398" s="46" t="str">
        <f t="array" ref="R398">IF('.'!R398="","",'.'!R398&amp;IF(VLOOKUP('.'!R398,Recipes!$A:$D,4,FALSE)="",""," ["&amp;VLOOKUP('.'!R398,Recipes!$A:$D,4,FALSE)&amp;"]"))</f>
        <v/>
      </c>
      <c r="S398" s="46" t="str">
        <f t="array" ref="S398">IF('.'!S398="","",'.'!S398&amp;IF(VLOOKUP('.'!S398,Recipes!$A:$D,4,FALSE)="",""," ["&amp;VLOOKUP('.'!S398,Recipes!$A:$D,4,FALSE)&amp;"]"))</f>
        <v/>
      </c>
      <c r="T398" s="46" t="str">
        <f t="array" ref="T398">IF('.'!T398="","",'.'!T398&amp;IF(VLOOKUP('.'!T398,Recipes!$A:$D,4,FALSE)="",""," ["&amp;VLOOKUP('.'!T398,Recipes!$A:$D,4,FALSE)&amp;"]"))</f>
        <v/>
      </c>
      <c r="U398" s="46" t="str">
        <f t="array" ref="U398">IF('.'!U398="","",'.'!U398&amp;IF(VLOOKUP('.'!U398,Recipes!$A:$D,4,FALSE)="",""," ["&amp;VLOOKUP('.'!U398,Recipes!$A:$D,4,FALSE)&amp;"]"))</f>
        <v/>
      </c>
      <c r="V398" s="46" t="str">
        <f t="array" ref="V398">IF('.'!V398="","",'.'!V398&amp;IF(VLOOKUP('.'!V398,Recipes!$A:$D,4,FALSE)="",""," ["&amp;VLOOKUP('.'!V398,Recipes!$A:$D,4,FALSE)&amp;"]"))</f>
        <v/>
      </c>
      <c r="W398" s="46" t="str">
        <f t="array" ref="W398">IF('.'!W398="","",'.'!W398&amp;IF(VLOOKUP('.'!W398,Recipes!$A:$D,4,FALSE)="",""," ["&amp;VLOOKUP('.'!W398,Recipes!$A:$D,4,FALSE)&amp;"]"))</f>
        <v/>
      </c>
      <c r="X398" s="46" t="str">
        <f t="array" ref="X398">IF('.'!X398="","",'.'!X398&amp;IF(VLOOKUP('.'!X398,Recipes!$A:$D,4,FALSE)="",""," ["&amp;VLOOKUP('.'!X398,Recipes!$A:$D,4,FALSE)&amp;"]"))</f>
        <v/>
      </c>
      <c r="Y398" s="46" t="str">
        <f t="array" ref="Y398">IF('.'!Y398="","",'.'!Y398&amp;IF(VLOOKUP('.'!Y398,Recipes!$A:$D,4,FALSE)="",""," ["&amp;VLOOKUP('.'!Y398,Recipes!$A:$D,4,FALSE)&amp;"]"))</f>
        <v/>
      </c>
      <c r="Z398" s="46" t="str">
        <f t="array" ref="Z398">IF('.'!Z398="","",'.'!Z398&amp;IF(VLOOKUP('.'!Z398,Recipes!$A:$D,4,FALSE)="",""," ["&amp;VLOOKUP('.'!Z398,Recipes!$A:$D,4,FALSE)&amp;"]"))</f>
        <v/>
      </c>
      <c r="AA398" s="46" t="str">
        <f t="array" ref="AA398">IF('.'!AA398="","",'.'!AA398&amp;IF(VLOOKUP('.'!AA398,Recipes!$A:$D,4,FALSE)="",""," ["&amp;VLOOKUP('.'!AA398,Recipes!$A:$D,4,FALSE)&amp;"]"))</f>
        <v/>
      </c>
      <c r="AB398" s="46" t="str">
        <f t="array" ref="AB398">IF('.'!AB398="","",'.'!AB398&amp;IF(VLOOKUP('.'!AB398,Recipes!$A:$D,4,FALSE)="",""," ["&amp;VLOOKUP('.'!AB398,Recipes!$A:$D,4,FALSE)&amp;"]"))</f>
        <v/>
      </c>
      <c r="AC398" s="46" t="str">
        <f t="array" ref="AC398">IF('.'!AC398="","",'.'!AC398&amp;IF(VLOOKUP('.'!AC398,Recipes!$A:$D,4,FALSE)="",""," ["&amp;VLOOKUP('.'!AC398,Recipes!$A:$D,4,FALSE)&amp;"]"))</f>
        <v/>
      </c>
      <c r="AD398" s="46" t="str">
        <f t="array" ref="AD398">IF('.'!AD398="","",'.'!AD398&amp;IF(VLOOKUP('.'!AD398,Recipes!$A:$D,4,FALSE)="",""," ["&amp;VLOOKUP('.'!AD398,Recipes!$A:$D,4,FALSE)&amp;"]"))</f>
        <v/>
      </c>
      <c r="AE398" s="47" t="str">
        <f t="array" ref="AE398">IF('.'!AE398="","",'.'!AE398&amp;IF(VLOOKUP('.'!AE398,Recipes!$A:$D,4,FALSE)="",""," ["&amp;VLOOKUP('.'!AE398,Recipes!$A:$D,4,FALSE)&amp;"]"))</f>
        <v/>
      </c>
      <c r="AF398" s="47"/>
      <c r="AG398" s="47"/>
      <c r="AH398" s="47"/>
      <c r="AI398" s="47"/>
      <c r="AJ398" s="47"/>
      <c r="AK398" s="47"/>
      <c r="AL398" s="47"/>
      <c r="AM398" s="47"/>
      <c r="AN398" s="47"/>
      <c r="AO398" s="47"/>
      <c r="AP398" s="47"/>
      <c r="AQ398" s="47"/>
      <c r="AR398" s="47"/>
      <c r="AS398" s="47"/>
      <c r="AT398" s="47"/>
      <c r="AU398" s="47"/>
      <c r="AV398" s="47"/>
      <c r="AW398" s="47"/>
      <c r="AX398" s="47"/>
      <c r="AY398" s="47"/>
      <c r="AZ398" s="47"/>
      <c r="BA398" s="47"/>
      <c r="BB398" s="47"/>
      <c r="BC398" s="47"/>
      <c r="BD398" s="47"/>
      <c r="BE398" s="47"/>
      <c r="BF398" s="47"/>
      <c r="BG398" s="47"/>
      <c r="BH398" s="47"/>
      <c r="BI398" s="47"/>
      <c r="BJ398" s="47"/>
      <c r="BK398" s="47"/>
      <c r="BL398" s="47"/>
      <c r="BM398" s="47"/>
      <c r="BN398" s="47"/>
      <c r="BO398" s="47"/>
      <c r="BP398" s="47"/>
      <c r="BQ398" s="47"/>
      <c r="BR398" s="47"/>
      <c r="BS398" s="47"/>
      <c r="BT398" s="47"/>
      <c r="BU398" s="47"/>
      <c r="BV398" s="47"/>
      <c r="BW398" s="47"/>
      <c r="BX398" s="47"/>
      <c r="BY398" s="47"/>
      <c r="BZ398" s="47"/>
    </row>
    <row r="399" spans="1:78" ht="13">
      <c r="A399" s="48" t="str">
        <f ca="1">'.'!A399</f>
        <v>Skull</v>
      </c>
      <c r="B399" s="46" t="str">
        <f t="array" aca="1" ref="B399" ca="1">IF('.'!B399="","",'.'!B399&amp;IF(VLOOKUP('.'!B399,Recipes!$A:$D,4,FALSE)="",""," ["&amp;VLOOKUP('.'!B399,Recipes!$A:$D,4,FALSE)&amp;"]"))</f>
        <v>Makeshift Wand [V]</v>
      </c>
      <c r="C399" s="46" t="str">
        <f t="array" ref="C399">IF('.'!C399="","",'.'!C399&amp;IF(VLOOKUP('.'!C399,Recipes!$A:$D,4,FALSE)="",""," ["&amp;VLOOKUP('.'!C399,Recipes!$A:$D,4,FALSE)&amp;"]"))</f>
        <v/>
      </c>
      <c r="D399" s="46" t="str">
        <f t="array" ref="D399">IF('.'!D399="","",'.'!D399&amp;IF(VLOOKUP('.'!D399,Recipes!$A:$D,4,FALSE)="",""," ["&amp;VLOOKUP('.'!D399,Recipes!$A:$D,4,FALSE)&amp;"]"))</f>
        <v/>
      </c>
      <c r="E399" s="46" t="str">
        <f t="array" ref="E399">IF('.'!E399="","",'.'!E399&amp;IF(VLOOKUP('.'!E399,Recipes!$A:$D,4,FALSE)="",""," ["&amp;VLOOKUP('.'!E399,Recipes!$A:$D,4,FALSE)&amp;"]"))</f>
        <v/>
      </c>
      <c r="F399" s="46" t="str">
        <f t="array" ref="F399">IF('.'!F399="","",'.'!F399&amp;IF(VLOOKUP('.'!F399,Recipes!$A:$D,4,FALSE)="",""," ["&amp;VLOOKUP('.'!F399,Recipes!$A:$D,4,FALSE)&amp;"]"))</f>
        <v/>
      </c>
      <c r="G399" s="46" t="str">
        <f t="array" ref="G399">IF('.'!G399="","",'.'!G399&amp;IF(VLOOKUP('.'!G399,Recipes!$A:$D,4,FALSE)="",""," ["&amp;VLOOKUP('.'!G399,Recipes!$A:$D,4,FALSE)&amp;"]"))</f>
        <v/>
      </c>
      <c r="H399" s="46" t="str">
        <f t="array" ref="H399">IF('.'!H399="","",'.'!H399&amp;IF(VLOOKUP('.'!H399,Recipes!$A:$D,4,FALSE)="",""," ["&amp;VLOOKUP('.'!H399,Recipes!$A:$D,4,FALSE)&amp;"]"))</f>
        <v/>
      </c>
      <c r="I399" s="46" t="str">
        <f t="array" ref="I399">IF('.'!I399="","",'.'!I399&amp;IF(VLOOKUP('.'!I399,Recipes!$A:$D,4,FALSE)="",""," ["&amp;VLOOKUP('.'!I399,Recipes!$A:$D,4,FALSE)&amp;"]"))</f>
        <v/>
      </c>
      <c r="J399" s="46" t="str">
        <f t="array" ref="J399">IF('.'!J399="","",'.'!J399&amp;IF(VLOOKUP('.'!J399,Recipes!$A:$D,4,FALSE)="",""," ["&amp;VLOOKUP('.'!J399,Recipes!$A:$D,4,FALSE)&amp;"]"))</f>
        <v/>
      </c>
      <c r="K399" s="46" t="str">
        <f t="array" ref="K399">IF('.'!K399="","",'.'!K399&amp;IF(VLOOKUP('.'!K399,Recipes!$A:$D,4,FALSE)="",""," ["&amp;VLOOKUP('.'!K399,Recipes!$A:$D,4,FALSE)&amp;"]"))</f>
        <v/>
      </c>
      <c r="L399" s="46" t="str">
        <f t="array" ref="L399">IF('.'!L399="","",'.'!L399&amp;IF(VLOOKUP('.'!L399,Recipes!$A:$D,4,FALSE)="",""," ["&amp;VLOOKUP('.'!L399,Recipes!$A:$D,4,FALSE)&amp;"]"))</f>
        <v/>
      </c>
      <c r="M399" s="46" t="str">
        <f t="array" ref="M399">IF('.'!M399="","",'.'!M399&amp;IF(VLOOKUP('.'!M399,Recipes!$A:$D,4,FALSE)="",""," ["&amp;VLOOKUP('.'!M399,Recipes!$A:$D,4,FALSE)&amp;"]"))</f>
        <v/>
      </c>
      <c r="N399" s="46" t="str">
        <f t="array" ref="N399">IF('.'!N399="","",'.'!N399&amp;IF(VLOOKUP('.'!N399,Recipes!$A:$D,4,FALSE)="",""," ["&amp;VLOOKUP('.'!N399,Recipes!$A:$D,4,FALSE)&amp;"]"))</f>
        <v/>
      </c>
      <c r="O399" s="46" t="str">
        <f t="array" ref="O399">IF('.'!O399="","",'.'!O399&amp;IF(VLOOKUP('.'!O399,Recipes!$A:$D,4,FALSE)="",""," ["&amp;VLOOKUP('.'!O399,Recipes!$A:$D,4,FALSE)&amp;"]"))</f>
        <v/>
      </c>
      <c r="P399" s="46" t="str">
        <f t="array" ref="P399">IF('.'!P399="","",'.'!P399&amp;IF(VLOOKUP('.'!P399,Recipes!$A:$D,4,FALSE)="",""," ["&amp;VLOOKUP('.'!P399,Recipes!$A:$D,4,FALSE)&amp;"]"))</f>
        <v/>
      </c>
      <c r="Q399" s="46" t="str">
        <f t="array" ref="Q399">IF('.'!Q399="","",'.'!Q399&amp;IF(VLOOKUP('.'!Q399,Recipes!$A:$D,4,FALSE)="",""," ["&amp;VLOOKUP('.'!Q399,Recipes!$A:$D,4,FALSE)&amp;"]"))</f>
        <v/>
      </c>
      <c r="R399" s="46" t="str">
        <f t="array" ref="R399">IF('.'!R399="","",'.'!R399&amp;IF(VLOOKUP('.'!R399,Recipes!$A:$D,4,FALSE)="",""," ["&amp;VLOOKUP('.'!R399,Recipes!$A:$D,4,FALSE)&amp;"]"))</f>
        <v/>
      </c>
      <c r="S399" s="46" t="str">
        <f t="array" ref="S399">IF('.'!S399="","",'.'!S399&amp;IF(VLOOKUP('.'!S399,Recipes!$A:$D,4,FALSE)="",""," ["&amp;VLOOKUP('.'!S399,Recipes!$A:$D,4,FALSE)&amp;"]"))</f>
        <v/>
      </c>
      <c r="T399" s="46" t="str">
        <f t="array" ref="T399">IF('.'!T399="","",'.'!T399&amp;IF(VLOOKUP('.'!T399,Recipes!$A:$D,4,FALSE)="",""," ["&amp;VLOOKUP('.'!T399,Recipes!$A:$D,4,FALSE)&amp;"]"))</f>
        <v/>
      </c>
      <c r="U399" s="46" t="str">
        <f t="array" ref="U399">IF('.'!U399="","",'.'!U399&amp;IF(VLOOKUP('.'!U399,Recipes!$A:$D,4,FALSE)="",""," ["&amp;VLOOKUP('.'!U399,Recipes!$A:$D,4,FALSE)&amp;"]"))</f>
        <v/>
      </c>
      <c r="V399" s="46" t="str">
        <f t="array" ref="V399">IF('.'!V399="","",'.'!V399&amp;IF(VLOOKUP('.'!V399,Recipes!$A:$D,4,FALSE)="",""," ["&amp;VLOOKUP('.'!V399,Recipes!$A:$D,4,FALSE)&amp;"]"))</f>
        <v/>
      </c>
      <c r="W399" s="46" t="str">
        <f t="array" ref="W399">IF('.'!W399="","",'.'!W399&amp;IF(VLOOKUP('.'!W399,Recipes!$A:$D,4,FALSE)="",""," ["&amp;VLOOKUP('.'!W399,Recipes!$A:$D,4,FALSE)&amp;"]"))</f>
        <v/>
      </c>
      <c r="X399" s="46" t="str">
        <f t="array" ref="X399">IF('.'!X399="","",'.'!X399&amp;IF(VLOOKUP('.'!X399,Recipes!$A:$D,4,FALSE)="",""," ["&amp;VLOOKUP('.'!X399,Recipes!$A:$D,4,FALSE)&amp;"]"))</f>
        <v/>
      </c>
      <c r="Y399" s="46" t="str">
        <f t="array" ref="Y399">IF('.'!Y399="","",'.'!Y399&amp;IF(VLOOKUP('.'!Y399,Recipes!$A:$D,4,FALSE)="",""," ["&amp;VLOOKUP('.'!Y399,Recipes!$A:$D,4,FALSE)&amp;"]"))</f>
        <v/>
      </c>
      <c r="Z399" s="46" t="str">
        <f t="array" ref="Z399">IF('.'!Z399="","",'.'!Z399&amp;IF(VLOOKUP('.'!Z399,Recipes!$A:$D,4,FALSE)="",""," ["&amp;VLOOKUP('.'!Z399,Recipes!$A:$D,4,FALSE)&amp;"]"))</f>
        <v/>
      </c>
      <c r="AA399" s="46" t="str">
        <f t="array" ref="AA399">IF('.'!AA399="","",'.'!AA399&amp;IF(VLOOKUP('.'!AA399,Recipes!$A:$D,4,FALSE)="",""," ["&amp;VLOOKUP('.'!AA399,Recipes!$A:$D,4,FALSE)&amp;"]"))</f>
        <v/>
      </c>
      <c r="AB399" s="46" t="str">
        <f t="array" ref="AB399">IF('.'!AB399="","",'.'!AB399&amp;IF(VLOOKUP('.'!AB399,Recipes!$A:$D,4,FALSE)="",""," ["&amp;VLOOKUP('.'!AB399,Recipes!$A:$D,4,FALSE)&amp;"]"))</f>
        <v/>
      </c>
      <c r="AC399" s="46" t="str">
        <f t="array" ref="AC399">IF('.'!AC399="","",'.'!AC399&amp;IF(VLOOKUP('.'!AC399,Recipes!$A:$D,4,FALSE)="",""," ["&amp;VLOOKUP('.'!AC399,Recipes!$A:$D,4,FALSE)&amp;"]"))</f>
        <v/>
      </c>
      <c r="AD399" s="46" t="str">
        <f t="array" ref="AD399">IF('.'!AD399="","",'.'!AD399&amp;IF(VLOOKUP('.'!AD399,Recipes!$A:$D,4,FALSE)="",""," ["&amp;VLOOKUP('.'!AD399,Recipes!$A:$D,4,FALSE)&amp;"]"))</f>
        <v/>
      </c>
      <c r="AE399" s="47" t="str">
        <f t="array" ref="AE399">IF('.'!AE399="","",'.'!AE399&amp;IF(VLOOKUP('.'!AE399,Recipes!$A:$D,4,FALSE)="",""," ["&amp;VLOOKUP('.'!AE399,Recipes!$A:$D,4,FALSE)&amp;"]"))</f>
        <v/>
      </c>
      <c r="AF399" s="47"/>
      <c r="AG399" s="47"/>
      <c r="AH399" s="47"/>
      <c r="AI399" s="47"/>
      <c r="AJ399" s="47"/>
      <c r="AK399" s="47"/>
      <c r="AL399" s="47"/>
      <c r="AM399" s="47"/>
      <c r="AN399" s="47"/>
      <c r="AO399" s="47"/>
      <c r="AP399" s="47"/>
      <c r="AQ399" s="47"/>
      <c r="AR399" s="47"/>
      <c r="AS399" s="47"/>
      <c r="AT399" s="47"/>
      <c r="AU399" s="47"/>
      <c r="AV399" s="47"/>
      <c r="AW399" s="47"/>
      <c r="AX399" s="47"/>
      <c r="AY399" s="47"/>
      <c r="AZ399" s="47"/>
      <c r="BA399" s="47"/>
      <c r="BB399" s="47"/>
      <c r="BC399" s="47"/>
      <c r="BD399" s="47"/>
      <c r="BE399" s="47"/>
      <c r="BF399" s="47"/>
      <c r="BG399" s="47"/>
      <c r="BH399" s="47"/>
      <c r="BI399" s="47"/>
      <c r="BJ399" s="47"/>
      <c r="BK399" s="47"/>
      <c r="BL399" s="47"/>
      <c r="BM399" s="47"/>
      <c r="BN399" s="47"/>
      <c r="BO399" s="47"/>
      <c r="BP399" s="47"/>
      <c r="BQ399" s="47"/>
      <c r="BR399" s="47"/>
      <c r="BS399" s="47"/>
      <c r="BT399" s="47"/>
      <c r="BU399" s="47"/>
      <c r="BV399" s="47"/>
      <c r="BW399" s="47"/>
      <c r="BX399" s="47"/>
      <c r="BY399" s="47"/>
      <c r="BZ399" s="47"/>
    </row>
    <row r="400" spans="1:78" ht="13">
      <c r="A400" s="48" t="str">
        <f ca="1">'.'!A400</f>
        <v>Skull [Human]</v>
      </c>
      <c r="B400" s="46" t="str">
        <f t="array" aca="1" ref="B400" ca="1">IF('.'!B400="","",'.'!B400&amp;IF(VLOOKUP('.'!B400,Recipes!$A:$D,4,FALSE)="",""," ["&amp;VLOOKUP('.'!B400,Recipes!$A:$D,4,FALSE)&amp;"]"))</f>
        <v>Shackles of Pain Scroll [-5]</v>
      </c>
      <c r="C400" s="46" t="str">
        <f t="array" ref="C400">IF('.'!C400="","",'.'!C400&amp;IF(VLOOKUP('.'!C400,Recipes!$A:$D,4,FALSE)="",""," ["&amp;VLOOKUP('.'!C400,Recipes!$A:$D,4,FALSE)&amp;"]"))</f>
        <v/>
      </c>
      <c r="D400" s="46" t="str">
        <f t="array" ref="D400">IF('.'!D400="","",'.'!D400&amp;IF(VLOOKUP('.'!D400,Recipes!$A:$D,4,FALSE)="",""," ["&amp;VLOOKUP('.'!D400,Recipes!$A:$D,4,FALSE)&amp;"]"))</f>
        <v/>
      </c>
      <c r="E400" s="46" t="str">
        <f t="array" ref="E400">IF('.'!E400="","",'.'!E400&amp;IF(VLOOKUP('.'!E400,Recipes!$A:$D,4,FALSE)="",""," ["&amp;VLOOKUP('.'!E400,Recipes!$A:$D,4,FALSE)&amp;"]"))</f>
        <v/>
      </c>
      <c r="F400" s="46" t="str">
        <f t="array" ref="F400">IF('.'!F400="","",'.'!F400&amp;IF(VLOOKUP('.'!F400,Recipes!$A:$D,4,FALSE)="",""," ["&amp;VLOOKUP('.'!F400,Recipes!$A:$D,4,FALSE)&amp;"]"))</f>
        <v/>
      </c>
      <c r="G400" s="46" t="str">
        <f t="array" ref="G400">IF('.'!G400="","",'.'!G400&amp;IF(VLOOKUP('.'!G400,Recipes!$A:$D,4,FALSE)="",""," ["&amp;VLOOKUP('.'!G400,Recipes!$A:$D,4,FALSE)&amp;"]"))</f>
        <v/>
      </c>
      <c r="H400" s="46" t="str">
        <f t="array" ref="H400">IF('.'!H400="","",'.'!H400&amp;IF(VLOOKUP('.'!H400,Recipes!$A:$D,4,FALSE)="",""," ["&amp;VLOOKUP('.'!H400,Recipes!$A:$D,4,FALSE)&amp;"]"))</f>
        <v/>
      </c>
      <c r="I400" s="46" t="str">
        <f t="array" ref="I400">IF('.'!I400="","",'.'!I400&amp;IF(VLOOKUP('.'!I400,Recipes!$A:$D,4,FALSE)="",""," ["&amp;VLOOKUP('.'!I400,Recipes!$A:$D,4,FALSE)&amp;"]"))</f>
        <v/>
      </c>
      <c r="J400" s="46" t="str">
        <f t="array" ref="J400">IF('.'!J400="","",'.'!J400&amp;IF(VLOOKUP('.'!J400,Recipes!$A:$D,4,FALSE)="",""," ["&amp;VLOOKUP('.'!J400,Recipes!$A:$D,4,FALSE)&amp;"]"))</f>
        <v/>
      </c>
      <c r="K400" s="46" t="str">
        <f t="array" ref="K400">IF('.'!K400="","",'.'!K400&amp;IF(VLOOKUP('.'!K400,Recipes!$A:$D,4,FALSE)="",""," ["&amp;VLOOKUP('.'!K400,Recipes!$A:$D,4,FALSE)&amp;"]"))</f>
        <v/>
      </c>
      <c r="L400" s="46" t="str">
        <f t="array" ref="L400">IF('.'!L400="","",'.'!L400&amp;IF(VLOOKUP('.'!L400,Recipes!$A:$D,4,FALSE)="",""," ["&amp;VLOOKUP('.'!L400,Recipes!$A:$D,4,FALSE)&amp;"]"))</f>
        <v/>
      </c>
      <c r="M400" s="46" t="str">
        <f t="array" ref="M400">IF('.'!M400="","",'.'!M400&amp;IF(VLOOKUP('.'!M400,Recipes!$A:$D,4,FALSE)="",""," ["&amp;VLOOKUP('.'!M400,Recipes!$A:$D,4,FALSE)&amp;"]"))</f>
        <v/>
      </c>
      <c r="N400" s="46" t="str">
        <f t="array" ref="N400">IF('.'!N400="","",'.'!N400&amp;IF(VLOOKUP('.'!N400,Recipes!$A:$D,4,FALSE)="",""," ["&amp;VLOOKUP('.'!N400,Recipes!$A:$D,4,FALSE)&amp;"]"))</f>
        <v/>
      </c>
      <c r="O400" s="46" t="str">
        <f t="array" ref="O400">IF('.'!O400="","",'.'!O400&amp;IF(VLOOKUP('.'!O400,Recipes!$A:$D,4,FALSE)="",""," ["&amp;VLOOKUP('.'!O400,Recipes!$A:$D,4,FALSE)&amp;"]"))</f>
        <v/>
      </c>
      <c r="P400" s="46" t="str">
        <f t="array" ref="P400">IF('.'!P400="","",'.'!P400&amp;IF(VLOOKUP('.'!P400,Recipes!$A:$D,4,FALSE)="",""," ["&amp;VLOOKUP('.'!P400,Recipes!$A:$D,4,FALSE)&amp;"]"))</f>
        <v/>
      </c>
      <c r="Q400" s="46" t="str">
        <f t="array" ref="Q400">IF('.'!Q400="","",'.'!Q400&amp;IF(VLOOKUP('.'!Q400,Recipes!$A:$D,4,FALSE)="",""," ["&amp;VLOOKUP('.'!Q400,Recipes!$A:$D,4,FALSE)&amp;"]"))</f>
        <v/>
      </c>
      <c r="R400" s="46" t="str">
        <f t="array" ref="R400">IF('.'!R400="","",'.'!R400&amp;IF(VLOOKUP('.'!R400,Recipes!$A:$D,4,FALSE)="",""," ["&amp;VLOOKUP('.'!R400,Recipes!$A:$D,4,FALSE)&amp;"]"))</f>
        <v/>
      </c>
      <c r="S400" s="46" t="str">
        <f t="array" ref="S400">IF('.'!S400="","",'.'!S400&amp;IF(VLOOKUP('.'!S400,Recipes!$A:$D,4,FALSE)="",""," ["&amp;VLOOKUP('.'!S400,Recipes!$A:$D,4,FALSE)&amp;"]"))</f>
        <v/>
      </c>
      <c r="T400" s="46" t="str">
        <f t="array" ref="T400">IF('.'!T400="","",'.'!T400&amp;IF(VLOOKUP('.'!T400,Recipes!$A:$D,4,FALSE)="",""," ["&amp;VLOOKUP('.'!T400,Recipes!$A:$D,4,FALSE)&amp;"]"))</f>
        <v/>
      </c>
      <c r="U400" s="46" t="str">
        <f t="array" ref="U400">IF('.'!U400="","",'.'!U400&amp;IF(VLOOKUP('.'!U400,Recipes!$A:$D,4,FALSE)="",""," ["&amp;VLOOKUP('.'!U400,Recipes!$A:$D,4,FALSE)&amp;"]"))</f>
        <v/>
      </c>
      <c r="V400" s="46" t="str">
        <f t="array" ref="V400">IF('.'!V400="","",'.'!V400&amp;IF(VLOOKUP('.'!V400,Recipes!$A:$D,4,FALSE)="",""," ["&amp;VLOOKUP('.'!V400,Recipes!$A:$D,4,FALSE)&amp;"]"))</f>
        <v/>
      </c>
      <c r="W400" s="46" t="str">
        <f t="array" ref="W400">IF('.'!W400="","",'.'!W400&amp;IF(VLOOKUP('.'!W400,Recipes!$A:$D,4,FALSE)="",""," ["&amp;VLOOKUP('.'!W400,Recipes!$A:$D,4,FALSE)&amp;"]"))</f>
        <v/>
      </c>
      <c r="X400" s="46" t="str">
        <f t="array" ref="X400">IF('.'!X400="","",'.'!X400&amp;IF(VLOOKUP('.'!X400,Recipes!$A:$D,4,FALSE)="",""," ["&amp;VLOOKUP('.'!X400,Recipes!$A:$D,4,FALSE)&amp;"]"))</f>
        <v/>
      </c>
      <c r="Y400" s="46" t="str">
        <f t="array" ref="Y400">IF('.'!Y400="","",'.'!Y400&amp;IF(VLOOKUP('.'!Y400,Recipes!$A:$D,4,FALSE)="",""," ["&amp;VLOOKUP('.'!Y400,Recipes!$A:$D,4,FALSE)&amp;"]"))</f>
        <v/>
      </c>
      <c r="Z400" s="46" t="str">
        <f t="array" ref="Z400">IF('.'!Z400="","",'.'!Z400&amp;IF(VLOOKUP('.'!Z400,Recipes!$A:$D,4,FALSE)="",""," ["&amp;VLOOKUP('.'!Z400,Recipes!$A:$D,4,FALSE)&amp;"]"))</f>
        <v/>
      </c>
      <c r="AA400" s="46" t="str">
        <f t="array" ref="AA400">IF('.'!AA400="","",'.'!AA400&amp;IF(VLOOKUP('.'!AA400,Recipes!$A:$D,4,FALSE)="",""," ["&amp;VLOOKUP('.'!AA400,Recipes!$A:$D,4,FALSE)&amp;"]"))</f>
        <v/>
      </c>
      <c r="AB400" s="46" t="str">
        <f t="array" ref="AB400">IF('.'!AB400="","",'.'!AB400&amp;IF(VLOOKUP('.'!AB400,Recipes!$A:$D,4,FALSE)="",""," ["&amp;VLOOKUP('.'!AB400,Recipes!$A:$D,4,FALSE)&amp;"]"))</f>
        <v/>
      </c>
      <c r="AC400" s="46" t="str">
        <f t="array" ref="AC400">IF('.'!AC400="","",'.'!AC400&amp;IF(VLOOKUP('.'!AC400,Recipes!$A:$D,4,FALSE)="",""," ["&amp;VLOOKUP('.'!AC400,Recipes!$A:$D,4,FALSE)&amp;"]"))</f>
        <v/>
      </c>
      <c r="AD400" s="46" t="str">
        <f t="array" ref="AD400">IF('.'!AD400="","",'.'!AD400&amp;IF(VLOOKUP('.'!AD400,Recipes!$A:$D,4,FALSE)="",""," ["&amp;VLOOKUP('.'!AD400,Recipes!$A:$D,4,FALSE)&amp;"]"))</f>
        <v/>
      </c>
      <c r="AE400" s="47" t="str">
        <f t="array" ref="AE400">IF('.'!AE400="","",'.'!AE400&amp;IF(VLOOKUP('.'!AE400,Recipes!$A:$D,4,FALSE)="",""," ["&amp;VLOOKUP('.'!AE400,Recipes!$A:$D,4,FALSE)&amp;"]"))</f>
        <v/>
      </c>
      <c r="AF400" s="47"/>
      <c r="AG400" s="47"/>
      <c r="AH400" s="47"/>
      <c r="AI400" s="47"/>
      <c r="AJ400" s="47"/>
      <c r="AK400" s="47"/>
      <c r="AL400" s="47"/>
      <c r="AM400" s="47"/>
      <c r="AN400" s="47"/>
      <c r="AO400" s="47"/>
      <c r="AP400" s="47"/>
      <c r="AQ400" s="47"/>
      <c r="AR400" s="47"/>
      <c r="AS400" s="47"/>
      <c r="AT400" s="47"/>
      <c r="AU400" s="47"/>
      <c r="AV400" s="47"/>
      <c r="AW400" s="47"/>
      <c r="AX400" s="47"/>
      <c r="AY400" s="47"/>
      <c r="AZ400" s="47"/>
      <c r="BA400" s="47"/>
      <c r="BB400" s="47"/>
      <c r="BC400" s="47"/>
      <c r="BD400" s="47"/>
      <c r="BE400" s="47"/>
      <c r="BF400" s="47"/>
      <c r="BG400" s="47"/>
      <c r="BH400" s="47"/>
      <c r="BI400" s="47"/>
      <c r="BJ400" s="47"/>
      <c r="BK400" s="47"/>
      <c r="BL400" s="47"/>
      <c r="BM400" s="47"/>
      <c r="BN400" s="47"/>
      <c r="BO400" s="47"/>
      <c r="BP400" s="47"/>
      <c r="BQ400" s="47"/>
      <c r="BR400" s="47"/>
      <c r="BS400" s="47"/>
      <c r="BT400" s="47"/>
      <c r="BU400" s="47"/>
      <c r="BV400" s="47"/>
      <c r="BW400" s="47"/>
      <c r="BX400" s="47"/>
      <c r="BY400" s="47"/>
      <c r="BZ400" s="47"/>
    </row>
    <row r="401" spans="1:78" ht="13">
      <c r="A401" s="48" t="str">
        <f ca="1">'.'!A401</f>
        <v>Slime</v>
      </c>
      <c r="B401" s="46" t="str">
        <f t="array" aca="1" ref="B401" ca="1">IF('.'!B401="","",'.'!B401&amp;IF(VLOOKUP('.'!B401,Recipes!$A:$D,4,FALSE)="",""," ["&amp;VLOOKUP('.'!B401,Recipes!$A:$D,4,FALSE)&amp;"]"))</f>
        <v>Poison Wave Scroll [135]</v>
      </c>
      <c r="C401" s="46" t="str">
        <f t="array" ref="C401">IF('.'!C401="","",'.'!C401&amp;IF(VLOOKUP('.'!C401,Recipes!$A:$D,4,FALSE)="",""," ["&amp;VLOOKUP('.'!C401,Recipes!$A:$D,4,FALSE)&amp;"]"))</f>
        <v/>
      </c>
      <c r="D401" s="46" t="str">
        <f t="array" ref="D401">IF('.'!D401="","",'.'!D401&amp;IF(VLOOKUP('.'!D401,Recipes!$A:$D,4,FALSE)="",""," ["&amp;VLOOKUP('.'!D401,Recipes!$A:$D,4,FALSE)&amp;"]"))</f>
        <v/>
      </c>
      <c r="E401" s="46" t="str">
        <f t="array" ref="E401">IF('.'!E401="","",'.'!E401&amp;IF(VLOOKUP('.'!E401,Recipes!$A:$D,4,FALSE)="",""," ["&amp;VLOOKUP('.'!E401,Recipes!$A:$D,4,FALSE)&amp;"]"))</f>
        <v/>
      </c>
      <c r="F401" s="46" t="str">
        <f t="array" ref="F401">IF('.'!F401="","",'.'!F401&amp;IF(VLOOKUP('.'!F401,Recipes!$A:$D,4,FALSE)="",""," ["&amp;VLOOKUP('.'!F401,Recipes!$A:$D,4,FALSE)&amp;"]"))</f>
        <v/>
      </c>
      <c r="G401" s="46" t="str">
        <f t="array" ref="G401">IF('.'!G401="","",'.'!G401&amp;IF(VLOOKUP('.'!G401,Recipes!$A:$D,4,FALSE)="",""," ["&amp;VLOOKUP('.'!G401,Recipes!$A:$D,4,FALSE)&amp;"]"))</f>
        <v/>
      </c>
      <c r="H401" s="46" t="str">
        <f t="array" ref="H401">IF('.'!H401="","",'.'!H401&amp;IF(VLOOKUP('.'!H401,Recipes!$A:$D,4,FALSE)="",""," ["&amp;VLOOKUP('.'!H401,Recipes!$A:$D,4,FALSE)&amp;"]"))</f>
        <v/>
      </c>
      <c r="I401" s="46" t="str">
        <f t="array" ref="I401">IF('.'!I401="","",'.'!I401&amp;IF(VLOOKUP('.'!I401,Recipes!$A:$D,4,FALSE)="",""," ["&amp;VLOOKUP('.'!I401,Recipes!$A:$D,4,FALSE)&amp;"]"))</f>
        <v/>
      </c>
      <c r="J401" s="46" t="str">
        <f t="array" ref="J401">IF('.'!J401="","",'.'!J401&amp;IF(VLOOKUP('.'!J401,Recipes!$A:$D,4,FALSE)="",""," ["&amp;VLOOKUP('.'!J401,Recipes!$A:$D,4,FALSE)&amp;"]"))</f>
        <v/>
      </c>
      <c r="K401" s="46" t="str">
        <f t="array" ref="K401">IF('.'!K401="","",'.'!K401&amp;IF(VLOOKUP('.'!K401,Recipes!$A:$D,4,FALSE)="",""," ["&amp;VLOOKUP('.'!K401,Recipes!$A:$D,4,FALSE)&amp;"]"))</f>
        <v/>
      </c>
      <c r="L401" s="46" t="str">
        <f t="array" ref="L401">IF('.'!L401="","",'.'!L401&amp;IF(VLOOKUP('.'!L401,Recipes!$A:$D,4,FALSE)="",""," ["&amp;VLOOKUP('.'!L401,Recipes!$A:$D,4,FALSE)&amp;"]"))</f>
        <v/>
      </c>
      <c r="M401" s="46" t="str">
        <f t="array" ref="M401">IF('.'!M401="","",'.'!M401&amp;IF(VLOOKUP('.'!M401,Recipes!$A:$D,4,FALSE)="",""," ["&amp;VLOOKUP('.'!M401,Recipes!$A:$D,4,FALSE)&amp;"]"))</f>
        <v/>
      </c>
      <c r="N401" s="46" t="str">
        <f t="array" ref="N401">IF('.'!N401="","",'.'!N401&amp;IF(VLOOKUP('.'!N401,Recipes!$A:$D,4,FALSE)="",""," ["&amp;VLOOKUP('.'!N401,Recipes!$A:$D,4,FALSE)&amp;"]"))</f>
        <v/>
      </c>
      <c r="O401" s="46" t="str">
        <f t="array" ref="O401">IF('.'!O401="","",'.'!O401&amp;IF(VLOOKUP('.'!O401,Recipes!$A:$D,4,FALSE)="",""," ["&amp;VLOOKUP('.'!O401,Recipes!$A:$D,4,FALSE)&amp;"]"))</f>
        <v/>
      </c>
      <c r="P401" s="46" t="str">
        <f t="array" ref="P401">IF('.'!P401="","",'.'!P401&amp;IF(VLOOKUP('.'!P401,Recipes!$A:$D,4,FALSE)="",""," ["&amp;VLOOKUP('.'!P401,Recipes!$A:$D,4,FALSE)&amp;"]"))</f>
        <v/>
      </c>
      <c r="Q401" s="46" t="str">
        <f t="array" ref="Q401">IF('.'!Q401="","",'.'!Q401&amp;IF(VLOOKUP('.'!Q401,Recipes!$A:$D,4,FALSE)="",""," ["&amp;VLOOKUP('.'!Q401,Recipes!$A:$D,4,FALSE)&amp;"]"))</f>
        <v/>
      </c>
      <c r="R401" s="46" t="str">
        <f t="array" ref="R401">IF('.'!R401="","",'.'!R401&amp;IF(VLOOKUP('.'!R401,Recipes!$A:$D,4,FALSE)="",""," ["&amp;VLOOKUP('.'!R401,Recipes!$A:$D,4,FALSE)&amp;"]"))</f>
        <v/>
      </c>
      <c r="S401" s="46" t="str">
        <f t="array" ref="S401">IF('.'!S401="","",'.'!S401&amp;IF(VLOOKUP('.'!S401,Recipes!$A:$D,4,FALSE)="",""," ["&amp;VLOOKUP('.'!S401,Recipes!$A:$D,4,FALSE)&amp;"]"))</f>
        <v/>
      </c>
      <c r="T401" s="46" t="str">
        <f t="array" ref="T401">IF('.'!T401="","",'.'!T401&amp;IF(VLOOKUP('.'!T401,Recipes!$A:$D,4,FALSE)="",""," ["&amp;VLOOKUP('.'!T401,Recipes!$A:$D,4,FALSE)&amp;"]"))</f>
        <v/>
      </c>
      <c r="U401" s="46" t="str">
        <f t="array" ref="U401">IF('.'!U401="","",'.'!U401&amp;IF(VLOOKUP('.'!U401,Recipes!$A:$D,4,FALSE)="",""," ["&amp;VLOOKUP('.'!U401,Recipes!$A:$D,4,FALSE)&amp;"]"))</f>
        <v/>
      </c>
      <c r="V401" s="46" t="str">
        <f t="array" ref="V401">IF('.'!V401="","",'.'!V401&amp;IF(VLOOKUP('.'!V401,Recipes!$A:$D,4,FALSE)="",""," ["&amp;VLOOKUP('.'!V401,Recipes!$A:$D,4,FALSE)&amp;"]"))</f>
        <v/>
      </c>
      <c r="W401" s="46" t="str">
        <f t="array" ref="W401">IF('.'!W401="","",'.'!W401&amp;IF(VLOOKUP('.'!W401,Recipes!$A:$D,4,FALSE)="",""," ["&amp;VLOOKUP('.'!W401,Recipes!$A:$D,4,FALSE)&amp;"]"))</f>
        <v/>
      </c>
      <c r="X401" s="46" t="str">
        <f t="array" ref="X401">IF('.'!X401="","",'.'!X401&amp;IF(VLOOKUP('.'!X401,Recipes!$A:$D,4,FALSE)="",""," ["&amp;VLOOKUP('.'!X401,Recipes!$A:$D,4,FALSE)&amp;"]"))</f>
        <v/>
      </c>
      <c r="Y401" s="46" t="str">
        <f t="array" ref="Y401">IF('.'!Y401="","",'.'!Y401&amp;IF(VLOOKUP('.'!Y401,Recipes!$A:$D,4,FALSE)="",""," ["&amp;VLOOKUP('.'!Y401,Recipes!$A:$D,4,FALSE)&amp;"]"))</f>
        <v/>
      </c>
      <c r="Z401" s="46" t="str">
        <f t="array" ref="Z401">IF('.'!Z401="","",'.'!Z401&amp;IF(VLOOKUP('.'!Z401,Recipes!$A:$D,4,FALSE)="",""," ["&amp;VLOOKUP('.'!Z401,Recipes!$A:$D,4,FALSE)&amp;"]"))</f>
        <v/>
      </c>
      <c r="AA401" s="46" t="str">
        <f t="array" ref="AA401">IF('.'!AA401="","",'.'!AA401&amp;IF(VLOOKUP('.'!AA401,Recipes!$A:$D,4,FALSE)="",""," ["&amp;VLOOKUP('.'!AA401,Recipes!$A:$D,4,FALSE)&amp;"]"))</f>
        <v/>
      </c>
      <c r="AB401" s="46" t="str">
        <f t="array" ref="AB401">IF('.'!AB401="","",'.'!AB401&amp;IF(VLOOKUP('.'!AB401,Recipes!$A:$D,4,FALSE)="",""," ["&amp;VLOOKUP('.'!AB401,Recipes!$A:$D,4,FALSE)&amp;"]"))</f>
        <v/>
      </c>
      <c r="AC401" s="46" t="str">
        <f t="array" ref="AC401">IF('.'!AC401="","",'.'!AC401&amp;IF(VLOOKUP('.'!AC401,Recipes!$A:$D,4,FALSE)="",""," ["&amp;VLOOKUP('.'!AC401,Recipes!$A:$D,4,FALSE)&amp;"]"))</f>
        <v/>
      </c>
      <c r="AD401" s="46" t="str">
        <f t="array" ref="AD401">IF('.'!AD401="","",'.'!AD401&amp;IF(VLOOKUP('.'!AD401,Recipes!$A:$D,4,FALSE)="",""," ["&amp;VLOOKUP('.'!AD401,Recipes!$A:$D,4,FALSE)&amp;"]"))</f>
        <v/>
      </c>
      <c r="AE401" s="47" t="str">
        <f t="array" ref="AE401">IF('.'!AE401="","",'.'!AE401&amp;IF(VLOOKUP('.'!AE401,Recipes!$A:$D,4,FALSE)="",""," ["&amp;VLOOKUP('.'!AE401,Recipes!$A:$D,4,FALSE)&amp;"]"))</f>
        <v/>
      </c>
      <c r="AF401" s="47"/>
      <c r="AG401" s="47"/>
      <c r="AH401" s="47"/>
      <c r="AI401" s="47"/>
      <c r="AJ401" s="47"/>
      <c r="AK401" s="47"/>
      <c r="AL401" s="47"/>
      <c r="AM401" s="47"/>
      <c r="AN401" s="47"/>
      <c r="AO401" s="47"/>
      <c r="AP401" s="47"/>
      <c r="AQ401" s="47"/>
      <c r="AR401" s="47"/>
      <c r="AS401" s="47"/>
      <c r="AT401" s="47"/>
      <c r="AU401" s="47"/>
      <c r="AV401" s="47"/>
      <c r="AW401" s="47"/>
      <c r="AX401" s="47"/>
      <c r="AY401" s="47"/>
      <c r="AZ401" s="47"/>
      <c r="BA401" s="47"/>
      <c r="BB401" s="47"/>
      <c r="BC401" s="47"/>
      <c r="BD401" s="47"/>
      <c r="BE401" s="47"/>
      <c r="BF401" s="47"/>
      <c r="BG401" s="47"/>
      <c r="BH401" s="47"/>
      <c r="BI401" s="47"/>
      <c r="BJ401" s="47"/>
      <c r="BK401" s="47"/>
      <c r="BL401" s="47"/>
      <c r="BM401" s="47"/>
      <c r="BN401" s="47"/>
      <c r="BO401" s="47"/>
      <c r="BP401" s="47"/>
      <c r="BQ401" s="47"/>
      <c r="BR401" s="47"/>
      <c r="BS401" s="47"/>
      <c r="BT401" s="47"/>
      <c r="BU401" s="47"/>
      <c r="BV401" s="47"/>
      <c r="BW401" s="47"/>
      <c r="BX401" s="47"/>
      <c r="BY401" s="47"/>
      <c r="BZ401" s="47"/>
    </row>
    <row r="402" spans="1:78" ht="13">
      <c r="A402" s="48" t="str">
        <f ca="1">'.'!A402</f>
        <v>Slowdown Arrowhead</v>
      </c>
      <c r="B402" s="46" t="str">
        <f t="array" aca="1" ref="B402" ca="1">IF('.'!B402="","",'.'!B402&amp;IF(VLOOKUP('.'!B402,Recipes!$A:$D,4,FALSE)="",""," ["&amp;VLOOKUP('.'!B402,Recipes!$A:$D,4,FALSE)&amp;"]"))</f>
        <v>Slowdown Arrow [9]</v>
      </c>
      <c r="C402" s="46" t="str">
        <f t="array" ref="C402">IF('.'!C402="","",'.'!C402&amp;IF(VLOOKUP('.'!C402,Recipes!$A:$D,4,FALSE)="",""," ["&amp;VLOOKUP('.'!C402,Recipes!$A:$D,4,FALSE)&amp;"]"))</f>
        <v/>
      </c>
      <c r="D402" s="46" t="str">
        <f t="array" ref="D402">IF('.'!D402="","",'.'!D402&amp;IF(VLOOKUP('.'!D402,Recipes!$A:$D,4,FALSE)="",""," ["&amp;VLOOKUP('.'!D402,Recipes!$A:$D,4,FALSE)&amp;"]"))</f>
        <v/>
      </c>
      <c r="E402" s="46" t="str">
        <f t="array" ref="E402">IF('.'!E402="","",'.'!E402&amp;IF(VLOOKUP('.'!E402,Recipes!$A:$D,4,FALSE)="",""," ["&amp;VLOOKUP('.'!E402,Recipes!$A:$D,4,FALSE)&amp;"]"))</f>
        <v/>
      </c>
      <c r="F402" s="46" t="str">
        <f t="array" ref="F402">IF('.'!F402="","",'.'!F402&amp;IF(VLOOKUP('.'!F402,Recipes!$A:$D,4,FALSE)="",""," ["&amp;VLOOKUP('.'!F402,Recipes!$A:$D,4,FALSE)&amp;"]"))</f>
        <v/>
      </c>
      <c r="G402" s="46" t="str">
        <f t="array" ref="G402">IF('.'!G402="","",'.'!G402&amp;IF(VLOOKUP('.'!G402,Recipes!$A:$D,4,FALSE)="",""," ["&amp;VLOOKUP('.'!G402,Recipes!$A:$D,4,FALSE)&amp;"]"))</f>
        <v/>
      </c>
      <c r="H402" s="46" t="str">
        <f t="array" ref="H402">IF('.'!H402="","",'.'!H402&amp;IF(VLOOKUP('.'!H402,Recipes!$A:$D,4,FALSE)="",""," ["&amp;VLOOKUP('.'!H402,Recipes!$A:$D,4,FALSE)&amp;"]"))</f>
        <v/>
      </c>
      <c r="I402" s="46" t="str">
        <f t="array" ref="I402">IF('.'!I402="","",'.'!I402&amp;IF(VLOOKUP('.'!I402,Recipes!$A:$D,4,FALSE)="",""," ["&amp;VLOOKUP('.'!I402,Recipes!$A:$D,4,FALSE)&amp;"]"))</f>
        <v/>
      </c>
      <c r="J402" s="46" t="str">
        <f t="array" ref="J402">IF('.'!J402="","",'.'!J402&amp;IF(VLOOKUP('.'!J402,Recipes!$A:$D,4,FALSE)="",""," ["&amp;VLOOKUP('.'!J402,Recipes!$A:$D,4,FALSE)&amp;"]"))</f>
        <v/>
      </c>
      <c r="K402" s="46" t="str">
        <f t="array" ref="K402">IF('.'!K402="","",'.'!K402&amp;IF(VLOOKUP('.'!K402,Recipes!$A:$D,4,FALSE)="",""," ["&amp;VLOOKUP('.'!K402,Recipes!$A:$D,4,FALSE)&amp;"]"))</f>
        <v/>
      </c>
      <c r="L402" s="46" t="str">
        <f t="array" ref="L402">IF('.'!L402="","",'.'!L402&amp;IF(VLOOKUP('.'!L402,Recipes!$A:$D,4,FALSE)="",""," ["&amp;VLOOKUP('.'!L402,Recipes!$A:$D,4,FALSE)&amp;"]"))</f>
        <v/>
      </c>
      <c r="M402" s="46" t="str">
        <f t="array" ref="M402">IF('.'!M402="","",'.'!M402&amp;IF(VLOOKUP('.'!M402,Recipes!$A:$D,4,FALSE)="",""," ["&amp;VLOOKUP('.'!M402,Recipes!$A:$D,4,FALSE)&amp;"]"))</f>
        <v/>
      </c>
      <c r="N402" s="46" t="str">
        <f t="array" ref="N402">IF('.'!N402="","",'.'!N402&amp;IF(VLOOKUP('.'!N402,Recipes!$A:$D,4,FALSE)="",""," ["&amp;VLOOKUP('.'!N402,Recipes!$A:$D,4,FALSE)&amp;"]"))</f>
        <v/>
      </c>
      <c r="O402" s="46" t="str">
        <f t="array" ref="O402">IF('.'!O402="","",'.'!O402&amp;IF(VLOOKUP('.'!O402,Recipes!$A:$D,4,FALSE)="",""," ["&amp;VLOOKUP('.'!O402,Recipes!$A:$D,4,FALSE)&amp;"]"))</f>
        <v/>
      </c>
      <c r="P402" s="46" t="str">
        <f t="array" ref="P402">IF('.'!P402="","",'.'!P402&amp;IF(VLOOKUP('.'!P402,Recipes!$A:$D,4,FALSE)="",""," ["&amp;VLOOKUP('.'!P402,Recipes!$A:$D,4,FALSE)&amp;"]"))</f>
        <v/>
      </c>
      <c r="Q402" s="46" t="str">
        <f t="array" ref="Q402">IF('.'!Q402="","",'.'!Q402&amp;IF(VLOOKUP('.'!Q402,Recipes!$A:$D,4,FALSE)="",""," ["&amp;VLOOKUP('.'!Q402,Recipes!$A:$D,4,FALSE)&amp;"]"))</f>
        <v/>
      </c>
      <c r="R402" s="46" t="str">
        <f t="array" ref="R402">IF('.'!R402="","",'.'!R402&amp;IF(VLOOKUP('.'!R402,Recipes!$A:$D,4,FALSE)="",""," ["&amp;VLOOKUP('.'!R402,Recipes!$A:$D,4,FALSE)&amp;"]"))</f>
        <v/>
      </c>
      <c r="S402" s="46" t="str">
        <f t="array" ref="S402">IF('.'!S402="","",'.'!S402&amp;IF(VLOOKUP('.'!S402,Recipes!$A:$D,4,FALSE)="",""," ["&amp;VLOOKUP('.'!S402,Recipes!$A:$D,4,FALSE)&amp;"]"))</f>
        <v/>
      </c>
      <c r="T402" s="46" t="str">
        <f t="array" ref="T402">IF('.'!T402="","",'.'!T402&amp;IF(VLOOKUP('.'!T402,Recipes!$A:$D,4,FALSE)="",""," ["&amp;VLOOKUP('.'!T402,Recipes!$A:$D,4,FALSE)&amp;"]"))</f>
        <v/>
      </c>
      <c r="U402" s="46" t="str">
        <f t="array" ref="U402">IF('.'!U402="","",'.'!U402&amp;IF(VLOOKUP('.'!U402,Recipes!$A:$D,4,FALSE)="",""," ["&amp;VLOOKUP('.'!U402,Recipes!$A:$D,4,FALSE)&amp;"]"))</f>
        <v/>
      </c>
      <c r="V402" s="46" t="str">
        <f t="array" ref="V402">IF('.'!V402="","",'.'!V402&amp;IF(VLOOKUP('.'!V402,Recipes!$A:$D,4,FALSE)="",""," ["&amp;VLOOKUP('.'!V402,Recipes!$A:$D,4,FALSE)&amp;"]"))</f>
        <v/>
      </c>
      <c r="W402" s="46" t="str">
        <f t="array" ref="W402">IF('.'!W402="","",'.'!W402&amp;IF(VLOOKUP('.'!W402,Recipes!$A:$D,4,FALSE)="",""," ["&amp;VLOOKUP('.'!W402,Recipes!$A:$D,4,FALSE)&amp;"]"))</f>
        <v/>
      </c>
      <c r="X402" s="46" t="str">
        <f t="array" ref="X402">IF('.'!X402="","",'.'!X402&amp;IF(VLOOKUP('.'!X402,Recipes!$A:$D,4,FALSE)="",""," ["&amp;VLOOKUP('.'!X402,Recipes!$A:$D,4,FALSE)&amp;"]"))</f>
        <v/>
      </c>
      <c r="Y402" s="46" t="str">
        <f t="array" ref="Y402">IF('.'!Y402="","",'.'!Y402&amp;IF(VLOOKUP('.'!Y402,Recipes!$A:$D,4,FALSE)="",""," ["&amp;VLOOKUP('.'!Y402,Recipes!$A:$D,4,FALSE)&amp;"]"))</f>
        <v/>
      </c>
      <c r="Z402" s="46" t="str">
        <f t="array" ref="Z402">IF('.'!Z402="","",'.'!Z402&amp;IF(VLOOKUP('.'!Z402,Recipes!$A:$D,4,FALSE)="",""," ["&amp;VLOOKUP('.'!Z402,Recipes!$A:$D,4,FALSE)&amp;"]"))</f>
        <v/>
      </c>
      <c r="AA402" s="46" t="str">
        <f t="array" ref="AA402">IF('.'!AA402="","",'.'!AA402&amp;IF(VLOOKUP('.'!AA402,Recipes!$A:$D,4,FALSE)="",""," ["&amp;VLOOKUP('.'!AA402,Recipes!$A:$D,4,FALSE)&amp;"]"))</f>
        <v/>
      </c>
      <c r="AB402" s="46" t="str">
        <f t="array" ref="AB402">IF('.'!AB402="","",'.'!AB402&amp;IF(VLOOKUP('.'!AB402,Recipes!$A:$D,4,FALSE)="",""," ["&amp;VLOOKUP('.'!AB402,Recipes!$A:$D,4,FALSE)&amp;"]"))</f>
        <v/>
      </c>
      <c r="AC402" s="46" t="str">
        <f t="array" ref="AC402">IF('.'!AC402="","",'.'!AC402&amp;IF(VLOOKUP('.'!AC402,Recipes!$A:$D,4,FALSE)="",""," ["&amp;VLOOKUP('.'!AC402,Recipes!$A:$D,4,FALSE)&amp;"]"))</f>
        <v/>
      </c>
      <c r="AD402" s="46" t="str">
        <f t="array" ref="AD402">IF('.'!AD402="","",'.'!AD402&amp;IF(VLOOKUP('.'!AD402,Recipes!$A:$D,4,FALSE)="",""," ["&amp;VLOOKUP('.'!AD402,Recipes!$A:$D,4,FALSE)&amp;"]"))</f>
        <v/>
      </c>
      <c r="AE402" s="47" t="str">
        <f t="array" ref="AE402">IF('.'!AE402="","",'.'!AE402&amp;IF(VLOOKUP('.'!AE402,Recipes!$A:$D,4,FALSE)="",""," ["&amp;VLOOKUP('.'!AE402,Recipes!$A:$D,4,FALSE)&amp;"]"))</f>
        <v/>
      </c>
      <c r="AF402" s="47"/>
      <c r="AG402" s="47"/>
      <c r="AH402" s="47"/>
      <c r="AI402" s="47"/>
      <c r="AJ402" s="47"/>
      <c r="AK402" s="47"/>
      <c r="AL402" s="47"/>
      <c r="AM402" s="47"/>
      <c r="AN402" s="47"/>
      <c r="AO402" s="47"/>
      <c r="AP402" s="47"/>
      <c r="AQ402" s="47"/>
      <c r="AR402" s="47"/>
      <c r="AS402" s="47"/>
      <c r="AT402" s="47"/>
      <c r="AU402" s="47"/>
      <c r="AV402" s="47"/>
      <c r="AW402" s="47"/>
      <c r="AX402" s="47"/>
      <c r="AY402" s="47"/>
      <c r="AZ402" s="47"/>
      <c r="BA402" s="47"/>
      <c r="BB402" s="47"/>
      <c r="BC402" s="47"/>
      <c r="BD402" s="47"/>
      <c r="BE402" s="47"/>
      <c r="BF402" s="47"/>
      <c r="BG402" s="47"/>
      <c r="BH402" s="47"/>
      <c r="BI402" s="47"/>
      <c r="BJ402" s="47"/>
      <c r="BK402" s="47"/>
      <c r="BL402" s="47"/>
      <c r="BM402" s="47"/>
      <c r="BN402" s="47"/>
      <c r="BO402" s="47"/>
      <c r="BP402" s="47"/>
      <c r="BQ402" s="47"/>
      <c r="BR402" s="47"/>
      <c r="BS402" s="47"/>
      <c r="BT402" s="47"/>
      <c r="BU402" s="47"/>
      <c r="BV402" s="47"/>
      <c r="BW402" s="47"/>
      <c r="BX402" s="47"/>
      <c r="BY402" s="47"/>
      <c r="BZ402" s="47"/>
    </row>
    <row r="403" spans="1:78" ht="13">
      <c r="A403" s="48" t="str">
        <f ca="1">'.'!A403</f>
        <v>Small Air Resistance Potion</v>
      </c>
      <c r="B403" s="46" t="str">
        <f t="array" aca="1" ref="B403" ca="1">IF('.'!B403="","",'.'!B403&amp;IF(VLOOKUP('.'!B403,Recipes!$A:$D,4,FALSE)="",""," ["&amp;VLOOKUP('.'!B403,Recipes!$A:$D,4,FALSE)&amp;"]"))</f>
        <v>Razze Dazzle Grenade [-20]</v>
      </c>
      <c r="C403" s="46" t="str">
        <f t="array" aca="1" ref="C403" ca="1">IF('.'!C403="","",'.'!C403&amp;IF(VLOOKUP('.'!C403,Recipes!$A:$D,4,FALSE)="",""," ["&amp;VLOOKUP('.'!C403,Recipes!$A:$D,4,FALSE)&amp;"]"))</f>
        <v>Medium Air Resistance Potion [-35]</v>
      </c>
      <c r="D403" s="46" t="str">
        <f t="array" ref="D403">IF('.'!D403="","",'.'!D403&amp;IF(VLOOKUP('.'!D403,Recipes!$A:$D,4,FALSE)="",""," ["&amp;VLOOKUP('.'!D403,Recipes!$A:$D,4,FALSE)&amp;"]"))</f>
        <v/>
      </c>
      <c r="E403" s="46" t="str">
        <f t="array" ref="E403">IF('.'!E403="","",'.'!E403&amp;IF(VLOOKUP('.'!E403,Recipes!$A:$D,4,FALSE)="",""," ["&amp;VLOOKUP('.'!E403,Recipes!$A:$D,4,FALSE)&amp;"]"))</f>
        <v/>
      </c>
      <c r="F403" s="46" t="str">
        <f t="array" ref="F403">IF('.'!F403="","",'.'!F403&amp;IF(VLOOKUP('.'!F403,Recipes!$A:$D,4,FALSE)="",""," ["&amp;VLOOKUP('.'!F403,Recipes!$A:$D,4,FALSE)&amp;"]"))</f>
        <v/>
      </c>
      <c r="G403" s="46" t="str">
        <f t="array" ref="G403">IF('.'!G403="","",'.'!G403&amp;IF(VLOOKUP('.'!G403,Recipes!$A:$D,4,FALSE)="",""," ["&amp;VLOOKUP('.'!G403,Recipes!$A:$D,4,FALSE)&amp;"]"))</f>
        <v/>
      </c>
      <c r="H403" s="46" t="str">
        <f t="array" ref="H403">IF('.'!H403="","",'.'!H403&amp;IF(VLOOKUP('.'!H403,Recipes!$A:$D,4,FALSE)="",""," ["&amp;VLOOKUP('.'!H403,Recipes!$A:$D,4,FALSE)&amp;"]"))</f>
        <v/>
      </c>
      <c r="I403" s="46" t="str">
        <f t="array" ref="I403">IF('.'!I403="","",'.'!I403&amp;IF(VLOOKUP('.'!I403,Recipes!$A:$D,4,FALSE)="",""," ["&amp;VLOOKUP('.'!I403,Recipes!$A:$D,4,FALSE)&amp;"]"))</f>
        <v/>
      </c>
      <c r="J403" s="46" t="str">
        <f t="array" ref="J403">IF('.'!J403="","",'.'!J403&amp;IF(VLOOKUP('.'!J403,Recipes!$A:$D,4,FALSE)="",""," ["&amp;VLOOKUP('.'!J403,Recipes!$A:$D,4,FALSE)&amp;"]"))</f>
        <v/>
      </c>
      <c r="K403" s="46" t="str">
        <f t="array" ref="K403">IF('.'!K403="","",'.'!K403&amp;IF(VLOOKUP('.'!K403,Recipes!$A:$D,4,FALSE)="",""," ["&amp;VLOOKUP('.'!K403,Recipes!$A:$D,4,FALSE)&amp;"]"))</f>
        <v/>
      </c>
      <c r="L403" s="46" t="str">
        <f t="array" ref="L403">IF('.'!L403="","",'.'!L403&amp;IF(VLOOKUP('.'!L403,Recipes!$A:$D,4,FALSE)="",""," ["&amp;VLOOKUP('.'!L403,Recipes!$A:$D,4,FALSE)&amp;"]"))</f>
        <v/>
      </c>
      <c r="M403" s="46" t="str">
        <f t="array" ref="M403">IF('.'!M403="","",'.'!M403&amp;IF(VLOOKUP('.'!M403,Recipes!$A:$D,4,FALSE)="",""," ["&amp;VLOOKUP('.'!M403,Recipes!$A:$D,4,FALSE)&amp;"]"))</f>
        <v/>
      </c>
      <c r="N403" s="46" t="str">
        <f t="array" ref="N403">IF('.'!N403="","",'.'!N403&amp;IF(VLOOKUP('.'!N403,Recipes!$A:$D,4,FALSE)="",""," ["&amp;VLOOKUP('.'!N403,Recipes!$A:$D,4,FALSE)&amp;"]"))</f>
        <v/>
      </c>
      <c r="O403" s="46" t="str">
        <f t="array" ref="O403">IF('.'!O403="","",'.'!O403&amp;IF(VLOOKUP('.'!O403,Recipes!$A:$D,4,FALSE)="",""," ["&amp;VLOOKUP('.'!O403,Recipes!$A:$D,4,FALSE)&amp;"]"))</f>
        <v/>
      </c>
      <c r="P403" s="46" t="str">
        <f t="array" ref="P403">IF('.'!P403="","",'.'!P403&amp;IF(VLOOKUP('.'!P403,Recipes!$A:$D,4,FALSE)="",""," ["&amp;VLOOKUP('.'!P403,Recipes!$A:$D,4,FALSE)&amp;"]"))</f>
        <v/>
      </c>
      <c r="Q403" s="46" t="str">
        <f t="array" ref="Q403">IF('.'!Q403="","",'.'!Q403&amp;IF(VLOOKUP('.'!Q403,Recipes!$A:$D,4,FALSE)="",""," ["&amp;VLOOKUP('.'!Q403,Recipes!$A:$D,4,FALSE)&amp;"]"))</f>
        <v/>
      </c>
      <c r="R403" s="46" t="str">
        <f t="array" ref="R403">IF('.'!R403="","",'.'!R403&amp;IF(VLOOKUP('.'!R403,Recipes!$A:$D,4,FALSE)="",""," ["&amp;VLOOKUP('.'!R403,Recipes!$A:$D,4,FALSE)&amp;"]"))</f>
        <v/>
      </c>
      <c r="S403" s="46" t="str">
        <f t="array" ref="S403">IF('.'!S403="","",'.'!S403&amp;IF(VLOOKUP('.'!S403,Recipes!$A:$D,4,FALSE)="",""," ["&amp;VLOOKUP('.'!S403,Recipes!$A:$D,4,FALSE)&amp;"]"))</f>
        <v/>
      </c>
      <c r="T403" s="46" t="str">
        <f t="array" ref="T403">IF('.'!T403="","",'.'!T403&amp;IF(VLOOKUP('.'!T403,Recipes!$A:$D,4,FALSE)="",""," ["&amp;VLOOKUP('.'!T403,Recipes!$A:$D,4,FALSE)&amp;"]"))</f>
        <v/>
      </c>
      <c r="U403" s="46" t="str">
        <f t="array" ref="U403">IF('.'!U403="","",'.'!U403&amp;IF(VLOOKUP('.'!U403,Recipes!$A:$D,4,FALSE)="",""," ["&amp;VLOOKUP('.'!U403,Recipes!$A:$D,4,FALSE)&amp;"]"))</f>
        <v/>
      </c>
      <c r="V403" s="46" t="str">
        <f t="array" ref="V403">IF('.'!V403="","",'.'!V403&amp;IF(VLOOKUP('.'!V403,Recipes!$A:$D,4,FALSE)="",""," ["&amp;VLOOKUP('.'!V403,Recipes!$A:$D,4,FALSE)&amp;"]"))</f>
        <v/>
      </c>
      <c r="W403" s="46" t="str">
        <f t="array" ref="W403">IF('.'!W403="","",'.'!W403&amp;IF(VLOOKUP('.'!W403,Recipes!$A:$D,4,FALSE)="",""," ["&amp;VLOOKUP('.'!W403,Recipes!$A:$D,4,FALSE)&amp;"]"))</f>
        <v/>
      </c>
      <c r="X403" s="46" t="str">
        <f t="array" ref="X403">IF('.'!X403="","",'.'!X403&amp;IF(VLOOKUP('.'!X403,Recipes!$A:$D,4,FALSE)="",""," ["&amp;VLOOKUP('.'!X403,Recipes!$A:$D,4,FALSE)&amp;"]"))</f>
        <v/>
      </c>
      <c r="Y403" s="46" t="str">
        <f t="array" ref="Y403">IF('.'!Y403="","",'.'!Y403&amp;IF(VLOOKUP('.'!Y403,Recipes!$A:$D,4,FALSE)="",""," ["&amp;VLOOKUP('.'!Y403,Recipes!$A:$D,4,FALSE)&amp;"]"))</f>
        <v/>
      </c>
      <c r="Z403" s="46" t="str">
        <f t="array" ref="Z403">IF('.'!Z403="","",'.'!Z403&amp;IF(VLOOKUP('.'!Z403,Recipes!$A:$D,4,FALSE)="",""," ["&amp;VLOOKUP('.'!Z403,Recipes!$A:$D,4,FALSE)&amp;"]"))</f>
        <v/>
      </c>
      <c r="AA403" s="46" t="str">
        <f t="array" ref="AA403">IF('.'!AA403="","",'.'!AA403&amp;IF(VLOOKUP('.'!AA403,Recipes!$A:$D,4,FALSE)="",""," ["&amp;VLOOKUP('.'!AA403,Recipes!$A:$D,4,FALSE)&amp;"]"))</f>
        <v/>
      </c>
      <c r="AB403" s="46" t="str">
        <f t="array" ref="AB403">IF('.'!AB403="","",'.'!AB403&amp;IF(VLOOKUP('.'!AB403,Recipes!$A:$D,4,FALSE)="",""," ["&amp;VLOOKUP('.'!AB403,Recipes!$A:$D,4,FALSE)&amp;"]"))</f>
        <v/>
      </c>
      <c r="AC403" s="46" t="str">
        <f t="array" ref="AC403">IF('.'!AC403="","",'.'!AC403&amp;IF(VLOOKUP('.'!AC403,Recipes!$A:$D,4,FALSE)="",""," ["&amp;VLOOKUP('.'!AC403,Recipes!$A:$D,4,FALSE)&amp;"]"))</f>
        <v/>
      </c>
      <c r="AD403" s="46" t="str">
        <f t="array" ref="AD403">IF('.'!AD403="","",'.'!AD403&amp;IF(VLOOKUP('.'!AD403,Recipes!$A:$D,4,FALSE)="",""," ["&amp;VLOOKUP('.'!AD403,Recipes!$A:$D,4,FALSE)&amp;"]"))</f>
        <v/>
      </c>
      <c r="AE403" s="47" t="str">
        <f t="array" ref="AE403">IF('.'!AE403="","",'.'!AE403&amp;IF(VLOOKUP('.'!AE403,Recipes!$A:$D,4,FALSE)="",""," ["&amp;VLOOKUP('.'!AE403,Recipes!$A:$D,4,FALSE)&amp;"]"))</f>
        <v/>
      </c>
      <c r="AF403" s="47"/>
      <c r="AG403" s="47"/>
      <c r="AH403" s="47"/>
      <c r="AI403" s="47"/>
      <c r="AJ403" s="47"/>
      <c r="AK403" s="47"/>
      <c r="AL403" s="47"/>
      <c r="AM403" s="47"/>
      <c r="AN403" s="47"/>
      <c r="AO403" s="47"/>
      <c r="AP403" s="47"/>
      <c r="AQ403" s="47"/>
      <c r="AR403" s="47"/>
      <c r="AS403" s="47"/>
      <c r="AT403" s="47"/>
      <c r="AU403" s="47"/>
      <c r="AV403" s="47"/>
      <c r="AW403" s="47"/>
      <c r="AX403" s="47"/>
      <c r="AY403" s="47"/>
      <c r="AZ403" s="47"/>
      <c r="BA403" s="47"/>
      <c r="BB403" s="47"/>
      <c r="BC403" s="47"/>
      <c r="BD403" s="47"/>
      <c r="BE403" s="47"/>
      <c r="BF403" s="47"/>
      <c r="BG403" s="47"/>
      <c r="BH403" s="47"/>
      <c r="BI403" s="47"/>
      <c r="BJ403" s="47"/>
      <c r="BK403" s="47"/>
      <c r="BL403" s="47"/>
      <c r="BM403" s="47"/>
      <c r="BN403" s="47"/>
      <c r="BO403" s="47"/>
      <c r="BP403" s="47"/>
      <c r="BQ403" s="47"/>
      <c r="BR403" s="47"/>
      <c r="BS403" s="47"/>
      <c r="BT403" s="47"/>
      <c r="BU403" s="47"/>
      <c r="BV403" s="47"/>
      <c r="BW403" s="47"/>
      <c r="BX403" s="47"/>
      <c r="BY403" s="47"/>
      <c r="BZ403" s="47"/>
    </row>
    <row r="404" spans="1:78" ht="13">
      <c r="A404" s="48" t="str">
        <f ca="1">'.'!A404</f>
        <v>Small Flame Rune</v>
      </c>
      <c r="B404" s="46" t="str">
        <f t="array" aca="1" ref="B404" ca="1">IF('.'!B404="","",'.'!B404&amp;IF(VLOOKUP('.'!B404,Recipes!$A:$D,4,FALSE)="",""," ["&amp;VLOOKUP('.'!B404,Recipes!$A:$D,4,FALSE)&amp;"]"))</f>
        <v>Medium Flame Rune [-370]</v>
      </c>
      <c r="C404" s="46" t="str">
        <f t="array" aca="1" ref="C404" ca="1">IF('.'!C404="","",'.'!C404&amp;IF(VLOOKUP('.'!C404,Recipes!$A:$D,4,FALSE)="",""," ["&amp;VLOOKUP('.'!C404,Recipes!$A:$D,4,FALSE)&amp;"]"))</f>
        <v>Mystical Small Flame Rune [0]</v>
      </c>
      <c r="D404" s="46" t="str">
        <f t="array" aca="1" ref="D404" ca="1">IF('.'!D404="","",'.'!D404&amp;IF(VLOOKUP('.'!D404,Recipes!$A:$D,4,FALSE)="",""," ["&amp;VLOOKUP('.'!D404,Recipes!$A:$D,4,FALSE)&amp;"]"))</f>
        <v>Small Flame Rune of Power [0]</v>
      </c>
      <c r="E404" s="46" t="str">
        <f t="array" ref="E404">IF('.'!E404="","",'.'!E404&amp;IF(VLOOKUP('.'!E404,Recipes!$A:$D,4,FALSE)="",""," ["&amp;VLOOKUP('.'!E404,Recipes!$A:$D,4,FALSE)&amp;"]"))</f>
        <v/>
      </c>
      <c r="F404" s="46" t="str">
        <f t="array" ref="F404">IF('.'!F404="","",'.'!F404&amp;IF(VLOOKUP('.'!F404,Recipes!$A:$D,4,FALSE)="",""," ["&amp;VLOOKUP('.'!F404,Recipes!$A:$D,4,FALSE)&amp;"]"))</f>
        <v/>
      </c>
      <c r="G404" s="46" t="str">
        <f t="array" ref="G404">IF('.'!G404="","",'.'!G404&amp;IF(VLOOKUP('.'!G404,Recipes!$A:$D,4,FALSE)="",""," ["&amp;VLOOKUP('.'!G404,Recipes!$A:$D,4,FALSE)&amp;"]"))</f>
        <v/>
      </c>
      <c r="H404" s="46" t="str">
        <f t="array" ref="H404">IF('.'!H404="","",'.'!H404&amp;IF(VLOOKUP('.'!H404,Recipes!$A:$D,4,FALSE)="",""," ["&amp;VLOOKUP('.'!H404,Recipes!$A:$D,4,FALSE)&amp;"]"))</f>
        <v/>
      </c>
      <c r="I404" s="46" t="str">
        <f t="array" ref="I404">IF('.'!I404="","",'.'!I404&amp;IF(VLOOKUP('.'!I404,Recipes!$A:$D,4,FALSE)="",""," ["&amp;VLOOKUP('.'!I404,Recipes!$A:$D,4,FALSE)&amp;"]"))</f>
        <v/>
      </c>
      <c r="J404" s="46" t="str">
        <f t="array" ref="J404">IF('.'!J404="","",'.'!J404&amp;IF(VLOOKUP('.'!J404,Recipes!$A:$D,4,FALSE)="",""," ["&amp;VLOOKUP('.'!J404,Recipes!$A:$D,4,FALSE)&amp;"]"))</f>
        <v/>
      </c>
      <c r="K404" s="46" t="str">
        <f t="array" ref="K404">IF('.'!K404="","",'.'!K404&amp;IF(VLOOKUP('.'!K404,Recipes!$A:$D,4,FALSE)="",""," ["&amp;VLOOKUP('.'!K404,Recipes!$A:$D,4,FALSE)&amp;"]"))</f>
        <v/>
      </c>
      <c r="L404" s="46" t="str">
        <f t="array" ref="L404">IF('.'!L404="","",'.'!L404&amp;IF(VLOOKUP('.'!L404,Recipes!$A:$D,4,FALSE)="",""," ["&amp;VLOOKUP('.'!L404,Recipes!$A:$D,4,FALSE)&amp;"]"))</f>
        <v/>
      </c>
      <c r="M404" s="46" t="str">
        <f t="array" ref="M404">IF('.'!M404="","",'.'!M404&amp;IF(VLOOKUP('.'!M404,Recipes!$A:$D,4,FALSE)="",""," ["&amp;VLOOKUP('.'!M404,Recipes!$A:$D,4,FALSE)&amp;"]"))</f>
        <v/>
      </c>
      <c r="N404" s="46" t="str">
        <f t="array" ref="N404">IF('.'!N404="","",'.'!N404&amp;IF(VLOOKUP('.'!N404,Recipes!$A:$D,4,FALSE)="",""," ["&amp;VLOOKUP('.'!N404,Recipes!$A:$D,4,FALSE)&amp;"]"))</f>
        <v/>
      </c>
      <c r="O404" s="46" t="str">
        <f t="array" ref="O404">IF('.'!O404="","",'.'!O404&amp;IF(VLOOKUP('.'!O404,Recipes!$A:$D,4,FALSE)="",""," ["&amp;VLOOKUP('.'!O404,Recipes!$A:$D,4,FALSE)&amp;"]"))</f>
        <v/>
      </c>
      <c r="P404" s="46" t="str">
        <f t="array" ref="P404">IF('.'!P404="","",'.'!P404&amp;IF(VLOOKUP('.'!P404,Recipes!$A:$D,4,FALSE)="",""," ["&amp;VLOOKUP('.'!P404,Recipes!$A:$D,4,FALSE)&amp;"]"))</f>
        <v/>
      </c>
      <c r="Q404" s="46" t="str">
        <f t="array" ref="Q404">IF('.'!Q404="","",'.'!Q404&amp;IF(VLOOKUP('.'!Q404,Recipes!$A:$D,4,FALSE)="",""," ["&amp;VLOOKUP('.'!Q404,Recipes!$A:$D,4,FALSE)&amp;"]"))</f>
        <v/>
      </c>
      <c r="R404" s="46" t="str">
        <f t="array" ref="R404">IF('.'!R404="","",'.'!R404&amp;IF(VLOOKUP('.'!R404,Recipes!$A:$D,4,FALSE)="",""," ["&amp;VLOOKUP('.'!R404,Recipes!$A:$D,4,FALSE)&amp;"]"))</f>
        <v/>
      </c>
      <c r="S404" s="46" t="str">
        <f t="array" ref="S404">IF('.'!S404="","",'.'!S404&amp;IF(VLOOKUP('.'!S404,Recipes!$A:$D,4,FALSE)="",""," ["&amp;VLOOKUP('.'!S404,Recipes!$A:$D,4,FALSE)&amp;"]"))</f>
        <v/>
      </c>
      <c r="T404" s="46" t="str">
        <f t="array" ref="T404">IF('.'!T404="","",'.'!T404&amp;IF(VLOOKUP('.'!T404,Recipes!$A:$D,4,FALSE)="",""," ["&amp;VLOOKUP('.'!T404,Recipes!$A:$D,4,FALSE)&amp;"]"))</f>
        <v/>
      </c>
      <c r="U404" s="46" t="str">
        <f t="array" ref="U404">IF('.'!U404="","",'.'!U404&amp;IF(VLOOKUP('.'!U404,Recipes!$A:$D,4,FALSE)="",""," ["&amp;VLOOKUP('.'!U404,Recipes!$A:$D,4,FALSE)&amp;"]"))</f>
        <v/>
      </c>
      <c r="V404" s="46" t="str">
        <f t="array" ref="V404">IF('.'!V404="","",'.'!V404&amp;IF(VLOOKUP('.'!V404,Recipes!$A:$D,4,FALSE)="",""," ["&amp;VLOOKUP('.'!V404,Recipes!$A:$D,4,FALSE)&amp;"]"))</f>
        <v/>
      </c>
      <c r="W404" s="46" t="str">
        <f t="array" ref="W404">IF('.'!W404="","",'.'!W404&amp;IF(VLOOKUP('.'!W404,Recipes!$A:$D,4,FALSE)="",""," ["&amp;VLOOKUP('.'!W404,Recipes!$A:$D,4,FALSE)&amp;"]"))</f>
        <v/>
      </c>
      <c r="X404" s="46" t="str">
        <f t="array" ref="X404">IF('.'!X404="","",'.'!X404&amp;IF(VLOOKUP('.'!X404,Recipes!$A:$D,4,FALSE)="",""," ["&amp;VLOOKUP('.'!X404,Recipes!$A:$D,4,FALSE)&amp;"]"))</f>
        <v/>
      </c>
      <c r="Y404" s="46" t="str">
        <f t="array" ref="Y404">IF('.'!Y404="","",'.'!Y404&amp;IF(VLOOKUP('.'!Y404,Recipes!$A:$D,4,FALSE)="",""," ["&amp;VLOOKUP('.'!Y404,Recipes!$A:$D,4,FALSE)&amp;"]"))</f>
        <v/>
      </c>
      <c r="Z404" s="46" t="str">
        <f t="array" ref="Z404">IF('.'!Z404="","",'.'!Z404&amp;IF(VLOOKUP('.'!Z404,Recipes!$A:$D,4,FALSE)="",""," ["&amp;VLOOKUP('.'!Z404,Recipes!$A:$D,4,FALSE)&amp;"]"))</f>
        <v/>
      </c>
      <c r="AA404" s="46" t="str">
        <f t="array" ref="AA404">IF('.'!AA404="","",'.'!AA404&amp;IF(VLOOKUP('.'!AA404,Recipes!$A:$D,4,FALSE)="",""," ["&amp;VLOOKUP('.'!AA404,Recipes!$A:$D,4,FALSE)&amp;"]"))</f>
        <v/>
      </c>
      <c r="AB404" s="46" t="str">
        <f t="array" ref="AB404">IF('.'!AB404="","",'.'!AB404&amp;IF(VLOOKUP('.'!AB404,Recipes!$A:$D,4,FALSE)="",""," ["&amp;VLOOKUP('.'!AB404,Recipes!$A:$D,4,FALSE)&amp;"]"))</f>
        <v/>
      </c>
      <c r="AC404" s="46" t="str">
        <f t="array" ref="AC404">IF('.'!AC404="","",'.'!AC404&amp;IF(VLOOKUP('.'!AC404,Recipes!$A:$D,4,FALSE)="",""," ["&amp;VLOOKUP('.'!AC404,Recipes!$A:$D,4,FALSE)&amp;"]"))</f>
        <v/>
      </c>
      <c r="AD404" s="46" t="str">
        <f t="array" ref="AD404">IF('.'!AD404="","",'.'!AD404&amp;IF(VLOOKUP('.'!AD404,Recipes!$A:$D,4,FALSE)="",""," ["&amp;VLOOKUP('.'!AD404,Recipes!$A:$D,4,FALSE)&amp;"]"))</f>
        <v/>
      </c>
      <c r="AE404" s="47" t="str">
        <f t="array" ref="AE404">IF('.'!AE404="","",'.'!AE404&amp;IF(VLOOKUP('.'!AE404,Recipes!$A:$D,4,FALSE)="",""," ["&amp;VLOOKUP('.'!AE404,Recipes!$A:$D,4,FALSE)&amp;"]"))</f>
        <v/>
      </c>
      <c r="AF404" s="47"/>
      <c r="AG404" s="47"/>
      <c r="AH404" s="47"/>
      <c r="AI404" s="47"/>
      <c r="AJ404" s="47"/>
      <c r="AK404" s="47"/>
      <c r="AL404" s="47"/>
      <c r="AM404" s="47"/>
      <c r="AN404" s="47"/>
      <c r="AO404" s="47"/>
      <c r="AP404" s="47"/>
      <c r="AQ404" s="47"/>
      <c r="AR404" s="47"/>
      <c r="AS404" s="47"/>
      <c r="AT404" s="47"/>
      <c r="AU404" s="47"/>
      <c r="AV404" s="47"/>
      <c r="AW404" s="47"/>
      <c r="AX404" s="47"/>
      <c r="AY404" s="47"/>
      <c r="AZ404" s="47"/>
      <c r="BA404" s="47"/>
      <c r="BB404" s="47"/>
      <c r="BC404" s="47"/>
      <c r="BD404" s="47"/>
      <c r="BE404" s="47"/>
      <c r="BF404" s="47"/>
      <c r="BG404" s="47"/>
      <c r="BH404" s="47"/>
      <c r="BI404" s="47"/>
      <c r="BJ404" s="47"/>
      <c r="BK404" s="47"/>
      <c r="BL404" s="47"/>
      <c r="BM404" s="47"/>
      <c r="BN404" s="47"/>
      <c r="BO404" s="47"/>
      <c r="BP404" s="47"/>
      <c r="BQ404" s="47"/>
      <c r="BR404" s="47"/>
      <c r="BS404" s="47"/>
      <c r="BT404" s="47"/>
      <c r="BU404" s="47"/>
      <c r="BV404" s="47"/>
      <c r="BW404" s="47"/>
      <c r="BX404" s="47"/>
      <c r="BY404" s="47"/>
      <c r="BZ404" s="47"/>
    </row>
    <row r="405" spans="1:78" ht="13">
      <c r="A405" s="48" t="str">
        <f ca="1">'.'!A405</f>
        <v>Small Frost Rune</v>
      </c>
      <c r="B405" s="46" t="str">
        <f t="array" aca="1" ref="B405" ca="1">IF('.'!B405="","",'.'!B405&amp;IF(VLOOKUP('.'!B405,Recipes!$A:$D,4,FALSE)="",""," ["&amp;VLOOKUP('.'!B405,Recipes!$A:$D,4,FALSE)&amp;"]"))</f>
        <v>Medium Frost Rune [-370]</v>
      </c>
      <c r="C405" s="46" t="str">
        <f t="array" aca="1" ref="C405" ca="1">IF('.'!C405="","",'.'!C405&amp;IF(VLOOKUP('.'!C405,Recipes!$A:$D,4,FALSE)="",""," ["&amp;VLOOKUP('.'!C405,Recipes!$A:$D,4,FALSE)&amp;"]"))</f>
        <v>Mystical Small Frost Rune [0]</v>
      </c>
      <c r="D405" s="46" t="str">
        <f t="array" aca="1" ref="D405" ca="1">IF('.'!D405="","",'.'!D405&amp;IF(VLOOKUP('.'!D405,Recipes!$A:$D,4,FALSE)="",""," ["&amp;VLOOKUP('.'!D405,Recipes!$A:$D,4,FALSE)&amp;"]"))</f>
        <v>Small Frost Rune of Power [0]</v>
      </c>
      <c r="E405" s="46" t="str">
        <f t="array" ref="E405">IF('.'!E405="","",'.'!E405&amp;IF(VLOOKUP('.'!E405,Recipes!$A:$D,4,FALSE)="",""," ["&amp;VLOOKUP('.'!E405,Recipes!$A:$D,4,FALSE)&amp;"]"))</f>
        <v/>
      </c>
      <c r="F405" s="46" t="str">
        <f t="array" ref="F405">IF('.'!F405="","",'.'!F405&amp;IF(VLOOKUP('.'!F405,Recipes!$A:$D,4,FALSE)="",""," ["&amp;VLOOKUP('.'!F405,Recipes!$A:$D,4,FALSE)&amp;"]"))</f>
        <v/>
      </c>
      <c r="G405" s="46" t="str">
        <f t="array" ref="G405">IF('.'!G405="","",'.'!G405&amp;IF(VLOOKUP('.'!G405,Recipes!$A:$D,4,FALSE)="",""," ["&amp;VLOOKUP('.'!G405,Recipes!$A:$D,4,FALSE)&amp;"]"))</f>
        <v/>
      </c>
      <c r="H405" s="46" t="str">
        <f t="array" ref="H405">IF('.'!H405="","",'.'!H405&amp;IF(VLOOKUP('.'!H405,Recipes!$A:$D,4,FALSE)="",""," ["&amp;VLOOKUP('.'!H405,Recipes!$A:$D,4,FALSE)&amp;"]"))</f>
        <v/>
      </c>
      <c r="I405" s="46" t="str">
        <f t="array" ref="I405">IF('.'!I405="","",'.'!I405&amp;IF(VLOOKUP('.'!I405,Recipes!$A:$D,4,FALSE)="",""," ["&amp;VLOOKUP('.'!I405,Recipes!$A:$D,4,FALSE)&amp;"]"))</f>
        <v/>
      </c>
      <c r="J405" s="46" t="str">
        <f t="array" ref="J405">IF('.'!J405="","",'.'!J405&amp;IF(VLOOKUP('.'!J405,Recipes!$A:$D,4,FALSE)="",""," ["&amp;VLOOKUP('.'!J405,Recipes!$A:$D,4,FALSE)&amp;"]"))</f>
        <v/>
      </c>
      <c r="K405" s="46" t="str">
        <f t="array" ref="K405">IF('.'!K405="","",'.'!K405&amp;IF(VLOOKUP('.'!K405,Recipes!$A:$D,4,FALSE)="",""," ["&amp;VLOOKUP('.'!K405,Recipes!$A:$D,4,FALSE)&amp;"]"))</f>
        <v/>
      </c>
      <c r="L405" s="46" t="str">
        <f t="array" ref="L405">IF('.'!L405="","",'.'!L405&amp;IF(VLOOKUP('.'!L405,Recipes!$A:$D,4,FALSE)="",""," ["&amp;VLOOKUP('.'!L405,Recipes!$A:$D,4,FALSE)&amp;"]"))</f>
        <v/>
      </c>
      <c r="M405" s="46" t="str">
        <f t="array" ref="M405">IF('.'!M405="","",'.'!M405&amp;IF(VLOOKUP('.'!M405,Recipes!$A:$D,4,FALSE)="",""," ["&amp;VLOOKUP('.'!M405,Recipes!$A:$D,4,FALSE)&amp;"]"))</f>
        <v/>
      </c>
      <c r="N405" s="46" t="str">
        <f t="array" ref="N405">IF('.'!N405="","",'.'!N405&amp;IF(VLOOKUP('.'!N405,Recipes!$A:$D,4,FALSE)="",""," ["&amp;VLOOKUP('.'!N405,Recipes!$A:$D,4,FALSE)&amp;"]"))</f>
        <v/>
      </c>
      <c r="O405" s="46" t="str">
        <f t="array" ref="O405">IF('.'!O405="","",'.'!O405&amp;IF(VLOOKUP('.'!O405,Recipes!$A:$D,4,FALSE)="",""," ["&amp;VLOOKUP('.'!O405,Recipes!$A:$D,4,FALSE)&amp;"]"))</f>
        <v/>
      </c>
      <c r="P405" s="46" t="str">
        <f t="array" ref="P405">IF('.'!P405="","",'.'!P405&amp;IF(VLOOKUP('.'!P405,Recipes!$A:$D,4,FALSE)="",""," ["&amp;VLOOKUP('.'!P405,Recipes!$A:$D,4,FALSE)&amp;"]"))</f>
        <v/>
      </c>
      <c r="Q405" s="46" t="str">
        <f t="array" ref="Q405">IF('.'!Q405="","",'.'!Q405&amp;IF(VLOOKUP('.'!Q405,Recipes!$A:$D,4,FALSE)="",""," ["&amp;VLOOKUP('.'!Q405,Recipes!$A:$D,4,FALSE)&amp;"]"))</f>
        <v/>
      </c>
      <c r="R405" s="46" t="str">
        <f t="array" ref="R405">IF('.'!R405="","",'.'!R405&amp;IF(VLOOKUP('.'!R405,Recipes!$A:$D,4,FALSE)="",""," ["&amp;VLOOKUP('.'!R405,Recipes!$A:$D,4,FALSE)&amp;"]"))</f>
        <v/>
      </c>
      <c r="S405" s="46" t="str">
        <f t="array" ref="S405">IF('.'!S405="","",'.'!S405&amp;IF(VLOOKUP('.'!S405,Recipes!$A:$D,4,FALSE)="",""," ["&amp;VLOOKUP('.'!S405,Recipes!$A:$D,4,FALSE)&amp;"]"))</f>
        <v/>
      </c>
      <c r="T405" s="46" t="str">
        <f t="array" ref="T405">IF('.'!T405="","",'.'!T405&amp;IF(VLOOKUP('.'!T405,Recipes!$A:$D,4,FALSE)="",""," ["&amp;VLOOKUP('.'!T405,Recipes!$A:$D,4,FALSE)&amp;"]"))</f>
        <v/>
      </c>
      <c r="U405" s="46" t="str">
        <f t="array" ref="U405">IF('.'!U405="","",'.'!U405&amp;IF(VLOOKUP('.'!U405,Recipes!$A:$D,4,FALSE)="",""," ["&amp;VLOOKUP('.'!U405,Recipes!$A:$D,4,FALSE)&amp;"]"))</f>
        <v/>
      </c>
      <c r="V405" s="46" t="str">
        <f t="array" ref="V405">IF('.'!V405="","",'.'!V405&amp;IF(VLOOKUP('.'!V405,Recipes!$A:$D,4,FALSE)="",""," ["&amp;VLOOKUP('.'!V405,Recipes!$A:$D,4,FALSE)&amp;"]"))</f>
        <v/>
      </c>
      <c r="W405" s="46" t="str">
        <f t="array" ref="W405">IF('.'!W405="","",'.'!W405&amp;IF(VLOOKUP('.'!W405,Recipes!$A:$D,4,FALSE)="",""," ["&amp;VLOOKUP('.'!W405,Recipes!$A:$D,4,FALSE)&amp;"]"))</f>
        <v/>
      </c>
      <c r="X405" s="46" t="str">
        <f t="array" ref="X405">IF('.'!X405="","",'.'!X405&amp;IF(VLOOKUP('.'!X405,Recipes!$A:$D,4,FALSE)="",""," ["&amp;VLOOKUP('.'!X405,Recipes!$A:$D,4,FALSE)&amp;"]"))</f>
        <v/>
      </c>
      <c r="Y405" s="46" t="str">
        <f t="array" ref="Y405">IF('.'!Y405="","",'.'!Y405&amp;IF(VLOOKUP('.'!Y405,Recipes!$A:$D,4,FALSE)="",""," ["&amp;VLOOKUP('.'!Y405,Recipes!$A:$D,4,FALSE)&amp;"]"))</f>
        <v/>
      </c>
      <c r="Z405" s="46" t="str">
        <f t="array" ref="Z405">IF('.'!Z405="","",'.'!Z405&amp;IF(VLOOKUP('.'!Z405,Recipes!$A:$D,4,FALSE)="",""," ["&amp;VLOOKUP('.'!Z405,Recipes!$A:$D,4,FALSE)&amp;"]"))</f>
        <v/>
      </c>
      <c r="AA405" s="46" t="str">
        <f t="array" ref="AA405">IF('.'!AA405="","",'.'!AA405&amp;IF(VLOOKUP('.'!AA405,Recipes!$A:$D,4,FALSE)="",""," ["&amp;VLOOKUP('.'!AA405,Recipes!$A:$D,4,FALSE)&amp;"]"))</f>
        <v/>
      </c>
      <c r="AB405" s="46" t="str">
        <f t="array" ref="AB405">IF('.'!AB405="","",'.'!AB405&amp;IF(VLOOKUP('.'!AB405,Recipes!$A:$D,4,FALSE)="",""," ["&amp;VLOOKUP('.'!AB405,Recipes!$A:$D,4,FALSE)&amp;"]"))</f>
        <v/>
      </c>
      <c r="AC405" s="46" t="str">
        <f t="array" ref="AC405">IF('.'!AC405="","",'.'!AC405&amp;IF(VLOOKUP('.'!AC405,Recipes!$A:$D,4,FALSE)="",""," ["&amp;VLOOKUP('.'!AC405,Recipes!$A:$D,4,FALSE)&amp;"]"))</f>
        <v/>
      </c>
      <c r="AD405" s="46" t="str">
        <f t="array" ref="AD405">IF('.'!AD405="","",'.'!AD405&amp;IF(VLOOKUP('.'!AD405,Recipes!$A:$D,4,FALSE)="",""," ["&amp;VLOOKUP('.'!AD405,Recipes!$A:$D,4,FALSE)&amp;"]"))</f>
        <v/>
      </c>
      <c r="AE405" s="47" t="str">
        <f t="array" ref="AE405">IF('.'!AE405="","",'.'!AE405&amp;IF(VLOOKUP('.'!AE405,Recipes!$A:$D,4,FALSE)="",""," ["&amp;VLOOKUP('.'!AE405,Recipes!$A:$D,4,FALSE)&amp;"]"))</f>
        <v/>
      </c>
      <c r="AF405" s="47"/>
      <c r="AG405" s="47"/>
      <c r="AH405" s="47"/>
      <c r="AI405" s="47"/>
      <c r="AJ405" s="47"/>
      <c r="AK405" s="47"/>
      <c r="AL405" s="47"/>
      <c r="AM405" s="47"/>
      <c r="AN405" s="47"/>
      <c r="AO405" s="47"/>
      <c r="AP405" s="47"/>
      <c r="AQ405" s="47"/>
      <c r="AR405" s="47"/>
      <c r="AS405" s="47"/>
      <c r="AT405" s="47"/>
      <c r="AU405" s="47"/>
      <c r="AV405" s="47"/>
      <c r="AW405" s="47"/>
      <c r="AX405" s="47"/>
      <c r="AY405" s="47"/>
      <c r="AZ405" s="47"/>
      <c r="BA405" s="47"/>
      <c r="BB405" s="47"/>
      <c r="BC405" s="47"/>
      <c r="BD405" s="47"/>
      <c r="BE405" s="47"/>
      <c r="BF405" s="47"/>
      <c r="BG405" s="47"/>
      <c r="BH405" s="47"/>
      <c r="BI405" s="47"/>
      <c r="BJ405" s="47"/>
      <c r="BK405" s="47"/>
      <c r="BL405" s="47"/>
      <c r="BM405" s="47"/>
      <c r="BN405" s="47"/>
      <c r="BO405" s="47"/>
      <c r="BP405" s="47"/>
      <c r="BQ405" s="47"/>
      <c r="BR405" s="47"/>
      <c r="BS405" s="47"/>
      <c r="BT405" s="47"/>
      <c r="BU405" s="47"/>
      <c r="BV405" s="47"/>
      <c r="BW405" s="47"/>
      <c r="BX405" s="47"/>
      <c r="BY405" s="47"/>
      <c r="BZ405" s="47"/>
    </row>
    <row r="406" spans="1:78" ht="13">
      <c r="A406" s="48" t="str">
        <f ca="1">'.'!A406</f>
        <v>Small Magic Armor Potion</v>
      </c>
      <c r="B406" s="46" t="str">
        <f t="array" aca="1" ref="B406" ca="1">IF('.'!B406="","",'.'!B406&amp;IF(VLOOKUP('.'!B406,Recipes!$A:$D,4,FALSE)="",""," ["&amp;VLOOKUP('.'!B406,Recipes!$A:$D,4,FALSE)&amp;"]"))</f>
        <v>Medium Magic Armor Potion [-10]</v>
      </c>
      <c r="C406" s="46" t="str">
        <f t="array" ref="C406">IF('.'!C406="","",'.'!C406&amp;IF(VLOOKUP('.'!C406,Recipes!$A:$D,4,FALSE)="",""," ["&amp;VLOOKUP('.'!C406,Recipes!$A:$D,4,FALSE)&amp;"]"))</f>
        <v/>
      </c>
      <c r="D406" s="46" t="str">
        <f t="array" ref="D406">IF('.'!D406="","",'.'!D406&amp;IF(VLOOKUP('.'!D406,Recipes!$A:$D,4,FALSE)="",""," ["&amp;VLOOKUP('.'!D406,Recipes!$A:$D,4,FALSE)&amp;"]"))</f>
        <v/>
      </c>
      <c r="E406" s="46" t="str">
        <f t="array" ref="E406">IF('.'!E406="","",'.'!E406&amp;IF(VLOOKUP('.'!E406,Recipes!$A:$D,4,FALSE)="",""," ["&amp;VLOOKUP('.'!E406,Recipes!$A:$D,4,FALSE)&amp;"]"))</f>
        <v/>
      </c>
      <c r="F406" s="46" t="str">
        <f t="array" ref="F406">IF('.'!F406="","",'.'!F406&amp;IF(VLOOKUP('.'!F406,Recipes!$A:$D,4,FALSE)="",""," ["&amp;VLOOKUP('.'!F406,Recipes!$A:$D,4,FALSE)&amp;"]"))</f>
        <v/>
      </c>
      <c r="G406" s="46" t="str">
        <f t="array" ref="G406">IF('.'!G406="","",'.'!G406&amp;IF(VLOOKUP('.'!G406,Recipes!$A:$D,4,FALSE)="",""," ["&amp;VLOOKUP('.'!G406,Recipes!$A:$D,4,FALSE)&amp;"]"))</f>
        <v/>
      </c>
      <c r="H406" s="46" t="str">
        <f t="array" ref="H406">IF('.'!H406="","",'.'!H406&amp;IF(VLOOKUP('.'!H406,Recipes!$A:$D,4,FALSE)="",""," ["&amp;VLOOKUP('.'!H406,Recipes!$A:$D,4,FALSE)&amp;"]"))</f>
        <v/>
      </c>
      <c r="I406" s="46" t="str">
        <f t="array" ref="I406">IF('.'!I406="","",'.'!I406&amp;IF(VLOOKUP('.'!I406,Recipes!$A:$D,4,FALSE)="",""," ["&amp;VLOOKUP('.'!I406,Recipes!$A:$D,4,FALSE)&amp;"]"))</f>
        <v/>
      </c>
      <c r="J406" s="46" t="str">
        <f t="array" ref="J406">IF('.'!J406="","",'.'!J406&amp;IF(VLOOKUP('.'!J406,Recipes!$A:$D,4,FALSE)="",""," ["&amp;VLOOKUP('.'!J406,Recipes!$A:$D,4,FALSE)&amp;"]"))</f>
        <v/>
      </c>
      <c r="K406" s="46" t="str">
        <f t="array" ref="K406">IF('.'!K406="","",'.'!K406&amp;IF(VLOOKUP('.'!K406,Recipes!$A:$D,4,FALSE)="",""," ["&amp;VLOOKUP('.'!K406,Recipes!$A:$D,4,FALSE)&amp;"]"))</f>
        <v/>
      </c>
      <c r="L406" s="46" t="str">
        <f t="array" ref="L406">IF('.'!L406="","",'.'!L406&amp;IF(VLOOKUP('.'!L406,Recipes!$A:$D,4,FALSE)="",""," ["&amp;VLOOKUP('.'!L406,Recipes!$A:$D,4,FALSE)&amp;"]"))</f>
        <v/>
      </c>
      <c r="M406" s="46" t="str">
        <f t="array" ref="M406">IF('.'!M406="","",'.'!M406&amp;IF(VLOOKUP('.'!M406,Recipes!$A:$D,4,FALSE)="",""," ["&amp;VLOOKUP('.'!M406,Recipes!$A:$D,4,FALSE)&amp;"]"))</f>
        <v/>
      </c>
      <c r="N406" s="46" t="str">
        <f t="array" ref="N406">IF('.'!N406="","",'.'!N406&amp;IF(VLOOKUP('.'!N406,Recipes!$A:$D,4,FALSE)="",""," ["&amp;VLOOKUP('.'!N406,Recipes!$A:$D,4,FALSE)&amp;"]"))</f>
        <v/>
      </c>
      <c r="O406" s="46" t="str">
        <f t="array" ref="O406">IF('.'!O406="","",'.'!O406&amp;IF(VLOOKUP('.'!O406,Recipes!$A:$D,4,FALSE)="",""," ["&amp;VLOOKUP('.'!O406,Recipes!$A:$D,4,FALSE)&amp;"]"))</f>
        <v/>
      </c>
      <c r="P406" s="46" t="str">
        <f t="array" ref="P406">IF('.'!P406="","",'.'!P406&amp;IF(VLOOKUP('.'!P406,Recipes!$A:$D,4,FALSE)="",""," ["&amp;VLOOKUP('.'!P406,Recipes!$A:$D,4,FALSE)&amp;"]"))</f>
        <v/>
      </c>
      <c r="Q406" s="46" t="str">
        <f t="array" ref="Q406">IF('.'!Q406="","",'.'!Q406&amp;IF(VLOOKUP('.'!Q406,Recipes!$A:$D,4,FALSE)="",""," ["&amp;VLOOKUP('.'!Q406,Recipes!$A:$D,4,FALSE)&amp;"]"))</f>
        <v/>
      </c>
      <c r="R406" s="46" t="str">
        <f t="array" ref="R406">IF('.'!R406="","",'.'!R406&amp;IF(VLOOKUP('.'!R406,Recipes!$A:$D,4,FALSE)="",""," ["&amp;VLOOKUP('.'!R406,Recipes!$A:$D,4,FALSE)&amp;"]"))</f>
        <v/>
      </c>
      <c r="S406" s="46" t="str">
        <f t="array" ref="S406">IF('.'!S406="","",'.'!S406&amp;IF(VLOOKUP('.'!S406,Recipes!$A:$D,4,FALSE)="",""," ["&amp;VLOOKUP('.'!S406,Recipes!$A:$D,4,FALSE)&amp;"]"))</f>
        <v/>
      </c>
      <c r="T406" s="46" t="str">
        <f t="array" ref="T406">IF('.'!T406="","",'.'!T406&amp;IF(VLOOKUP('.'!T406,Recipes!$A:$D,4,FALSE)="",""," ["&amp;VLOOKUP('.'!T406,Recipes!$A:$D,4,FALSE)&amp;"]"))</f>
        <v/>
      </c>
      <c r="U406" s="46" t="str">
        <f t="array" ref="U406">IF('.'!U406="","",'.'!U406&amp;IF(VLOOKUP('.'!U406,Recipes!$A:$D,4,FALSE)="",""," ["&amp;VLOOKUP('.'!U406,Recipes!$A:$D,4,FALSE)&amp;"]"))</f>
        <v/>
      </c>
      <c r="V406" s="46" t="str">
        <f t="array" ref="V406">IF('.'!V406="","",'.'!V406&amp;IF(VLOOKUP('.'!V406,Recipes!$A:$D,4,FALSE)="",""," ["&amp;VLOOKUP('.'!V406,Recipes!$A:$D,4,FALSE)&amp;"]"))</f>
        <v/>
      </c>
      <c r="W406" s="46" t="str">
        <f t="array" ref="W406">IF('.'!W406="","",'.'!W406&amp;IF(VLOOKUP('.'!W406,Recipes!$A:$D,4,FALSE)="",""," ["&amp;VLOOKUP('.'!W406,Recipes!$A:$D,4,FALSE)&amp;"]"))</f>
        <v/>
      </c>
      <c r="X406" s="46" t="str">
        <f t="array" ref="X406">IF('.'!X406="","",'.'!X406&amp;IF(VLOOKUP('.'!X406,Recipes!$A:$D,4,FALSE)="",""," ["&amp;VLOOKUP('.'!X406,Recipes!$A:$D,4,FALSE)&amp;"]"))</f>
        <v/>
      </c>
      <c r="Y406" s="46" t="str">
        <f t="array" ref="Y406">IF('.'!Y406="","",'.'!Y406&amp;IF(VLOOKUP('.'!Y406,Recipes!$A:$D,4,FALSE)="",""," ["&amp;VLOOKUP('.'!Y406,Recipes!$A:$D,4,FALSE)&amp;"]"))</f>
        <v/>
      </c>
      <c r="Z406" s="46" t="str">
        <f t="array" ref="Z406">IF('.'!Z406="","",'.'!Z406&amp;IF(VLOOKUP('.'!Z406,Recipes!$A:$D,4,FALSE)="",""," ["&amp;VLOOKUP('.'!Z406,Recipes!$A:$D,4,FALSE)&amp;"]"))</f>
        <v/>
      </c>
      <c r="AA406" s="46" t="str">
        <f t="array" ref="AA406">IF('.'!AA406="","",'.'!AA406&amp;IF(VLOOKUP('.'!AA406,Recipes!$A:$D,4,FALSE)="",""," ["&amp;VLOOKUP('.'!AA406,Recipes!$A:$D,4,FALSE)&amp;"]"))</f>
        <v/>
      </c>
      <c r="AB406" s="46" t="str">
        <f t="array" ref="AB406">IF('.'!AB406="","",'.'!AB406&amp;IF(VLOOKUP('.'!AB406,Recipes!$A:$D,4,FALSE)="",""," ["&amp;VLOOKUP('.'!AB406,Recipes!$A:$D,4,FALSE)&amp;"]"))</f>
        <v/>
      </c>
      <c r="AC406" s="46" t="str">
        <f t="array" ref="AC406">IF('.'!AC406="","",'.'!AC406&amp;IF(VLOOKUP('.'!AC406,Recipes!$A:$D,4,FALSE)="",""," ["&amp;VLOOKUP('.'!AC406,Recipes!$A:$D,4,FALSE)&amp;"]"))</f>
        <v/>
      </c>
      <c r="AD406" s="46" t="str">
        <f t="array" ref="AD406">IF('.'!AD406="","",'.'!AD406&amp;IF(VLOOKUP('.'!AD406,Recipes!$A:$D,4,FALSE)="",""," ["&amp;VLOOKUP('.'!AD406,Recipes!$A:$D,4,FALSE)&amp;"]"))</f>
        <v/>
      </c>
      <c r="AE406" s="47" t="str">
        <f t="array" ref="AE406">IF('.'!AE406="","",'.'!AE406&amp;IF(VLOOKUP('.'!AE406,Recipes!$A:$D,4,FALSE)="",""," ["&amp;VLOOKUP('.'!AE406,Recipes!$A:$D,4,FALSE)&amp;"]"))</f>
        <v/>
      </c>
      <c r="AF406" s="47"/>
      <c r="AG406" s="47"/>
      <c r="AH406" s="47"/>
      <c r="AI406" s="47"/>
      <c r="AJ406" s="47"/>
      <c r="AK406" s="47"/>
      <c r="AL406" s="47"/>
      <c r="AM406" s="47"/>
      <c r="AN406" s="47"/>
      <c r="AO406" s="47"/>
      <c r="AP406" s="47"/>
      <c r="AQ406" s="47"/>
      <c r="AR406" s="47"/>
      <c r="AS406" s="47"/>
      <c r="AT406" s="47"/>
      <c r="AU406" s="47"/>
      <c r="AV406" s="47"/>
      <c r="AW406" s="47"/>
      <c r="AX406" s="47"/>
      <c r="AY406" s="47"/>
      <c r="AZ406" s="47"/>
      <c r="BA406" s="47"/>
      <c r="BB406" s="47"/>
      <c r="BC406" s="47"/>
      <c r="BD406" s="47"/>
      <c r="BE406" s="47"/>
      <c r="BF406" s="47"/>
      <c r="BG406" s="47"/>
      <c r="BH406" s="47"/>
      <c r="BI406" s="47"/>
      <c r="BJ406" s="47"/>
      <c r="BK406" s="47"/>
      <c r="BL406" s="47"/>
      <c r="BM406" s="47"/>
      <c r="BN406" s="47"/>
      <c r="BO406" s="47"/>
      <c r="BP406" s="47"/>
      <c r="BQ406" s="47"/>
      <c r="BR406" s="47"/>
      <c r="BS406" s="47"/>
      <c r="BT406" s="47"/>
      <c r="BU406" s="47"/>
      <c r="BV406" s="47"/>
      <c r="BW406" s="47"/>
      <c r="BX406" s="47"/>
      <c r="BY406" s="47"/>
      <c r="BZ406" s="47"/>
    </row>
    <row r="407" spans="1:78" ht="13">
      <c r="A407" s="48" t="str">
        <f ca="1">'.'!A407</f>
        <v>Small Masterwork Rune</v>
      </c>
      <c r="B407" s="46" t="str">
        <f t="array" aca="1" ref="B407" ca="1">IF('.'!B407="","",'.'!B407&amp;IF(VLOOKUP('.'!B407,Recipes!$A:$D,4,FALSE)="",""," ["&amp;VLOOKUP('.'!B407,Recipes!$A:$D,4,FALSE)&amp;"]"))</f>
        <v>Medium Masterwork Rune [-370]</v>
      </c>
      <c r="C407" s="46" t="str">
        <f t="array" aca="1" ref="C407" ca="1">IF('.'!C407="","",'.'!C407&amp;IF(VLOOKUP('.'!C407,Recipes!$A:$D,4,FALSE)="",""," ["&amp;VLOOKUP('.'!C407,Recipes!$A:$D,4,FALSE)&amp;"]"))</f>
        <v>Mystical Small Masterwork Rune [0]</v>
      </c>
      <c r="D407" s="46" t="str">
        <f t="array" aca="1" ref="D407" ca="1">IF('.'!D407="","",'.'!D407&amp;IF(VLOOKUP('.'!D407,Recipes!$A:$D,4,FALSE)="",""," ["&amp;VLOOKUP('.'!D407,Recipes!$A:$D,4,FALSE)&amp;"]"))</f>
        <v>Small Masterwork Rune of Power [0]</v>
      </c>
      <c r="E407" s="46" t="str">
        <f t="array" ref="E407">IF('.'!E407="","",'.'!E407&amp;IF(VLOOKUP('.'!E407,Recipes!$A:$D,4,FALSE)="",""," ["&amp;VLOOKUP('.'!E407,Recipes!$A:$D,4,FALSE)&amp;"]"))</f>
        <v/>
      </c>
      <c r="F407" s="46" t="str">
        <f t="array" ref="F407">IF('.'!F407="","",'.'!F407&amp;IF(VLOOKUP('.'!F407,Recipes!$A:$D,4,FALSE)="",""," ["&amp;VLOOKUP('.'!F407,Recipes!$A:$D,4,FALSE)&amp;"]"))</f>
        <v/>
      </c>
      <c r="G407" s="46" t="str">
        <f t="array" ref="G407">IF('.'!G407="","",'.'!G407&amp;IF(VLOOKUP('.'!G407,Recipes!$A:$D,4,FALSE)="",""," ["&amp;VLOOKUP('.'!G407,Recipes!$A:$D,4,FALSE)&amp;"]"))</f>
        <v/>
      </c>
      <c r="H407" s="46" t="str">
        <f t="array" ref="H407">IF('.'!H407="","",'.'!H407&amp;IF(VLOOKUP('.'!H407,Recipes!$A:$D,4,FALSE)="",""," ["&amp;VLOOKUP('.'!H407,Recipes!$A:$D,4,FALSE)&amp;"]"))</f>
        <v/>
      </c>
      <c r="I407" s="46" t="str">
        <f t="array" ref="I407">IF('.'!I407="","",'.'!I407&amp;IF(VLOOKUP('.'!I407,Recipes!$A:$D,4,FALSE)="",""," ["&amp;VLOOKUP('.'!I407,Recipes!$A:$D,4,FALSE)&amp;"]"))</f>
        <v/>
      </c>
      <c r="J407" s="46" t="str">
        <f t="array" ref="J407">IF('.'!J407="","",'.'!J407&amp;IF(VLOOKUP('.'!J407,Recipes!$A:$D,4,FALSE)="",""," ["&amp;VLOOKUP('.'!J407,Recipes!$A:$D,4,FALSE)&amp;"]"))</f>
        <v/>
      </c>
      <c r="K407" s="46" t="str">
        <f t="array" ref="K407">IF('.'!K407="","",'.'!K407&amp;IF(VLOOKUP('.'!K407,Recipes!$A:$D,4,FALSE)="",""," ["&amp;VLOOKUP('.'!K407,Recipes!$A:$D,4,FALSE)&amp;"]"))</f>
        <v/>
      </c>
      <c r="L407" s="46" t="str">
        <f t="array" ref="L407">IF('.'!L407="","",'.'!L407&amp;IF(VLOOKUP('.'!L407,Recipes!$A:$D,4,FALSE)="",""," ["&amp;VLOOKUP('.'!L407,Recipes!$A:$D,4,FALSE)&amp;"]"))</f>
        <v/>
      </c>
      <c r="M407" s="46" t="str">
        <f t="array" ref="M407">IF('.'!M407="","",'.'!M407&amp;IF(VLOOKUP('.'!M407,Recipes!$A:$D,4,FALSE)="",""," ["&amp;VLOOKUP('.'!M407,Recipes!$A:$D,4,FALSE)&amp;"]"))</f>
        <v/>
      </c>
      <c r="N407" s="46" t="str">
        <f t="array" ref="N407">IF('.'!N407="","",'.'!N407&amp;IF(VLOOKUP('.'!N407,Recipes!$A:$D,4,FALSE)="",""," ["&amp;VLOOKUP('.'!N407,Recipes!$A:$D,4,FALSE)&amp;"]"))</f>
        <v/>
      </c>
      <c r="O407" s="46" t="str">
        <f t="array" ref="O407">IF('.'!O407="","",'.'!O407&amp;IF(VLOOKUP('.'!O407,Recipes!$A:$D,4,FALSE)="",""," ["&amp;VLOOKUP('.'!O407,Recipes!$A:$D,4,FALSE)&amp;"]"))</f>
        <v/>
      </c>
      <c r="P407" s="46" t="str">
        <f t="array" ref="P407">IF('.'!P407="","",'.'!P407&amp;IF(VLOOKUP('.'!P407,Recipes!$A:$D,4,FALSE)="",""," ["&amp;VLOOKUP('.'!P407,Recipes!$A:$D,4,FALSE)&amp;"]"))</f>
        <v/>
      </c>
      <c r="Q407" s="46" t="str">
        <f t="array" ref="Q407">IF('.'!Q407="","",'.'!Q407&amp;IF(VLOOKUP('.'!Q407,Recipes!$A:$D,4,FALSE)="",""," ["&amp;VLOOKUP('.'!Q407,Recipes!$A:$D,4,FALSE)&amp;"]"))</f>
        <v/>
      </c>
      <c r="R407" s="46" t="str">
        <f t="array" ref="R407">IF('.'!R407="","",'.'!R407&amp;IF(VLOOKUP('.'!R407,Recipes!$A:$D,4,FALSE)="",""," ["&amp;VLOOKUP('.'!R407,Recipes!$A:$D,4,FALSE)&amp;"]"))</f>
        <v/>
      </c>
      <c r="S407" s="46" t="str">
        <f t="array" ref="S407">IF('.'!S407="","",'.'!S407&amp;IF(VLOOKUP('.'!S407,Recipes!$A:$D,4,FALSE)="",""," ["&amp;VLOOKUP('.'!S407,Recipes!$A:$D,4,FALSE)&amp;"]"))</f>
        <v/>
      </c>
      <c r="T407" s="46" t="str">
        <f t="array" ref="T407">IF('.'!T407="","",'.'!T407&amp;IF(VLOOKUP('.'!T407,Recipes!$A:$D,4,FALSE)="",""," ["&amp;VLOOKUP('.'!T407,Recipes!$A:$D,4,FALSE)&amp;"]"))</f>
        <v/>
      </c>
      <c r="U407" s="46" t="str">
        <f t="array" ref="U407">IF('.'!U407="","",'.'!U407&amp;IF(VLOOKUP('.'!U407,Recipes!$A:$D,4,FALSE)="",""," ["&amp;VLOOKUP('.'!U407,Recipes!$A:$D,4,FALSE)&amp;"]"))</f>
        <v/>
      </c>
      <c r="V407" s="46" t="str">
        <f t="array" ref="V407">IF('.'!V407="","",'.'!V407&amp;IF(VLOOKUP('.'!V407,Recipes!$A:$D,4,FALSE)="",""," ["&amp;VLOOKUP('.'!V407,Recipes!$A:$D,4,FALSE)&amp;"]"))</f>
        <v/>
      </c>
      <c r="W407" s="46" t="str">
        <f t="array" ref="W407">IF('.'!W407="","",'.'!W407&amp;IF(VLOOKUP('.'!W407,Recipes!$A:$D,4,FALSE)="",""," ["&amp;VLOOKUP('.'!W407,Recipes!$A:$D,4,FALSE)&amp;"]"))</f>
        <v/>
      </c>
      <c r="X407" s="46" t="str">
        <f t="array" ref="X407">IF('.'!X407="","",'.'!X407&amp;IF(VLOOKUP('.'!X407,Recipes!$A:$D,4,FALSE)="",""," ["&amp;VLOOKUP('.'!X407,Recipes!$A:$D,4,FALSE)&amp;"]"))</f>
        <v/>
      </c>
      <c r="Y407" s="46" t="str">
        <f t="array" ref="Y407">IF('.'!Y407="","",'.'!Y407&amp;IF(VLOOKUP('.'!Y407,Recipes!$A:$D,4,FALSE)="",""," ["&amp;VLOOKUP('.'!Y407,Recipes!$A:$D,4,FALSE)&amp;"]"))</f>
        <v/>
      </c>
      <c r="Z407" s="46" t="str">
        <f t="array" ref="Z407">IF('.'!Z407="","",'.'!Z407&amp;IF(VLOOKUP('.'!Z407,Recipes!$A:$D,4,FALSE)="",""," ["&amp;VLOOKUP('.'!Z407,Recipes!$A:$D,4,FALSE)&amp;"]"))</f>
        <v/>
      </c>
      <c r="AA407" s="46" t="str">
        <f t="array" ref="AA407">IF('.'!AA407="","",'.'!AA407&amp;IF(VLOOKUP('.'!AA407,Recipes!$A:$D,4,FALSE)="",""," ["&amp;VLOOKUP('.'!AA407,Recipes!$A:$D,4,FALSE)&amp;"]"))</f>
        <v/>
      </c>
      <c r="AB407" s="46" t="str">
        <f t="array" ref="AB407">IF('.'!AB407="","",'.'!AB407&amp;IF(VLOOKUP('.'!AB407,Recipes!$A:$D,4,FALSE)="",""," ["&amp;VLOOKUP('.'!AB407,Recipes!$A:$D,4,FALSE)&amp;"]"))</f>
        <v/>
      </c>
      <c r="AC407" s="46" t="str">
        <f t="array" ref="AC407">IF('.'!AC407="","",'.'!AC407&amp;IF(VLOOKUP('.'!AC407,Recipes!$A:$D,4,FALSE)="",""," ["&amp;VLOOKUP('.'!AC407,Recipes!$A:$D,4,FALSE)&amp;"]"))</f>
        <v/>
      </c>
      <c r="AD407" s="46" t="str">
        <f t="array" ref="AD407">IF('.'!AD407="","",'.'!AD407&amp;IF(VLOOKUP('.'!AD407,Recipes!$A:$D,4,FALSE)="",""," ["&amp;VLOOKUP('.'!AD407,Recipes!$A:$D,4,FALSE)&amp;"]"))</f>
        <v/>
      </c>
      <c r="AE407" s="47" t="str">
        <f t="array" ref="AE407">IF('.'!AE407="","",'.'!AE407&amp;IF(VLOOKUP('.'!AE407,Recipes!$A:$D,4,FALSE)="",""," ["&amp;VLOOKUP('.'!AE407,Recipes!$A:$D,4,FALSE)&amp;"]"))</f>
        <v/>
      </c>
      <c r="AF407" s="47"/>
      <c r="AG407" s="47"/>
      <c r="AH407" s="47"/>
      <c r="AI407" s="47"/>
      <c r="AJ407" s="47"/>
      <c r="AK407" s="47"/>
      <c r="AL407" s="47"/>
      <c r="AM407" s="47"/>
      <c r="AN407" s="47"/>
      <c r="AO407" s="47"/>
      <c r="AP407" s="47"/>
      <c r="AQ407" s="47"/>
      <c r="AR407" s="47"/>
      <c r="AS407" s="47"/>
      <c r="AT407" s="47"/>
      <c r="AU407" s="47"/>
      <c r="AV407" s="47"/>
      <c r="AW407" s="47"/>
      <c r="AX407" s="47"/>
      <c r="AY407" s="47"/>
      <c r="AZ407" s="47"/>
      <c r="BA407" s="47"/>
      <c r="BB407" s="47"/>
      <c r="BC407" s="47"/>
      <c r="BD407" s="47"/>
      <c r="BE407" s="47"/>
      <c r="BF407" s="47"/>
      <c r="BG407" s="47"/>
      <c r="BH407" s="47"/>
      <c r="BI407" s="47"/>
      <c r="BJ407" s="47"/>
      <c r="BK407" s="47"/>
      <c r="BL407" s="47"/>
      <c r="BM407" s="47"/>
      <c r="BN407" s="47"/>
      <c r="BO407" s="47"/>
      <c r="BP407" s="47"/>
      <c r="BQ407" s="47"/>
      <c r="BR407" s="47"/>
      <c r="BS407" s="47"/>
      <c r="BT407" s="47"/>
      <c r="BU407" s="47"/>
      <c r="BV407" s="47"/>
      <c r="BW407" s="47"/>
      <c r="BX407" s="47"/>
      <c r="BY407" s="47"/>
      <c r="BZ407" s="47"/>
    </row>
    <row r="408" spans="1:78" ht="13">
      <c r="A408" s="48" t="str">
        <f ca="1">'.'!A408</f>
        <v>Small Poison Bottle</v>
      </c>
      <c r="B408" s="46" t="str">
        <f t="array" aca="1" ref="B408" ca="1">IF('.'!B408="","",'.'!B408&amp;IF(VLOOKUP('.'!B408,Recipes!$A:$D,4,FALSE)="",""," ["&amp;VLOOKUP('.'!B408,Recipes!$A:$D,4,FALSE)&amp;"]"))</f>
        <v>Void-Enhanced Poison [155]</v>
      </c>
      <c r="C408" s="46" t="str">
        <f t="array" aca="1" ref="C408" ca="1">IF('.'!C408="","",'.'!C408&amp;IF(VLOOKUP('.'!C408,Recipes!$A:$D,4,FALSE)="",""," ["&amp;VLOOKUP('.'!C408,Recipes!$A:$D,4,FALSE)&amp;"]"))</f>
        <v>Medium Poison Bottle [-40]</v>
      </c>
      <c r="D408" s="46" t="str">
        <f t="array" aca="1" ref="D408" ca="1">IF('.'!D408="","",'.'!D408&amp;IF(VLOOKUP('.'!D408,Recipes!$A:$D,4,FALSE)="",""," ["&amp;VLOOKUP('.'!D408,Recipes!$A:$D,4,FALSE)&amp;"]"))</f>
        <v>Minor Healing Potion [Poisoned] [-80]</v>
      </c>
      <c r="E408" s="46" t="str">
        <f t="array" ref="E408">IF('.'!E408="","",'.'!E408&amp;IF(VLOOKUP('.'!E408,Recipes!$A:$D,4,FALSE)="",""," ["&amp;VLOOKUP('.'!E408,Recipes!$A:$D,4,FALSE)&amp;"]"))</f>
        <v/>
      </c>
      <c r="F408" s="46" t="str">
        <f t="array" ref="F408">IF('.'!F408="","",'.'!F408&amp;IF(VLOOKUP('.'!F408,Recipes!$A:$D,4,FALSE)="",""," ["&amp;VLOOKUP('.'!F408,Recipes!$A:$D,4,FALSE)&amp;"]"))</f>
        <v/>
      </c>
      <c r="G408" s="46" t="str">
        <f t="array" ref="G408">IF('.'!G408="","",'.'!G408&amp;IF(VLOOKUP('.'!G408,Recipes!$A:$D,4,FALSE)="",""," ["&amp;VLOOKUP('.'!G408,Recipes!$A:$D,4,FALSE)&amp;"]"))</f>
        <v/>
      </c>
      <c r="H408" s="46" t="str">
        <f t="array" ref="H408">IF('.'!H408="","",'.'!H408&amp;IF(VLOOKUP('.'!H408,Recipes!$A:$D,4,FALSE)="",""," ["&amp;VLOOKUP('.'!H408,Recipes!$A:$D,4,FALSE)&amp;"]"))</f>
        <v/>
      </c>
      <c r="I408" s="46" t="str">
        <f t="array" ref="I408">IF('.'!I408="","",'.'!I408&amp;IF(VLOOKUP('.'!I408,Recipes!$A:$D,4,FALSE)="",""," ["&amp;VLOOKUP('.'!I408,Recipes!$A:$D,4,FALSE)&amp;"]"))</f>
        <v/>
      </c>
      <c r="J408" s="46" t="str">
        <f t="array" ref="J408">IF('.'!J408="","",'.'!J408&amp;IF(VLOOKUP('.'!J408,Recipes!$A:$D,4,FALSE)="",""," ["&amp;VLOOKUP('.'!J408,Recipes!$A:$D,4,FALSE)&amp;"]"))</f>
        <v/>
      </c>
      <c r="K408" s="46" t="str">
        <f t="array" ref="K408">IF('.'!K408="","",'.'!K408&amp;IF(VLOOKUP('.'!K408,Recipes!$A:$D,4,FALSE)="",""," ["&amp;VLOOKUP('.'!K408,Recipes!$A:$D,4,FALSE)&amp;"]"))</f>
        <v/>
      </c>
      <c r="L408" s="46" t="str">
        <f t="array" ref="L408">IF('.'!L408="","",'.'!L408&amp;IF(VLOOKUP('.'!L408,Recipes!$A:$D,4,FALSE)="",""," ["&amp;VLOOKUP('.'!L408,Recipes!$A:$D,4,FALSE)&amp;"]"))</f>
        <v/>
      </c>
      <c r="M408" s="46" t="str">
        <f t="array" ref="M408">IF('.'!M408="","",'.'!M408&amp;IF(VLOOKUP('.'!M408,Recipes!$A:$D,4,FALSE)="",""," ["&amp;VLOOKUP('.'!M408,Recipes!$A:$D,4,FALSE)&amp;"]"))</f>
        <v/>
      </c>
      <c r="N408" s="46" t="str">
        <f t="array" ref="N408">IF('.'!N408="","",'.'!N408&amp;IF(VLOOKUP('.'!N408,Recipes!$A:$D,4,FALSE)="",""," ["&amp;VLOOKUP('.'!N408,Recipes!$A:$D,4,FALSE)&amp;"]"))</f>
        <v/>
      </c>
      <c r="O408" s="46" t="str">
        <f t="array" ref="O408">IF('.'!O408="","",'.'!O408&amp;IF(VLOOKUP('.'!O408,Recipes!$A:$D,4,FALSE)="",""," ["&amp;VLOOKUP('.'!O408,Recipes!$A:$D,4,FALSE)&amp;"]"))</f>
        <v/>
      </c>
      <c r="P408" s="46" t="str">
        <f t="array" ref="P408">IF('.'!P408="","",'.'!P408&amp;IF(VLOOKUP('.'!P408,Recipes!$A:$D,4,FALSE)="",""," ["&amp;VLOOKUP('.'!P408,Recipes!$A:$D,4,FALSE)&amp;"]"))</f>
        <v/>
      </c>
      <c r="Q408" s="46" t="str">
        <f t="array" ref="Q408">IF('.'!Q408="","",'.'!Q408&amp;IF(VLOOKUP('.'!Q408,Recipes!$A:$D,4,FALSE)="",""," ["&amp;VLOOKUP('.'!Q408,Recipes!$A:$D,4,FALSE)&amp;"]"))</f>
        <v/>
      </c>
      <c r="R408" s="46" t="str">
        <f t="array" ref="R408">IF('.'!R408="","",'.'!R408&amp;IF(VLOOKUP('.'!R408,Recipes!$A:$D,4,FALSE)="",""," ["&amp;VLOOKUP('.'!R408,Recipes!$A:$D,4,FALSE)&amp;"]"))</f>
        <v/>
      </c>
      <c r="S408" s="46" t="str">
        <f t="array" ref="S408">IF('.'!S408="","",'.'!S408&amp;IF(VLOOKUP('.'!S408,Recipes!$A:$D,4,FALSE)="",""," ["&amp;VLOOKUP('.'!S408,Recipes!$A:$D,4,FALSE)&amp;"]"))</f>
        <v/>
      </c>
      <c r="T408" s="46" t="str">
        <f t="array" ref="T408">IF('.'!T408="","",'.'!T408&amp;IF(VLOOKUP('.'!T408,Recipes!$A:$D,4,FALSE)="",""," ["&amp;VLOOKUP('.'!T408,Recipes!$A:$D,4,FALSE)&amp;"]"))</f>
        <v/>
      </c>
      <c r="U408" s="46" t="str">
        <f t="array" ref="U408">IF('.'!U408="","",'.'!U408&amp;IF(VLOOKUP('.'!U408,Recipes!$A:$D,4,FALSE)="",""," ["&amp;VLOOKUP('.'!U408,Recipes!$A:$D,4,FALSE)&amp;"]"))</f>
        <v/>
      </c>
      <c r="V408" s="46" t="str">
        <f t="array" ref="V408">IF('.'!V408="","",'.'!V408&amp;IF(VLOOKUP('.'!V408,Recipes!$A:$D,4,FALSE)="",""," ["&amp;VLOOKUP('.'!V408,Recipes!$A:$D,4,FALSE)&amp;"]"))</f>
        <v/>
      </c>
      <c r="W408" s="46" t="str">
        <f t="array" ref="W408">IF('.'!W408="","",'.'!W408&amp;IF(VLOOKUP('.'!W408,Recipes!$A:$D,4,FALSE)="",""," ["&amp;VLOOKUP('.'!W408,Recipes!$A:$D,4,FALSE)&amp;"]"))</f>
        <v/>
      </c>
      <c r="X408" s="46" t="str">
        <f t="array" ref="X408">IF('.'!X408="","",'.'!X408&amp;IF(VLOOKUP('.'!X408,Recipes!$A:$D,4,FALSE)="",""," ["&amp;VLOOKUP('.'!X408,Recipes!$A:$D,4,FALSE)&amp;"]"))</f>
        <v/>
      </c>
      <c r="Y408" s="46" t="str">
        <f t="array" ref="Y408">IF('.'!Y408="","",'.'!Y408&amp;IF(VLOOKUP('.'!Y408,Recipes!$A:$D,4,FALSE)="",""," ["&amp;VLOOKUP('.'!Y408,Recipes!$A:$D,4,FALSE)&amp;"]"))</f>
        <v/>
      </c>
      <c r="Z408" s="46" t="str">
        <f t="array" ref="Z408">IF('.'!Z408="","",'.'!Z408&amp;IF(VLOOKUP('.'!Z408,Recipes!$A:$D,4,FALSE)="",""," ["&amp;VLOOKUP('.'!Z408,Recipes!$A:$D,4,FALSE)&amp;"]"))</f>
        <v/>
      </c>
      <c r="AA408" s="46" t="str">
        <f t="array" ref="AA408">IF('.'!AA408="","",'.'!AA408&amp;IF(VLOOKUP('.'!AA408,Recipes!$A:$D,4,FALSE)="",""," ["&amp;VLOOKUP('.'!AA408,Recipes!$A:$D,4,FALSE)&amp;"]"))</f>
        <v/>
      </c>
      <c r="AB408" s="46" t="str">
        <f t="array" ref="AB408">IF('.'!AB408="","",'.'!AB408&amp;IF(VLOOKUP('.'!AB408,Recipes!$A:$D,4,FALSE)="",""," ["&amp;VLOOKUP('.'!AB408,Recipes!$A:$D,4,FALSE)&amp;"]"))</f>
        <v/>
      </c>
      <c r="AC408" s="46" t="str">
        <f t="array" ref="AC408">IF('.'!AC408="","",'.'!AC408&amp;IF(VLOOKUP('.'!AC408,Recipes!$A:$D,4,FALSE)="",""," ["&amp;VLOOKUP('.'!AC408,Recipes!$A:$D,4,FALSE)&amp;"]"))</f>
        <v/>
      </c>
      <c r="AD408" s="46" t="str">
        <f t="array" ref="AD408">IF('.'!AD408="","",'.'!AD408&amp;IF(VLOOKUP('.'!AD408,Recipes!$A:$D,4,FALSE)="",""," ["&amp;VLOOKUP('.'!AD408,Recipes!$A:$D,4,FALSE)&amp;"]"))</f>
        <v/>
      </c>
      <c r="AE408" s="47" t="str">
        <f t="array" ref="AE408">IF('.'!AE408="","",'.'!AE408&amp;IF(VLOOKUP('.'!AE408,Recipes!$A:$D,4,FALSE)="",""," ["&amp;VLOOKUP('.'!AE408,Recipes!$A:$D,4,FALSE)&amp;"]"))</f>
        <v/>
      </c>
      <c r="AF408" s="47"/>
      <c r="AG408" s="47"/>
      <c r="AH408" s="47"/>
      <c r="AI408" s="47"/>
      <c r="AJ408" s="47"/>
      <c r="AK408" s="47"/>
      <c r="AL408" s="47"/>
      <c r="AM408" s="47"/>
      <c r="AN408" s="47"/>
      <c r="AO408" s="47"/>
      <c r="AP408" s="47"/>
      <c r="AQ408" s="47"/>
      <c r="AR408" s="47"/>
      <c r="AS408" s="47"/>
      <c r="AT408" s="47"/>
      <c r="AU408" s="47"/>
      <c r="AV408" s="47"/>
      <c r="AW408" s="47"/>
      <c r="AX408" s="47"/>
      <c r="AY408" s="47"/>
      <c r="AZ408" s="47"/>
      <c r="BA408" s="47"/>
      <c r="BB408" s="47"/>
      <c r="BC408" s="47"/>
      <c r="BD408" s="47"/>
      <c r="BE408" s="47"/>
      <c r="BF408" s="47"/>
      <c r="BG408" s="47"/>
      <c r="BH408" s="47"/>
      <c r="BI408" s="47"/>
      <c r="BJ408" s="47"/>
      <c r="BK408" s="47"/>
      <c r="BL408" s="47"/>
      <c r="BM408" s="47"/>
      <c r="BN408" s="47"/>
      <c r="BO408" s="47"/>
      <c r="BP408" s="47"/>
      <c r="BQ408" s="47"/>
      <c r="BR408" s="47"/>
      <c r="BS408" s="47"/>
      <c r="BT408" s="47"/>
      <c r="BU408" s="47"/>
      <c r="BV408" s="47"/>
      <c r="BW408" s="47"/>
      <c r="BX408" s="47"/>
      <c r="BY408" s="47"/>
      <c r="BZ408" s="47"/>
    </row>
    <row r="409" spans="1:78" ht="13">
      <c r="A409" s="48" t="str">
        <f ca="1">'.'!A409</f>
        <v>Small Rock Rune</v>
      </c>
      <c r="B409" s="46" t="str">
        <f t="array" aca="1" ref="B409" ca="1">IF('.'!B409="","",'.'!B409&amp;IF(VLOOKUP('.'!B409,Recipes!$A:$D,4,FALSE)="",""," ["&amp;VLOOKUP('.'!B409,Recipes!$A:$D,4,FALSE)&amp;"]"))</f>
        <v>Medium Rock Rune [-370]</v>
      </c>
      <c r="C409" s="46" t="str">
        <f t="array" aca="1" ref="C409" ca="1">IF('.'!C409="","",'.'!C409&amp;IF(VLOOKUP('.'!C409,Recipes!$A:$D,4,FALSE)="",""," ["&amp;VLOOKUP('.'!C409,Recipes!$A:$D,4,FALSE)&amp;"]"))</f>
        <v>Mystical Small Rock Rune [0]</v>
      </c>
      <c r="D409" s="46" t="str">
        <f t="array" aca="1" ref="D409" ca="1">IF('.'!D409="","",'.'!D409&amp;IF(VLOOKUP('.'!D409,Recipes!$A:$D,4,FALSE)="",""," ["&amp;VLOOKUP('.'!D409,Recipes!$A:$D,4,FALSE)&amp;"]"))</f>
        <v>Small Rock Rune of Power [0]</v>
      </c>
      <c r="E409" s="46" t="str">
        <f t="array" ref="E409">IF('.'!E409="","",'.'!E409&amp;IF(VLOOKUP('.'!E409,Recipes!$A:$D,4,FALSE)="",""," ["&amp;VLOOKUP('.'!E409,Recipes!$A:$D,4,FALSE)&amp;"]"))</f>
        <v/>
      </c>
      <c r="F409" s="46" t="str">
        <f t="array" ref="F409">IF('.'!F409="","",'.'!F409&amp;IF(VLOOKUP('.'!F409,Recipes!$A:$D,4,FALSE)="",""," ["&amp;VLOOKUP('.'!F409,Recipes!$A:$D,4,FALSE)&amp;"]"))</f>
        <v/>
      </c>
      <c r="G409" s="46" t="str">
        <f t="array" ref="G409">IF('.'!G409="","",'.'!G409&amp;IF(VLOOKUP('.'!G409,Recipes!$A:$D,4,FALSE)="",""," ["&amp;VLOOKUP('.'!G409,Recipes!$A:$D,4,FALSE)&amp;"]"))</f>
        <v/>
      </c>
      <c r="H409" s="46" t="str">
        <f t="array" ref="H409">IF('.'!H409="","",'.'!H409&amp;IF(VLOOKUP('.'!H409,Recipes!$A:$D,4,FALSE)="",""," ["&amp;VLOOKUP('.'!H409,Recipes!$A:$D,4,FALSE)&amp;"]"))</f>
        <v/>
      </c>
      <c r="I409" s="46" t="str">
        <f t="array" ref="I409">IF('.'!I409="","",'.'!I409&amp;IF(VLOOKUP('.'!I409,Recipes!$A:$D,4,FALSE)="",""," ["&amp;VLOOKUP('.'!I409,Recipes!$A:$D,4,FALSE)&amp;"]"))</f>
        <v/>
      </c>
      <c r="J409" s="46" t="str">
        <f t="array" ref="J409">IF('.'!J409="","",'.'!J409&amp;IF(VLOOKUP('.'!J409,Recipes!$A:$D,4,FALSE)="",""," ["&amp;VLOOKUP('.'!J409,Recipes!$A:$D,4,FALSE)&amp;"]"))</f>
        <v/>
      </c>
      <c r="K409" s="46" t="str">
        <f t="array" ref="K409">IF('.'!K409="","",'.'!K409&amp;IF(VLOOKUP('.'!K409,Recipes!$A:$D,4,FALSE)="",""," ["&amp;VLOOKUP('.'!K409,Recipes!$A:$D,4,FALSE)&amp;"]"))</f>
        <v/>
      </c>
      <c r="L409" s="46" t="str">
        <f t="array" ref="L409">IF('.'!L409="","",'.'!L409&amp;IF(VLOOKUP('.'!L409,Recipes!$A:$D,4,FALSE)="",""," ["&amp;VLOOKUP('.'!L409,Recipes!$A:$D,4,FALSE)&amp;"]"))</f>
        <v/>
      </c>
      <c r="M409" s="46" t="str">
        <f t="array" ref="M409">IF('.'!M409="","",'.'!M409&amp;IF(VLOOKUP('.'!M409,Recipes!$A:$D,4,FALSE)="",""," ["&amp;VLOOKUP('.'!M409,Recipes!$A:$D,4,FALSE)&amp;"]"))</f>
        <v/>
      </c>
      <c r="N409" s="46" t="str">
        <f t="array" ref="N409">IF('.'!N409="","",'.'!N409&amp;IF(VLOOKUP('.'!N409,Recipes!$A:$D,4,FALSE)="",""," ["&amp;VLOOKUP('.'!N409,Recipes!$A:$D,4,FALSE)&amp;"]"))</f>
        <v/>
      </c>
      <c r="O409" s="46" t="str">
        <f t="array" ref="O409">IF('.'!O409="","",'.'!O409&amp;IF(VLOOKUP('.'!O409,Recipes!$A:$D,4,FALSE)="",""," ["&amp;VLOOKUP('.'!O409,Recipes!$A:$D,4,FALSE)&amp;"]"))</f>
        <v/>
      </c>
      <c r="P409" s="46" t="str">
        <f t="array" ref="P409">IF('.'!P409="","",'.'!P409&amp;IF(VLOOKUP('.'!P409,Recipes!$A:$D,4,FALSE)="",""," ["&amp;VLOOKUP('.'!P409,Recipes!$A:$D,4,FALSE)&amp;"]"))</f>
        <v/>
      </c>
      <c r="Q409" s="46" t="str">
        <f t="array" ref="Q409">IF('.'!Q409="","",'.'!Q409&amp;IF(VLOOKUP('.'!Q409,Recipes!$A:$D,4,FALSE)="",""," ["&amp;VLOOKUP('.'!Q409,Recipes!$A:$D,4,FALSE)&amp;"]"))</f>
        <v/>
      </c>
      <c r="R409" s="46" t="str">
        <f t="array" ref="R409">IF('.'!R409="","",'.'!R409&amp;IF(VLOOKUP('.'!R409,Recipes!$A:$D,4,FALSE)="",""," ["&amp;VLOOKUP('.'!R409,Recipes!$A:$D,4,FALSE)&amp;"]"))</f>
        <v/>
      </c>
      <c r="S409" s="46" t="str">
        <f t="array" ref="S409">IF('.'!S409="","",'.'!S409&amp;IF(VLOOKUP('.'!S409,Recipes!$A:$D,4,FALSE)="",""," ["&amp;VLOOKUP('.'!S409,Recipes!$A:$D,4,FALSE)&amp;"]"))</f>
        <v/>
      </c>
      <c r="T409" s="46" t="str">
        <f t="array" ref="T409">IF('.'!T409="","",'.'!T409&amp;IF(VLOOKUP('.'!T409,Recipes!$A:$D,4,FALSE)="",""," ["&amp;VLOOKUP('.'!T409,Recipes!$A:$D,4,FALSE)&amp;"]"))</f>
        <v/>
      </c>
      <c r="U409" s="46" t="str">
        <f t="array" ref="U409">IF('.'!U409="","",'.'!U409&amp;IF(VLOOKUP('.'!U409,Recipes!$A:$D,4,FALSE)="",""," ["&amp;VLOOKUP('.'!U409,Recipes!$A:$D,4,FALSE)&amp;"]"))</f>
        <v/>
      </c>
      <c r="V409" s="46" t="str">
        <f t="array" ref="V409">IF('.'!V409="","",'.'!V409&amp;IF(VLOOKUP('.'!V409,Recipes!$A:$D,4,FALSE)="",""," ["&amp;VLOOKUP('.'!V409,Recipes!$A:$D,4,FALSE)&amp;"]"))</f>
        <v/>
      </c>
      <c r="W409" s="46" t="str">
        <f t="array" ref="W409">IF('.'!W409="","",'.'!W409&amp;IF(VLOOKUP('.'!W409,Recipes!$A:$D,4,FALSE)="",""," ["&amp;VLOOKUP('.'!W409,Recipes!$A:$D,4,FALSE)&amp;"]"))</f>
        <v/>
      </c>
      <c r="X409" s="46" t="str">
        <f t="array" ref="X409">IF('.'!X409="","",'.'!X409&amp;IF(VLOOKUP('.'!X409,Recipes!$A:$D,4,FALSE)="",""," ["&amp;VLOOKUP('.'!X409,Recipes!$A:$D,4,FALSE)&amp;"]"))</f>
        <v/>
      </c>
      <c r="Y409" s="46" t="str">
        <f t="array" ref="Y409">IF('.'!Y409="","",'.'!Y409&amp;IF(VLOOKUP('.'!Y409,Recipes!$A:$D,4,FALSE)="",""," ["&amp;VLOOKUP('.'!Y409,Recipes!$A:$D,4,FALSE)&amp;"]"))</f>
        <v/>
      </c>
      <c r="Z409" s="46" t="str">
        <f t="array" ref="Z409">IF('.'!Z409="","",'.'!Z409&amp;IF(VLOOKUP('.'!Z409,Recipes!$A:$D,4,FALSE)="",""," ["&amp;VLOOKUP('.'!Z409,Recipes!$A:$D,4,FALSE)&amp;"]"))</f>
        <v/>
      </c>
      <c r="AA409" s="46" t="str">
        <f t="array" ref="AA409">IF('.'!AA409="","",'.'!AA409&amp;IF(VLOOKUP('.'!AA409,Recipes!$A:$D,4,FALSE)="",""," ["&amp;VLOOKUP('.'!AA409,Recipes!$A:$D,4,FALSE)&amp;"]"))</f>
        <v/>
      </c>
      <c r="AB409" s="46" t="str">
        <f t="array" ref="AB409">IF('.'!AB409="","",'.'!AB409&amp;IF(VLOOKUP('.'!AB409,Recipes!$A:$D,4,FALSE)="",""," ["&amp;VLOOKUP('.'!AB409,Recipes!$A:$D,4,FALSE)&amp;"]"))</f>
        <v/>
      </c>
      <c r="AC409" s="46" t="str">
        <f t="array" ref="AC409">IF('.'!AC409="","",'.'!AC409&amp;IF(VLOOKUP('.'!AC409,Recipes!$A:$D,4,FALSE)="",""," ["&amp;VLOOKUP('.'!AC409,Recipes!$A:$D,4,FALSE)&amp;"]"))</f>
        <v/>
      </c>
      <c r="AD409" s="46" t="str">
        <f t="array" ref="AD409">IF('.'!AD409="","",'.'!AD409&amp;IF(VLOOKUP('.'!AD409,Recipes!$A:$D,4,FALSE)="",""," ["&amp;VLOOKUP('.'!AD409,Recipes!$A:$D,4,FALSE)&amp;"]"))</f>
        <v/>
      </c>
      <c r="AE409" s="47" t="str">
        <f t="array" ref="AE409">IF('.'!AE409="","",'.'!AE409&amp;IF(VLOOKUP('.'!AE409,Recipes!$A:$D,4,FALSE)="",""," ["&amp;VLOOKUP('.'!AE409,Recipes!$A:$D,4,FALSE)&amp;"]"))</f>
        <v/>
      </c>
      <c r="AF409" s="47"/>
      <c r="AG409" s="47"/>
      <c r="AH409" s="47"/>
      <c r="AI409" s="47"/>
      <c r="AJ409" s="47"/>
      <c r="AK409" s="47"/>
      <c r="AL409" s="47"/>
      <c r="AM409" s="47"/>
      <c r="AN409" s="47"/>
      <c r="AO409" s="47"/>
      <c r="AP409" s="47"/>
      <c r="AQ409" s="47"/>
      <c r="AR409" s="47"/>
      <c r="AS409" s="47"/>
      <c r="AT409" s="47"/>
      <c r="AU409" s="47"/>
      <c r="AV409" s="47"/>
      <c r="AW409" s="47"/>
      <c r="AX409" s="47"/>
      <c r="AY409" s="47"/>
      <c r="AZ409" s="47"/>
      <c r="BA409" s="47"/>
      <c r="BB409" s="47"/>
      <c r="BC409" s="47"/>
      <c r="BD409" s="47"/>
      <c r="BE409" s="47"/>
      <c r="BF409" s="47"/>
      <c r="BG409" s="47"/>
      <c r="BH409" s="47"/>
      <c r="BI409" s="47"/>
      <c r="BJ409" s="47"/>
      <c r="BK409" s="47"/>
      <c r="BL409" s="47"/>
      <c r="BM409" s="47"/>
      <c r="BN409" s="47"/>
      <c r="BO409" s="47"/>
      <c r="BP409" s="47"/>
      <c r="BQ409" s="47"/>
      <c r="BR409" s="47"/>
      <c r="BS409" s="47"/>
      <c r="BT409" s="47"/>
      <c r="BU409" s="47"/>
      <c r="BV409" s="47"/>
      <c r="BW409" s="47"/>
      <c r="BX409" s="47"/>
      <c r="BY409" s="47"/>
      <c r="BZ409" s="47"/>
    </row>
    <row r="410" spans="1:78" ht="13">
      <c r="A410" s="48" t="str">
        <f ca="1">'.'!A410</f>
        <v>Small Thunder Rune</v>
      </c>
      <c r="B410" s="46" t="str">
        <f t="array" aca="1" ref="B410" ca="1">IF('.'!B410="","",'.'!B410&amp;IF(VLOOKUP('.'!B410,Recipes!$A:$D,4,FALSE)="",""," ["&amp;VLOOKUP('.'!B410,Recipes!$A:$D,4,FALSE)&amp;"]"))</f>
        <v>Medium Thunder Rune [-370]</v>
      </c>
      <c r="C410" s="46" t="str">
        <f t="array" aca="1" ref="C410" ca="1">IF('.'!C410="","",'.'!C410&amp;IF(VLOOKUP('.'!C410,Recipes!$A:$D,4,FALSE)="",""," ["&amp;VLOOKUP('.'!C410,Recipes!$A:$D,4,FALSE)&amp;"]"))</f>
        <v>Mystical Small Thunder Rune [0]</v>
      </c>
      <c r="D410" s="46" t="str">
        <f t="array" aca="1" ref="D410" ca="1">IF('.'!D410="","",'.'!D410&amp;IF(VLOOKUP('.'!D410,Recipes!$A:$D,4,FALSE)="",""," ["&amp;VLOOKUP('.'!D410,Recipes!$A:$D,4,FALSE)&amp;"]"))</f>
        <v>Small Thunder Rune of Power [0]</v>
      </c>
      <c r="E410" s="46" t="str">
        <f t="array" ref="E410">IF('.'!E410="","",'.'!E410&amp;IF(VLOOKUP('.'!E410,Recipes!$A:$D,4,FALSE)="",""," ["&amp;VLOOKUP('.'!E410,Recipes!$A:$D,4,FALSE)&amp;"]"))</f>
        <v/>
      </c>
      <c r="F410" s="46" t="str">
        <f t="array" ref="F410">IF('.'!F410="","",'.'!F410&amp;IF(VLOOKUP('.'!F410,Recipes!$A:$D,4,FALSE)="",""," ["&amp;VLOOKUP('.'!F410,Recipes!$A:$D,4,FALSE)&amp;"]"))</f>
        <v/>
      </c>
      <c r="G410" s="46" t="str">
        <f t="array" ref="G410">IF('.'!G410="","",'.'!G410&amp;IF(VLOOKUP('.'!G410,Recipes!$A:$D,4,FALSE)="",""," ["&amp;VLOOKUP('.'!G410,Recipes!$A:$D,4,FALSE)&amp;"]"))</f>
        <v/>
      </c>
      <c r="H410" s="46" t="str">
        <f t="array" ref="H410">IF('.'!H410="","",'.'!H410&amp;IF(VLOOKUP('.'!H410,Recipes!$A:$D,4,FALSE)="",""," ["&amp;VLOOKUP('.'!H410,Recipes!$A:$D,4,FALSE)&amp;"]"))</f>
        <v/>
      </c>
      <c r="I410" s="46" t="str">
        <f t="array" ref="I410">IF('.'!I410="","",'.'!I410&amp;IF(VLOOKUP('.'!I410,Recipes!$A:$D,4,FALSE)="",""," ["&amp;VLOOKUP('.'!I410,Recipes!$A:$D,4,FALSE)&amp;"]"))</f>
        <v/>
      </c>
      <c r="J410" s="46" t="str">
        <f t="array" ref="J410">IF('.'!J410="","",'.'!J410&amp;IF(VLOOKUP('.'!J410,Recipes!$A:$D,4,FALSE)="",""," ["&amp;VLOOKUP('.'!J410,Recipes!$A:$D,4,FALSE)&amp;"]"))</f>
        <v/>
      </c>
      <c r="K410" s="46" t="str">
        <f t="array" ref="K410">IF('.'!K410="","",'.'!K410&amp;IF(VLOOKUP('.'!K410,Recipes!$A:$D,4,FALSE)="",""," ["&amp;VLOOKUP('.'!K410,Recipes!$A:$D,4,FALSE)&amp;"]"))</f>
        <v/>
      </c>
      <c r="L410" s="46" t="str">
        <f t="array" ref="L410">IF('.'!L410="","",'.'!L410&amp;IF(VLOOKUP('.'!L410,Recipes!$A:$D,4,FALSE)="",""," ["&amp;VLOOKUP('.'!L410,Recipes!$A:$D,4,FALSE)&amp;"]"))</f>
        <v/>
      </c>
      <c r="M410" s="46" t="str">
        <f t="array" ref="M410">IF('.'!M410="","",'.'!M410&amp;IF(VLOOKUP('.'!M410,Recipes!$A:$D,4,FALSE)="",""," ["&amp;VLOOKUP('.'!M410,Recipes!$A:$D,4,FALSE)&amp;"]"))</f>
        <v/>
      </c>
      <c r="N410" s="46" t="str">
        <f t="array" ref="N410">IF('.'!N410="","",'.'!N410&amp;IF(VLOOKUP('.'!N410,Recipes!$A:$D,4,FALSE)="",""," ["&amp;VLOOKUP('.'!N410,Recipes!$A:$D,4,FALSE)&amp;"]"))</f>
        <v/>
      </c>
      <c r="O410" s="46" t="str">
        <f t="array" ref="O410">IF('.'!O410="","",'.'!O410&amp;IF(VLOOKUP('.'!O410,Recipes!$A:$D,4,FALSE)="",""," ["&amp;VLOOKUP('.'!O410,Recipes!$A:$D,4,FALSE)&amp;"]"))</f>
        <v/>
      </c>
      <c r="P410" s="46" t="str">
        <f t="array" ref="P410">IF('.'!P410="","",'.'!P410&amp;IF(VLOOKUP('.'!P410,Recipes!$A:$D,4,FALSE)="",""," ["&amp;VLOOKUP('.'!P410,Recipes!$A:$D,4,FALSE)&amp;"]"))</f>
        <v/>
      </c>
      <c r="Q410" s="46" t="str">
        <f t="array" ref="Q410">IF('.'!Q410="","",'.'!Q410&amp;IF(VLOOKUP('.'!Q410,Recipes!$A:$D,4,FALSE)="",""," ["&amp;VLOOKUP('.'!Q410,Recipes!$A:$D,4,FALSE)&amp;"]"))</f>
        <v/>
      </c>
      <c r="R410" s="46" t="str">
        <f t="array" ref="R410">IF('.'!R410="","",'.'!R410&amp;IF(VLOOKUP('.'!R410,Recipes!$A:$D,4,FALSE)="",""," ["&amp;VLOOKUP('.'!R410,Recipes!$A:$D,4,FALSE)&amp;"]"))</f>
        <v/>
      </c>
      <c r="S410" s="46" t="str">
        <f t="array" ref="S410">IF('.'!S410="","",'.'!S410&amp;IF(VLOOKUP('.'!S410,Recipes!$A:$D,4,FALSE)="",""," ["&amp;VLOOKUP('.'!S410,Recipes!$A:$D,4,FALSE)&amp;"]"))</f>
        <v/>
      </c>
      <c r="T410" s="46" t="str">
        <f t="array" ref="T410">IF('.'!T410="","",'.'!T410&amp;IF(VLOOKUP('.'!T410,Recipes!$A:$D,4,FALSE)="",""," ["&amp;VLOOKUP('.'!T410,Recipes!$A:$D,4,FALSE)&amp;"]"))</f>
        <v/>
      </c>
      <c r="U410" s="46" t="str">
        <f t="array" ref="U410">IF('.'!U410="","",'.'!U410&amp;IF(VLOOKUP('.'!U410,Recipes!$A:$D,4,FALSE)="",""," ["&amp;VLOOKUP('.'!U410,Recipes!$A:$D,4,FALSE)&amp;"]"))</f>
        <v/>
      </c>
      <c r="V410" s="46" t="str">
        <f t="array" ref="V410">IF('.'!V410="","",'.'!V410&amp;IF(VLOOKUP('.'!V410,Recipes!$A:$D,4,FALSE)="",""," ["&amp;VLOOKUP('.'!V410,Recipes!$A:$D,4,FALSE)&amp;"]"))</f>
        <v/>
      </c>
      <c r="W410" s="46" t="str">
        <f t="array" ref="W410">IF('.'!W410="","",'.'!W410&amp;IF(VLOOKUP('.'!W410,Recipes!$A:$D,4,FALSE)="",""," ["&amp;VLOOKUP('.'!W410,Recipes!$A:$D,4,FALSE)&amp;"]"))</f>
        <v/>
      </c>
      <c r="X410" s="46" t="str">
        <f t="array" ref="X410">IF('.'!X410="","",'.'!X410&amp;IF(VLOOKUP('.'!X410,Recipes!$A:$D,4,FALSE)="",""," ["&amp;VLOOKUP('.'!X410,Recipes!$A:$D,4,FALSE)&amp;"]"))</f>
        <v/>
      </c>
      <c r="Y410" s="46" t="str">
        <f t="array" ref="Y410">IF('.'!Y410="","",'.'!Y410&amp;IF(VLOOKUP('.'!Y410,Recipes!$A:$D,4,FALSE)="",""," ["&amp;VLOOKUP('.'!Y410,Recipes!$A:$D,4,FALSE)&amp;"]"))</f>
        <v/>
      </c>
      <c r="Z410" s="46" t="str">
        <f t="array" ref="Z410">IF('.'!Z410="","",'.'!Z410&amp;IF(VLOOKUP('.'!Z410,Recipes!$A:$D,4,FALSE)="",""," ["&amp;VLOOKUP('.'!Z410,Recipes!$A:$D,4,FALSE)&amp;"]"))</f>
        <v/>
      </c>
      <c r="AA410" s="46" t="str">
        <f t="array" ref="AA410">IF('.'!AA410="","",'.'!AA410&amp;IF(VLOOKUP('.'!AA410,Recipes!$A:$D,4,FALSE)="",""," ["&amp;VLOOKUP('.'!AA410,Recipes!$A:$D,4,FALSE)&amp;"]"))</f>
        <v/>
      </c>
      <c r="AB410" s="46" t="str">
        <f t="array" ref="AB410">IF('.'!AB410="","",'.'!AB410&amp;IF(VLOOKUP('.'!AB410,Recipes!$A:$D,4,FALSE)="",""," ["&amp;VLOOKUP('.'!AB410,Recipes!$A:$D,4,FALSE)&amp;"]"))</f>
        <v/>
      </c>
      <c r="AC410" s="46" t="str">
        <f t="array" ref="AC410">IF('.'!AC410="","",'.'!AC410&amp;IF(VLOOKUP('.'!AC410,Recipes!$A:$D,4,FALSE)="",""," ["&amp;VLOOKUP('.'!AC410,Recipes!$A:$D,4,FALSE)&amp;"]"))</f>
        <v/>
      </c>
      <c r="AD410" s="46" t="str">
        <f t="array" ref="AD410">IF('.'!AD410="","",'.'!AD410&amp;IF(VLOOKUP('.'!AD410,Recipes!$A:$D,4,FALSE)="",""," ["&amp;VLOOKUP('.'!AD410,Recipes!$A:$D,4,FALSE)&amp;"]"))</f>
        <v/>
      </c>
      <c r="AE410" s="47" t="str">
        <f t="array" ref="AE410">IF('.'!AE410="","",'.'!AE410&amp;IF(VLOOKUP('.'!AE410,Recipes!$A:$D,4,FALSE)="",""," ["&amp;VLOOKUP('.'!AE410,Recipes!$A:$D,4,FALSE)&amp;"]"))</f>
        <v/>
      </c>
      <c r="AF410" s="47"/>
      <c r="AG410" s="47"/>
      <c r="AH410" s="47"/>
      <c r="AI410" s="47"/>
      <c r="AJ410" s="47"/>
      <c r="AK410" s="47"/>
      <c r="AL410" s="47"/>
      <c r="AM410" s="47"/>
      <c r="AN410" s="47"/>
      <c r="AO410" s="47"/>
      <c r="AP410" s="47"/>
      <c r="AQ410" s="47"/>
      <c r="AR410" s="47"/>
      <c r="AS410" s="47"/>
      <c r="AT410" s="47"/>
      <c r="AU410" s="47"/>
      <c r="AV410" s="47"/>
      <c r="AW410" s="47"/>
      <c r="AX410" s="47"/>
      <c r="AY410" s="47"/>
      <c r="AZ410" s="47"/>
      <c r="BA410" s="47"/>
      <c r="BB410" s="47"/>
      <c r="BC410" s="47"/>
      <c r="BD410" s="47"/>
      <c r="BE410" s="47"/>
      <c r="BF410" s="47"/>
      <c r="BG410" s="47"/>
      <c r="BH410" s="47"/>
      <c r="BI410" s="47"/>
      <c r="BJ410" s="47"/>
      <c r="BK410" s="47"/>
      <c r="BL410" s="47"/>
      <c r="BM410" s="47"/>
      <c r="BN410" s="47"/>
      <c r="BO410" s="47"/>
      <c r="BP410" s="47"/>
      <c r="BQ410" s="47"/>
      <c r="BR410" s="47"/>
      <c r="BS410" s="47"/>
      <c r="BT410" s="47"/>
      <c r="BU410" s="47"/>
      <c r="BV410" s="47"/>
      <c r="BW410" s="47"/>
      <c r="BX410" s="47"/>
      <c r="BY410" s="47"/>
      <c r="BZ410" s="47"/>
    </row>
    <row r="411" spans="1:78" ht="13">
      <c r="A411" s="48" t="str">
        <f ca="1">'.'!A411</f>
        <v>Small Venom Rune</v>
      </c>
      <c r="B411" s="46" t="str">
        <f t="array" aca="1" ref="B411" ca="1">IF('.'!B411="","",'.'!B411&amp;IF(VLOOKUP('.'!B411,Recipes!$A:$D,4,FALSE)="",""," ["&amp;VLOOKUP('.'!B411,Recipes!$A:$D,4,FALSE)&amp;"]"))</f>
        <v>Medium Venom Rune [-370]</v>
      </c>
      <c r="C411" s="46" t="str">
        <f t="array" aca="1" ref="C411" ca="1">IF('.'!C411="","",'.'!C411&amp;IF(VLOOKUP('.'!C411,Recipes!$A:$D,4,FALSE)="",""," ["&amp;VLOOKUP('.'!C411,Recipes!$A:$D,4,FALSE)&amp;"]"))</f>
        <v>Mystical Small Venom Rune [0]</v>
      </c>
      <c r="D411" s="46" t="str">
        <f t="array" aca="1" ref="D411" ca="1">IF('.'!D411="","",'.'!D411&amp;IF(VLOOKUP('.'!D411,Recipes!$A:$D,4,FALSE)="",""," ["&amp;VLOOKUP('.'!D411,Recipes!$A:$D,4,FALSE)&amp;"]"))</f>
        <v>Small Venom Rune of Power [0]</v>
      </c>
      <c r="E411" s="46" t="str">
        <f t="array" ref="E411">IF('.'!E411="","",'.'!E411&amp;IF(VLOOKUP('.'!E411,Recipes!$A:$D,4,FALSE)="",""," ["&amp;VLOOKUP('.'!E411,Recipes!$A:$D,4,FALSE)&amp;"]"))</f>
        <v/>
      </c>
      <c r="F411" s="46" t="str">
        <f t="array" ref="F411">IF('.'!F411="","",'.'!F411&amp;IF(VLOOKUP('.'!F411,Recipes!$A:$D,4,FALSE)="",""," ["&amp;VLOOKUP('.'!F411,Recipes!$A:$D,4,FALSE)&amp;"]"))</f>
        <v/>
      </c>
      <c r="G411" s="46" t="str">
        <f t="array" ref="G411">IF('.'!G411="","",'.'!G411&amp;IF(VLOOKUP('.'!G411,Recipes!$A:$D,4,FALSE)="",""," ["&amp;VLOOKUP('.'!G411,Recipes!$A:$D,4,FALSE)&amp;"]"))</f>
        <v/>
      </c>
      <c r="H411" s="46" t="str">
        <f t="array" ref="H411">IF('.'!H411="","",'.'!H411&amp;IF(VLOOKUP('.'!H411,Recipes!$A:$D,4,FALSE)="",""," ["&amp;VLOOKUP('.'!H411,Recipes!$A:$D,4,FALSE)&amp;"]"))</f>
        <v/>
      </c>
      <c r="I411" s="46" t="str">
        <f t="array" ref="I411">IF('.'!I411="","",'.'!I411&amp;IF(VLOOKUP('.'!I411,Recipes!$A:$D,4,FALSE)="",""," ["&amp;VLOOKUP('.'!I411,Recipes!$A:$D,4,FALSE)&amp;"]"))</f>
        <v/>
      </c>
      <c r="J411" s="46" t="str">
        <f t="array" ref="J411">IF('.'!J411="","",'.'!J411&amp;IF(VLOOKUP('.'!J411,Recipes!$A:$D,4,FALSE)="",""," ["&amp;VLOOKUP('.'!J411,Recipes!$A:$D,4,FALSE)&amp;"]"))</f>
        <v/>
      </c>
      <c r="K411" s="46" t="str">
        <f t="array" ref="K411">IF('.'!K411="","",'.'!K411&amp;IF(VLOOKUP('.'!K411,Recipes!$A:$D,4,FALSE)="",""," ["&amp;VLOOKUP('.'!K411,Recipes!$A:$D,4,FALSE)&amp;"]"))</f>
        <v/>
      </c>
      <c r="L411" s="46" t="str">
        <f t="array" ref="L411">IF('.'!L411="","",'.'!L411&amp;IF(VLOOKUP('.'!L411,Recipes!$A:$D,4,FALSE)="",""," ["&amp;VLOOKUP('.'!L411,Recipes!$A:$D,4,FALSE)&amp;"]"))</f>
        <v/>
      </c>
      <c r="M411" s="46" t="str">
        <f t="array" ref="M411">IF('.'!M411="","",'.'!M411&amp;IF(VLOOKUP('.'!M411,Recipes!$A:$D,4,FALSE)="",""," ["&amp;VLOOKUP('.'!M411,Recipes!$A:$D,4,FALSE)&amp;"]"))</f>
        <v/>
      </c>
      <c r="N411" s="46" t="str">
        <f t="array" ref="N411">IF('.'!N411="","",'.'!N411&amp;IF(VLOOKUP('.'!N411,Recipes!$A:$D,4,FALSE)="",""," ["&amp;VLOOKUP('.'!N411,Recipes!$A:$D,4,FALSE)&amp;"]"))</f>
        <v/>
      </c>
      <c r="O411" s="46" t="str">
        <f t="array" ref="O411">IF('.'!O411="","",'.'!O411&amp;IF(VLOOKUP('.'!O411,Recipes!$A:$D,4,FALSE)="",""," ["&amp;VLOOKUP('.'!O411,Recipes!$A:$D,4,FALSE)&amp;"]"))</f>
        <v/>
      </c>
      <c r="P411" s="46" t="str">
        <f t="array" ref="P411">IF('.'!P411="","",'.'!P411&amp;IF(VLOOKUP('.'!P411,Recipes!$A:$D,4,FALSE)="",""," ["&amp;VLOOKUP('.'!P411,Recipes!$A:$D,4,FALSE)&amp;"]"))</f>
        <v/>
      </c>
      <c r="Q411" s="46" t="str">
        <f t="array" ref="Q411">IF('.'!Q411="","",'.'!Q411&amp;IF(VLOOKUP('.'!Q411,Recipes!$A:$D,4,FALSE)="",""," ["&amp;VLOOKUP('.'!Q411,Recipes!$A:$D,4,FALSE)&amp;"]"))</f>
        <v/>
      </c>
      <c r="R411" s="46" t="str">
        <f t="array" ref="R411">IF('.'!R411="","",'.'!R411&amp;IF(VLOOKUP('.'!R411,Recipes!$A:$D,4,FALSE)="",""," ["&amp;VLOOKUP('.'!R411,Recipes!$A:$D,4,FALSE)&amp;"]"))</f>
        <v/>
      </c>
      <c r="S411" s="46" t="str">
        <f t="array" ref="S411">IF('.'!S411="","",'.'!S411&amp;IF(VLOOKUP('.'!S411,Recipes!$A:$D,4,FALSE)="",""," ["&amp;VLOOKUP('.'!S411,Recipes!$A:$D,4,FALSE)&amp;"]"))</f>
        <v/>
      </c>
      <c r="T411" s="46" t="str">
        <f t="array" ref="T411">IF('.'!T411="","",'.'!T411&amp;IF(VLOOKUP('.'!T411,Recipes!$A:$D,4,FALSE)="",""," ["&amp;VLOOKUP('.'!T411,Recipes!$A:$D,4,FALSE)&amp;"]"))</f>
        <v/>
      </c>
      <c r="U411" s="46" t="str">
        <f t="array" ref="U411">IF('.'!U411="","",'.'!U411&amp;IF(VLOOKUP('.'!U411,Recipes!$A:$D,4,FALSE)="",""," ["&amp;VLOOKUP('.'!U411,Recipes!$A:$D,4,FALSE)&amp;"]"))</f>
        <v/>
      </c>
      <c r="V411" s="46" t="str">
        <f t="array" ref="V411">IF('.'!V411="","",'.'!V411&amp;IF(VLOOKUP('.'!V411,Recipes!$A:$D,4,FALSE)="",""," ["&amp;VLOOKUP('.'!V411,Recipes!$A:$D,4,FALSE)&amp;"]"))</f>
        <v/>
      </c>
      <c r="W411" s="46" t="str">
        <f t="array" ref="W411">IF('.'!W411="","",'.'!W411&amp;IF(VLOOKUP('.'!W411,Recipes!$A:$D,4,FALSE)="",""," ["&amp;VLOOKUP('.'!W411,Recipes!$A:$D,4,FALSE)&amp;"]"))</f>
        <v/>
      </c>
      <c r="X411" s="46" t="str">
        <f t="array" ref="X411">IF('.'!X411="","",'.'!X411&amp;IF(VLOOKUP('.'!X411,Recipes!$A:$D,4,FALSE)="",""," ["&amp;VLOOKUP('.'!X411,Recipes!$A:$D,4,FALSE)&amp;"]"))</f>
        <v/>
      </c>
      <c r="Y411" s="46" t="str">
        <f t="array" ref="Y411">IF('.'!Y411="","",'.'!Y411&amp;IF(VLOOKUP('.'!Y411,Recipes!$A:$D,4,FALSE)="",""," ["&amp;VLOOKUP('.'!Y411,Recipes!$A:$D,4,FALSE)&amp;"]"))</f>
        <v/>
      </c>
      <c r="Z411" s="46" t="str">
        <f t="array" ref="Z411">IF('.'!Z411="","",'.'!Z411&amp;IF(VLOOKUP('.'!Z411,Recipes!$A:$D,4,FALSE)="",""," ["&amp;VLOOKUP('.'!Z411,Recipes!$A:$D,4,FALSE)&amp;"]"))</f>
        <v/>
      </c>
      <c r="AA411" s="46" t="str">
        <f t="array" ref="AA411">IF('.'!AA411="","",'.'!AA411&amp;IF(VLOOKUP('.'!AA411,Recipes!$A:$D,4,FALSE)="",""," ["&amp;VLOOKUP('.'!AA411,Recipes!$A:$D,4,FALSE)&amp;"]"))</f>
        <v/>
      </c>
      <c r="AB411" s="46" t="str">
        <f t="array" ref="AB411">IF('.'!AB411="","",'.'!AB411&amp;IF(VLOOKUP('.'!AB411,Recipes!$A:$D,4,FALSE)="",""," ["&amp;VLOOKUP('.'!AB411,Recipes!$A:$D,4,FALSE)&amp;"]"))</f>
        <v/>
      </c>
      <c r="AC411" s="46" t="str">
        <f t="array" ref="AC411">IF('.'!AC411="","",'.'!AC411&amp;IF(VLOOKUP('.'!AC411,Recipes!$A:$D,4,FALSE)="",""," ["&amp;VLOOKUP('.'!AC411,Recipes!$A:$D,4,FALSE)&amp;"]"))</f>
        <v/>
      </c>
      <c r="AD411" s="46" t="str">
        <f t="array" ref="AD411">IF('.'!AD411="","",'.'!AD411&amp;IF(VLOOKUP('.'!AD411,Recipes!$A:$D,4,FALSE)="",""," ["&amp;VLOOKUP('.'!AD411,Recipes!$A:$D,4,FALSE)&amp;"]"))</f>
        <v/>
      </c>
      <c r="AE411" s="47" t="str">
        <f t="array" ref="AE411">IF('.'!AE411="","",'.'!AE411&amp;IF(VLOOKUP('.'!AE411,Recipes!$A:$D,4,FALSE)="",""," ["&amp;VLOOKUP('.'!AE411,Recipes!$A:$D,4,FALSE)&amp;"]"))</f>
        <v/>
      </c>
      <c r="AF411" s="47"/>
      <c r="AG411" s="47"/>
      <c r="AH411" s="47"/>
      <c r="AI411" s="47"/>
      <c r="AJ411" s="47"/>
      <c r="AK411" s="47"/>
      <c r="AL411" s="47"/>
      <c r="AM411" s="47"/>
      <c r="AN411" s="47"/>
      <c r="AO411" s="47"/>
      <c r="AP411" s="47"/>
      <c r="AQ411" s="47"/>
      <c r="AR411" s="47"/>
      <c r="AS411" s="47"/>
      <c r="AT411" s="47"/>
      <c r="AU411" s="47"/>
      <c r="AV411" s="47"/>
      <c r="AW411" s="47"/>
      <c r="AX411" s="47"/>
      <c r="AY411" s="47"/>
      <c r="AZ411" s="47"/>
      <c r="BA411" s="47"/>
      <c r="BB411" s="47"/>
      <c r="BC411" s="47"/>
      <c r="BD411" s="47"/>
      <c r="BE411" s="47"/>
      <c r="BF411" s="47"/>
      <c r="BG411" s="47"/>
      <c r="BH411" s="47"/>
      <c r="BI411" s="47"/>
      <c r="BJ411" s="47"/>
      <c r="BK411" s="47"/>
      <c r="BL411" s="47"/>
      <c r="BM411" s="47"/>
      <c r="BN411" s="47"/>
      <c r="BO411" s="47"/>
      <c r="BP411" s="47"/>
      <c r="BQ411" s="47"/>
      <c r="BR411" s="47"/>
      <c r="BS411" s="47"/>
      <c r="BT411" s="47"/>
      <c r="BU411" s="47"/>
      <c r="BV411" s="47"/>
      <c r="BW411" s="47"/>
      <c r="BX411" s="47"/>
      <c r="BY411" s="47"/>
      <c r="BZ411" s="47"/>
    </row>
    <row r="412" spans="1:78" ht="13">
      <c r="A412" s="48" t="str">
        <f ca="1">'.'!A412</f>
        <v>Smokescreen Arrowhead</v>
      </c>
      <c r="B412" s="46" t="str">
        <f t="array" aca="1" ref="B412" ca="1">IF('.'!B412="","",'.'!B412&amp;IF(VLOOKUP('.'!B412,Recipes!$A:$D,4,FALSE)="",""," ["&amp;VLOOKUP('.'!B412,Recipes!$A:$D,4,FALSE)&amp;"]"))</f>
        <v>Smokescreen Arrow [39]</v>
      </c>
      <c r="C412" s="46" t="str">
        <f t="array" ref="C412">IF('.'!C412="","",'.'!C412&amp;IF(VLOOKUP('.'!C412,Recipes!$A:$D,4,FALSE)="",""," ["&amp;VLOOKUP('.'!C412,Recipes!$A:$D,4,FALSE)&amp;"]"))</f>
        <v/>
      </c>
      <c r="D412" s="46" t="str">
        <f t="array" ref="D412">IF('.'!D412="","",'.'!D412&amp;IF(VLOOKUP('.'!D412,Recipes!$A:$D,4,FALSE)="",""," ["&amp;VLOOKUP('.'!D412,Recipes!$A:$D,4,FALSE)&amp;"]"))</f>
        <v/>
      </c>
      <c r="E412" s="46" t="str">
        <f t="array" ref="E412">IF('.'!E412="","",'.'!E412&amp;IF(VLOOKUP('.'!E412,Recipes!$A:$D,4,FALSE)="",""," ["&amp;VLOOKUP('.'!E412,Recipes!$A:$D,4,FALSE)&amp;"]"))</f>
        <v/>
      </c>
      <c r="F412" s="46" t="str">
        <f t="array" ref="F412">IF('.'!F412="","",'.'!F412&amp;IF(VLOOKUP('.'!F412,Recipes!$A:$D,4,FALSE)="",""," ["&amp;VLOOKUP('.'!F412,Recipes!$A:$D,4,FALSE)&amp;"]"))</f>
        <v/>
      </c>
      <c r="G412" s="46" t="str">
        <f t="array" ref="G412">IF('.'!G412="","",'.'!G412&amp;IF(VLOOKUP('.'!G412,Recipes!$A:$D,4,FALSE)="",""," ["&amp;VLOOKUP('.'!G412,Recipes!$A:$D,4,FALSE)&amp;"]"))</f>
        <v/>
      </c>
      <c r="H412" s="46" t="str">
        <f t="array" ref="H412">IF('.'!H412="","",'.'!H412&amp;IF(VLOOKUP('.'!H412,Recipes!$A:$D,4,FALSE)="",""," ["&amp;VLOOKUP('.'!H412,Recipes!$A:$D,4,FALSE)&amp;"]"))</f>
        <v/>
      </c>
      <c r="I412" s="46" t="str">
        <f t="array" ref="I412">IF('.'!I412="","",'.'!I412&amp;IF(VLOOKUP('.'!I412,Recipes!$A:$D,4,FALSE)="",""," ["&amp;VLOOKUP('.'!I412,Recipes!$A:$D,4,FALSE)&amp;"]"))</f>
        <v/>
      </c>
      <c r="J412" s="46" t="str">
        <f t="array" ref="J412">IF('.'!J412="","",'.'!J412&amp;IF(VLOOKUP('.'!J412,Recipes!$A:$D,4,FALSE)="",""," ["&amp;VLOOKUP('.'!J412,Recipes!$A:$D,4,FALSE)&amp;"]"))</f>
        <v/>
      </c>
      <c r="K412" s="46" t="str">
        <f t="array" ref="K412">IF('.'!K412="","",'.'!K412&amp;IF(VLOOKUP('.'!K412,Recipes!$A:$D,4,FALSE)="",""," ["&amp;VLOOKUP('.'!K412,Recipes!$A:$D,4,FALSE)&amp;"]"))</f>
        <v/>
      </c>
      <c r="L412" s="46" t="str">
        <f t="array" ref="L412">IF('.'!L412="","",'.'!L412&amp;IF(VLOOKUP('.'!L412,Recipes!$A:$D,4,FALSE)="",""," ["&amp;VLOOKUP('.'!L412,Recipes!$A:$D,4,FALSE)&amp;"]"))</f>
        <v/>
      </c>
      <c r="M412" s="46" t="str">
        <f t="array" ref="M412">IF('.'!M412="","",'.'!M412&amp;IF(VLOOKUP('.'!M412,Recipes!$A:$D,4,FALSE)="",""," ["&amp;VLOOKUP('.'!M412,Recipes!$A:$D,4,FALSE)&amp;"]"))</f>
        <v/>
      </c>
      <c r="N412" s="46" t="str">
        <f t="array" ref="N412">IF('.'!N412="","",'.'!N412&amp;IF(VLOOKUP('.'!N412,Recipes!$A:$D,4,FALSE)="",""," ["&amp;VLOOKUP('.'!N412,Recipes!$A:$D,4,FALSE)&amp;"]"))</f>
        <v/>
      </c>
      <c r="O412" s="46" t="str">
        <f t="array" ref="O412">IF('.'!O412="","",'.'!O412&amp;IF(VLOOKUP('.'!O412,Recipes!$A:$D,4,FALSE)="",""," ["&amp;VLOOKUP('.'!O412,Recipes!$A:$D,4,FALSE)&amp;"]"))</f>
        <v/>
      </c>
      <c r="P412" s="46" t="str">
        <f t="array" ref="P412">IF('.'!P412="","",'.'!P412&amp;IF(VLOOKUP('.'!P412,Recipes!$A:$D,4,FALSE)="",""," ["&amp;VLOOKUP('.'!P412,Recipes!$A:$D,4,FALSE)&amp;"]"))</f>
        <v/>
      </c>
      <c r="Q412" s="46" t="str">
        <f t="array" ref="Q412">IF('.'!Q412="","",'.'!Q412&amp;IF(VLOOKUP('.'!Q412,Recipes!$A:$D,4,FALSE)="",""," ["&amp;VLOOKUP('.'!Q412,Recipes!$A:$D,4,FALSE)&amp;"]"))</f>
        <v/>
      </c>
      <c r="R412" s="46" t="str">
        <f t="array" ref="R412">IF('.'!R412="","",'.'!R412&amp;IF(VLOOKUP('.'!R412,Recipes!$A:$D,4,FALSE)="",""," ["&amp;VLOOKUP('.'!R412,Recipes!$A:$D,4,FALSE)&amp;"]"))</f>
        <v/>
      </c>
      <c r="S412" s="46" t="str">
        <f t="array" ref="S412">IF('.'!S412="","",'.'!S412&amp;IF(VLOOKUP('.'!S412,Recipes!$A:$D,4,FALSE)="",""," ["&amp;VLOOKUP('.'!S412,Recipes!$A:$D,4,FALSE)&amp;"]"))</f>
        <v/>
      </c>
      <c r="T412" s="46" t="str">
        <f t="array" ref="T412">IF('.'!T412="","",'.'!T412&amp;IF(VLOOKUP('.'!T412,Recipes!$A:$D,4,FALSE)="",""," ["&amp;VLOOKUP('.'!T412,Recipes!$A:$D,4,FALSE)&amp;"]"))</f>
        <v/>
      </c>
      <c r="U412" s="46" t="str">
        <f t="array" ref="U412">IF('.'!U412="","",'.'!U412&amp;IF(VLOOKUP('.'!U412,Recipes!$A:$D,4,FALSE)="",""," ["&amp;VLOOKUP('.'!U412,Recipes!$A:$D,4,FALSE)&amp;"]"))</f>
        <v/>
      </c>
      <c r="V412" s="46" t="str">
        <f t="array" ref="V412">IF('.'!V412="","",'.'!V412&amp;IF(VLOOKUP('.'!V412,Recipes!$A:$D,4,FALSE)="",""," ["&amp;VLOOKUP('.'!V412,Recipes!$A:$D,4,FALSE)&amp;"]"))</f>
        <v/>
      </c>
      <c r="W412" s="46" t="str">
        <f t="array" ref="W412">IF('.'!W412="","",'.'!W412&amp;IF(VLOOKUP('.'!W412,Recipes!$A:$D,4,FALSE)="",""," ["&amp;VLOOKUP('.'!W412,Recipes!$A:$D,4,FALSE)&amp;"]"))</f>
        <v/>
      </c>
      <c r="X412" s="46" t="str">
        <f t="array" ref="X412">IF('.'!X412="","",'.'!X412&amp;IF(VLOOKUP('.'!X412,Recipes!$A:$D,4,FALSE)="",""," ["&amp;VLOOKUP('.'!X412,Recipes!$A:$D,4,FALSE)&amp;"]"))</f>
        <v/>
      </c>
      <c r="Y412" s="46" t="str">
        <f t="array" ref="Y412">IF('.'!Y412="","",'.'!Y412&amp;IF(VLOOKUP('.'!Y412,Recipes!$A:$D,4,FALSE)="",""," ["&amp;VLOOKUP('.'!Y412,Recipes!$A:$D,4,FALSE)&amp;"]"))</f>
        <v/>
      </c>
      <c r="Z412" s="46" t="str">
        <f t="array" ref="Z412">IF('.'!Z412="","",'.'!Z412&amp;IF(VLOOKUP('.'!Z412,Recipes!$A:$D,4,FALSE)="",""," ["&amp;VLOOKUP('.'!Z412,Recipes!$A:$D,4,FALSE)&amp;"]"))</f>
        <v/>
      </c>
      <c r="AA412" s="46" t="str">
        <f t="array" ref="AA412">IF('.'!AA412="","",'.'!AA412&amp;IF(VLOOKUP('.'!AA412,Recipes!$A:$D,4,FALSE)="",""," ["&amp;VLOOKUP('.'!AA412,Recipes!$A:$D,4,FALSE)&amp;"]"))</f>
        <v/>
      </c>
      <c r="AB412" s="46" t="str">
        <f t="array" ref="AB412">IF('.'!AB412="","",'.'!AB412&amp;IF(VLOOKUP('.'!AB412,Recipes!$A:$D,4,FALSE)="",""," ["&amp;VLOOKUP('.'!AB412,Recipes!$A:$D,4,FALSE)&amp;"]"))</f>
        <v/>
      </c>
      <c r="AC412" s="46" t="str">
        <f t="array" ref="AC412">IF('.'!AC412="","",'.'!AC412&amp;IF(VLOOKUP('.'!AC412,Recipes!$A:$D,4,FALSE)="",""," ["&amp;VLOOKUP('.'!AC412,Recipes!$A:$D,4,FALSE)&amp;"]"))</f>
        <v/>
      </c>
      <c r="AD412" s="46" t="str">
        <f t="array" ref="AD412">IF('.'!AD412="","",'.'!AD412&amp;IF(VLOOKUP('.'!AD412,Recipes!$A:$D,4,FALSE)="",""," ["&amp;VLOOKUP('.'!AD412,Recipes!$A:$D,4,FALSE)&amp;"]"))</f>
        <v/>
      </c>
      <c r="AE412" s="47" t="str">
        <f t="array" ref="AE412">IF('.'!AE412="","",'.'!AE412&amp;IF(VLOOKUP('.'!AE412,Recipes!$A:$D,4,FALSE)="",""," ["&amp;VLOOKUP('.'!AE412,Recipes!$A:$D,4,FALSE)&amp;"]"))</f>
        <v/>
      </c>
      <c r="AF412" s="47"/>
      <c r="AG412" s="47"/>
      <c r="AH412" s="47"/>
      <c r="AI412" s="47"/>
      <c r="AJ412" s="47"/>
      <c r="AK412" s="47"/>
      <c r="AL412" s="47"/>
      <c r="AM412" s="47"/>
      <c r="AN412" s="47"/>
      <c r="AO412" s="47"/>
      <c r="AP412" s="47"/>
      <c r="AQ412" s="47"/>
      <c r="AR412" s="47"/>
      <c r="AS412" s="47"/>
      <c r="AT412" s="47"/>
      <c r="AU412" s="47"/>
      <c r="AV412" s="47"/>
      <c r="AW412" s="47"/>
      <c r="AX412" s="47"/>
      <c r="AY412" s="47"/>
      <c r="AZ412" s="47"/>
      <c r="BA412" s="47"/>
      <c r="BB412" s="47"/>
      <c r="BC412" s="47"/>
      <c r="BD412" s="47"/>
      <c r="BE412" s="47"/>
      <c r="BF412" s="47"/>
      <c r="BG412" s="47"/>
      <c r="BH412" s="47"/>
      <c r="BI412" s="47"/>
      <c r="BJ412" s="47"/>
      <c r="BK412" s="47"/>
      <c r="BL412" s="47"/>
      <c r="BM412" s="47"/>
      <c r="BN412" s="47"/>
      <c r="BO412" s="47"/>
      <c r="BP412" s="47"/>
      <c r="BQ412" s="47"/>
      <c r="BR412" s="47"/>
      <c r="BS412" s="47"/>
      <c r="BT412" s="47"/>
      <c r="BU412" s="47"/>
      <c r="BV412" s="47"/>
      <c r="BW412" s="47"/>
      <c r="BX412" s="47"/>
      <c r="BY412" s="47"/>
      <c r="BZ412" s="47"/>
    </row>
    <row r="413" spans="1:78" ht="13">
      <c r="A413" s="48" t="str">
        <f ca="1">'.'!A413</f>
        <v>Soap</v>
      </c>
      <c r="B413" s="46" t="str">
        <f t="array" aca="1" ref="B413" ca="1">IF('.'!B413="","",'.'!B413&amp;IF(VLOOKUP('.'!B413,Recipes!$A:$D,4,FALSE)="",""," ["&amp;VLOOKUP('.'!B413,Recipes!$A:$D,4,FALSE)&amp;"]"))</f>
        <v>Lockpick [12]</v>
      </c>
      <c r="C413" s="46" t="str">
        <f t="array" ref="C413">IF('.'!C413="","",'.'!C413&amp;IF(VLOOKUP('.'!C413,Recipes!$A:$D,4,FALSE)="",""," ["&amp;VLOOKUP('.'!C413,Recipes!$A:$D,4,FALSE)&amp;"]"))</f>
        <v/>
      </c>
      <c r="D413" s="46" t="str">
        <f t="array" ref="D413">IF('.'!D413="","",'.'!D413&amp;IF(VLOOKUP('.'!D413,Recipes!$A:$D,4,FALSE)="",""," ["&amp;VLOOKUP('.'!D413,Recipes!$A:$D,4,FALSE)&amp;"]"))</f>
        <v/>
      </c>
      <c r="E413" s="46" t="str">
        <f t="array" ref="E413">IF('.'!E413="","",'.'!E413&amp;IF(VLOOKUP('.'!E413,Recipes!$A:$D,4,FALSE)="",""," ["&amp;VLOOKUP('.'!E413,Recipes!$A:$D,4,FALSE)&amp;"]"))</f>
        <v/>
      </c>
      <c r="F413" s="46" t="str">
        <f t="array" ref="F413">IF('.'!F413="","",'.'!F413&amp;IF(VLOOKUP('.'!F413,Recipes!$A:$D,4,FALSE)="",""," ["&amp;VLOOKUP('.'!F413,Recipes!$A:$D,4,FALSE)&amp;"]"))</f>
        <v/>
      </c>
      <c r="G413" s="46" t="str">
        <f t="array" ref="G413">IF('.'!G413="","",'.'!G413&amp;IF(VLOOKUP('.'!G413,Recipes!$A:$D,4,FALSE)="",""," ["&amp;VLOOKUP('.'!G413,Recipes!$A:$D,4,FALSE)&amp;"]"))</f>
        <v/>
      </c>
      <c r="H413" s="46" t="str">
        <f t="array" ref="H413">IF('.'!H413="","",'.'!H413&amp;IF(VLOOKUP('.'!H413,Recipes!$A:$D,4,FALSE)="",""," ["&amp;VLOOKUP('.'!H413,Recipes!$A:$D,4,FALSE)&amp;"]"))</f>
        <v/>
      </c>
      <c r="I413" s="46" t="str">
        <f t="array" ref="I413">IF('.'!I413="","",'.'!I413&amp;IF(VLOOKUP('.'!I413,Recipes!$A:$D,4,FALSE)="",""," ["&amp;VLOOKUP('.'!I413,Recipes!$A:$D,4,FALSE)&amp;"]"))</f>
        <v/>
      </c>
      <c r="J413" s="46" t="str">
        <f t="array" ref="J413">IF('.'!J413="","",'.'!J413&amp;IF(VLOOKUP('.'!J413,Recipes!$A:$D,4,FALSE)="",""," ["&amp;VLOOKUP('.'!J413,Recipes!$A:$D,4,FALSE)&amp;"]"))</f>
        <v/>
      </c>
      <c r="K413" s="46" t="str">
        <f t="array" ref="K413">IF('.'!K413="","",'.'!K413&amp;IF(VLOOKUP('.'!K413,Recipes!$A:$D,4,FALSE)="",""," ["&amp;VLOOKUP('.'!K413,Recipes!$A:$D,4,FALSE)&amp;"]"))</f>
        <v/>
      </c>
      <c r="L413" s="46" t="str">
        <f t="array" ref="L413">IF('.'!L413="","",'.'!L413&amp;IF(VLOOKUP('.'!L413,Recipes!$A:$D,4,FALSE)="",""," ["&amp;VLOOKUP('.'!L413,Recipes!$A:$D,4,FALSE)&amp;"]"))</f>
        <v/>
      </c>
      <c r="M413" s="46" t="str">
        <f t="array" ref="M413">IF('.'!M413="","",'.'!M413&amp;IF(VLOOKUP('.'!M413,Recipes!$A:$D,4,FALSE)="",""," ["&amp;VLOOKUP('.'!M413,Recipes!$A:$D,4,FALSE)&amp;"]"))</f>
        <v/>
      </c>
      <c r="N413" s="46" t="str">
        <f t="array" ref="N413">IF('.'!N413="","",'.'!N413&amp;IF(VLOOKUP('.'!N413,Recipes!$A:$D,4,FALSE)="",""," ["&amp;VLOOKUP('.'!N413,Recipes!$A:$D,4,FALSE)&amp;"]"))</f>
        <v/>
      </c>
      <c r="O413" s="46" t="str">
        <f t="array" ref="O413">IF('.'!O413="","",'.'!O413&amp;IF(VLOOKUP('.'!O413,Recipes!$A:$D,4,FALSE)="",""," ["&amp;VLOOKUP('.'!O413,Recipes!$A:$D,4,FALSE)&amp;"]"))</f>
        <v/>
      </c>
      <c r="P413" s="46" t="str">
        <f t="array" ref="P413">IF('.'!P413="","",'.'!P413&amp;IF(VLOOKUP('.'!P413,Recipes!$A:$D,4,FALSE)="",""," ["&amp;VLOOKUP('.'!P413,Recipes!$A:$D,4,FALSE)&amp;"]"))</f>
        <v/>
      </c>
      <c r="Q413" s="46" t="str">
        <f t="array" ref="Q413">IF('.'!Q413="","",'.'!Q413&amp;IF(VLOOKUP('.'!Q413,Recipes!$A:$D,4,FALSE)="",""," ["&amp;VLOOKUP('.'!Q413,Recipes!$A:$D,4,FALSE)&amp;"]"))</f>
        <v/>
      </c>
      <c r="R413" s="46" t="str">
        <f t="array" ref="R413">IF('.'!R413="","",'.'!R413&amp;IF(VLOOKUP('.'!R413,Recipes!$A:$D,4,FALSE)="",""," ["&amp;VLOOKUP('.'!R413,Recipes!$A:$D,4,FALSE)&amp;"]"))</f>
        <v/>
      </c>
      <c r="S413" s="46" t="str">
        <f t="array" ref="S413">IF('.'!S413="","",'.'!S413&amp;IF(VLOOKUP('.'!S413,Recipes!$A:$D,4,FALSE)="",""," ["&amp;VLOOKUP('.'!S413,Recipes!$A:$D,4,FALSE)&amp;"]"))</f>
        <v/>
      </c>
      <c r="T413" s="46" t="str">
        <f t="array" ref="T413">IF('.'!T413="","",'.'!T413&amp;IF(VLOOKUP('.'!T413,Recipes!$A:$D,4,FALSE)="",""," ["&amp;VLOOKUP('.'!T413,Recipes!$A:$D,4,FALSE)&amp;"]"))</f>
        <v/>
      </c>
      <c r="U413" s="46" t="str">
        <f t="array" ref="U413">IF('.'!U413="","",'.'!U413&amp;IF(VLOOKUP('.'!U413,Recipes!$A:$D,4,FALSE)="",""," ["&amp;VLOOKUP('.'!U413,Recipes!$A:$D,4,FALSE)&amp;"]"))</f>
        <v/>
      </c>
      <c r="V413" s="46" t="str">
        <f t="array" ref="V413">IF('.'!V413="","",'.'!V413&amp;IF(VLOOKUP('.'!V413,Recipes!$A:$D,4,FALSE)="",""," ["&amp;VLOOKUP('.'!V413,Recipes!$A:$D,4,FALSE)&amp;"]"))</f>
        <v/>
      </c>
      <c r="W413" s="46" t="str">
        <f t="array" ref="W413">IF('.'!W413="","",'.'!W413&amp;IF(VLOOKUP('.'!W413,Recipes!$A:$D,4,FALSE)="",""," ["&amp;VLOOKUP('.'!W413,Recipes!$A:$D,4,FALSE)&amp;"]"))</f>
        <v/>
      </c>
      <c r="X413" s="46" t="str">
        <f t="array" ref="X413">IF('.'!X413="","",'.'!X413&amp;IF(VLOOKUP('.'!X413,Recipes!$A:$D,4,FALSE)="",""," ["&amp;VLOOKUP('.'!X413,Recipes!$A:$D,4,FALSE)&amp;"]"))</f>
        <v/>
      </c>
      <c r="Y413" s="46" t="str">
        <f t="array" ref="Y413">IF('.'!Y413="","",'.'!Y413&amp;IF(VLOOKUP('.'!Y413,Recipes!$A:$D,4,FALSE)="",""," ["&amp;VLOOKUP('.'!Y413,Recipes!$A:$D,4,FALSE)&amp;"]"))</f>
        <v/>
      </c>
      <c r="Z413" s="46" t="str">
        <f t="array" ref="Z413">IF('.'!Z413="","",'.'!Z413&amp;IF(VLOOKUP('.'!Z413,Recipes!$A:$D,4,FALSE)="",""," ["&amp;VLOOKUP('.'!Z413,Recipes!$A:$D,4,FALSE)&amp;"]"))</f>
        <v/>
      </c>
      <c r="AA413" s="46" t="str">
        <f t="array" ref="AA413">IF('.'!AA413="","",'.'!AA413&amp;IF(VLOOKUP('.'!AA413,Recipes!$A:$D,4,FALSE)="",""," ["&amp;VLOOKUP('.'!AA413,Recipes!$A:$D,4,FALSE)&amp;"]"))</f>
        <v/>
      </c>
      <c r="AB413" s="46" t="str">
        <f t="array" ref="AB413">IF('.'!AB413="","",'.'!AB413&amp;IF(VLOOKUP('.'!AB413,Recipes!$A:$D,4,FALSE)="",""," ["&amp;VLOOKUP('.'!AB413,Recipes!$A:$D,4,FALSE)&amp;"]"))</f>
        <v/>
      </c>
      <c r="AC413" s="46" t="str">
        <f t="array" ref="AC413">IF('.'!AC413="","",'.'!AC413&amp;IF(VLOOKUP('.'!AC413,Recipes!$A:$D,4,FALSE)="",""," ["&amp;VLOOKUP('.'!AC413,Recipes!$A:$D,4,FALSE)&amp;"]"))</f>
        <v/>
      </c>
      <c r="AD413" s="46" t="str">
        <f t="array" ref="AD413">IF('.'!AD413="","",'.'!AD413&amp;IF(VLOOKUP('.'!AD413,Recipes!$A:$D,4,FALSE)="",""," ["&amp;VLOOKUP('.'!AD413,Recipes!$A:$D,4,FALSE)&amp;"]"))</f>
        <v/>
      </c>
      <c r="AE413" s="47" t="str">
        <f t="array" ref="AE413">IF('.'!AE413="","",'.'!AE413&amp;IF(VLOOKUP('.'!AE413,Recipes!$A:$D,4,FALSE)="",""," ["&amp;VLOOKUP('.'!AE413,Recipes!$A:$D,4,FALSE)&amp;"]"))</f>
        <v/>
      </c>
      <c r="AF413" s="47"/>
      <c r="AG413" s="47"/>
      <c r="AH413" s="47"/>
      <c r="AI413" s="47"/>
      <c r="AJ413" s="47"/>
      <c r="AK413" s="47"/>
      <c r="AL413" s="47"/>
      <c r="AM413" s="47"/>
      <c r="AN413" s="47"/>
      <c r="AO413" s="47"/>
      <c r="AP413" s="47"/>
      <c r="AQ413" s="47"/>
      <c r="AR413" s="47"/>
      <c r="AS413" s="47"/>
      <c r="AT413" s="47"/>
      <c r="AU413" s="47"/>
      <c r="AV413" s="47"/>
      <c r="AW413" s="47"/>
      <c r="AX413" s="47"/>
      <c r="AY413" s="47"/>
      <c r="AZ413" s="47"/>
      <c r="BA413" s="47"/>
      <c r="BB413" s="47"/>
      <c r="BC413" s="47"/>
      <c r="BD413" s="47"/>
      <c r="BE413" s="47"/>
      <c r="BF413" s="47"/>
      <c r="BG413" s="47"/>
      <c r="BH413" s="47"/>
      <c r="BI413" s="47"/>
      <c r="BJ413" s="47"/>
      <c r="BK413" s="47"/>
      <c r="BL413" s="47"/>
      <c r="BM413" s="47"/>
      <c r="BN413" s="47"/>
      <c r="BO413" s="47"/>
      <c r="BP413" s="47"/>
      <c r="BQ413" s="47"/>
      <c r="BR413" s="47"/>
      <c r="BS413" s="47"/>
      <c r="BT413" s="47"/>
      <c r="BU413" s="47"/>
      <c r="BV413" s="47"/>
      <c r="BW413" s="47"/>
      <c r="BX413" s="47"/>
      <c r="BY413" s="47"/>
      <c r="BZ413" s="47"/>
    </row>
    <row r="414" spans="1:78" ht="13">
      <c r="A414" s="48" t="str">
        <f ca="1">'.'!A414</f>
        <v>Soothing Cold Scroll</v>
      </c>
      <c r="B414" s="46" t="str">
        <f t="array" aca="1" ref="B414" ca="1">IF('.'!B414="","",'.'!B414&amp;IF(VLOOKUP('.'!B414,Recipes!$A:$D,4,FALSE)="",""," ["&amp;VLOOKUP('.'!B414,Recipes!$A:$D,4,FALSE)&amp;"]"))</f>
        <v>Soothing Cold Skillbook [-160]</v>
      </c>
      <c r="C414" s="46" t="str">
        <f t="array" ref="C414">IF('.'!C414="","",'.'!C414&amp;IF(VLOOKUP('.'!C414,Recipes!$A:$D,4,FALSE)="",""," ["&amp;VLOOKUP('.'!C414,Recipes!$A:$D,4,FALSE)&amp;"]"))</f>
        <v/>
      </c>
      <c r="D414" s="46" t="str">
        <f t="array" ref="D414">IF('.'!D414="","",'.'!D414&amp;IF(VLOOKUP('.'!D414,Recipes!$A:$D,4,FALSE)="",""," ["&amp;VLOOKUP('.'!D414,Recipes!$A:$D,4,FALSE)&amp;"]"))</f>
        <v/>
      </c>
      <c r="E414" s="46" t="str">
        <f t="array" ref="E414">IF('.'!E414="","",'.'!E414&amp;IF(VLOOKUP('.'!E414,Recipes!$A:$D,4,FALSE)="",""," ["&amp;VLOOKUP('.'!E414,Recipes!$A:$D,4,FALSE)&amp;"]"))</f>
        <v/>
      </c>
      <c r="F414" s="46" t="str">
        <f t="array" ref="F414">IF('.'!F414="","",'.'!F414&amp;IF(VLOOKUP('.'!F414,Recipes!$A:$D,4,FALSE)="",""," ["&amp;VLOOKUP('.'!F414,Recipes!$A:$D,4,FALSE)&amp;"]"))</f>
        <v/>
      </c>
      <c r="G414" s="46" t="str">
        <f t="array" ref="G414">IF('.'!G414="","",'.'!G414&amp;IF(VLOOKUP('.'!G414,Recipes!$A:$D,4,FALSE)="",""," ["&amp;VLOOKUP('.'!G414,Recipes!$A:$D,4,FALSE)&amp;"]"))</f>
        <v/>
      </c>
      <c r="H414" s="46" t="str">
        <f t="array" ref="H414">IF('.'!H414="","",'.'!H414&amp;IF(VLOOKUP('.'!H414,Recipes!$A:$D,4,FALSE)="",""," ["&amp;VLOOKUP('.'!H414,Recipes!$A:$D,4,FALSE)&amp;"]"))</f>
        <v/>
      </c>
      <c r="I414" s="46" t="str">
        <f t="array" ref="I414">IF('.'!I414="","",'.'!I414&amp;IF(VLOOKUP('.'!I414,Recipes!$A:$D,4,FALSE)="",""," ["&amp;VLOOKUP('.'!I414,Recipes!$A:$D,4,FALSE)&amp;"]"))</f>
        <v/>
      </c>
      <c r="J414" s="46" t="str">
        <f t="array" ref="J414">IF('.'!J414="","",'.'!J414&amp;IF(VLOOKUP('.'!J414,Recipes!$A:$D,4,FALSE)="",""," ["&amp;VLOOKUP('.'!J414,Recipes!$A:$D,4,FALSE)&amp;"]"))</f>
        <v/>
      </c>
      <c r="K414" s="46" t="str">
        <f t="array" ref="K414">IF('.'!K414="","",'.'!K414&amp;IF(VLOOKUP('.'!K414,Recipes!$A:$D,4,FALSE)="",""," ["&amp;VLOOKUP('.'!K414,Recipes!$A:$D,4,FALSE)&amp;"]"))</f>
        <v/>
      </c>
      <c r="L414" s="46" t="str">
        <f t="array" ref="L414">IF('.'!L414="","",'.'!L414&amp;IF(VLOOKUP('.'!L414,Recipes!$A:$D,4,FALSE)="",""," ["&amp;VLOOKUP('.'!L414,Recipes!$A:$D,4,FALSE)&amp;"]"))</f>
        <v/>
      </c>
      <c r="M414" s="46" t="str">
        <f t="array" ref="M414">IF('.'!M414="","",'.'!M414&amp;IF(VLOOKUP('.'!M414,Recipes!$A:$D,4,FALSE)="",""," ["&amp;VLOOKUP('.'!M414,Recipes!$A:$D,4,FALSE)&amp;"]"))</f>
        <v/>
      </c>
      <c r="N414" s="46" t="str">
        <f t="array" ref="N414">IF('.'!N414="","",'.'!N414&amp;IF(VLOOKUP('.'!N414,Recipes!$A:$D,4,FALSE)="",""," ["&amp;VLOOKUP('.'!N414,Recipes!$A:$D,4,FALSE)&amp;"]"))</f>
        <v/>
      </c>
      <c r="O414" s="46" t="str">
        <f t="array" ref="O414">IF('.'!O414="","",'.'!O414&amp;IF(VLOOKUP('.'!O414,Recipes!$A:$D,4,FALSE)="",""," ["&amp;VLOOKUP('.'!O414,Recipes!$A:$D,4,FALSE)&amp;"]"))</f>
        <v/>
      </c>
      <c r="P414" s="46" t="str">
        <f t="array" ref="P414">IF('.'!P414="","",'.'!P414&amp;IF(VLOOKUP('.'!P414,Recipes!$A:$D,4,FALSE)="",""," ["&amp;VLOOKUP('.'!P414,Recipes!$A:$D,4,FALSE)&amp;"]"))</f>
        <v/>
      </c>
      <c r="Q414" s="46" t="str">
        <f t="array" ref="Q414">IF('.'!Q414="","",'.'!Q414&amp;IF(VLOOKUP('.'!Q414,Recipes!$A:$D,4,FALSE)="",""," ["&amp;VLOOKUP('.'!Q414,Recipes!$A:$D,4,FALSE)&amp;"]"))</f>
        <v/>
      </c>
      <c r="R414" s="46" t="str">
        <f t="array" ref="R414">IF('.'!R414="","",'.'!R414&amp;IF(VLOOKUP('.'!R414,Recipes!$A:$D,4,FALSE)="",""," ["&amp;VLOOKUP('.'!R414,Recipes!$A:$D,4,FALSE)&amp;"]"))</f>
        <v/>
      </c>
      <c r="S414" s="46" t="str">
        <f t="array" ref="S414">IF('.'!S414="","",'.'!S414&amp;IF(VLOOKUP('.'!S414,Recipes!$A:$D,4,FALSE)="",""," ["&amp;VLOOKUP('.'!S414,Recipes!$A:$D,4,FALSE)&amp;"]"))</f>
        <v/>
      </c>
      <c r="T414" s="46" t="str">
        <f t="array" ref="T414">IF('.'!T414="","",'.'!T414&amp;IF(VLOOKUP('.'!T414,Recipes!$A:$D,4,FALSE)="",""," ["&amp;VLOOKUP('.'!T414,Recipes!$A:$D,4,FALSE)&amp;"]"))</f>
        <v/>
      </c>
      <c r="U414" s="46" t="str">
        <f t="array" ref="U414">IF('.'!U414="","",'.'!U414&amp;IF(VLOOKUP('.'!U414,Recipes!$A:$D,4,FALSE)="",""," ["&amp;VLOOKUP('.'!U414,Recipes!$A:$D,4,FALSE)&amp;"]"))</f>
        <v/>
      </c>
      <c r="V414" s="46" t="str">
        <f t="array" ref="V414">IF('.'!V414="","",'.'!V414&amp;IF(VLOOKUP('.'!V414,Recipes!$A:$D,4,FALSE)="",""," ["&amp;VLOOKUP('.'!V414,Recipes!$A:$D,4,FALSE)&amp;"]"))</f>
        <v/>
      </c>
      <c r="W414" s="46" t="str">
        <f t="array" ref="W414">IF('.'!W414="","",'.'!W414&amp;IF(VLOOKUP('.'!W414,Recipes!$A:$D,4,FALSE)="",""," ["&amp;VLOOKUP('.'!W414,Recipes!$A:$D,4,FALSE)&amp;"]"))</f>
        <v/>
      </c>
      <c r="X414" s="46" t="str">
        <f t="array" ref="X414">IF('.'!X414="","",'.'!X414&amp;IF(VLOOKUP('.'!X414,Recipes!$A:$D,4,FALSE)="",""," ["&amp;VLOOKUP('.'!X414,Recipes!$A:$D,4,FALSE)&amp;"]"))</f>
        <v/>
      </c>
      <c r="Y414" s="46" t="str">
        <f t="array" ref="Y414">IF('.'!Y414="","",'.'!Y414&amp;IF(VLOOKUP('.'!Y414,Recipes!$A:$D,4,FALSE)="",""," ["&amp;VLOOKUP('.'!Y414,Recipes!$A:$D,4,FALSE)&amp;"]"))</f>
        <v/>
      </c>
      <c r="Z414" s="46" t="str">
        <f t="array" ref="Z414">IF('.'!Z414="","",'.'!Z414&amp;IF(VLOOKUP('.'!Z414,Recipes!$A:$D,4,FALSE)="",""," ["&amp;VLOOKUP('.'!Z414,Recipes!$A:$D,4,FALSE)&amp;"]"))</f>
        <v/>
      </c>
      <c r="AA414" s="46" t="str">
        <f t="array" ref="AA414">IF('.'!AA414="","",'.'!AA414&amp;IF(VLOOKUP('.'!AA414,Recipes!$A:$D,4,FALSE)="",""," ["&amp;VLOOKUP('.'!AA414,Recipes!$A:$D,4,FALSE)&amp;"]"))</f>
        <v/>
      </c>
      <c r="AB414" s="46" t="str">
        <f t="array" ref="AB414">IF('.'!AB414="","",'.'!AB414&amp;IF(VLOOKUP('.'!AB414,Recipes!$A:$D,4,FALSE)="",""," ["&amp;VLOOKUP('.'!AB414,Recipes!$A:$D,4,FALSE)&amp;"]"))</f>
        <v/>
      </c>
      <c r="AC414" s="46" t="str">
        <f t="array" ref="AC414">IF('.'!AC414="","",'.'!AC414&amp;IF(VLOOKUP('.'!AC414,Recipes!$A:$D,4,FALSE)="",""," ["&amp;VLOOKUP('.'!AC414,Recipes!$A:$D,4,FALSE)&amp;"]"))</f>
        <v/>
      </c>
      <c r="AD414" s="46" t="str">
        <f t="array" ref="AD414">IF('.'!AD414="","",'.'!AD414&amp;IF(VLOOKUP('.'!AD414,Recipes!$A:$D,4,FALSE)="",""," ["&amp;VLOOKUP('.'!AD414,Recipes!$A:$D,4,FALSE)&amp;"]"))</f>
        <v/>
      </c>
      <c r="AE414" s="47" t="str">
        <f t="array" ref="AE414">IF('.'!AE414="","",'.'!AE414&amp;IF(VLOOKUP('.'!AE414,Recipes!$A:$D,4,FALSE)="",""," ["&amp;VLOOKUP('.'!AE414,Recipes!$A:$D,4,FALSE)&amp;"]"))</f>
        <v/>
      </c>
      <c r="AF414" s="47"/>
      <c r="AG414" s="47"/>
      <c r="AH414" s="47"/>
      <c r="AI414" s="47"/>
      <c r="AJ414" s="47"/>
      <c r="AK414" s="47"/>
      <c r="AL414" s="47"/>
      <c r="AM414" s="47"/>
      <c r="AN414" s="47"/>
      <c r="AO414" s="47"/>
      <c r="AP414" s="47"/>
      <c r="AQ414" s="47"/>
      <c r="AR414" s="47"/>
      <c r="AS414" s="47"/>
      <c r="AT414" s="47"/>
      <c r="AU414" s="47"/>
      <c r="AV414" s="47"/>
      <c r="AW414" s="47"/>
      <c r="AX414" s="47"/>
      <c r="AY414" s="47"/>
      <c r="AZ414" s="47"/>
      <c r="BA414" s="47"/>
      <c r="BB414" s="47"/>
      <c r="BC414" s="47"/>
      <c r="BD414" s="47"/>
      <c r="BE414" s="47"/>
      <c r="BF414" s="47"/>
      <c r="BG414" s="47"/>
      <c r="BH414" s="47"/>
      <c r="BI414" s="47"/>
      <c r="BJ414" s="47"/>
      <c r="BK414" s="47"/>
      <c r="BL414" s="47"/>
      <c r="BM414" s="47"/>
      <c r="BN414" s="47"/>
      <c r="BO414" s="47"/>
      <c r="BP414" s="47"/>
      <c r="BQ414" s="47"/>
      <c r="BR414" s="47"/>
      <c r="BS414" s="47"/>
      <c r="BT414" s="47"/>
      <c r="BU414" s="47"/>
      <c r="BV414" s="47"/>
      <c r="BW414" s="47"/>
      <c r="BX414" s="47"/>
      <c r="BY414" s="47"/>
      <c r="BZ414" s="47"/>
    </row>
    <row r="415" spans="1:78" ht="13">
      <c r="A415" s="48" t="str">
        <f ca="1">'.'!A415</f>
        <v>Soul Mate Scroll</v>
      </c>
      <c r="B415" s="46" t="str">
        <f t="array" aca="1" ref="B415" ca="1">IF('.'!B415="","",'.'!B415&amp;IF(VLOOKUP('.'!B415,Recipes!$A:$D,4,FALSE)="",""," ["&amp;VLOOKUP('.'!B415,Recipes!$A:$D,4,FALSE)&amp;"]"))</f>
        <v>Soul Mate Skillbook [-10]</v>
      </c>
      <c r="C415" s="46" t="str">
        <f t="array" ref="C415">IF('.'!C415="","",'.'!C415&amp;IF(VLOOKUP('.'!C415,Recipes!$A:$D,4,FALSE)="",""," ["&amp;VLOOKUP('.'!C415,Recipes!$A:$D,4,FALSE)&amp;"]"))</f>
        <v/>
      </c>
      <c r="D415" s="46" t="str">
        <f t="array" ref="D415">IF('.'!D415="","",'.'!D415&amp;IF(VLOOKUP('.'!D415,Recipes!$A:$D,4,FALSE)="",""," ["&amp;VLOOKUP('.'!D415,Recipes!$A:$D,4,FALSE)&amp;"]"))</f>
        <v/>
      </c>
      <c r="E415" s="46" t="str">
        <f t="array" ref="E415">IF('.'!E415="","",'.'!E415&amp;IF(VLOOKUP('.'!E415,Recipes!$A:$D,4,FALSE)="",""," ["&amp;VLOOKUP('.'!E415,Recipes!$A:$D,4,FALSE)&amp;"]"))</f>
        <v/>
      </c>
      <c r="F415" s="46" t="str">
        <f t="array" ref="F415">IF('.'!F415="","",'.'!F415&amp;IF(VLOOKUP('.'!F415,Recipes!$A:$D,4,FALSE)="",""," ["&amp;VLOOKUP('.'!F415,Recipes!$A:$D,4,FALSE)&amp;"]"))</f>
        <v/>
      </c>
      <c r="G415" s="46" t="str">
        <f t="array" ref="G415">IF('.'!G415="","",'.'!G415&amp;IF(VLOOKUP('.'!G415,Recipes!$A:$D,4,FALSE)="",""," ["&amp;VLOOKUP('.'!G415,Recipes!$A:$D,4,FALSE)&amp;"]"))</f>
        <v/>
      </c>
      <c r="H415" s="46" t="str">
        <f t="array" ref="H415">IF('.'!H415="","",'.'!H415&amp;IF(VLOOKUP('.'!H415,Recipes!$A:$D,4,FALSE)="",""," ["&amp;VLOOKUP('.'!H415,Recipes!$A:$D,4,FALSE)&amp;"]"))</f>
        <v/>
      </c>
      <c r="I415" s="46" t="str">
        <f t="array" ref="I415">IF('.'!I415="","",'.'!I415&amp;IF(VLOOKUP('.'!I415,Recipes!$A:$D,4,FALSE)="",""," ["&amp;VLOOKUP('.'!I415,Recipes!$A:$D,4,FALSE)&amp;"]"))</f>
        <v/>
      </c>
      <c r="J415" s="46" t="str">
        <f t="array" ref="J415">IF('.'!J415="","",'.'!J415&amp;IF(VLOOKUP('.'!J415,Recipes!$A:$D,4,FALSE)="",""," ["&amp;VLOOKUP('.'!J415,Recipes!$A:$D,4,FALSE)&amp;"]"))</f>
        <v/>
      </c>
      <c r="K415" s="46" t="str">
        <f t="array" ref="K415">IF('.'!K415="","",'.'!K415&amp;IF(VLOOKUP('.'!K415,Recipes!$A:$D,4,FALSE)="",""," ["&amp;VLOOKUP('.'!K415,Recipes!$A:$D,4,FALSE)&amp;"]"))</f>
        <v/>
      </c>
      <c r="L415" s="46" t="str">
        <f t="array" ref="L415">IF('.'!L415="","",'.'!L415&amp;IF(VLOOKUP('.'!L415,Recipes!$A:$D,4,FALSE)="",""," ["&amp;VLOOKUP('.'!L415,Recipes!$A:$D,4,FALSE)&amp;"]"))</f>
        <v/>
      </c>
      <c r="M415" s="46" t="str">
        <f t="array" ref="M415">IF('.'!M415="","",'.'!M415&amp;IF(VLOOKUP('.'!M415,Recipes!$A:$D,4,FALSE)="",""," ["&amp;VLOOKUP('.'!M415,Recipes!$A:$D,4,FALSE)&amp;"]"))</f>
        <v/>
      </c>
      <c r="N415" s="46" t="str">
        <f t="array" ref="N415">IF('.'!N415="","",'.'!N415&amp;IF(VLOOKUP('.'!N415,Recipes!$A:$D,4,FALSE)="",""," ["&amp;VLOOKUP('.'!N415,Recipes!$A:$D,4,FALSE)&amp;"]"))</f>
        <v/>
      </c>
      <c r="O415" s="46" t="str">
        <f t="array" ref="O415">IF('.'!O415="","",'.'!O415&amp;IF(VLOOKUP('.'!O415,Recipes!$A:$D,4,FALSE)="",""," ["&amp;VLOOKUP('.'!O415,Recipes!$A:$D,4,FALSE)&amp;"]"))</f>
        <v/>
      </c>
      <c r="P415" s="46" t="str">
        <f t="array" ref="P415">IF('.'!P415="","",'.'!P415&amp;IF(VLOOKUP('.'!P415,Recipes!$A:$D,4,FALSE)="",""," ["&amp;VLOOKUP('.'!P415,Recipes!$A:$D,4,FALSE)&amp;"]"))</f>
        <v/>
      </c>
      <c r="Q415" s="46" t="str">
        <f t="array" ref="Q415">IF('.'!Q415="","",'.'!Q415&amp;IF(VLOOKUP('.'!Q415,Recipes!$A:$D,4,FALSE)="",""," ["&amp;VLOOKUP('.'!Q415,Recipes!$A:$D,4,FALSE)&amp;"]"))</f>
        <v/>
      </c>
      <c r="R415" s="46" t="str">
        <f t="array" ref="R415">IF('.'!R415="","",'.'!R415&amp;IF(VLOOKUP('.'!R415,Recipes!$A:$D,4,FALSE)="",""," ["&amp;VLOOKUP('.'!R415,Recipes!$A:$D,4,FALSE)&amp;"]"))</f>
        <v/>
      </c>
      <c r="S415" s="46" t="str">
        <f t="array" ref="S415">IF('.'!S415="","",'.'!S415&amp;IF(VLOOKUP('.'!S415,Recipes!$A:$D,4,FALSE)="",""," ["&amp;VLOOKUP('.'!S415,Recipes!$A:$D,4,FALSE)&amp;"]"))</f>
        <v/>
      </c>
      <c r="T415" s="46" t="str">
        <f t="array" ref="T415">IF('.'!T415="","",'.'!T415&amp;IF(VLOOKUP('.'!T415,Recipes!$A:$D,4,FALSE)="",""," ["&amp;VLOOKUP('.'!T415,Recipes!$A:$D,4,FALSE)&amp;"]"))</f>
        <v/>
      </c>
      <c r="U415" s="46" t="str">
        <f t="array" ref="U415">IF('.'!U415="","",'.'!U415&amp;IF(VLOOKUP('.'!U415,Recipes!$A:$D,4,FALSE)="",""," ["&amp;VLOOKUP('.'!U415,Recipes!$A:$D,4,FALSE)&amp;"]"))</f>
        <v/>
      </c>
      <c r="V415" s="46" t="str">
        <f t="array" ref="V415">IF('.'!V415="","",'.'!V415&amp;IF(VLOOKUP('.'!V415,Recipes!$A:$D,4,FALSE)="",""," ["&amp;VLOOKUP('.'!V415,Recipes!$A:$D,4,FALSE)&amp;"]"))</f>
        <v/>
      </c>
      <c r="W415" s="46" t="str">
        <f t="array" ref="W415">IF('.'!W415="","",'.'!W415&amp;IF(VLOOKUP('.'!W415,Recipes!$A:$D,4,FALSE)="",""," ["&amp;VLOOKUP('.'!W415,Recipes!$A:$D,4,FALSE)&amp;"]"))</f>
        <v/>
      </c>
      <c r="X415" s="46" t="str">
        <f t="array" ref="X415">IF('.'!X415="","",'.'!X415&amp;IF(VLOOKUP('.'!X415,Recipes!$A:$D,4,FALSE)="",""," ["&amp;VLOOKUP('.'!X415,Recipes!$A:$D,4,FALSE)&amp;"]"))</f>
        <v/>
      </c>
      <c r="Y415" s="46" t="str">
        <f t="array" ref="Y415">IF('.'!Y415="","",'.'!Y415&amp;IF(VLOOKUP('.'!Y415,Recipes!$A:$D,4,FALSE)="",""," ["&amp;VLOOKUP('.'!Y415,Recipes!$A:$D,4,FALSE)&amp;"]"))</f>
        <v/>
      </c>
      <c r="Z415" s="46" t="str">
        <f t="array" ref="Z415">IF('.'!Z415="","",'.'!Z415&amp;IF(VLOOKUP('.'!Z415,Recipes!$A:$D,4,FALSE)="",""," ["&amp;VLOOKUP('.'!Z415,Recipes!$A:$D,4,FALSE)&amp;"]"))</f>
        <v/>
      </c>
      <c r="AA415" s="46" t="str">
        <f t="array" ref="AA415">IF('.'!AA415="","",'.'!AA415&amp;IF(VLOOKUP('.'!AA415,Recipes!$A:$D,4,FALSE)="",""," ["&amp;VLOOKUP('.'!AA415,Recipes!$A:$D,4,FALSE)&amp;"]"))</f>
        <v/>
      </c>
      <c r="AB415" s="46" t="str">
        <f t="array" ref="AB415">IF('.'!AB415="","",'.'!AB415&amp;IF(VLOOKUP('.'!AB415,Recipes!$A:$D,4,FALSE)="",""," ["&amp;VLOOKUP('.'!AB415,Recipes!$A:$D,4,FALSE)&amp;"]"))</f>
        <v/>
      </c>
      <c r="AC415" s="46" t="str">
        <f t="array" ref="AC415">IF('.'!AC415="","",'.'!AC415&amp;IF(VLOOKUP('.'!AC415,Recipes!$A:$D,4,FALSE)="",""," ["&amp;VLOOKUP('.'!AC415,Recipes!$A:$D,4,FALSE)&amp;"]"))</f>
        <v/>
      </c>
      <c r="AD415" s="46" t="str">
        <f t="array" ref="AD415">IF('.'!AD415="","",'.'!AD415&amp;IF(VLOOKUP('.'!AD415,Recipes!$A:$D,4,FALSE)="",""," ["&amp;VLOOKUP('.'!AD415,Recipes!$A:$D,4,FALSE)&amp;"]"))</f>
        <v/>
      </c>
      <c r="AE415" s="47" t="str">
        <f t="array" ref="AE415">IF('.'!AE415="","",'.'!AE415&amp;IF(VLOOKUP('.'!AE415,Recipes!$A:$D,4,FALSE)="",""," ["&amp;VLOOKUP('.'!AE415,Recipes!$A:$D,4,FALSE)&amp;"]"))</f>
        <v/>
      </c>
      <c r="AF415" s="47"/>
      <c r="AG415" s="47"/>
      <c r="AH415" s="47"/>
      <c r="AI415" s="47"/>
      <c r="AJ415" s="47"/>
      <c r="AK415" s="47"/>
      <c r="AL415" s="47"/>
      <c r="AM415" s="47"/>
      <c r="AN415" s="47"/>
      <c r="AO415" s="47"/>
      <c r="AP415" s="47"/>
      <c r="AQ415" s="47"/>
      <c r="AR415" s="47"/>
      <c r="AS415" s="47"/>
      <c r="AT415" s="47"/>
      <c r="AU415" s="47"/>
      <c r="AV415" s="47"/>
      <c r="AW415" s="47"/>
      <c r="AX415" s="47"/>
      <c r="AY415" s="47"/>
      <c r="AZ415" s="47"/>
      <c r="BA415" s="47"/>
      <c r="BB415" s="47"/>
      <c r="BC415" s="47"/>
      <c r="BD415" s="47"/>
      <c r="BE415" s="47"/>
      <c r="BF415" s="47"/>
      <c r="BG415" s="47"/>
      <c r="BH415" s="47"/>
      <c r="BI415" s="47"/>
      <c r="BJ415" s="47"/>
      <c r="BK415" s="47"/>
      <c r="BL415" s="47"/>
      <c r="BM415" s="47"/>
      <c r="BN415" s="47"/>
      <c r="BO415" s="47"/>
      <c r="BP415" s="47"/>
      <c r="BQ415" s="47"/>
      <c r="BR415" s="47"/>
      <c r="BS415" s="47"/>
      <c r="BT415" s="47"/>
      <c r="BU415" s="47"/>
      <c r="BV415" s="47"/>
      <c r="BW415" s="47"/>
      <c r="BX415" s="47"/>
      <c r="BY415" s="47"/>
      <c r="BZ415" s="47"/>
    </row>
    <row r="416" spans="1:78" ht="13">
      <c r="A416" s="48" t="str">
        <f ca="1">'.'!A416</f>
        <v>Source Orb</v>
      </c>
      <c r="B416" s="46" t="str">
        <f t="array" aca="1" ref="B416" ca="1">IF('.'!B416="","",'.'!B416&amp;IF(VLOOKUP('.'!B416,Recipes!$A:$D,4,FALSE)="",""," ["&amp;VLOOKUP('.'!B416,Recipes!$A:$D,4,FALSE)&amp;"]"))</f>
        <v>Armour of the Eternals [V]</v>
      </c>
      <c r="C416" s="46" t="str">
        <f t="array" aca="1" ref="C416" ca="1">IF('.'!C416="","",'.'!C416&amp;IF(VLOOKUP('.'!C416,Recipes!$A:$D,4,FALSE)="",""," ["&amp;VLOOKUP('.'!C416,Recipes!$A:$D,4,FALSE)&amp;"]"))</f>
        <v>Dwarven Mask of the Shapeshifter [V]</v>
      </c>
      <c r="D416" s="46" t="str">
        <f t="array" aca="1" ref="D416" ca="1">IF('.'!D416="","",'.'!D416&amp;IF(VLOOKUP('.'!D416,Recipes!$A:$D,4,FALSE)="",""," ["&amp;VLOOKUP('.'!D416,Recipes!$A:$D,4,FALSE)&amp;"]"))</f>
        <v>Elven Mask of the Shapeshifter [V]</v>
      </c>
      <c r="E416" s="46" t="str">
        <f t="array" aca="1" ref="E416" ca="1">IF('.'!E416="","",'.'!E416&amp;IF(VLOOKUP('.'!E416,Recipes!$A:$D,4,FALSE)="",""," ["&amp;VLOOKUP('.'!E416,Recipes!$A:$D,4,FALSE)&amp;"]"))</f>
        <v>Human Mask of the Shapeshifter [V]</v>
      </c>
      <c r="F416" s="46" t="str">
        <f t="array" aca="1" ref="F416" ca="1">IF('.'!F416="","",'.'!F416&amp;IF(VLOOKUP('.'!F416,Recipes!$A:$D,4,FALSE)="",""," ["&amp;VLOOKUP('.'!F416,Recipes!$A:$D,4,FALSE)&amp;"]"))</f>
        <v>Lizard Mask of the Shapeshifter [V]</v>
      </c>
      <c r="G416" s="46" t="str">
        <f t="array" aca="1" ref="G416" ca="1">IF('.'!G416="","",'.'!G416&amp;IF(VLOOKUP('.'!G416,Recipes!$A:$D,4,FALSE)="",""," ["&amp;VLOOKUP('.'!G416,Recipes!$A:$D,4,FALSE)&amp;"]"))</f>
        <v>Mask of the Shapeshifter [V]</v>
      </c>
      <c r="H416" s="46" t="str">
        <f t="array" aca="1" ref="H416" ca="1">IF('.'!H416="","",'.'!H416&amp;IF(VLOOKUP('.'!H416,Recipes!$A:$D,4,FALSE)="",""," ["&amp;VLOOKUP('.'!H416,Recipes!$A:$D,4,FALSE)&amp;"]"))</f>
        <v>Blessed Water Arrow [-1060]</v>
      </c>
      <c r="I416" s="46" t="str">
        <f t="array" aca="1" ref="I416" ca="1">IF('.'!I416="","",'.'!I416&amp;IF(VLOOKUP('.'!I416,Recipes!$A:$D,4,FALSE)="",""," ["&amp;VLOOKUP('.'!I416,Recipes!$A:$D,4,FALSE)&amp;"]"))</f>
        <v>Cursed Fire Arrow [-1050]</v>
      </c>
      <c r="J416" s="46" t="str">
        <f t="array" aca="1" ref="J416" ca="1">IF('.'!J416="","",'.'!J416&amp;IF(VLOOKUP('.'!J416,Recipes!$A:$D,4,FALSE)="",""," ["&amp;VLOOKUP('.'!J416,Recipes!$A:$D,4,FALSE)&amp;"]"))</f>
        <v>Blessed Water Arrowhead [-1135]</v>
      </c>
      <c r="K416" s="46" t="str">
        <f t="array" aca="1" ref="K416" ca="1">IF('.'!K416="","",'.'!K416&amp;IF(VLOOKUP('.'!K416,Recipes!$A:$D,4,FALSE)="",""," ["&amp;VLOOKUP('.'!K416,Recipes!$A:$D,4,FALSE)&amp;"]"))</f>
        <v>Cursed Fire Arrowhead [-1115]</v>
      </c>
      <c r="L416" s="46" t="str">
        <f t="array" aca="1" ref="L416" ca="1">IF('.'!L416="","",'.'!L416&amp;IF(VLOOKUP('.'!L416,Recipes!$A:$D,4,FALSE)="",""," ["&amp;VLOOKUP('.'!L416,Recipes!$A:$D,4,FALSE)&amp;"]"))</f>
        <v>Cursed Cluster Grenade [-1300]</v>
      </c>
      <c r="M416" s="46" t="str">
        <f t="array" aca="1" ref="M416" ca="1">IF('.'!M416="","",'.'!M416&amp;IF(VLOOKUP('.'!M416,Recipes!$A:$D,4,FALSE)="",""," ["&amp;VLOOKUP('.'!M416,Recipes!$A:$D,4,FALSE)&amp;"]"))</f>
        <v>Cursed Firestorm Grenade [-540]</v>
      </c>
      <c r="N416" s="46" t="str">
        <f t="array" aca="1" ref="N416" ca="1">IF('.'!N416="","",'.'!N416&amp;IF(VLOOKUP('.'!N416,Recipes!$A:$D,4,FALSE)="",""," ["&amp;VLOOKUP('.'!N416,Recipes!$A:$D,4,FALSE)&amp;"]"))</f>
        <v>Blessed Ice Grenade [-800]</v>
      </c>
      <c r="O416" s="46" t="str">
        <f t="array" aca="1" ref="O416" ca="1">IF('.'!O416="","",'.'!O416&amp;IF(VLOOKUP('.'!O416,Recipes!$A:$D,4,FALSE)="",""," ["&amp;VLOOKUP('.'!O416,Recipes!$A:$D,4,FALSE)&amp;"]"))</f>
        <v>Blessed Oil Flask [-530]</v>
      </c>
      <c r="P416" s="46" t="str">
        <f t="array" aca="1" ref="P416" ca="1">IF('.'!P416="","",'.'!P416&amp;IF(VLOOKUP('.'!P416,Recipes!$A:$D,4,FALSE)="",""," ["&amp;VLOOKUP('.'!P416,Recipes!$A:$D,4,FALSE)&amp;"]"))</f>
        <v>Blessed Water Balloon [-610]</v>
      </c>
      <c r="Q416" s="46" t="str">
        <f t="array" aca="1" ref="Q416" ca="1">IF('.'!Q416="","",'.'!Q416&amp;IF(VLOOKUP('.'!Q416,Recipes!$A:$D,4,FALSE)="",""," ["&amp;VLOOKUP('.'!Q416,Recipes!$A:$D,4,FALSE)&amp;"]"))</f>
        <v>Cursed Poison Flask [-540]</v>
      </c>
      <c r="R416" s="46" t="str">
        <f t="array" aca="1" ref="R416" ca="1">IF('.'!R416="","",'.'!R416&amp;IF(VLOOKUP('.'!R416,Recipes!$A:$D,4,FALSE)="",""," ["&amp;VLOOKUP('.'!R416,Recipes!$A:$D,4,FALSE)&amp;"]"))</f>
        <v>Acid Spores Scroll [-1905]</v>
      </c>
      <c r="S416" s="46" t="str">
        <f t="array" aca="1" ref="S416" ca="1">IF('.'!S416="","",'.'!S416&amp;IF(VLOOKUP('.'!S416,Recipes!$A:$D,4,FALSE)="",""," ["&amp;VLOOKUP('.'!S416,Recipes!$A:$D,4,FALSE)&amp;"]"))</f>
        <v>Apotheosis Scroll</v>
      </c>
      <c r="T416" s="46" t="str">
        <f t="array" aca="1" ref="T416" ca="1">IF('.'!T416="","",'.'!T416&amp;IF(VLOOKUP('.'!T416,Recipes!$A:$D,4,FALSE)="",""," ["&amp;VLOOKUP('.'!T416,Recipes!$A:$D,4,FALSE)&amp;"]"))</f>
        <v>Artillery Plant Scroll [-1245]</v>
      </c>
      <c r="U416" s="46" t="str">
        <f t="array" aca="1" ref="U416" ca="1">IF('.'!U416="","",'.'!U416&amp;IF(VLOOKUP('.'!U416,Recipes!$A:$D,4,FALSE)="",""," ["&amp;VLOOKUP('.'!U416,Recipes!$A:$D,4,FALSE)&amp;"]"))</f>
        <v>Black Shroud Scroll [-1265]</v>
      </c>
      <c r="V416" s="46" t="str">
        <f t="array" aca="1" ref="V416" ca="1">IF('.'!V416="","",'.'!V416&amp;IF(VLOOKUP('.'!V416,Recipes!$A:$D,4,FALSE)="",""," ["&amp;VLOOKUP('.'!V416,Recipes!$A:$D,4,FALSE)&amp;"]"))</f>
        <v>Chain Lightning Scroll [-1156]</v>
      </c>
      <c r="W416" s="46" t="str">
        <f t="array" aca="1" ref="W416" ca="1">IF('.'!W416="","",'.'!W416&amp;IF(VLOOKUP('.'!W416,Recipes!$A:$D,4,FALSE)="",""," ["&amp;VLOOKUP('.'!W416,Recipes!$A:$D,4,FALSE)&amp;"]"))</f>
        <v>Closed Circuit Scroll [-1215]</v>
      </c>
      <c r="X416" s="46" t="str">
        <f t="array" aca="1" ref="X416" ca="1">IF('.'!X416="","",'.'!X416&amp;IF(VLOOKUP('.'!X416,Recipes!$A:$D,4,FALSE)="",""," ["&amp;VLOOKUP('.'!X416,Recipes!$A:$D,4,FALSE)&amp;"]"))</f>
        <v>Epidemic of Fire Scroll [-1265]</v>
      </c>
      <c r="Y416" s="46" t="str">
        <f t="array" aca="1" ref="Y416" ca="1">IF('.'!Y416="","",'.'!Y416&amp;IF(VLOOKUP('.'!Y416,Recipes!$A:$D,4,FALSE)="",""," ["&amp;VLOOKUP('.'!Y416,Recipes!$A:$D,4,FALSE)&amp;"]"))</f>
        <v>Ethereal Storm Scroll [-1167]</v>
      </c>
      <c r="Z416" s="46" t="str">
        <f t="array" aca="1" ref="Z416" ca="1">IF('.'!Z416="","",'.'!Z416&amp;IF(VLOOKUP('.'!Z416,Recipes!$A:$D,4,FALSE)="",""," ["&amp;VLOOKUP('.'!Z416,Recipes!$A:$D,4,FALSE)&amp;"]"))</f>
        <v>Grasp of the Starved Scroll [-1156]</v>
      </c>
      <c r="AA416" s="46" t="str">
        <f t="array" aca="1" ref="AA416" ca="1">IF('.'!AA416="","",'.'!AA416&amp;IF(VLOOKUP('.'!AA416,Recipes!$A:$D,4,FALSE)="",""," ["&amp;VLOOKUP('.'!AA416,Recipes!$A:$D,4,FALSE)&amp;"]"))</f>
        <v>Planar Gateway Scroll [-1173]</v>
      </c>
      <c r="AB416" s="46" t="str">
        <f t="array" aca="1" ref="AB416" ca="1">IF('.'!AB416="","",'.'!AB416&amp;IF(VLOOKUP('.'!AB416,Recipes!$A:$D,4,FALSE)="",""," ["&amp;VLOOKUP('.'!AB416,Recipes!$A:$D,4,FALSE)&amp;"]"))</f>
        <v>Pyroclastic Eruption Scroll</v>
      </c>
      <c r="AC416" s="46" t="str">
        <f t="array" aca="1" ref="AC416" ca="1">IF('.'!AC416="","",'.'!AC416&amp;IF(VLOOKUP('.'!AC416,Recipes!$A:$D,4,FALSE)="",""," ["&amp;VLOOKUP('.'!AC416,Recipes!$A:$D,4,FALSE)&amp;"]"))</f>
        <v>Skin Graft Scroll [-1360]</v>
      </c>
      <c r="AD416" s="46" t="str">
        <f t="array" aca="1" ref="AD416" ca="1">IF('.'!AD416="","",'.'!AD416&amp;IF(VLOOKUP('.'!AD416,Recipes!$A:$D,4,FALSE)="",""," ["&amp;VLOOKUP('.'!AD416,Recipes!$A:$D,4,FALSE)&amp;"]"))</f>
        <v>Steam Lance Scroll [-1092]</v>
      </c>
      <c r="AE416" s="47" t="str">
        <f t="array" ref="AE416">IF('.'!AE416="","",'.'!AE416&amp;IF(VLOOKUP('.'!AE416,Recipes!$A:$D,4,FALSE)="",""," ["&amp;VLOOKUP('.'!AE416,Recipes!$A:$D,4,FALSE)&amp;"]"))</f>
        <v/>
      </c>
      <c r="AF416" s="47"/>
      <c r="AG416" s="47"/>
      <c r="AH416" s="47"/>
      <c r="AI416" s="47"/>
      <c r="AJ416" s="47"/>
      <c r="AK416" s="47"/>
      <c r="AL416" s="47"/>
      <c r="AM416" s="47"/>
      <c r="AN416" s="47"/>
      <c r="AO416" s="47"/>
      <c r="AP416" s="47"/>
      <c r="AQ416" s="47"/>
      <c r="AR416" s="47"/>
      <c r="AS416" s="47"/>
      <c r="AT416" s="47"/>
      <c r="AU416" s="47"/>
      <c r="AV416" s="47"/>
      <c r="AW416" s="47"/>
      <c r="AX416" s="47"/>
      <c r="AY416" s="47"/>
      <c r="AZ416" s="47"/>
      <c r="BA416" s="47"/>
      <c r="BB416" s="47"/>
      <c r="BC416" s="47"/>
      <c r="BD416" s="47"/>
      <c r="BE416" s="47"/>
      <c r="BF416" s="47"/>
      <c r="BG416" s="47"/>
      <c r="BH416" s="47"/>
      <c r="BI416" s="47"/>
      <c r="BJ416" s="47"/>
      <c r="BK416" s="47"/>
      <c r="BL416" s="47"/>
      <c r="BM416" s="47"/>
      <c r="BN416" s="47"/>
      <c r="BO416" s="47"/>
      <c r="BP416" s="47"/>
      <c r="BQ416" s="47"/>
      <c r="BR416" s="47"/>
      <c r="BS416" s="47"/>
      <c r="BT416" s="47"/>
      <c r="BU416" s="47"/>
      <c r="BV416" s="47"/>
      <c r="BW416" s="47"/>
      <c r="BX416" s="47"/>
      <c r="BY416" s="47"/>
      <c r="BZ416" s="47"/>
    </row>
    <row r="417" spans="1:78" ht="13">
      <c r="A417" s="48" t="str">
        <f ca="1">'.'!A417</f>
        <v>Sovereign's Orb</v>
      </c>
      <c r="B417" s="46" t="str">
        <f t="array" aca="1" ref="B417" ca="1">IF('.'!B417="","",'.'!B417&amp;IF(VLOOKUP('.'!B417,Recipes!$A:$D,4,FALSE)="",""," ["&amp;VLOOKUP('.'!B417,Recipes!$A:$D,4,FALSE)&amp;"]"))</f>
        <v>Holy Hand Grenade [0]</v>
      </c>
      <c r="C417" s="46" t="str">
        <f t="array" ref="C417">IF('.'!C417="","",'.'!C417&amp;IF(VLOOKUP('.'!C417,Recipes!$A:$D,4,FALSE)="",""," ["&amp;VLOOKUP('.'!C417,Recipes!$A:$D,4,FALSE)&amp;"]"))</f>
        <v/>
      </c>
      <c r="D417" s="46" t="str">
        <f t="array" ref="D417">IF('.'!D417="","",'.'!D417&amp;IF(VLOOKUP('.'!D417,Recipes!$A:$D,4,FALSE)="",""," ["&amp;VLOOKUP('.'!D417,Recipes!$A:$D,4,FALSE)&amp;"]"))</f>
        <v/>
      </c>
      <c r="E417" s="46" t="str">
        <f t="array" ref="E417">IF('.'!E417="","",'.'!E417&amp;IF(VLOOKUP('.'!E417,Recipes!$A:$D,4,FALSE)="",""," ["&amp;VLOOKUP('.'!E417,Recipes!$A:$D,4,FALSE)&amp;"]"))</f>
        <v/>
      </c>
      <c r="F417" s="46" t="str">
        <f t="array" ref="F417">IF('.'!F417="","",'.'!F417&amp;IF(VLOOKUP('.'!F417,Recipes!$A:$D,4,FALSE)="",""," ["&amp;VLOOKUP('.'!F417,Recipes!$A:$D,4,FALSE)&amp;"]"))</f>
        <v/>
      </c>
      <c r="G417" s="46" t="str">
        <f t="array" ref="G417">IF('.'!G417="","",'.'!G417&amp;IF(VLOOKUP('.'!G417,Recipes!$A:$D,4,FALSE)="",""," ["&amp;VLOOKUP('.'!G417,Recipes!$A:$D,4,FALSE)&amp;"]"))</f>
        <v/>
      </c>
      <c r="H417" s="46" t="str">
        <f t="array" ref="H417">IF('.'!H417="","",'.'!H417&amp;IF(VLOOKUP('.'!H417,Recipes!$A:$D,4,FALSE)="",""," ["&amp;VLOOKUP('.'!H417,Recipes!$A:$D,4,FALSE)&amp;"]"))</f>
        <v/>
      </c>
      <c r="I417" s="46" t="str">
        <f t="array" ref="I417">IF('.'!I417="","",'.'!I417&amp;IF(VLOOKUP('.'!I417,Recipes!$A:$D,4,FALSE)="",""," ["&amp;VLOOKUP('.'!I417,Recipes!$A:$D,4,FALSE)&amp;"]"))</f>
        <v/>
      </c>
      <c r="J417" s="46" t="str">
        <f t="array" ref="J417">IF('.'!J417="","",'.'!J417&amp;IF(VLOOKUP('.'!J417,Recipes!$A:$D,4,FALSE)="",""," ["&amp;VLOOKUP('.'!J417,Recipes!$A:$D,4,FALSE)&amp;"]"))</f>
        <v/>
      </c>
      <c r="K417" s="46" t="str">
        <f t="array" ref="K417">IF('.'!K417="","",'.'!K417&amp;IF(VLOOKUP('.'!K417,Recipes!$A:$D,4,FALSE)="",""," ["&amp;VLOOKUP('.'!K417,Recipes!$A:$D,4,FALSE)&amp;"]"))</f>
        <v/>
      </c>
      <c r="L417" s="46" t="str">
        <f t="array" ref="L417">IF('.'!L417="","",'.'!L417&amp;IF(VLOOKUP('.'!L417,Recipes!$A:$D,4,FALSE)="",""," ["&amp;VLOOKUP('.'!L417,Recipes!$A:$D,4,FALSE)&amp;"]"))</f>
        <v/>
      </c>
      <c r="M417" s="46" t="str">
        <f t="array" ref="M417">IF('.'!M417="","",'.'!M417&amp;IF(VLOOKUP('.'!M417,Recipes!$A:$D,4,FALSE)="",""," ["&amp;VLOOKUP('.'!M417,Recipes!$A:$D,4,FALSE)&amp;"]"))</f>
        <v/>
      </c>
      <c r="N417" s="46" t="str">
        <f t="array" ref="N417">IF('.'!N417="","",'.'!N417&amp;IF(VLOOKUP('.'!N417,Recipes!$A:$D,4,FALSE)="",""," ["&amp;VLOOKUP('.'!N417,Recipes!$A:$D,4,FALSE)&amp;"]"))</f>
        <v/>
      </c>
      <c r="O417" s="46" t="str">
        <f t="array" ref="O417">IF('.'!O417="","",'.'!O417&amp;IF(VLOOKUP('.'!O417,Recipes!$A:$D,4,FALSE)="",""," ["&amp;VLOOKUP('.'!O417,Recipes!$A:$D,4,FALSE)&amp;"]"))</f>
        <v/>
      </c>
      <c r="P417" s="46" t="str">
        <f t="array" ref="P417">IF('.'!P417="","",'.'!P417&amp;IF(VLOOKUP('.'!P417,Recipes!$A:$D,4,FALSE)="",""," ["&amp;VLOOKUP('.'!P417,Recipes!$A:$D,4,FALSE)&amp;"]"))</f>
        <v/>
      </c>
      <c r="Q417" s="46" t="str">
        <f t="array" ref="Q417">IF('.'!Q417="","",'.'!Q417&amp;IF(VLOOKUP('.'!Q417,Recipes!$A:$D,4,FALSE)="",""," ["&amp;VLOOKUP('.'!Q417,Recipes!$A:$D,4,FALSE)&amp;"]"))</f>
        <v/>
      </c>
      <c r="R417" s="46" t="str">
        <f t="array" ref="R417">IF('.'!R417="","",'.'!R417&amp;IF(VLOOKUP('.'!R417,Recipes!$A:$D,4,FALSE)="",""," ["&amp;VLOOKUP('.'!R417,Recipes!$A:$D,4,FALSE)&amp;"]"))</f>
        <v/>
      </c>
      <c r="S417" s="46" t="str">
        <f t="array" ref="S417">IF('.'!S417="","",'.'!S417&amp;IF(VLOOKUP('.'!S417,Recipes!$A:$D,4,FALSE)="",""," ["&amp;VLOOKUP('.'!S417,Recipes!$A:$D,4,FALSE)&amp;"]"))</f>
        <v/>
      </c>
      <c r="T417" s="46" t="str">
        <f t="array" ref="T417">IF('.'!T417="","",'.'!T417&amp;IF(VLOOKUP('.'!T417,Recipes!$A:$D,4,FALSE)="",""," ["&amp;VLOOKUP('.'!T417,Recipes!$A:$D,4,FALSE)&amp;"]"))</f>
        <v/>
      </c>
      <c r="U417" s="46" t="str">
        <f t="array" ref="U417">IF('.'!U417="","",'.'!U417&amp;IF(VLOOKUP('.'!U417,Recipes!$A:$D,4,FALSE)="",""," ["&amp;VLOOKUP('.'!U417,Recipes!$A:$D,4,FALSE)&amp;"]"))</f>
        <v/>
      </c>
      <c r="V417" s="46" t="str">
        <f t="array" ref="V417">IF('.'!V417="","",'.'!V417&amp;IF(VLOOKUP('.'!V417,Recipes!$A:$D,4,FALSE)="",""," ["&amp;VLOOKUP('.'!V417,Recipes!$A:$D,4,FALSE)&amp;"]"))</f>
        <v/>
      </c>
      <c r="W417" s="46" t="str">
        <f t="array" ref="W417">IF('.'!W417="","",'.'!W417&amp;IF(VLOOKUP('.'!W417,Recipes!$A:$D,4,FALSE)="",""," ["&amp;VLOOKUP('.'!W417,Recipes!$A:$D,4,FALSE)&amp;"]"))</f>
        <v/>
      </c>
      <c r="X417" s="46" t="str">
        <f t="array" ref="X417">IF('.'!X417="","",'.'!X417&amp;IF(VLOOKUP('.'!X417,Recipes!$A:$D,4,FALSE)="",""," ["&amp;VLOOKUP('.'!X417,Recipes!$A:$D,4,FALSE)&amp;"]"))</f>
        <v/>
      </c>
      <c r="Y417" s="46" t="str">
        <f t="array" ref="Y417">IF('.'!Y417="","",'.'!Y417&amp;IF(VLOOKUP('.'!Y417,Recipes!$A:$D,4,FALSE)="",""," ["&amp;VLOOKUP('.'!Y417,Recipes!$A:$D,4,FALSE)&amp;"]"))</f>
        <v/>
      </c>
      <c r="Z417" s="46" t="str">
        <f t="array" ref="Z417">IF('.'!Z417="","",'.'!Z417&amp;IF(VLOOKUP('.'!Z417,Recipes!$A:$D,4,FALSE)="",""," ["&amp;VLOOKUP('.'!Z417,Recipes!$A:$D,4,FALSE)&amp;"]"))</f>
        <v/>
      </c>
      <c r="AA417" s="46" t="str">
        <f t="array" ref="AA417">IF('.'!AA417="","",'.'!AA417&amp;IF(VLOOKUP('.'!AA417,Recipes!$A:$D,4,FALSE)="",""," ["&amp;VLOOKUP('.'!AA417,Recipes!$A:$D,4,FALSE)&amp;"]"))</f>
        <v/>
      </c>
      <c r="AB417" s="46" t="str">
        <f t="array" ref="AB417">IF('.'!AB417="","",'.'!AB417&amp;IF(VLOOKUP('.'!AB417,Recipes!$A:$D,4,FALSE)="",""," ["&amp;VLOOKUP('.'!AB417,Recipes!$A:$D,4,FALSE)&amp;"]"))</f>
        <v/>
      </c>
      <c r="AC417" s="46" t="str">
        <f t="array" ref="AC417">IF('.'!AC417="","",'.'!AC417&amp;IF(VLOOKUP('.'!AC417,Recipes!$A:$D,4,FALSE)="",""," ["&amp;VLOOKUP('.'!AC417,Recipes!$A:$D,4,FALSE)&amp;"]"))</f>
        <v/>
      </c>
      <c r="AD417" s="46" t="str">
        <f t="array" ref="AD417">IF('.'!AD417="","",'.'!AD417&amp;IF(VLOOKUP('.'!AD417,Recipes!$A:$D,4,FALSE)="",""," ["&amp;VLOOKUP('.'!AD417,Recipes!$A:$D,4,FALSE)&amp;"]"))</f>
        <v/>
      </c>
      <c r="AE417" s="47" t="str">
        <f t="array" ref="AE417">IF('.'!AE417="","",'.'!AE417&amp;IF(VLOOKUP('.'!AE417,Recipes!$A:$D,4,FALSE)="",""," ["&amp;VLOOKUP('.'!AE417,Recipes!$A:$D,4,FALSE)&amp;"]"))</f>
        <v/>
      </c>
      <c r="AF417" s="47"/>
      <c r="AG417" s="47"/>
      <c r="AH417" s="47"/>
      <c r="AI417" s="47"/>
      <c r="AJ417" s="47"/>
      <c r="AK417" s="47"/>
      <c r="AL417" s="47"/>
      <c r="AM417" s="47"/>
      <c r="AN417" s="47"/>
      <c r="AO417" s="47"/>
      <c r="AP417" s="47"/>
      <c r="AQ417" s="47"/>
      <c r="AR417" s="47"/>
      <c r="AS417" s="47"/>
      <c r="AT417" s="47"/>
      <c r="AU417" s="47"/>
      <c r="AV417" s="47"/>
      <c r="AW417" s="47"/>
      <c r="AX417" s="47"/>
      <c r="AY417" s="47"/>
      <c r="AZ417" s="47"/>
      <c r="BA417" s="47"/>
      <c r="BB417" s="47"/>
      <c r="BC417" s="47"/>
      <c r="BD417" s="47"/>
      <c r="BE417" s="47"/>
      <c r="BF417" s="47"/>
      <c r="BG417" s="47"/>
      <c r="BH417" s="47"/>
      <c r="BI417" s="47"/>
      <c r="BJ417" s="47"/>
      <c r="BK417" s="47"/>
      <c r="BL417" s="47"/>
      <c r="BM417" s="47"/>
      <c r="BN417" s="47"/>
      <c r="BO417" s="47"/>
      <c r="BP417" s="47"/>
      <c r="BQ417" s="47"/>
      <c r="BR417" s="47"/>
      <c r="BS417" s="47"/>
      <c r="BT417" s="47"/>
      <c r="BU417" s="47"/>
      <c r="BV417" s="47"/>
      <c r="BW417" s="47"/>
      <c r="BX417" s="47"/>
      <c r="BY417" s="47"/>
      <c r="BZ417" s="47"/>
    </row>
    <row r="418" spans="1:78" ht="13">
      <c r="A418" s="48" t="str">
        <f ca="1">'.'!A418</f>
        <v>Spider Legs Scroll</v>
      </c>
      <c r="B418" s="46" t="str">
        <f t="array" aca="1" ref="B418" ca="1">IF('.'!B418="","",'.'!B418&amp;IF(VLOOKUP('.'!B418,Recipes!$A:$D,4,FALSE)="",""," ["&amp;VLOOKUP('.'!B418,Recipes!$A:$D,4,FALSE)&amp;"]"))</f>
        <v>Spider Legs Skillbook [-10]</v>
      </c>
      <c r="C418" s="46" t="str">
        <f t="array" ref="C418">IF('.'!C418="","",'.'!C418&amp;IF(VLOOKUP('.'!C418,Recipes!$A:$D,4,FALSE)="",""," ["&amp;VLOOKUP('.'!C418,Recipes!$A:$D,4,FALSE)&amp;"]"))</f>
        <v/>
      </c>
      <c r="D418" s="46" t="str">
        <f t="array" ref="D418">IF('.'!D418="","",'.'!D418&amp;IF(VLOOKUP('.'!D418,Recipes!$A:$D,4,FALSE)="",""," ["&amp;VLOOKUP('.'!D418,Recipes!$A:$D,4,FALSE)&amp;"]"))</f>
        <v/>
      </c>
      <c r="E418" s="46" t="str">
        <f t="array" ref="E418">IF('.'!E418="","",'.'!E418&amp;IF(VLOOKUP('.'!E418,Recipes!$A:$D,4,FALSE)="",""," ["&amp;VLOOKUP('.'!E418,Recipes!$A:$D,4,FALSE)&amp;"]"))</f>
        <v/>
      </c>
      <c r="F418" s="46" t="str">
        <f t="array" ref="F418">IF('.'!F418="","",'.'!F418&amp;IF(VLOOKUP('.'!F418,Recipes!$A:$D,4,FALSE)="",""," ["&amp;VLOOKUP('.'!F418,Recipes!$A:$D,4,FALSE)&amp;"]"))</f>
        <v/>
      </c>
      <c r="G418" s="46" t="str">
        <f t="array" ref="G418">IF('.'!G418="","",'.'!G418&amp;IF(VLOOKUP('.'!G418,Recipes!$A:$D,4,FALSE)="",""," ["&amp;VLOOKUP('.'!G418,Recipes!$A:$D,4,FALSE)&amp;"]"))</f>
        <v/>
      </c>
      <c r="H418" s="46" t="str">
        <f t="array" ref="H418">IF('.'!H418="","",'.'!H418&amp;IF(VLOOKUP('.'!H418,Recipes!$A:$D,4,FALSE)="",""," ["&amp;VLOOKUP('.'!H418,Recipes!$A:$D,4,FALSE)&amp;"]"))</f>
        <v/>
      </c>
      <c r="I418" s="46" t="str">
        <f t="array" ref="I418">IF('.'!I418="","",'.'!I418&amp;IF(VLOOKUP('.'!I418,Recipes!$A:$D,4,FALSE)="",""," ["&amp;VLOOKUP('.'!I418,Recipes!$A:$D,4,FALSE)&amp;"]"))</f>
        <v/>
      </c>
      <c r="J418" s="46" t="str">
        <f t="array" ref="J418">IF('.'!J418="","",'.'!J418&amp;IF(VLOOKUP('.'!J418,Recipes!$A:$D,4,FALSE)="",""," ["&amp;VLOOKUP('.'!J418,Recipes!$A:$D,4,FALSE)&amp;"]"))</f>
        <v/>
      </c>
      <c r="K418" s="46" t="str">
        <f t="array" ref="K418">IF('.'!K418="","",'.'!K418&amp;IF(VLOOKUP('.'!K418,Recipes!$A:$D,4,FALSE)="",""," ["&amp;VLOOKUP('.'!K418,Recipes!$A:$D,4,FALSE)&amp;"]"))</f>
        <v/>
      </c>
      <c r="L418" s="46" t="str">
        <f t="array" ref="L418">IF('.'!L418="","",'.'!L418&amp;IF(VLOOKUP('.'!L418,Recipes!$A:$D,4,FALSE)="",""," ["&amp;VLOOKUP('.'!L418,Recipes!$A:$D,4,FALSE)&amp;"]"))</f>
        <v/>
      </c>
      <c r="M418" s="46" t="str">
        <f t="array" ref="M418">IF('.'!M418="","",'.'!M418&amp;IF(VLOOKUP('.'!M418,Recipes!$A:$D,4,FALSE)="",""," ["&amp;VLOOKUP('.'!M418,Recipes!$A:$D,4,FALSE)&amp;"]"))</f>
        <v/>
      </c>
      <c r="N418" s="46" t="str">
        <f t="array" ref="N418">IF('.'!N418="","",'.'!N418&amp;IF(VLOOKUP('.'!N418,Recipes!$A:$D,4,FALSE)="",""," ["&amp;VLOOKUP('.'!N418,Recipes!$A:$D,4,FALSE)&amp;"]"))</f>
        <v/>
      </c>
      <c r="O418" s="46" t="str">
        <f t="array" ref="O418">IF('.'!O418="","",'.'!O418&amp;IF(VLOOKUP('.'!O418,Recipes!$A:$D,4,FALSE)="",""," ["&amp;VLOOKUP('.'!O418,Recipes!$A:$D,4,FALSE)&amp;"]"))</f>
        <v/>
      </c>
      <c r="P418" s="46" t="str">
        <f t="array" ref="P418">IF('.'!P418="","",'.'!P418&amp;IF(VLOOKUP('.'!P418,Recipes!$A:$D,4,FALSE)="",""," ["&amp;VLOOKUP('.'!P418,Recipes!$A:$D,4,FALSE)&amp;"]"))</f>
        <v/>
      </c>
      <c r="Q418" s="46" t="str">
        <f t="array" ref="Q418">IF('.'!Q418="","",'.'!Q418&amp;IF(VLOOKUP('.'!Q418,Recipes!$A:$D,4,FALSE)="",""," ["&amp;VLOOKUP('.'!Q418,Recipes!$A:$D,4,FALSE)&amp;"]"))</f>
        <v/>
      </c>
      <c r="R418" s="46" t="str">
        <f t="array" ref="R418">IF('.'!R418="","",'.'!R418&amp;IF(VLOOKUP('.'!R418,Recipes!$A:$D,4,FALSE)="",""," ["&amp;VLOOKUP('.'!R418,Recipes!$A:$D,4,FALSE)&amp;"]"))</f>
        <v/>
      </c>
      <c r="S418" s="46" t="str">
        <f t="array" ref="S418">IF('.'!S418="","",'.'!S418&amp;IF(VLOOKUP('.'!S418,Recipes!$A:$D,4,FALSE)="",""," ["&amp;VLOOKUP('.'!S418,Recipes!$A:$D,4,FALSE)&amp;"]"))</f>
        <v/>
      </c>
      <c r="T418" s="46" t="str">
        <f t="array" ref="T418">IF('.'!T418="","",'.'!T418&amp;IF(VLOOKUP('.'!T418,Recipes!$A:$D,4,FALSE)="",""," ["&amp;VLOOKUP('.'!T418,Recipes!$A:$D,4,FALSE)&amp;"]"))</f>
        <v/>
      </c>
      <c r="U418" s="46" t="str">
        <f t="array" ref="U418">IF('.'!U418="","",'.'!U418&amp;IF(VLOOKUP('.'!U418,Recipes!$A:$D,4,FALSE)="",""," ["&amp;VLOOKUP('.'!U418,Recipes!$A:$D,4,FALSE)&amp;"]"))</f>
        <v/>
      </c>
      <c r="V418" s="46" t="str">
        <f t="array" ref="V418">IF('.'!V418="","",'.'!V418&amp;IF(VLOOKUP('.'!V418,Recipes!$A:$D,4,FALSE)="",""," ["&amp;VLOOKUP('.'!V418,Recipes!$A:$D,4,FALSE)&amp;"]"))</f>
        <v/>
      </c>
      <c r="W418" s="46" t="str">
        <f t="array" ref="W418">IF('.'!W418="","",'.'!W418&amp;IF(VLOOKUP('.'!W418,Recipes!$A:$D,4,FALSE)="",""," ["&amp;VLOOKUP('.'!W418,Recipes!$A:$D,4,FALSE)&amp;"]"))</f>
        <v/>
      </c>
      <c r="X418" s="46" t="str">
        <f t="array" ref="X418">IF('.'!X418="","",'.'!X418&amp;IF(VLOOKUP('.'!X418,Recipes!$A:$D,4,FALSE)="",""," ["&amp;VLOOKUP('.'!X418,Recipes!$A:$D,4,FALSE)&amp;"]"))</f>
        <v/>
      </c>
      <c r="Y418" s="46" t="str">
        <f t="array" ref="Y418">IF('.'!Y418="","",'.'!Y418&amp;IF(VLOOKUP('.'!Y418,Recipes!$A:$D,4,FALSE)="",""," ["&amp;VLOOKUP('.'!Y418,Recipes!$A:$D,4,FALSE)&amp;"]"))</f>
        <v/>
      </c>
      <c r="Z418" s="46" t="str">
        <f t="array" ref="Z418">IF('.'!Z418="","",'.'!Z418&amp;IF(VLOOKUP('.'!Z418,Recipes!$A:$D,4,FALSE)="",""," ["&amp;VLOOKUP('.'!Z418,Recipes!$A:$D,4,FALSE)&amp;"]"))</f>
        <v/>
      </c>
      <c r="AA418" s="46" t="str">
        <f t="array" ref="AA418">IF('.'!AA418="","",'.'!AA418&amp;IF(VLOOKUP('.'!AA418,Recipes!$A:$D,4,FALSE)="",""," ["&amp;VLOOKUP('.'!AA418,Recipes!$A:$D,4,FALSE)&amp;"]"))</f>
        <v/>
      </c>
      <c r="AB418" s="46" t="str">
        <f t="array" ref="AB418">IF('.'!AB418="","",'.'!AB418&amp;IF(VLOOKUP('.'!AB418,Recipes!$A:$D,4,FALSE)="",""," ["&amp;VLOOKUP('.'!AB418,Recipes!$A:$D,4,FALSE)&amp;"]"))</f>
        <v/>
      </c>
      <c r="AC418" s="46" t="str">
        <f t="array" ref="AC418">IF('.'!AC418="","",'.'!AC418&amp;IF(VLOOKUP('.'!AC418,Recipes!$A:$D,4,FALSE)="",""," ["&amp;VLOOKUP('.'!AC418,Recipes!$A:$D,4,FALSE)&amp;"]"))</f>
        <v/>
      </c>
      <c r="AD418" s="46" t="str">
        <f t="array" ref="AD418">IF('.'!AD418="","",'.'!AD418&amp;IF(VLOOKUP('.'!AD418,Recipes!$A:$D,4,FALSE)="",""," ["&amp;VLOOKUP('.'!AD418,Recipes!$A:$D,4,FALSE)&amp;"]"))</f>
        <v/>
      </c>
      <c r="AE418" s="47" t="str">
        <f t="array" ref="AE418">IF('.'!AE418="","",'.'!AE418&amp;IF(VLOOKUP('.'!AE418,Recipes!$A:$D,4,FALSE)="",""," ["&amp;VLOOKUP('.'!AE418,Recipes!$A:$D,4,FALSE)&amp;"]"))</f>
        <v/>
      </c>
      <c r="AF418" s="47"/>
      <c r="AG418" s="47"/>
      <c r="AH418" s="47"/>
      <c r="AI418" s="47"/>
      <c r="AJ418" s="47"/>
      <c r="AK418" s="47"/>
      <c r="AL418" s="47"/>
      <c r="AM418" s="47"/>
      <c r="AN418" s="47"/>
      <c r="AO418" s="47"/>
      <c r="AP418" s="47"/>
      <c r="AQ418" s="47"/>
      <c r="AR418" s="47"/>
      <c r="AS418" s="47"/>
      <c r="AT418" s="47"/>
      <c r="AU418" s="47"/>
      <c r="AV418" s="47"/>
      <c r="AW418" s="47"/>
      <c r="AX418" s="47"/>
      <c r="AY418" s="47"/>
      <c r="AZ418" s="47"/>
      <c r="BA418" s="47"/>
      <c r="BB418" s="47"/>
      <c r="BC418" s="47"/>
      <c r="BD418" s="47"/>
      <c r="BE418" s="47"/>
      <c r="BF418" s="47"/>
      <c r="BG418" s="47"/>
      <c r="BH418" s="47"/>
      <c r="BI418" s="47"/>
      <c r="BJ418" s="47"/>
      <c r="BK418" s="47"/>
      <c r="BL418" s="47"/>
      <c r="BM418" s="47"/>
      <c r="BN418" s="47"/>
      <c r="BO418" s="47"/>
      <c r="BP418" s="47"/>
      <c r="BQ418" s="47"/>
      <c r="BR418" s="47"/>
      <c r="BS418" s="47"/>
      <c r="BT418" s="47"/>
      <c r="BU418" s="47"/>
      <c r="BV418" s="47"/>
      <c r="BW418" s="47"/>
      <c r="BX418" s="47"/>
      <c r="BY418" s="47"/>
      <c r="BZ418" s="47"/>
    </row>
    <row r="419" spans="1:78" ht="13">
      <c r="A419" s="48" t="str">
        <f ca="1">'.'!A419</f>
        <v>Spontaneous Combustion Scroll</v>
      </c>
      <c r="B419" s="46" t="str">
        <f t="array" aca="1" ref="B419" ca="1">IF('.'!B419="","",'.'!B419&amp;IF(VLOOKUP('.'!B419,Recipes!$A:$D,4,FALSE)="",""," ["&amp;VLOOKUP('.'!B419,Recipes!$A:$D,4,FALSE)&amp;"]"))</f>
        <v>Spontaneous Combustion Skillbook [-60]</v>
      </c>
      <c r="C419" s="46" t="str">
        <f t="array" ref="C419">IF('.'!C419="","",'.'!C419&amp;IF(VLOOKUP('.'!C419,Recipes!$A:$D,4,FALSE)="",""," ["&amp;VLOOKUP('.'!C419,Recipes!$A:$D,4,FALSE)&amp;"]"))</f>
        <v/>
      </c>
      <c r="D419" s="46" t="str">
        <f t="array" ref="D419">IF('.'!D419="","",'.'!D419&amp;IF(VLOOKUP('.'!D419,Recipes!$A:$D,4,FALSE)="",""," ["&amp;VLOOKUP('.'!D419,Recipes!$A:$D,4,FALSE)&amp;"]"))</f>
        <v/>
      </c>
      <c r="E419" s="46" t="str">
        <f t="array" ref="E419">IF('.'!E419="","",'.'!E419&amp;IF(VLOOKUP('.'!E419,Recipes!$A:$D,4,FALSE)="",""," ["&amp;VLOOKUP('.'!E419,Recipes!$A:$D,4,FALSE)&amp;"]"))</f>
        <v/>
      </c>
      <c r="F419" s="46" t="str">
        <f t="array" ref="F419">IF('.'!F419="","",'.'!F419&amp;IF(VLOOKUP('.'!F419,Recipes!$A:$D,4,FALSE)="",""," ["&amp;VLOOKUP('.'!F419,Recipes!$A:$D,4,FALSE)&amp;"]"))</f>
        <v/>
      </c>
      <c r="G419" s="46" t="str">
        <f t="array" ref="G419">IF('.'!G419="","",'.'!G419&amp;IF(VLOOKUP('.'!G419,Recipes!$A:$D,4,FALSE)="",""," ["&amp;VLOOKUP('.'!G419,Recipes!$A:$D,4,FALSE)&amp;"]"))</f>
        <v/>
      </c>
      <c r="H419" s="46" t="str">
        <f t="array" ref="H419">IF('.'!H419="","",'.'!H419&amp;IF(VLOOKUP('.'!H419,Recipes!$A:$D,4,FALSE)="",""," ["&amp;VLOOKUP('.'!H419,Recipes!$A:$D,4,FALSE)&amp;"]"))</f>
        <v/>
      </c>
      <c r="I419" s="46" t="str">
        <f t="array" ref="I419">IF('.'!I419="","",'.'!I419&amp;IF(VLOOKUP('.'!I419,Recipes!$A:$D,4,FALSE)="",""," ["&amp;VLOOKUP('.'!I419,Recipes!$A:$D,4,FALSE)&amp;"]"))</f>
        <v/>
      </c>
      <c r="J419" s="46" t="str">
        <f t="array" ref="J419">IF('.'!J419="","",'.'!J419&amp;IF(VLOOKUP('.'!J419,Recipes!$A:$D,4,FALSE)="",""," ["&amp;VLOOKUP('.'!J419,Recipes!$A:$D,4,FALSE)&amp;"]"))</f>
        <v/>
      </c>
      <c r="K419" s="46" t="str">
        <f t="array" ref="K419">IF('.'!K419="","",'.'!K419&amp;IF(VLOOKUP('.'!K419,Recipes!$A:$D,4,FALSE)="",""," ["&amp;VLOOKUP('.'!K419,Recipes!$A:$D,4,FALSE)&amp;"]"))</f>
        <v/>
      </c>
      <c r="L419" s="46" t="str">
        <f t="array" ref="L419">IF('.'!L419="","",'.'!L419&amp;IF(VLOOKUP('.'!L419,Recipes!$A:$D,4,FALSE)="",""," ["&amp;VLOOKUP('.'!L419,Recipes!$A:$D,4,FALSE)&amp;"]"))</f>
        <v/>
      </c>
      <c r="M419" s="46" t="str">
        <f t="array" ref="M419">IF('.'!M419="","",'.'!M419&amp;IF(VLOOKUP('.'!M419,Recipes!$A:$D,4,FALSE)="",""," ["&amp;VLOOKUP('.'!M419,Recipes!$A:$D,4,FALSE)&amp;"]"))</f>
        <v/>
      </c>
      <c r="N419" s="46" t="str">
        <f t="array" ref="N419">IF('.'!N419="","",'.'!N419&amp;IF(VLOOKUP('.'!N419,Recipes!$A:$D,4,FALSE)="",""," ["&amp;VLOOKUP('.'!N419,Recipes!$A:$D,4,FALSE)&amp;"]"))</f>
        <v/>
      </c>
      <c r="O419" s="46" t="str">
        <f t="array" ref="O419">IF('.'!O419="","",'.'!O419&amp;IF(VLOOKUP('.'!O419,Recipes!$A:$D,4,FALSE)="",""," ["&amp;VLOOKUP('.'!O419,Recipes!$A:$D,4,FALSE)&amp;"]"))</f>
        <v/>
      </c>
      <c r="P419" s="46" t="str">
        <f t="array" ref="P419">IF('.'!P419="","",'.'!P419&amp;IF(VLOOKUP('.'!P419,Recipes!$A:$D,4,FALSE)="",""," ["&amp;VLOOKUP('.'!P419,Recipes!$A:$D,4,FALSE)&amp;"]"))</f>
        <v/>
      </c>
      <c r="Q419" s="46" t="str">
        <f t="array" ref="Q419">IF('.'!Q419="","",'.'!Q419&amp;IF(VLOOKUP('.'!Q419,Recipes!$A:$D,4,FALSE)="",""," ["&amp;VLOOKUP('.'!Q419,Recipes!$A:$D,4,FALSE)&amp;"]"))</f>
        <v/>
      </c>
      <c r="R419" s="46" t="str">
        <f t="array" ref="R419">IF('.'!R419="","",'.'!R419&amp;IF(VLOOKUP('.'!R419,Recipes!$A:$D,4,FALSE)="",""," ["&amp;VLOOKUP('.'!R419,Recipes!$A:$D,4,FALSE)&amp;"]"))</f>
        <v/>
      </c>
      <c r="S419" s="46" t="str">
        <f t="array" ref="S419">IF('.'!S419="","",'.'!S419&amp;IF(VLOOKUP('.'!S419,Recipes!$A:$D,4,FALSE)="",""," ["&amp;VLOOKUP('.'!S419,Recipes!$A:$D,4,FALSE)&amp;"]"))</f>
        <v/>
      </c>
      <c r="T419" s="46" t="str">
        <f t="array" ref="T419">IF('.'!T419="","",'.'!T419&amp;IF(VLOOKUP('.'!T419,Recipes!$A:$D,4,FALSE)="",""," ["&amp;VLOOKUP('.'!T419,Recipes!$A:$D,4,FALSE)&amp;"]"))</f>
        <v/>
      </c>
      <c r="U419" s="46" t="str">
        <f t="array" ref="U419">IF('.'!U419="","",'.'!U419&amp;IF(VLOOKUP('.'!U419,Recipes!$A:$D,4,FALSE)="",""," ["&amp;VLOOKUP('.'!U419,Recipes!$A:$D,4,FALSE)&amp;"]"))</f>
        <v/>
      </c>
      <c r="V419" s="46" t="str">
        <f t="array" ref="V419">IF('.'!V419="","",'.'!V419&amp;IF(VLOOKUP('.'!V419,Recipes!$A:$D,4,FALSE)="",""," ["&amp;VLOOKUP('.'!V419,Recipes!$A:$D,4,FALSE)&amp;"]"))</f>
        <v/>
      </c>
      <c r="W419" s="46" t="str">
        <f t="array" ref="W419">IF('.'!W419="","",'.'!W419&amp;IF(VLOOKUP('.'!W419,Recipes!$A:$D,4,FALSE)="",""," ["&amp;VLOOKUP('.'!W419,Recipes!$A:$D,4,FALSE)&amp;"]"))</f>
        <v/>
      </c>
      <c r="X419" s="46" t="str">
        <f t="array" ref="X419">IF('.'!X419="","",'.'!X419&amp;IF(VLOOKUP('.'!X419,Recipes!$A:$D,4,FALSE)="",""," ["&amp;VLOOKUP('.'!X419,Recipes!$A:$D,4,FALSE)&amp;"]"))</f>
        <v/>
      </c>
      <c r="Y419" s="46" t="str">
        <f t="array" ref="Y419">IF('.'!Y419="","",'.'!Y419&amp;IF(VLOOKUP('.'!Y419,Recipes!$A:$D,4,FALSE)="",""," ["&amp;VLOOKUP('.'!Y419,Recipes!$A:$D,4,FALSE)&amp;"]"))</f>
        <v/>
      </c>
      <c r="Z419" s="46" t="str">
        <f t="array" ref="Z419">IF('.'!Z419="","",'.'!Z419&amp;IF(VLOOKUP('.'!Z419,Recipes!$A:$D,4,FALSE)="",""," ["&amp;VLOOKUP('.'!Z419,Recipes!$A:$D,4,FALSE)&amp;"]"))</f>
        <v/>
      </c>
      <c r="AA419" s="46" t="str">
        <f t="array" ref="AA419">IF('.'!AA419="","",'.'!AA419&amp;IF(VLOOKUP('.'!AA419,Recipes!$A:$D,4,FALSE)="",""," ["&amp;VLOOKUP('.'!AA419,Recipes!$A:$D,4,FALSE)&amp;"]"))</f>
        <v/>
      </c>
      <c r="AB419" s="46" t="str">
        <f t="array" ref="AB419">IF('.'!AB419="","",'.'!AB419&amp;IF(VLOOKUP('.'!AB419,Recipes!$A:$D,4,FALSE)="",""," ["&amp;VLOOKUP('.'!AB419,Recipes!$A:$D,4,FALSE)&amp;"]"))</f>
        <v/>
      </c>
      <c r="AC419" s="46" t="str">
        <f t="array" ref="AC419">IF('.'!AC419="","",'.'!AC419&amp;IF(VLOOKUP('.'!AC419,Recipes!$A:$D,4,FALSE)="",""," ["&amp;VLOOKUP('.'!AC419,Recipes!$A:$D,4,FALSE)&amp;"]"))</f>
        <v/>
      </c>
      <c r="AD419" s="46" t="str">
        <f t="array" ref="AD419">IF('.'!AD419="","",'.'!AD419&amp;IF(VLOOKUP('.'!AD419,Recipes!$A:$D,4,FALSE)="",""," ["&amp;VLOOKUP('.'!AD419,Recipes!$A:$D,4,FALSE)&amp;"]"))</f>
        <v/>
      </c>
      <c r="AE419" s="47" t="str">
        <f t="array" ref="AE419">IF('.'!AE419="","",'.'!AE419&amp;IF(VLOOKUP('.'!AE419,Recipes!$A:$D,4,FALSE)="",""," ["&amp;VLOOKUP('.'!AE419,Recipes!$A:$D,4,FALSE)&amp;"]"))</f>
        <v/>
      </c>
      <c r="AF419" s="47"/>
      <c r="AG419" s="47"/>
      <c r="AH419" s="47"/>
      <c r="AI419" s="47"/>
      <c r="AJ419" s="47"/>
      <c r="AK419" s="47"/>
      <c r="AL419" s="47"/>
      <c r="AM419" s="47"/>
      <c r="AN419" s="47"/>
      <c r="AO419" s="47"/>
      <c r="AP419" s="47"/>
      <c r="AQ419" s="47"/>
      <c r="AR419" s="47"/>
      <c r="AS419" s="47"/>
      <c r="AT419" s="47"/>
      <c r="AU419" s="47"/>
      <c r="AV419" s="47"/>
      <c r="AW419" s="47"/>
      <c r="AX419" s="47"/>
      <c r="AY419" s="47"/>
      <c r="AZ419" s="47"/>
      <c r="BA419" s="47"/>
      <c r="BB419" s="47"/>
      <c r="BC419" s="47"/>
      <c r="BD419" s="47"/>
      <c r="BE419" s="47"/>
      <c r="BF419" s="47"/>
      <c r="BG419" s="47"/>
      <c r="BH419" s="47"/>
      <c r="BI419" s="47"/>
      <c r="BJ419" s="47"/>
      <c r="BK419" s="47"/>
      <c r="BL419" s="47"/>
      <c r="BM419" s="47"/>
      <c r="BN419" s="47"/>
      <c r="BO419" s="47"/>
      <c r="BP419" s="47"/>
      <c r="BQ419" s="47"/>
      <c r="BR419" s="47"/>
      <c r="BS419" s="47"/>
      <c r="BT419" s="47"/>
      <c r="BU419" s="47"/>
      <c r="BV419" s="47"/>
      <c r="BW419" s="47"/>
      <c r="BX419" s="47"/>
      <c r="BY419" s="47"/>
      <c r="BZ419" s="47"/>
    </row>
    <row r="420" spans="1:78" ht="13">
      <c r="A420" s="48" t="str">
        <f ca="1">'.'!A420</f>
        <v>Spread Your Wings Scroll</v>
      </c>
      <c r="B420" s="46" t="str">
        <f t="array" aca="1" ref="B420" ca="1">IF('.'!B420="","",'.'!B420&amp;IF(VLOOKUP('.'!B420,Recipes!$A:$D,4,FALSE)="",""," ["&amp;VLOOKUP('.'!B420,Recipes!$A:$D,4,FALSE)&amp;"]"))</f>
        <v>Spread Your Wings Skillbook [-120]</v>
      </c>
      <c r="C420" s="46" t="str">
        <f t="array" ref="C420">IF('.'!C420="","",'.'!C420&amp;IF(VLOOKUP('.'!C420,Recipes!$A:$D,4,FALSE)="",""," ["&amp;VLOOKUP('.'!C420,Recipes!$A:$D,4,FALSE)&amp;"]"))</f>
        <v/>
      </c>
      <c r="D420" s="46" t="str">
        <f t="array" ref="D420">IF('.'!D420="","",'.'!D420&amp;IF(VLOOKUP('.'!D420,Recipes!$A:$D,4,FALSE)="",""," ["&amp;VLOOKUP('.'!D420,Recipes!$A:$D,4,FALSE)&amp;"]"))</f>
        <v/>
      </c>
      <c r="E420" s="46" t="str">
        <f t="array" ref="E420">IF('.'!E420="","",'.'!E420&amp;IF(VLOOKUP('.'!E420,Recipes!$A:$D,4,FALSE)="",""," ["&amp;VLOOKUP('.'!E420,Recipes!$A:$D,4,FALSE)&amp;"]"))</f>
        <v/>
      </c>
      <c r="F420" s="46" t="str">
        <f t="array" ref="F420">IF('.'!F420="","",'.'!F420&amp;IF(VLOOKUP('.'!F420,Recipes!$A:$D,4,FALSE)="",""," ["&amp;VLOOKUP('.'!F420,Recipes!$A:$D,4,FALSE)&amp;"]"))</f>
        <v/>
      </c>
      <c r="G420" s="46" t="str">
        <f t="array" ref="G420">IF('.'!G420="","",'.'!G420&amp;IF(VLOOKUP('.'!G420,Recipes!$A:$D,4,FALSE)="",""," ["&amp;VLOOKUP('.'!G420,Recipes!$A:$D,4,FALSE)&amp;"]"))</f>
        <v/>
      </c>
      <c r="H420" s="46" t="str">
        <f t="array" ref="H420">IF('.'!H420="","",'.'!H420&amp;IF(VLOOKUP('.'!H420,Recipes!$A:$D,4,FALSE)="",""," ["&amp;VLOOKUP('.'!H420,Recipes!$A:$D,4,FALSE)&amp;"]"))</f>
        <v/>
      </c>
      <c r="I420" s="46" t="str">
        <f t="array" ref="I420">IF('.'!I420="","",'.'!I420&amp;IF(VLOOKUP('.'!I420,Recipes!$A:$D,4,FALSE)="",""," ["&amp;VLOOKUP('.'!I420,Recipes!$A:$D,4,FALSE)&amp;"]"))</f>
        <v/>
      </c>
      <c r="J420" s="46" t="str">
        <f t="array" ref="J420">IF('.'!J420="","",'.'!J420&amp;IF(VLOOKUP('.'!J420,Recipes!$A:$D,4,FALSE)="",""," ["&amp;VLOOKUP('.'!J420,Recipes!$A:$D,4,FALSE)&amp;"]"))</f>
        <v/>
      </c>
      <c r="K420" s="46" t="str">
        <f t="array" ref="K420">IF('.'!K420="","",'.'!K420&amp;IF(VLOOKUP('.'!K420,Recipes!$A:$D,4,FALSE)="",""," ["&amp;VLOOKUP('.'!K420,Recipes!$A:$D,4,FALSE)&amp;"]"))</f>
        <v/>
      </c>
      <c r="L420" s="46" t="str">
        <f t="array" ref="L420">IF('.'!L420="","",'.'!L420&amp;IF(VLOOKUP('.'!L420,Recipes!$A:$D,4,FALSE)="",""," ["&amp;VLOOKUP('.'!L420,Recipes!$A:$D,4,FALSE)&amp;"]"))</f>
        <v/>
      </c>
      <c r="M420" s="46" t="str">
        <f t="array" ref="M420">IF('.'!M420="","",'.'!M420&amp;IF(VLOOKUP('.'!M420,Recipes!$A:$D,4,FALSE)="",""," ["&amp;VLOOKUP('.'!M420,Recipes!$A:$D,4,FALSE)&amp;"]"))</f>
        <v/>
      </c>
      <c r="N420" s="46" t="str">
        <f t="array" ref="N420">IF('.'!N420="","",'.'!N420&amp;IF(VLOOKUP('.'!N420,Recipes!$A:$D,4,FALSE)="",""," ["&amp;VLOOKUP('.'!N420,Recipes!$A:$D,4,FALSE)&amp;"]"))</f>
        <v/>
      </c>
      <c r="O420" s="46" t="str">
        <f t="array" ref="O420">IF('.'!O420="","",'.'!O420&amp;IF(VLOOKUP('.'!O420,Recipes!$A:$D,4,FALSE)="",""," ["&amp;VLOOKUP('.'!O420,Recipes!$A:$D,4,FALSE)&amp;"]"))</f>
        <v/>
      </c>
      <c r="P420" s="46" t="str">
        <f t="array" ref="P420">IF('.'!P420="","",'.'!P420&amp;IF(VLOOKUP('.'!P420,Recipes!$A:$D,4,FALSE)="",""," ["&amp;VLOOKUP('.'!P420,Recipes!$A:$D,4,FALSE)&amp;"]"))</f>
        <v/>
      </c>
      <c r="Q420" s="46" t="str">
        <f t="array" ref="Q420">IF('.'!Q420="","",'.'!Q420&amp;IF(VLOOKUP('.'!Q420,Recipes!$A:$D,4,FALSE)="",""," ["&amp;VLOOKUP('.'!Q420,Recipes!$A:$D,4,FALSE)&amp;"]"))</f>
        <v/>
      </c>
      <c r="R420" s="46" t="str">
        <f t="array" ref="R420">IF('.'!R420="","",'.'!R420&amp;IF(VLOOKUP('.'!R420,Recipes!$A:$D,4,FALSE)="",""," ["&amp;VLOOKUP('.'!R420,Recipes!$A:$D,4,FALSE)&amp;"]"))</f>
        <v/>
      </c>
      <c r="S420" s="46" t="str">
        <f t="array" ref="S420">IF('.'!S420="","",'.'!S420&amp;IF(VLOOKUP('.'!S420,Recipes!$A:$D,4,FALSE)="",""," ["&amp;VLOOKUP('.'!S420,Recipes!$A:$D,4,FALSE)&amp;"]"))</f>
        <v/>
      </c>
      <c r="T420" s="46" t="str">
        <f t="array" ref="T420">IF('.'!T420="","",'.'!T420&amp;IF(VLOOKUP('.'!T420,Recipes!$A:$D,4,FALSE)="",""," ["&amp;VLOOKUP('.'!T420,Recipes!$A:$D,4,FALSE)&amp;"]"))</f>
        <v/>
      </c>
      <c r="U420" s="46" t="str">
        <f t="array" ref="U420">IF('.'!U420="","",'.'!U420&amp;IF(VLOOKUP('.'!U420,Recipes!$A:$D,4,FALSE)="",""," ["&amp;VLOOKUP('.'!U420,Recipes!$A:$D,4,FALSE)&amp;"]"))</f>
        <v/>
      </c>
      <c r="V420" s="46" t="str">
        <f t="array" ref="V420">IF('.'!V420="","",'.'!V420&amp;IF(VLOOKUP('.'!V420,Recipes!$A:$D,4,FALSE)="",""," ["&amp;VLOOKUP('.'!V420,Recipes!$A:$D,4,FALSE)&amp;"]"))</f>
        <v/>
      </c>
      <c r="W420" s="46" t="str">
        <f t="array" ref="W420">IF('.'!W420="","",'.'!W420&amp;IF(VLOOKUP('.'!W420,Recipes!$A:$D,4,FALSE)="",""," ["&amp;VLOOKUP('.'!W420,Recipes!$A:$D,4,FALSE)&amp;"]"))</f>
        <v/>
      </c>
      <c r="X420" s="46" t="str">
        <f t="array" ref="X420">IF('.'!X420="","",'.'!X420&amp;IF(VLOOKUP('.'!X420,Recipes!$A:$D,4,FALSE)="",""," ["&amp;VLOOKUP('.'!X420,Recipes!$A:$D,4,FALSE)&amp;"]"))</f>
        <v/>
      </c>
      <c r="Y420" s="46" t="str">
        <f t="array" ref="Y420">IF('.'!Y420="","",'.'!Y420&amp;IF(VLOOKUP('.'!Y420,Recipes!$A:$D,4,FALSE)="",""," ["&amp;VLOOKUP('.'!Y420,Recipes!$A:$D,4,FALSE)&amp;"]"))</f>
        <v/>
      </c>
      <c r="Z420" s="46" t="str">
        <f t="array" ref="Z420">IF('.'!Z420="","",'.'!Z420&amp;IF(VLOOKUP('.'!Z420,Recipes!$A:$D,4,FALSE)="",""," ["&amp;VLOOKUP('.'!Z420,Recipes!$A:$D,4,FALSE)&amp;"]"))</f>
        <v/>
      </c>
      <c r="AA420" s="46" t="str">
        <f t="array" ref="AA420">IF('.'!AA420="","",'.'!AA420&amp;IF(VLOOKUP('.'!AA420,Recipes!$A:$D,4,FALSE)="",""," ["&amp;VLOOKUP('.'!AA420,Recipes!$A:$D,4,FALSE)&amp;"]"))</f>
        <v/>
      </c>
      <c r="AB420" s="46" t="str">
        <f t="array" ref="AB420">IF('.'!AB420="","",'.'!AB420&amp;IF(VLOOKUP('.'!AB420,Recipes!$A:$D,4,FALSE)="",""," ["&amp;VLOOKUP('.'!AB420,Recipes!$A:$D,4,FALSE)&amp;"]"))</f>
        <v/>
      </c>
      <c r="AC420" s="46" t="str">
        <f t="array" ref="AC420">IF('.'!AC420="","",'.'!AC420&amp;IF(VLOOKUP('.'!AC420,Recipes!$A:$D,4,FALSE)="",""," ["&amp;VLOOKUP('.'!AC420,Recipes!$A:$D,4,FALSE)&amp;"]"))</f>
        <v/>
      </c>
      <c r="AD420" s="46" t="str">
        <f t="array" ref="AD420">IF('.'!AD420="","",'.'!AD420&amp;IF(VLOOKUP('.'!AD420,Recipes!$A:$D,4,FALSE)="",""," ["&amp;VLOOKUP('.'!AD420,Recipes!$A:$D,4,FALSE)&amp;"]"))</f>
        <v/>
      </c>
      <c r="AE420" s="47" t="str">
        <f t="array" ref="AE420">IF('.'!AE420="","",'.'!AE420&amp;IF(VLOOKUP('.'!AE420,Recipes!$A:$D,4,FALSE)="",""," ["&amp;VLOOKUP('.'!AE420,Recipes!$A:$D,4,FALSE)&amp;"]"))</f>
        <v/>
      </c>
      <c r="AF420" s="47"/>
      <c r="AG420" s="47"/>
      <c r="AH420" s="47"/>
      <c r="AI420" s="47"/>
      <c r="AJ420" s="47"/>
      <c r="AK420" s="47"/>
      <c r="AL420" s="47"/>
      <c r="AM420" s="47"/>
      <c r="AN420" s="47"/>
      <c r="AO420" s="47"/>
      <c r="AP420" s="47"/>
      <c r="AQ420" s="47"/>
      <c r="AR420" s="47"/>
      <c r="AS420" s="47"/>
      <c r="AT420" s="47"/>
      <c r="AU420" s="47"/>
      <c r="AV420" s="47"/>
      <c r="AW420" s="47"/>
      <c r="AX420" s="47"/>
      <c r="AY420" s="47"/>
      <c r="AZ420" s="47"/>
      <c r="BA420" s="47"/>
      <c r="BB420" s="47"/>
      <c r="BC420" s="47"/>
      <c r="BD420" s="47"/>
      <c r="BE420" s="47"/>
      <c r="BF420" s="47"/>
      <c r="BG420" s="47"/>
      <c r="BH420" s="47"/>
      <c r="BI420" s="47"/>
      <c r="BJ420" s="47"/>
      <c r="BK420" s="47"/>
      <c r="BL420" s="47"/>
      <c r="BM420" s="47"/>
      <c r="BN420" s="47"/>
      <c r="BO420" s="47"/>
      <c r="BP420" s="47"/>
      <c r="BQ420" s="47"/>
      <c r="BR420" s="47"/>
      <c r="BS420" s="47"/>
      <c r="BT420" s="47"/>
      <c r="BU420" s="47"/>
      <c r="BV420" s="47"/>
      <c r="BW420" s="47"/>
      <c r="BX420" s="47"/>
      <c r="BY420" s="47"/>
      <c r="BZ420" s="47"/>
    </row>
    <row r="421" spans="1:78" ht="13">
      <c r="A421" s="48" t="str">
        <f ca="1">'.'!A421</f>
        <v>Stardust</v>
      </c>
      <c r="B421" s="46" t="str">
        <f t="array" aca="1" ref="B421" ca="1">IF('.'!B421="","",'.'!B421&amp;IF(VLOOKUP('.'!B421,Recipes!$A:$D,4,FALSE)="",""," ["&amp;VLOOKUP('.'!B421,Recipes!$A:$D,4,FALSE)&amp;"]"))</f>
        <v>Pixie Dust [20]</v>
      </c>
      <c r="C421" s="46" t="str">
        <f t="array" ref="C421">IF('.'!C421="","",'.'!C421&amp;IF(VLOOKUP('.'!C421,Recipes!$A:$D,4,FALSE)="",""," ["&amp;VLOOKUP('.'!C421,Recipes!$A:$D,4,FALSE)&amp;"]"))</f>
        <v/>
      </c>
      <c r="D421" s="46" t="str">
        <f t="array" ref="D421">IF('.'!D421="","",'.'!D421&amp;IF(VLOOKUP('.'!D421,Recipes!$A:$D,4,FALSE)="",""," ["&amp;VLOOKUP('.'!D421,Recipes!$A:$D,4,FALSE)&amp;"]"))</f>
        <v/>
      </c>
      <c r="E421" s="46" t="str">
        <f t="array" ref="E421">IF('.'!E421="","",'.'!E421&amp;IF(VLOOKUP('.'!E421,Recipes!$A:$D,4,FALSE)="",""," ["&amp;VLOOKUP('.'!E421,Recipes!$A:$D,4,FALSE)&amp;"]"))</f>
        <v/>
      </c>
      <c r="F421" s="46" t="str">
        <f t="array" ref="F421">IF('.'!F421="","",'.'!F421&amp;IF(VLOOKUP('.'!F421,Recipes!$A:$D,4,FALSE)="",""," ["&amp;VLOOKUP('.'!F421,Recipes!$A:$D,4,FALSE)&amp;"]"))</f>
        <v/>
      </c>
      <c r="G421" s="46" t="str">
        <f t="array" ref="G421">IF('.'!G421="","",'.'!G421&amp;IF(VLOOKUP('.'!G421,Recipes!$A:$D,4,FALSE)="",""," ["&amp;VLOOKUP('.'!G421,Recipes!$A:$D,4,FALSE)&amp;"]"))</f>
        <v/>
      </c>
      <c r="H421" s="46" t="str">
        <f t="array" ref="H421">IF('.'!H421="","",'.'!H421&amp;IF(VLOOKUP('.'!H421,Recipes!$A:$D,4,FALSE)="",""," ["&amp;VLOOKUP('.'!H421,Recipes!$A:$D,4,FALSE)&amp;"]"))</f>
        <v/>
      </c>
      <c r="I421" s="46" t="str">
        <f t="array" ref="I421">IF('.'!I421="","",'.'!I421&amp;IF(VLOOKUP('.'!I421,Recipes!$A:$D,4,FALSE)="",""," ["&amp;VLOOKUP('.'!I421,Recipes!$A:$D,4,FALSE)&amp;"]"))</f>
        <v/>
      </c>
      <c r="J421" s="46" t="str">
        <f t="array" ref="J421">IF('.'!J421="","",'.'!J421&amp;IF(VLOOKUP('.'!J421,Recipes!$A:$D,4,FALSE)="",""," ["&amp;VLOOKUP('.'!J421,Recipes!$A:$D,4,FALSE)&amp;"]"))</f>
        <v/>
      </c>
      <c r="K421" s="46" t="str">
        <f t="array" ref="K421">IF('.'!K421="","",'.'!K421&amp;IF(VLOOKUP('.'!K421,Recipes!$A:$D,4,FALSE)="",""," ["&amp;VLOOKUP('.'!K421,Recipes!$A:$D,4,FALSE)&amp;"]"))</f>
        <v/>
      </c>
      <c r="L421" s="46" t="str">
        <f t="array" ref="L421">IF('.'!L421="","",'.'!L421&amp;IF(VLOOKUP('.'!L421,Recipes!$A:$D,4,FALSE)="",""," ["&amp;VLOOKUP('.'!L421,Recipes!$A:$D,4,FALSE)&amp;"]"))</f>
        <v/>
      </c>
      <c r="M421" s="46" t="str">
        <f t="array" ref="M421">IF('.'!M421="","",'.'!M421&amp;IF(VLOOKUP('.'!M421,Recipes!$A:$D,4,FALSE)="",""," ["&amp;VLOOKUP('.'!M421,Recipes!$A:$D,4,FALSE)&amp;"]"))</f>
        <v/>
      </c>
      <c r="N421" s="46" t="str">
        <f t="array" ref="N421">IF('.'!N421="","",'.'!N421&amp;IF(VLOOKUP('.'!N421,Recipes!$A:$D,4,FALSE)="",""," ["&amp;VLOOKUP('.'!N421,Recipes!$A:$D,4,FALSE)&amp;"]"))</f>
        <v/>
      </c>
      <c r="O421" s="46" t="str">
        <f t="array" ref="O421">IF('.'!O421="","",'.'!O421&amp;IF(VLOOKUP('.'!O421,Recipes!$A:$D,4,FALSE)="",""," ["&amp;VLOOKUP('.'!O421,Recipes!$A:$D,4,FALSE)&amp;"]"))</f>
        <v/>
      </c>
      <c r="P421" s="46" t="str">
        <f t="array" ref="P421">IF('.'!P421="","",'.'!P421&amp;IF(VLOOKUP('.'!P421,Recipes!$A:$D,4,FALSE)="",""," ["&amp;VLOOKUP('.'!P421,Recipes!$A:$D,4,FALSE)&amp;"]"))</f>
        <v/>
      </c>
      <c r="Q421" s="46" t="str">
        <f t="array" ref="Q421">IF('.'!Q421="","",'.'!Q421&amp;IF(VLOOKUP('.'!Q421,Recipes!$A:$D,4,FALSE)="",""," ["&amp;VLOOKUP('.'!Q421,Recipes!$A:$D,4,FALSE)&amp;"]"))</f>
        <v/>
      </c>
      <c r="R421" s="46" t="str">
        <f t="array" ref="R421">IF('.'!R421="","",'.'!R421&amp;IF(VLOOKUP('.'!R421,Recipes!$A:$D,4,FALSE)="",""," ["&amp;VLOOKUP('.'!R421,Recipes!$A:$D,4,FALSE)&amp;"]"))</f>
        <v/>
      </c>
      <c r="S421" s="46" t="str">
        <f t="array" ref="S421">IF('.'!S421="","",'.'!S421&amp;IF(VLOOKUP('.'!S421,Recipes!$A:$D,4,FALSE)="",""," ["&amp;VLOOKUP('.'!S421,Recipes!$A:$D,4,FALSE)&amp;"]"))</f>
        <v/>
      </c>
      <c r="T421" s="46" t="str">
        <f t="array" ref="T421">IF('.'!T421="","",'.'!T421&amp;IF(VLOOKUP('.'!T421,Recipes!$A:$D,4,FALSE)="",""," ["&amp;VLOOKUP('.'!T421,Recipes!$A:$D,4,FALSE)&amp;"]"))</f>
        <v/>
      </c>
      <c r="U421" s="46" t="str">
        <f t="array" ref="U421">IF('.'!U421="","",'.'!U421&amp;IF(VLOOKUP('.'!U421,Recipes!$A:$D,4,FALSE)="",""," ["&amp;VLOOKUP('.'!U421,Recipes!$A:$D,4,FALSE)&amp;"]"))</f>
        <v/>
      </c>
      <c r="V421" s="46" t="str">
        <f t="array" ref="V421">IF('.'!V421="","",'.'!V421&amp;IF(VLOOKUP('.'!V421,Recipes!$A:$D,4,FALSE)="",""," ["&amp;VLOOKUP('.'!V421,Recipes!$A:$D,4,FALSE)&amp;"]"))</f>
        <v/>
      </c>
      <c r="W421" s="46" t="str">
        <f t="array" ref="W421">IF('.'!W421="","",'.'!W421&amp;IF(VLOOKUP('.'!W421,Recipes!$A:$D,4,FALSE)="",""," ["&amp;VLOOKUP('.'!W421,Recipes!$A:$D,4,FALSE)&amp;"]"))</f>
        <v/>
      </c>
      <c r="X421" s="46" t="str">
        <f t="array" ref="X421">IF('.'!X421="","",'.'!X421&amp;IF(VLOOKUP('.'!X421,Recipes!$A:$D,4,FALSE)="",""," ["&amp;VLOOKUP('.'!X421,Recipes!$A:$D,4,FALSE)&amp;"]"))</f>
        <v/>
      </c>
      <c r="Y421" s="46" t="str">
        <f t="array" ref="Y421">IF('.'!Y421="","",'.'!Y421&amp;IF(VLOOKUP('.'!Y421,Recipes!$A:$D,4,FALSE)="",""," ["&amp;VLOOKUP('.'!Y421,Recipes!$A:$D,4,FALSE)&amp;"]"))</f>
        <v/>
      </c>
      <c r="Z421" s="46" t="str">
        <f t="array" ref="Z421">IF('.'!Z421="","",'.'!Z421&amp;IF(VLOOKUP('.'!Z421,Recipes!$A:$D,4,FALSE)="",""," ["&amp;VLOOKUP('.'!Z421,Recipes!$A:$D,4,FALSE)&amp;"]"))</f>
        <v/>
      </c>
      <c r="AA421" s="46" t="str">
        <f t="array" ref="AA421">IF('.'!AA421="","",'.'!AA421&amp;IF(VLOOKUP('.'!AA421,Recipes!$A:$D,4,FALSE)="",""," ["&amp;VLOOKUP('.'!AA421,Recipes!$A:$D,4,FALSE)&amp;"]"))</f>
        <v/>
      </c>
      <c r="AB421" s="46" t="str">
        <f t="array" ref="AB421">IF('.'!AB421="","",'.'!AB421&amp;IF(VLOOKUP('.'!AB421,Recipes!$A:$D,4,FALSE)="",""," ["&amp;VLOOKUP('.'!AB421,Recipes!$A:$D,4,FALSE)&amp;"]"))</f>
        <v/>
      </c>
      <c r="AC421" s="46" t="str">
        <f t="array" ref="AC421">IF('.'!AC421="","",'.'!AC421&amp;IF(VLOOKUP('.'!AC421,Recipes!$A:$D,4,FALSE)="",""," ["&amp;VLOOKUP('.'!AC421,Recipes!$A:$D,4,FALSE)&amp;"]"))</f>
        <v/>
      </c>
      <c r="AD421" s="46" t="str">
        <f t="array" ref="AD421">IF('.'!AD421="","",'.'!AD421&amp;IF(VLOOKUP('.'!AD421,Recipes!$A:$D,4,FALSE)="",""," ["&amp;VLOOKUP('.'!AD421,Recipes!$A:$D,4,FALSE)&amp;"]"))</f>
        <v/>
      </c>
      <c r="AE421" s="47" t="str">
        <f t="array" ref="AE421">IF('.'!AE421="","",'.'!AE421&amp;IF(VLOOKUP('.'!AE421,Recipes!$A:$D,4,FALSE)="",""," ["&amp;VLOOKUP('.'!AE421,Recipes!$A:$D,4,FALSE)&amp;"]"))</f>
        <v/>
      </c>
      <c r="AF421" s="47"/>
      <c r="AG421" s="47"/>
      <c r="AH421" s="47"/>
      <c r="AI421" s="47"/>
      <c r="AJ421" s="47"/>
      <c r="AK421" s="47"/>
      <c r="AL421" s="47"/>
      <c r="AM421" s="47"/>
      <c r="AN421" s="47"/>
      <c r="AO421" s="47"/>
      <c r="AP421" s="47"/>
      <c r="AQ421" s="47"/>
      <c r="AR421" s="47"/>
      <c r="AS421" s="47"/>
      <c r="AT421" s="47"/>
      <c r="AU421" s="47"/>
      <c r="AV421" s="47"/>
      <c r="AW421" s="47"/>
      <c r="AX421" s="47"/>
      <c r="AY421" s="47"/>
      <c r="AZ421" s="47"/>
      <c r="BA421" s="47"/>
      <c r="BB421" s="47"/>
      <c r="BC421" s="47"/>
      <c r="BD421" s="47"/>
      <c r="BE421" s="47"/>
      <c r="BF421" s="47"/>
      <c r="BG421" s="47"/>
      <c r="BH421" s="47"/>
      <c r="BI421" s="47"/>
      <c r="BJ421" s="47"/>
      <c r="BK421" s="47"/>
      <c r="BL421" s="47"/>
      <c r="BM421" s="47"/>
      <c r="BN421" s="47"/>
      <c r="BO421" s="47"/>
      <c r="BP421" s="47"/>
      <c r="BQ421" s="47"/>
      <c r="BR421" s="47"/>
      <c r="BS421" s="47"/>
      <c r="BT421" s="47"/>
      <c r="BU421" s="47"/>
      <c r="BV421" s="47"/>
      <c r="BW421" s="47"/>
      <c r="BX421" s="47"/>
      <c r="BY421" s="47"/>
      <c r="BZ421" s="47"/>
    </row>
    <row r="422" spans="1:78" ht="13">
      <c r="A422" s="48" t="str">
        <f ca="1">'.'!A422</f>
        <v>Stardust Herb</v>
      </c>
      <c r="B422" s="46" t="str">
        <f t="array" aca="1" ref="B422" ca="1">IF('.'!B422="","",'.'!B422&amp;IF(VLOOKUP('.'!B422,Recipes!$A:$D,4,FALSE)="",""," ["&amp;VLOOKUP('.'!B422,Recipes!$A:$D,4,FALSE)&amp;"]"))</f>
        <v>Mend Metal Scroll [-545]</v>
      </c>
      <c r="C422" s="46" t="str">
        <f t="array" aca="1" ref="C422" ca="1">IF('.'!C422="","",'.'!C422&amp;IF(VLOOKUP('.'!C422,Recipes!$A:$D,4,FALSE)="",""," ["&amp;VLOOKUP('.'!C422,Recipes!$A:$D,4,FALSE)&amp;"]"))</f>
        <v>Stardust [80]</v>
      </c>
      <c r="D422" s="46" t="str">
        <f t="array" ref="D422">IF('.'!D422="","",'.'!D422&amp;IF(VLOOKUP('.'!D422,Recipes!$A:$D,4,FALSE)="",""," ["&amp;VLOOKUP('.'!D422,Recipes!$A:$D,4,FALSE)&amp;"]"))</f>
        <v/>
      </c>
      <c r="E422" s="46" t="str">
        <f t="array" ref="E422">IF('.'!E422="","",'.'!E422&amp;IF(VLOOKUP('.'!E422,Recipes!$A:$D,4,FALSE)="",""," ["&amp;VLOOKUP('.'!E422,Recipes!$A:$D,4,FALSE)&amp;"]"))</f>
        <v/>
      </c>
      <c r="F422" s="46" t="str">
        <f t="array" ref="F422">IF('.'!F422="","",'.'!F422&amp;IF(VLOOKUP('.'!F422,Recipes!$A:$D,4,FALSE)="",""," ["&amp;VLOOKUP('.'!F422,Recipes!$A:$D,4,FALSE)&amp;"]"))</f>
        <v/>
      </c>
      <c r="G422" s="46" t="str">
        <f t="array" ref="G422">IF('.'!G422="","",'.'!G422&amp;IF(VLOOKUP('.'!G422,Recipes!$A:$D,4,FALSE)="",""," ["&amp;VLOOKUP('.'!G422,Recipes!$A:$D,4,FALSE)&amp;"]"))</f>
        <v/>
      </c>
      <c r="H422" s="46" t="str">
        <f t="array" ref="H422">IF('.'!H422="","",'.'!H422&amp;IF(VLOOKUP('.'!H422,Recipes!$A:$D,4,FALSE)="",""," ["&amp;VLOOKUP('.'!H422,Recipes!$A:$D,4,FALSE)&amp;"]"))</f>
        <v/>
      </c>
      <c r="I422" s="46" t="str">
        <f t="array" ref="I422">IF('.'!I422="","",'.'!I422&amp;IF(VLOOKUP('.'!I422,Recipes!$A:$D,4,FALSE)="",""," ["&amp;VLOOKUP('.'!I422,Recipes!$A:$D,4,FALSE)&amp;"]"))</f>
        <v/>
      </c>
      <c r="J422" s="46" t="str">
        <f t="array" ref="J422">IF('.'!J422="","",'.'!J422&amp;IF(VLOOKUP('.'!J422,Recipes!$A:$D,4,FALSE)="",""," ["&amp;VLOOKUP('.'!J422,Recipes!$A:$D,4,FALSE)&amp;"]"))</f>
        <v/>
      </c>
      <c r="K422" s="46" t="str">
        <f t="array" ref="K422">IF('.'!K422="","",'.'!K422&amp;IF(VLOOKUP('.'!K422,Recipes!$A:$D,4,FALSE)="",""," ["&amp;VLOOKUP('.'!K422,Recipes!$A:$D,4,FALSE)&amp;"]"))</f>
        <v/>
      </c>
      <c r="L422" s="46" t="str">
        <f t="array" ref="L422">IF('.'!L422="","",'.'!L422&amp;IF(VLOOKUP('.'!L422,Recipes!$A:$D,4,FALSE)="",""," ["&amp;VLOOKUP('.'!L422,Recipes!$A:$D,4,FALSE)&amp;"]"))</f>
        <v/>
      </c>
      <c r="M422" s="46" t="str">
        <f t="array" ref="M422">IF('.'!M422="","",'.'!M422&amp;IF(VLOOKUP('.'!M422,Recipes!$A:$D,4,FALSE)="",""," ["&amp;VLOOKUP('.'!M422,Recipes!$A:$D,4,FALSE)&amp;"]"))</f>
        <v/>
      </c>
      <c r="N422" s="46" t="str">
        <f t="array" ref="N422">IF('.'!N422="","",'.'!N422&amp;IF(VLOOKUP('.'!N422,Recipes!$A:$D,4,FALSE)="",""," ["&amp;VLOOKUP('.'!N422,Recipes!$A:$D,4,FALSE)&amp;"]"))</f>
        <v/>
      </c>
      <c r="O422" s="46" t="str">
        <f t="array" ref="O422">IF('.'!O422="","",'.'!O422&amp;IF(VLOOKUP('.'!O422,Recipes!$A:$D,4,FALSE)="",""," ["&amp;VLOOKUP('.'!O422,Recipes!$A:$D,4,FALSE)&amp;"]"))</f>
        <v/>
      </c>
      <c r="P422" s="46" t="str">
        <f t="array" ref="P422">IF('.'!P422="","",'.'!P422&amp;IF(VLOOKUP('.'!P422,Recipes!$A:$D,4,FALSE)="",""," ["&amp;VLOOKUP('.'!P422,Recipes!$A:$D,4,FALSE)&amp;"]"))</f>
        <v/>
      </c>
      <c r="Q422" s="46" t="str">
        <f t="array" ref="Q422">IF('.'!Q422="","",'.'!Q422&amp;IF(VLOOKUP('.'!Q422,Recipes!$A:$D,4,FALSE)="",""," ["&amp;VLOOKUP('.'!Q422,Recipes!$A:$D,4,FALSE)&amp;"]"))</f>
        <v/>
      </c>
      <c r="R422" s="46" t="str">
        <f t="array" ref="R422">IF('.'!R422="","",'.'!R422&amp;IF(VLOOKUP('.'!R422,Recipes!$A:$D,4,FALSE)="",""," ["&amp;VLOOKUP('.'!R422,Recipes!$A:$D,4,FALSE)&amp;"]"))</f>
        <v/>
      </c>
      <c r="S422" s="46" t="str">
        <f t="array" ref="S422">IF('.'!S422="","",'.'!S422&amp;IF(VLOOKUP('.'!S422,Recipes!$A:$D,4,FALSE)="",""," ["&amp;VLOOKUP('.'!S422,Recipes!$A:$D,4,FALSE)&amp;"]"))</f>
        <v/>
      </c>
      <c r="T422" s="46" t="str">
        <f t="array" ref="T422">IF('.'!T422="","",'.'!T422&amp;IF(VLOOKUP('.'!T422,Recipes!$A:$D,4,FALSE)="",""," ["&amp;VLOOKUP('.'!T422,Recipes!$A:$D,4,FALSE)&amp;"]"))</f>
        <v/>
      </c>
      <c r="U422" s="46" t="str">
        <f t="array" ref="U422">IF('.'!U422="","",'.'!U422&amp;IF(VLOOKUP('.'!U422,Recipes!$A:$D,4,FALSE)="",""," ["&amp;VLOOKUP('.'!U422,Recipes!$A:$D,4,FALSE)&amp;"]"))</f>
        <v/>
      </c>
      <c r="V422" s="46" t="str">
        <f t="array" ref="V422">IF('.'!V422="","",'.'!V422&amp;IF(VLOOKUP('.'!V422,Recipes!$A:$D,4,FALSE)="",""," ["&amp;VLOOKUP('.'!V422,Recipes!$A:$D,4,FALSE)&amp;"]"))</f>
        <v/>
      </c>
      <c r="W422" s="46" t="str">
        <f t="array" ref="W422">IF('.'!W422="","",'.'!W422&amp;IF(VLOOKUP('.'!W422,Recipes!$A:$D,4,FALSE)="",""," ["&amp;VLOOKUP('.'!W422,Recipes!$A:$D,4,FALSE)&amp;"]"))</f>
        <v/>
      </c>
      <c r="X422" s="46" t="str">
        <f t="array" ref="X422">IF('.'!X422="","",'.'!X422&amp;IF(VLOOKUP('.'!X422,Recipes!$A:$D,4,FALSE)="",""," ["&amp;VLOOKUP('.'!X422,Recipes!$A:$D,4,FALSE)&amp;"]"))</f>
        <v/>
      </c>
      <c r="Y422" s="46" t="str">
        <f t="array" ref="Y422">IF('.'!Y422="","",'.'!Y422&amp;IF(VLOOKUP('.'!Y422,Recipes!$A:$D,4,FALSE)="",""," ["&amp;VLOOKUP('.'!Y422,Recipes!$A:$D,4,FALSE)&amp;"]"))</f>
        <v/>
      </c>
      <c r="Z422" s="46" t="str">
        <f t="array" ref="Z422">IF('.'!Z422="","",'.'!Z422&amp;IF(VLOOKUP('.'!Z422,Recipes!$A:$D,4,FALSE)="",""," ["&amp;VLOOKUP('.'!Z422,Recipes!$A:$D,4,FALSE)&amp;"]"))</f>
        <v/>
      </c>
      <c r="AA422" s="46" t="str">
        <f t="array" ref="AA422">IF('.'!AA422="","",'.'!AA422&amp;IF(VLOOKUP('.'!AA422,Recipes!$A:$D,4,FALSE)="",""," ["&amp;VLOOKUP('.'!AA422,Recipes!$A:$D,4,FALSE)&amp;"]"))</f>
        <v/>
      </c>
      <c r="AB422" s="46" t="str">
        <f t="array" ref="AB422">IF('.'!AB422="","",'.'!AB422&amp;IF(VLOOKUP('.'!AB422,Recipes!$A:$D,4,FALSE)="",""," ["&amp;VLOOKUP('.'!AB422,Recipes!$A:$D,4,FALSE)&amp;"]"))</f>
        <v/>
      </c>
      <c r="AC422" s="46" t="str">
        <f t="array" ref="AC422">IF('.'!AC422="","",'.'!AC422&amp;IF(VLOOKUP('.'!AC422,Recipes!$A:$D,4,FALSE)="",""," ["&amp;VLOOKUP('.'!AC422,Recipes!$A:$D,4,FALSE)&amp;"]"))</f>
        <v/>
      </c>
      <c r="AD422" s="46" t="str">
        <f t="array" ref="AD422">IF('.'!AD422="","",'.'!AD422&amp;IF(VLOOKUP('.'!AD422,Recipes!$A:$D,4,FALSE)="",""," ["&amp;VLOOKUP('.'!AD422,Recipes!$A:$D,4,FALSE)&amp;"]"))</f>
        <v/>
      </c>
      <c r="AE422" s="47" t="str">
        <f t="array" ref="AE422">IF('.'!AE422="","",'.'!AE422&amp;IF(VLOOKUP('.'!AE422,Recipes!$A:$D,4,FALSE)="",""," ["&amp;VLOOKUP('.'!AE422,Recipes!$A:$D,4,FALSE)&amp;"]"))</f>
        <v/>
      </c>
      <c r="AF422" s="47"/>
      <c r="AG422" s="47"/>
      <c r="AH422" s="47"/>
      <c r="AI422" s="47"/>
      <c r="AJ422" s="47"/>
      <c r="AK422" s="47"/>
      <c r="AL422" s="47"/>
      <c r="AM422" s="47"/>
      <c r="AN422" s="47"/>
      <c r="AO422" s="47"/>
      <c r="AP422" s="47"/>
      <c r="AQ422" s="47"/>
      <c r="AR422" s="47"/>
      <c r="AS422" s="47"/>
      <c r="AT422" s="47"/>
      <c r="AU422" s="47"/>
      <c r="AV422" s="47"/>
      <c r="AW422" s="47"/>
      <c r="AX422" s="47"/>
      <c r="AY422" s="47"/>
      <c r="AZ422" s="47"/>
      <c r="BA422" s="47"/>
      <c r="BB422" s="47"/>
      <c r="BC422" s="47"/>
      <c r="BD422" s="47"/>
      <c r="BE422" s="47"/>
      <c r="BF422" s="47"/>
      <c r="BG422" s="47"/>
      <c r="BH422" s="47"/>
      <c r="BI422" s="47"/>
      <c r="BJ422" s="47"/>
      <c r="BK422" s="47"/>
      <c r="BL422" s="47"/>
      <c r="BM422" s="47"/>
      <c r="BN422" s="47"/>
      <c r="BO422" s="47"/>
      <c r="BP422" s="47"/>
      <c r="BQ422" s="47"/>
      <c r="BR422" s="47"/>
      <c r="BS422" s="47"/>
      <c r="BT422" s="47"/>
      <c r="BU422" s="47"/>
      <c r="BV422" s="47"/>
      <c r="BW422" s="47"/>
      <c r="BX422" s="47"/>
      <c r="BY422" s="47"/>
      <c r="BZ422" s="47"/>
    </row>
    <row r="423" spans="1:78" ht="13">
      <c r="A423" s="48" t="str">
        <f ca="1">'.'!A423</f>
        <v>Starfish</v>
      </c>
      <c r="B423" s="46" t="str">
        <f t="array" aca="1" ref="B423" ca="1">IF('.'!B423="","",'.'!B423&amp;IF(VLOOKUP('.'!B423,Recipes!$A:$D,4,FALSE)="",""," ["&amp;VLOOKUP('.'!B423,Recipes!$A:$D,4,FALSE)&amp;"]"))</f>
        <v>Holy Hand Grenade [0]</v>
      </c>
      <c r="C423" s="46" t="str">
        <f t="array" aca="1" ref="C423" ca="1">IF('.'!C423="","",'.'!C423&amp;IF(VLOOKUP('.'!C423,Recipes!$A:$D,4,FALSE)="",""," ["&amp;VLOOKUP('.'!C423,Recipes!$A:$D,4,FALSE)&amp;"]"))</f>
        <v>Healing Ritual Scroll [40]</v>
      </c>
      <c r="D423" s="46" t="str">
        <f t="array" ref="D423">IF('.'!D423="","",'.'!D423&amp;IF(VLOOKUP('.'!D423,Recipes!$A:$D,4,FALSE)="",""," ["&amp;VLOOKUP('.'!D423,Recipes!$A:$D,4,FALSE)&amp;"]"))</f>
        <v/>
      </c>
      <c r="E423" s="46" t="str">
        <f t="array" ref="E423">IF('.'!E423="","",'.'!E423&amp;IF(VLOOKUP('.'!E423,Recipes!$A:$D,4,FALSE)="",""," ["&amp;VLOOKUP('.'!E423,Recipes!$A:$D,4,FALSE)&amp;"]"))</f>
        <v/>
      </c>
      <c r="F423" s="46" t="str">
        <f t="array" ref="F423">IF('.'!F423="","",'.'!F423&amp;IF(VLOOKUP('.'!F423,Recipes!$A:$D,4,FALSE)="",""," ["&amp;VLOOKUP('.'!F423,Recipes!$A:$D,4,FALSE)&amp;"]"))</f>
        <v/>
      </c>
      <c r="G423" s="46" t="str">
        <f t="array" ref="G423">IF('.'!G423="","",'.'!G423&amp;IF(VLOOKUP('.'!G423,Recipes!$A:$D,4,FALSE)="",""," ["&amp;VLOOKUP('.'!G423,Recipes!$A:$D,4,FALSE)&amp;"]"))</f>
        <v/>
      </c>
      <c r="H423" s="46" t="str">
        <f t="array" ref="H423">IF('.'!H423="","",'.'!H423&amp;IF(VLOOKUP('.'!H423,Recipes!$A:$D,4,FALSE)="",""," ["&amp;VLOOKUP('.'!H423,Recipes!$A:$D,4,FALSE)&amp;"]"))</f>
        <v/>
      </c>
      <c r="I423" s="46" t="str">
        <f t="array" ref="I423">IF('.'!I423="","",'.'!I423&amp;IF(VLOOKUP('.'!I423,Recipes!$A:$D,4,FALSE)="",""," ["&amp;VLOOKUP('.'!I423,Recipes!$A:$D,4,FALSE)&amp;"]"))</f>
        <v/>
      </c>
      <c r="J423" s="46" t="str">
        <f t="array" ref="J423">IF('.'!J423="","",'.'!J423&amp;IF(VLOOKUP('.'!J423,Recipes!$A:$D,4,FALSE)="",""," ["&amp;VLOOKUP('.'!J423,Recipes!$A:$D,4,FALSE)&amp;"]"))</f>
        <v/>
      </c>
      <c r="K423" s="46" t="str">
        <f t="array" ref="K423">IF('.'!K423="","",'.'!K423&amp;IF(VLOOKUP('.'!K423,Recipes!$A:$D,4,FALSE)="",""," ["&amp;VLOOKUP('.'!K423,Recipes!$A:$D,4,FALSE)&amp;"]"))</f>
        <v/>
      </c>
      <c r="L423" s="46" t="str">
        <f t="array" ref="L423">IF('.'!L423="","",'.'!L423&amp;IF(VLOOKUP('.'!L423,Recipes!$A:$D,4,FALSE)="",""," ["&amp;VLOOKUP('.'!L423,Recipes!$A:$D,4,FALSE)&amp;"]"))</f>
        <v/>
      </c>
      <c r="M423" s="46" t="str">
        <f t="array" ref="M423">IF('.'!M423="","",'.'!M423&amp;IF(VLOOKUP('.'!M423,Recipes!$A:$D,4,FALSE)="",""," ["&amp;VLOOKUP('.'!M423,Recipes!$A:$D,4,FALSE)&amp;"]"))</f>
        <v/>
      </c>
      <c r="N423" s="46" t="str">
        <f t="array" ref="N423">IF('.'!N423="","",'.'!N423&amp;IF(VLOOKUP('.'!N423,Recipes!$A:$D,4,FALSE)="",""," ["&amp;VLOOKUP('.'!N423,Recipes!$A:$D,4,FALSE)&amp;"]"))</f>
        <v/>
      </c>
      <c r="O423" s="46" t="str">
        <f t="array" ref="O423">IF('.'!O423="","",'.'!O423&amp;IF(VLOOKUP('.'!O423,Recipes!$A:$D,4,FALSE)="",""," ["&amp;VLOOKUP('.'!O423,Recipes!$A:$D,4,FALSE)&amp;"]"))</f>
        <v/>
      </c>
      <c r="P423" s="46" t="str">
        <f t="array" ref="P423">IF('.'!P423="","",'.'!P423&amp;IF(VLOOKUP('.'!P423,Recipes!$A:$D,4,FALSE)="",""," ["&amp;VLOOKUP('.'!P423,Recipes!$A:$D,4,FALSE)&amp;"]"))</f>
        <v/>
      </c>
      <c r="Q423" s="46" t="str">
        <f t="array" ref="Q423">IF('.'!Q423="","",'.'!Q423&amp;IF(VLOOKUP('.'!Q423,Recipes!$A:$D,4,FALSE)="",""," ["&amp;VLOOKUP('.'!Q423,Recipes!$A:$D,4,FALSE)&amp;"]"))</f>
        <v/>
      </c>
      <c r="R423" s="46" t="str">
        <f t="array" ref="R423">IF('.'!R423="","",'.'!R423&amp;IF(VLOOKUP('.'!R423,Recipes!$A:$D,4,FALSE)="",""," ["&amp;VLOOKUP('.'!R423,Recipes!$A:$D,4,FALSE)&amp;"]"))</f>
        <v/>
      </c>
      <c r="S423" s="46" t="str">
        <f t="array" ref="S423">IF('.'!S423="","",'.'!S423&amp;IF(VLOOKUP('.'!S423,Recipes!$A:$D,4,FALSE)="",""," ["&amp;VLOOKUP('.'!S423,Recipes!$A:$D,4,FALSE)&amp;"]"))</f>
        <v/>
      </c>
      <c r="T423" s="46" t="str">
        <f t="array" ref="T423">IF('.'!T423="","",'.'!T423&amp;IF(VLOOKUP('.'!T423,Recipes!$A:$D,4,FALSE)="",""," ["&amp;VLOOKUP('.'!T423,Recipes!$A:$D,4,FALSE)&amp;"]"))</f>
        <v/>
      </c>
      <c r="U423" s="46" t="str">
        <f t="array" ref="U423">IF('.'!U423="","",'.'!U423&amp;IF(VLOOKUP('.'!U423,Recipes!$A:$D,4,FALSE)="",""," ["&amp;VLOOKUP('.'!U423,Recipes!$A:$D,4,FALSE)&amp;"]"))</f>
        <v/>
      </c>
      <c r="V423" s="46" t="str">
        <f t="array" ref="V423">IF('.'!V423="","",'.'!V423&amp;IF(VLOOKUP('.'!V423,Recipes!$A:$D,4,FALSE)="",""," ["&amp;VLOOKUP('.'!V423,Recipes!$A:$D,4,FALSE)&amp;"]"))</f>
        <v/>
      </c>
      <c r="W423" s="46" t="str">
        <f t="array" ref="W423">IF('.'!W423="","",'.'!W423&amp;IF(VLOOKUP('.'!W423,Recipes!$A:$D,4,FALSE)="",""," ["&amp;VLOOKUP('.'!W423,Recipes!$A:$D,4,FALSE)&amp;"]"))</f>
        <v/>
      </c>
      <c r="X423" s="46" t="str">
        <f t="array" ref="X423">IF('.'!X423="","",'.'!X423&amp;IF(VLOOKUP('.'!X423,Recipes!$A:$D,4,FALSE)="",""," ["&amp;VLOOKUP('.'!X423,Recipes!$A:$D,4,FALSE)&amp;"]"))</f>
        <v/>
      </c>
      <c r="Y423" s="46" t="str">
        <f t="array" ref="Y423">IF('.'!Y423="","",'.'!Y423&amp;IF(VLOOKUP('.'!Y423,Recipes!$A:$D,4,FALSE)="",""," ["&amp;VLOOKUP('.'!Y423,Recipes!$A:$D,4,FALSE)&amp;"]"))</f>
        <v/>
      </c>
      <c r="Z423" s="46" t="str">
        <f t="array" ref="Z423">IF('.'!Z423="","",'.'!Z423&amp;IF(VLOOKUP('.'!Z423,Recipes!$A:$D,4,FALSE)="",""," ["&amp;VLOOKUP('.'!Z423,Recipes!$A:$D,4,FALSE)&amp;"]"))</f>
        <v/>
      </c>
      <c r="AA423" s="46" t="str">
        <f t="array" ref="AA423">IF('.'!AA423="","",'.'!AA423&amp;IF(VLOOKUP('.'!AA423,Recipes!$A:$D,4,FALSE)="",""," ["&amp;VLOOKUP('.'!AA423,Recipes!$A:$D,4,FALSE)&amp;"]"))</f>
        <v/>
      </c>
      <c r="AB423" s="46" t="str">
        <f t="array" ref="AB423">IF('.'!AB423="","",'.'!AB423&amp;IF(VLOOKUP('.'!AB423,Recipes!$A:$D,4,FALSE)="",""," ["&amp;VLOOKUP('.'!AB423,Recipes!$A:$D,4,FALSE)&amp;"]"))</f>
        <v/>
      </c>
      <c r="AC423" s="46" t="str">
        <f t="array" ref="AC423">IF('.'!AC423="","",'.'!AC423&amp;IF(VLOOKUP('.'!AC423,Recipes!$A:$D,4,FALSE)="",""," ["&amp;VLOOKUP('.'!AC423,Recipes!$A:$D,4,FALSE)&amp;"]"))</f>
        <v/>
      </c>
      <c r="AD423" s="46" t="str">
        <f t="array" ref="AD423">IF('.'!AD423="","",'.'!AD423&amp;IF(VLOOKUP('.'!AD423,Recipes!$A:$D,4,FALSE)="",""," ["&amp;VLOOKUP('.'!AD423,Recipes!$A:$D,4,FALSE)&amp;"]"))</f>
        <v/>
      </c>
      <c r="AE423" s="47" t="str">
        <f t="array" ref="AE423">IF('.'!AE423="","",'.'!AE423&amp;IF(VLOOKUP('.'!AE423,Recipes!$A:$D,4,FALSE)="",""," ["&amp;VLOOKUP('.'!AE423,Recipes!$A:$D,4,FALSE)&amp;"]"))</f>
        <v/>
      </c>
      <c r="AF423" s="47"/>
      <c r="AG423" s="47"/>
      <c r="AH423" s="47"/>
      <c r="AI423" s="47"/>
      <c r="AJ423" s="47"/>
      <c r="AK423" s="47"/>
      <c r="AL423" s="47"/>
      <c r="AM423" s="47"/>
      <c r="AN423" s="47"/>
      <c r="AO423" s="47"/>
      <c r="AP423" s="47"/>
      <c r="AQ423" s="47"/>
      <c r="AR423" s="47"/>
      <c r="AS423" s="47"/>
      <c r="AT423" s="47"/>
      <c r="AU423" s="47"/>
      <c r="AV423" s="47"/>
      <c r="AW423" s="47"/>
      <c r="AX423" s="47"/>
      <c r="AY423" s="47"/>
      <c r="AZ423" s="47"/>
      <c r="BA423" s="47"/>
      <c r="BB423" s="47"/>
      <c r="BC423" s="47"/>
      <c r="BD423" s="47"/>
      <c r="BE423" s="47"/>
      <c r="BF423" s="47"/>
      <c r="BG423" s="47"/>
      <c r="BH423" s="47"/>
      <c r="BI423" s="47"/>
      <c r="BJ423" s="47"/>
      <c r="BK423" s="47"/>
      <c r="BL423" s="47"/>
      <c r="BM423" s="47"/>
      <c r="BN423" s="47"/>
      <c r="BO423" s="47"/>
      <c r="BP423" s="47"/>
      <c r="BQ423" s="47"/>
      <c r="BR423" s="47"/>
      <c r="BS423" s="47"/>
      <c r="BT423" s="47"/>
      <c r="BU423" s="47"/>
      <c r="BV423" s="47"/>
      <c r="BW423" s="47"/>
      <c r="BX423" s="47"/>
      <c r="BY423" s="47"/>
      <c r="BZ423" s="47"/>
    </row>
    <row r="424" spans="1:78" ht="13">
      <c r="A424" s="48" t="str">
        <f ca="1">'.'!A424</f>
        <v>Static Cloud Arrowhead</v>
      </c>
      <c r="B424" s="46" t="str">
        <f t="array" aca="1" ref="B424" ca="1">IF('.'!B424="","",'.'!B424&amp;IF(VLOOKUP('.'!B424,Recipes!$A:$D,4,FALSE)="",""," ["&amp;VLOOKUP('.'!B424,Recipes!$A:$D,4,FALSE)&amp;"]"))</f>
        <v>Static Cloud Arrow [39]</v>
      </c>
      <c r="C424" s="46" t="str">
        <f t="array" ref="C424">IF('.'!C424="","",'.'!C424&amp;IF(VLOOKUP('.'!C424,Recipes!$A:$D,4,FALSE)="",""," ["&amp;VLOOKUP('.'!C424,Recipes!$A:$D,4,FALSE)&amp;"]"))</f>
        <v/>
      </c>
      <c r="D424" s="46" t="str">
        <f t="array" ref="D424">IF('.'!D424="","",'.'!D424&amp;IF(VLOOKUP('.'!D424,Recipes!$A:$D,4,FALSE)="",""," ["&amp;VLOOKUP('.'!D424,Recipes!$A:$D,4,FALSE)&amp;"]"))</f>
        <v/>
      </c>
      <c r="E424" s="46" t="str">
        <f t="array" ref="E424">IF('.'!E424="","",'.'!E424&amp;IF(VLOOKUP('.'!E424,Recipes!$A:$D,4,FALSE)="",""," ["&amp;VLOOKUP('.'!E424,Recipes!$A:$D,4,FALSE)&amp;"]"))</f>
        <v/>
      </c>
      <c r="F424" s="46" t="str">
        <f t="array" ref="F424">IF('.'!F424="","",'.'!F424&amp;IF(VLOOKUP('.'!F424,Recipes!$A:$D,4,FALSE)="",""," ["&amp;VLOOKUP('.'!F424,Recipes!$A:$D,4,FALSE)&amp;"]"))</f>
        <v/>
      </c>
      <c r="G424" s="46" t="str">
        <f t="array" ref="G424">IF('.'!G424="","",'.'!G424&amp;IF(VLOOKUP('.'!G424,Recipes!$A:$D,4,FALSE)="",""," ["&amp;VLOOKUP('.'!G424,Recipes!$A:$D,4,FALSE)&amp;"]"))</f>
        <v/>
      </c>
      <c r="H424" s="46" t="str">
        <f t="array" ref="H424">IF('.'!H424="","",'.'!H424&amp;IF(VLOOKUP('.'!H424,Recipes!$A:$D,4,FALSE)="",""," ["&amp;VLOOKUP('.'!H424,Recipes!$A:$D,4,FALSE)&amp;"]"))</f>
        <v/>
      </c>
      <c r="I424" s="46" t="str">
        <f t="array" ref="I424">IF('.'!I424="","",'.'!I424&amp;IF(VLOOKUP('.'!I424,Recipes!$A:$D,4,FALSE)="",""," ["&amp;VLOOKUP('.'!I424,Recipes!$A:$D,4,FALSE)&amp;"]"))</f>
        <v/>
      </c>
      <c r="J424" s="46" t="str">
        <f t="array" ref="J424">IF('.'!J424="","",'.'!J424&amp;IF(VLOOKUP('.'!J424,Recipes!$A:$D,4,FALSE)="",""," ["&amp;VLOOKUP('.'!J424,Recipes!$A:$D,4,FALSE)&amp;"]"))</f>
        <v/>
      </c>
      <c r="K424" s="46" t="str">
        <f t="array" ref="K424">IF('.'!K424="","",'.'!K424&amp;IF(VLOOKUP('.'!K424,Recipes!$A:$D,4,FALSE)="",""," ["&amp;VLOOKUP('.'!K424,Recipes!$A:$D,4,FALSE)&amp;"]"))</f>
        <v/>
      </c>
      <c r="L424" s="46" t="str">
        <f t="array" ref="L424">IF('.'!L424="","",'.'!L424&amp;IF(VLOOKUP('.'!L424,Recipes!$A:$D,4,FALSE)="",""," ["&amp;VLOOKUP('.'!L424,Recipes!$A:$D,4,FALSE)&amp;"]"))</f>
        <v/>
      </c>
      <c r="M424" s="46" t="str">
        <f t="array" ref="M424">IF('.'!M424="","",'.'!M424&amp;IF(VLOOKUP('.'!M424,Recipes!$A:$D,4,FALSE)="",""," ["&amp;VLOOKUP('.'!M424,Recipes!$A:$D,4,FALSE)&amp;"]"))</f>
        <v/>
      </c>
      <c r="N424" s="46" t="str">
        <f t="array" ref="N424">IF('.'!N424="","",'.'!N424&amp;IF(VLOOKUP('.'!N424,Recipes!$A:$D,4,FALSE)="",""," ["&amp;VLOOKUP('.'!N424,Recipes!$A:$D,4,FALSE)&amp;"]"))</f>
        <v/>
      </c>
      <c r="O424" s="46" t="str">
        <f t="array" ref="O424">IF('.'!O424="","",'.'!O424&amp;IF(VLOOKUP('.'!O424,Recipes!$A:$D,4,FALSE)="",""," ["&amp;VLOOKUP('.'!O424,Recipes!$A:$D,4,FALSE)&amp;"]"))</f>
        <v/>
      </c>
      <c r="P424" s="46" t="str">
        <f t="array" ref="P424">IF('.'!P424="","",'.'!P424&amp;IF(VLOOKUP('.'!P424,Recipes!$A:$D,4,FALSE)="",""," ["&amp;VLOOKUP('.'!P424,Recipes!$A:$D,4,FALSE)&amp;"]"))</f>
        <v/>
      </c>
      <c r="Q424" s="46" t="str">
        <f t="array" ref="Q424">IF('.'!Q424="","",'.'!Q424&amp;IF(VLOOKUP('.'!Q424,Recipes!$A:$D,4,FALSE)="",""," ["&amp;VLOOKUP('.'!Q424,Recipes!$A:$D,4,FALSE)&amp;"]"))</f>
        <v/>
      </c>
      <c r="R424" s="46" t="str">
        <f t="array" ref="R424">IF('.'!R424="","",'.'!R424&amp;IF(VLOOKUP('.'!R424,Recipes!$A:$D,4,FALSE)="",""," ["&amp;VLOOKUP('.'!R424,Recipes!$A:$D,4,FALSE)&amp;"]"))</f>
        <v/>
      </c>
      <c r="S424" s="46" t="str">
        <f t="array" ref="S424">IF('.'!S424="","",'.'!S424&amp;IF(VLOOKUP('.'!S424,Recipes!$A:$D,4,FALSE)="",""," ["&amp;VLOOKUP('.'!S424,Recipes!$A:$D,4,FALSE)&amp;"]"))</f>
        <v/>
      </c>
      <c r="T424" s="46" t="str">
        <f t="array" ref="T424">IF('.'!T424="","",'.'!T424&amp;IF(VLOOKUP('.'!T424,Recipes!$A:$D,4,FALSE)="",""," ["&amp;VLOOKUP('.'!T424,Recipes!$A:$D,4,FALSE)&amp;"]"))</f>
        <v/>
      </c>
      <c r="U424" s="46" t="str">
        <f t="array" ref="U424">IF('.'!U424="","",'.'!U424&amp;IF(VLOOKUP('.'!U424,Recipes!$A:$D,4,FALSE)="",""," ["&amp;VLOOKUP('.'!U424,Recipes!$A:$D,4,FALSE)&amp;"]"))</f>
        <v/>
      </c>
      <c r="V424" s="46" t="str">
        <f t="array" ref="V424">IF('.'!V424="","",'.'!V424&amp;IF(VLOOKUP('.'!V424,Recipes!$A:$D,4,FALSE)="",""," ["&amp;VLOOKUP('.'!V424,Recipes!$A:$D,4,FALSE)&amp;"]"))</f>
        <v/>
      </c>
      <c r="W424" s="46" t="str">
        <f t="array" ref="W424">IF('.'!W424="","",'.'!W424&amp;IF(VLOOKUP('.'!W424,Recipes!$A:$D,4,FALSE)="",""," ["&amp;VLOOKUP('.'!W424,Recipes!$A:$D,4,FALSE)&amp;"]"))</f>
        <v/>
      </c>
      <c r="X424" s="46" t="str">
        <f t="array" ref="X424">IF('.'!X424="","",'.'!X424&amp;IF(VLOOKUP('.'!X424,Recipes!$A:$D,4,FALSE)="",""," ["&amp;VLOOKUP('.'!X424,Recipes!$A:$D,4,FALSE)&amp;"]"))</f>
        <v/>
      </c>
      <c r="Y424" s="46" t="str">
        <f t="array" ref="Y424">IF('.'!Y424="","",'.'!Y424&amp;IF(VLOOKUP('.'!Y424,Recipes!$A:$D,4,FALSE)="",""," ["&amp;VLOOKUP('.'!Y424,Recipes!$A:$D,4,FALSE)&amp;"]"))</f>
        <v/>
      </c>
      <c r="Z424" s="46" t="str">
        <f t="array" ref="Z424">IF('.'!Z424="","",'.'!Z424&amp;IF(VLOOKUP('.'!Z424,Recipes!$A:$D,4,FALSE)="",""," ["&amp;VLOOKUP('.'!Z424,Recipes!$A:$D,4,FALSE)&amp;"]"))</f>
        <v/>
      </c>
      <c r="AA424" s="46" t="str">
        <f t="array" ref="AA424">IF('.'!AA424="","",'.'!AA424&amp;IF(VLOOKUP('.'!AA424,Recipes!$A:$D,4,FALSE)="",""," ["&amp;VLOOKUP('.'!AA424,Recipes!$A:$D,4,FALSE)&amp;"]"))</f>
        <v/>
      </c>
      <c r="AB424" s="46" t="str">
        <f t="array" ref="AB424">IF('.'!AB424="","",'.'!AB424&amp;IF(VLOOKUP('.'!AB424,Recipes!$A:$D,4,FALSE)="",""," ["&amp;VLOOKUP('.'!AB424,Recipes!$A:$D,4,FALSE)&amp;"]"))</f>
        <v/>
      </c>
      <c r="AC424" s="46" t="str">
        <f t="array" ref="AC424">IF('.'!AC424="","",'.'!AC424&amp;IF(VLOOKUP('.'!AC424,Recipes!$A:$D,4,FALSE)="",""," ["&amp;VLOOKUP('.'!AC424,Recipes!$A:$D,4,FALSE)&amp;"]"))</f>
        <v/>
      </c>
      <c r="AD424" s="46" t="str">
        <f t="array" ref="AD424">IF('.'!AD424="","",'.'!AD424&amp;IF(VLOOKUP('.'!AD424,Recipes!$A:$D,4,FALSE)="",""," ["&amp;VLOOKUP('.'!AD424,Recipes!$A:$D,4,FALSE)&amp;"]"))</f>
        <v/>
      </c>
      <c r="AE424" s="47" t="str">
        <f t="array" ref="AE424">IF('.'!AE424="","",'.'!AE424&amp;IF(VLOOKUP('.'!AE424,Recipes!$A:$D,4,FALSE)="",""," ["&amp;VLOOKUP('.'!AE424,Recipes!$A:$D,4,FALSE)&amp;"]"))</f>
        <v/>
      </c>
      <c r="AF424" s="47"/>
      <c r="AG424" s="47"/>
      <c r="AH424" s="47"/>
      <c r="AI424" s="47"/>
      <c r="AJ424" s="47"/>
      <c r="AK424" s="47"/>
      <c r="AL424" s="47"/>
      <c r="AM424" s="47"/>
      <c r="AN424" s="47"/>
      <c r="AO424" s="47"/>
      <c r="AP424" s="47"/>
      <c r="AQ424" s="47"/>
      <c r="AR424" s="47"/>
      <c r="AS424" s="47"/>
      <c r="AT424" s="47"/>
      <c r="AU424" s="47"/>
      <c r="AV424" s="47"/>
      <c r="AW424" s="47"/>
      <c r="AX424" s="47"/>
      <c r="AY424" s="47"/>
      <c r="AZ424" s="47"/>
      <c r="BA424" s="47"/>
      <c r="BB424" s="47"/>
      <c r="BC424" s="47"/>
      <c r="BD424" s="47"/>
      <c r="BE424" s="47"/>
      <c r="BF424" s="47"/>
      <c r="BG424" s="47"/>
      <c r="BH424" s="47"/>
      <c r="BI424" s="47"/>
      <c r="BJ424" s="47"/>
      <c r="BK424" s="47"/>
      <c r="BL424" s="47"/>
      <c r="BM424" s="47"/>
      <c r="BN424" s="47"/>
      <c r="BO424" s="47"/>
      <c r="BP424" s="47"/>
      <c r="BQ424" s="47"/>
      <c r="BR424" s="47"/>
      <c r="BS424" s="47"/>
      <c r="BT424" s="47"/>
      <c r="BU424" s="47"/>
      <c r="BV424" s="47"/>
      <c r="BW424" s="47"/>
      <c r="BX424" s="47"/>
      <c r="BY424" s="47"/>
      <c r="BZ424" s="47"/>
    </row>
    <row r="425" spans="1:78" ht="13">
      <c r="A425" s="48" t="str">
        <f ca="1">'.'!A425</f>
        <v>Steam Lance Scroll</v>
      </c>
      <c r="B425" s="49" t="s">
        <v>1181</v>
      </c>
      <c r="C425" s="46" t="str">
        <f t="array" ref="C425">IF('.'!C425="","",'.'!C425&amp;IF(VLOOKUP('.'!C425,Recipes!$A:$D,4,FALSE)="",""," ["&amp;VLOOKUP('.'!C425,Recipes!$A:$D,4,FALSE)&amp;"]"))</f>
        <v/>
      </c>
      <c r="D425" s="46" t="str">
        <f t="array" ref="D425">IF('.'!D425="","",'.'!D425&amp;IF(VLOOKUP('.'!D425,Recipes!$A:$D,4,FALSE)="",""," ["&amp;VLOOKUP('.'!D425,Recipes!$A:$D,4,FALSE)&amp;"]"))</f>
        <v/>
      </c>
      <c r="E425" s="46" t="str">
        <f t="array" ref="E425">IF('.'!E425="","",'.'!E425&amp;IF(VLOOKUP('.'!E425,Recipes!$A:$D,4,FALSE)="",""," ["&amp;VLOOKUP('.'!E425,Recipes!$A:$D,4,FALSE)&amp;"]"))</f>
        <v/>
      </c>
      <c r="F425" s="46" t="str">
        <f t="array" ref="F425">IF('.'!F425="","",'.'!F425&amp;IF(VLOOKUP('.'!F425,Recipes!$A:$D,4,FALSE)="",""," ["&amp;VLOOKUP('.'!F425,Recipes!$A:$D,4,FALSE)&amp;"]"))</f>
        <v/>
      </c>
      <c r="G425" s="46" t="str">
        <f t="array" ref="G425">IF('.'!G425="","",'.'!G425&amp;IF(VLOOKUP('.'!G425,Recipes!$A:$D,4,FALSE)="",""," ["&amp;VLOOKUP('.'!G425,Recipes!$A:$D,4,FALSE)&amp;"]"))</f>
        <v/>
      </c>
      <c r="H425" s="46" t="str">
        <f t="array" ref="H425">IF('.'!H425="","",'.'!H425&amp;IF(VLOOKUP('.'!H425,Recipes!$A:$D,4,FALSE)="",""," ["&amp;VLOOKUP('.'!H425,Recipes!$A:$D,4,FALSE)&amp;"]"))</f>
        <v/>
      </c>
      <c r="I425" s="46" t="str">
        <f t="array" ref="I425">IF('.'!I425="","",'.'!I425&amp;IF(VLOOKUP('.'!I425,Recipes!$A:$D,4,FALSE)="",""," ["&amp;VLOOKUP('.'!I425,Recipes!$A:$D,4,FALSE)&amp;"]"))</f>
        <v/>
      </c>
      <c r="J425" s="46" t="str">
        <f t="array" ref="J425">IF('.'!J425="","",'.'!J425&amp;IF(VLOOKUP('.'!J425,Recipes!$A:$D,4,FALSE)="",""," ["&amp;VLOOKUP('.'!J425,Recipes!$A:$D,4,FALSE)&amp;"]"))</f>
        <v/>
      </c>
      <c r="K425" s="46" t="str">
        <f t="array" ref="K425">IF('.'!K425="","",'.'!K425&amp;IF(VLOOKUP('.'!K425,Recipes!$A:$D,4,FALSE)="",""," ["&amp;VLOOKUP('.'!K425,Recipes!$A:$D,4,FALSE)&amp;"]"))</f>
        <v/>
      </c>
      <c r="L425" s="46" t="str">
        <f t="array" ref="L425">IF('.'!L425="","",'.'!L425&amp;IF(VLOOKUP('.'!L425,Recipes!$A:$D,4,FALSE)="",""," ["&amp;VLOOKUP('.'!L425,Recipes!$A:$D,4,FALSE)&amp;"]"))</f>
        <v/>
      </c>
      <c r="M425" s="46" t="str">
        <f t="array" ref="M425">IF('.'!M425="","",'.'!M425&amp;IF(VLOOKUP('.'!M425,Recipes!$A:$D,4,FALSE)="",""," ["&amp;VLOOKUP('.'!M425,Recipes!$A:$D,4,FALSE)&amp;"]"))</f>
        <v/>
      </c>
      <c r="N425" s="46" t="str">
        <f t="array" ref="N425">IF('.'!N425="","",'.'!N425&amp;IF(VLOOKUP('.'!N425,Recipes!$A:$D,4,FALSE)="",""," ["&amp;VLOOKUP('.'!N425,Recipes!$A:$D,4,FALSE)&amp;"]"))</f>
        <v/>
      </c>
      <c r="O425" s="46" t="str">
        <f t="array" ref="O425">IF('.'!O425="","",'.'!O425&amp;IF(VLOOKUP('.'!O425,Recipes!$A:$D,4,FALSE)="",""," ["&amp;VLOOKUP('.'!O425,Recipes!$A:$D,4,FALSE)&amp;"]"))</f>
        <v/>
      </c>
      <c r="P425" s="46" t="str">
        <f t="array" ref="P425">IF('.'!P425="","",'.'!P425&amp;IF(VLOOKUP('.'!P425,Recipes!$A:$D,4,FALSE)="",""," ["&amp;VLOOKUP('.'!P425,Recipes!$A:$D,4,FALSE)&amp;"]"))</f>
        <v/>
      </c>
      <c r="Q425" s="46" t="str">
        <f t="array" ref="Q425">IF('.'!Q425="","",'.'!Q425&amp;IF(VLOOKUP('.'!Q425,Recipes!$A:$D,4,FALSE)="",""," ["&amp;VLOOKUP('.'!Q425,Recipes!$A:$D,4,FALSE)&amp;"]"))</f>
        <v/>
      </c>
      <c r="R425" s="46" t="str">
        <f t="array" ref="R425">IF('.'!R425="","",'.'!R425&amp;IF(VLOOKUP('.'!R425,Recipes!$A:$D,4,FALSE)="",""," ["&amp;VLOOKUP('.'!R425,Recipes!$A:$D,4,FALSE)&amp;"]"))</f>
        <v/>
      </c>
      <c r="S425" s="46" t="str">
        <f t="array" ref="S425">IF('.'!S425="","",'.'!S425&amp;IF(VLOOKUP('.'!S425,Recipes!$A:$D,4,FALSE)="",""," ["&amp;VLOOKUP('.'!S425,Recipes!$A:$D,4,FALSE)&amp;"]"))</f>
        <v/>
      </c>
      <c r="T425" s="46" t="str">
        <f t="array" ref="T425">IF('.'!T425="","",'.'!T425&amp;IF(VLOOKUP('.'!T425,Recipes!$A:$D,4,FALSE)="",""," ["&amp;VLOOKUP('.'!T425,Recipes!$A:$D,4,FALSE)&amp;"]"))</f>
        <v/>
      </c>
      <c r="U425" s="46" t="str">
        <f t="array" ref="U425">IF('.'!U425="","",'.'!U425&amp;IF(VLOOKUP('.'!U425,Recipes!$A:$D,4,FALSE)="",""," ["&amp;VLOOKUP('.'!U425,Recipes!$A:$D,4,FALSE)&amp;"]"))</f>
        <v/>
      </c>
      <c r="V425" s="46" t="str">
        <f t="array" ref="V425">IF('.'!V425="","",'.'!V425&amp;IF(VLOOKUP('.'!V425,Recipes!$A:$D,4,FALSE)="",""," ["&amp;VLOOKUP('.'!V425,Recipes!$A:$D,4,FALSE)&amp;"]"))</f>
        <v/>
      </c>
      <c r="W425" s="46" t="str">
        <f t="array" ref="W425">IF('.'!W425="","",'.'!W425&amp;IF(VLOOKUP('.'!W425,Recipes!$A:$D,4,FALSE)="",""," ["&amp;VLOOKUP('.'!W425,Recipes!$A:$D,4,FALSE)&amp;"]"))</f>
        <v/>
      </c>
      <c r="X425" s="46" t="str">
        <f t="array" ref="X425">IF('.'!X425="","",'.'!X425&amp;IF(VLOOKUP('.'!X425,Recipes!$A:$D,4,FALSE)="",""," ["&amp;VLOOKUP('.'!X425,Recipes!$A:$D,4,FALSE)&amp;"]"))</f>
        <v/>
      </c>
      <c r="Y425" s="46" t="str">
        <f t="array" ref="Y425">IF('.'!Y425="","",'.'!Y425&amp;IF(VLOOKUP('.'!Y425,Recipes!$A:$D,4,FALSE)="",""," ["&amp;VLOOKUP('.'!Y425,Recipes!$A:$D,4,FALSE)&amp;"]"))</f>
        <v/>
      </c>
      <c r="Z425" s="46" t="str">
        <f t="array" ref="Z425">IF('.'!Z425="","",'.'!Z425&amp;IF(VLOOKUP('.'!Z425,Recipes!$A:$D,4,FALSE)="",""," ["&amp;VLOOKUP('.'!Z425,Recipes!$A:$D,4,FALSE)&amp;"]"))</f>
        <v/>
      </c>
      <c r="AA425" s="46" t="str">
        <f t="array" ref="AA425">IF('.'!AA425="","",'.'!AA425&amp;IF(VLOOKUP('.'!AA425,Recipes!$A:$D,4,FALSE)="",""," ["&amp;VLOOKUP('.'!AA425,Recipes!$A:$D,4,FALSE)&amp;"]"))</f>
        <v/>
      </c>
      <c r="AB425" s="46" t="str">
        <f t="array" ref="AB425">IF('.'!AB425="","",'.'!AB425&amp;IF(VLOOKUP('.'!AB425,Recipes!$A:$D,4,FALSE)="",""," ["&amp;VLOOKUP('.'!AB425,Recipes!$A:$D,4,FALSE)&amp;"]"))</f>
        <v/>
      </c>
      <c r="AC425" s="46" t="str">
        <f t="array" ref="AC425">IF('.'!AC425="","",'.'!AC425&amp;IF(VLOOKUP('.'!AC425,Recipes!$A:$D,4,FALSE)="",""," ["&amp;VLOOKUP('.'!AC425,Recipes!$A:$D,4,FALSE)&amp;"]"))</f>
        <v/>
      </c>
      <c r="AD425" s="46" t="str">
        <f t="array" ref="AD425">IF('.'!AD425="","",'.'!AD425&amp;IF(VLOOKUP('.'!AD425,Recipes!$A:$D,4,FALSE)="",""," ["&amp;VLOOKUP('.'!AD425,Recipes!$A:$D,4,FALSE)&amp;"]"))</f>
        <v/>
      </c>
      <c r="AE425" s="47" t="str">
        <f t="array" ref="AE425">IF('.'!AE425="","",'.'!AE425&amp;IF(VLOOKUP('.'!AE425,Recipes!$A:$D,4,FALSE)="",""," ["&amp;VLOOKUP('.'!AE425,Recipes!$A:$D,4,FALSE)&amp;"]"))</f>
        <v/>
      </c>
      <c r="AF425" s="47"/>
      <c r="AG425" s="47"/>
      <c r="AH425" s="47"/>
      <c r="AI425" s="47"/>
      <c r="AJ425" s="47"/>
      <c r="AK425" s="47"/>
      <c r="AL425" s="47"/>
      <c r="AM425" s="47"/>
      <c r="AN425" s="47"/>
      <c r="AO425" s="47"/>
      <c r="AP425" s="47"/>
      <c r="AQ425" s="47"/>
      <c r="AR425" s="47"/>
      <c r="AS425" s="47"/>
      <c r="AT425" s="47"/>
      <c r="AU425" s="47"/>
      <c r="AV425" s="47"/>
      <c r="AW425" s="47"/>
      <c r="AX425" s="47"/>
      <c r="AY425" s="47"/>
      <c r="AZ425" s="47"/>
      <c r="BA425" s="47"/>
      <c r="BB425" s="47"/>
      <c r="BC425" s="47"/>
      <c r="BD425" s="47"/>
      <c r="BE425" s="47"/>
      <c r="BF425" s="47"/>
      <c r="BG425" s="47"/>
      <c r="BH425" s="47"/>
      <c r="BI425" s="47"/>
      <c r="BJ425" s="47"/>
      <c r="BK425" s="47"/>
      <c r="BL425" s="47"/>
      <c r="BM425" s="47"/>
      <c r="BN425" s="47"/>
      <c r="BO425" s="47"/>
      <c r="BP425" s="47"/>
      <c r="BQ425" s="47"/>
      <c r="BR425" s="47"/>
      <c r="BS425" s="47"/>
      <c r="BT425" s="47"/>
      <c r="BU425" s="47"/>
      <c r="BV425" s="47"/>
      <c r="BW425" s="47"/>
      <c r="BX425" s="47"/>
      <c r="BY425" s="47"/>
      <c r="BZ425" s="47"/>
    </row>
    <row r="426" spans="1:78" ht="13">
      <c r="A426" s="48" t="str">
        <f ca="1">'.'!A426</f>
        <v>Steamcloud Arrowhead</v>
      </c>
      <c r="B426" s="46" t="str">
        <f t="array" aca="1" ref="B426" ca="1">IF('.'!B426="","",'.'!B426&amp;IF(VLOOKUP('.'!B426,Recipes!$A:$D,4,FALSE)="",""," ["&amp;VLOOKUP('.'!B426,Recipes!$A:$D,4,FALSE)&amp;"]"))</f>
        <v>Steamcloud Arrow [19]</v>
      </c>
      <c r="C426" s="46" t="str">
        <f t="array" ref="C426">IF('.'!C426="","",'.'!C426&amp;IF(VLOOKUP('.'!C426,Recipes!$A:$D,4,FALSE)="",""," ["&amp;VLOOKUP('.'!C426,Recipes!$A:$D,4,FALSE)&amp;"]"))</f>
        <v/>
      </c>
      <c r="D426" s="46" t="str">
        <f t="array" ref="D426">IF('.'!D426="","",'.'!D426&amp;IF(VLOOKUP('.'!D426,Recipes!$A:$D,4,FALSE)="",""," ["&amp;VLOOKUP('.'!D426,Recipes!$A:$D,4,FALSE)&amp;"]"))</f>
        <v/>
      </c>
      <c r="E426" s="46" t="str">
        <f t="array" ref="E426">IF('.'!E426="","",'.'!E426&amp;IF(VLOOKUP('.'!E426,Recipes!$A:$D,4,FALSE)="",""," ["&amp;VLOOKUP('.'!E426,Recipes!$A:$D,4,FALSE)&amp;"]"))</f>
        <v/>
      </c>
      <c r="F426" s="46" t="str">
        <f t="array" ref="F426">IF('.'!F426="","",'.'!F426&amp;IF(VLOOKUP('.'!F426,Recipes!$A:$D,4,FALSE)="",""," ["&amp;VLOOKUP('.'!F426,Recipes!$A:$D,4,FALSE)&amp;"]"))</f>
        <v/>
      </c>
      <c r="G426" s="46" t="str">
        <f t="array" ref="G426">IF('.'!G426="","",'.'!G426&amp;IF(VLOOKUP('.'!G426,Recipes!$A:$D,4,FALSE)="",""," ["&amp;VLOOKUP('.'!G426,Recipes!$A:$D,4,FALSE)&amp;"]"))</f>
        <v/>
      </c>
      <c r="H426" s="46" t="str">
        <f t="array" ref="H426">IF('.'!H426="","",'.'!H426&amp;IF(VLOOKUP('.'!H426,Recipes!$A:$D,4,FALSE)="",""," ["&amp;VLOOKUP('.'!H426,Recipes!$A:$D,4,FALSE)&amp;"]"))</f>
        <v/>
      </c>
      <c r="I426" s="46" t="str">
        <f t="array" ref="I426">IF('.'!I426="","",'.'!I426&amp;IF(VLOOKUP('.'!I426,Recipes!$A:$D,4,FALSE)="",""," ["&amp;VLOOKUP('.'!I426,Recipes!$A:$D,4,FALSE)&amp;"]"))</f>
        <v/>
      </c>
      <c r="J426" s="46" t="str">
        <f t="array" ref="J426">IF('.'!J426="","",'.'!J426&amp;IF(VLOOKUP('.'!J426,Recipes!$A:$D,4,FALSE)="",""," ["&amp;VLOOKUP('.'!J426,Recipes!$A:$D,4,FALSE)&amp;"]"))</f>
        <v/>
      </c>
      <c r="K426" s="46" t="str">
        <f t="array" ref="K426">IF('.'!K426="","",'.'!K426&amp;IF(VLOOKUP('.'!K426,Recipes!$A:$D,4,FALSE)="",""," ["&amp;VLOOKUP('.'!K426,Recipes!$A:$D,4,FALSE)&amp;"]"))</f>
        <v/>
      </c>
      <c r="L426" s="46" t="str">
        <f t="array" ref="L426">IF('.'!L426="","",'.'!L426&amp;IF(VLOOKUP('.'!L426,Recipes!$A:$D,4,FALSE)="",""," ["&amp;VLOOKUP('.'!L426,Recipes!$A:$D,4,FALSE)&amp;"]"))</f>
        <v/>
      </c>
      <c r="M426" s="46" t="str">
        <f t="array" ref="M426">IF('.'!M426="","",'.'!M426&amp;IF(VLOOKUP('.'!M426,Recipes!$A:$D,4,FALSE)="",""," ["&amp;VLOOKUP('.'!M426,Recipes!$A:$D,4,FALSE)&amp;"]"))</f>
        <v/>
      </c>
      <c r="N426" s="46" t="str">
        <f t="array" ref="N426">IF('.'!N426="","",'.'!N426&amp;IF(VLOOKUP('.'!N426,Recipes!$A:$D,4,FALSE)="",""," ["&amp;VLOOKUP('.'!N426,Recipes!$A:$D,4,FALSE)&amp;"]"))</f>
        <v/>
      </c>
      <c r="O426" s="46" t="str">
        <f t="array" ref="O426">IF('.'!O426="","",'.'!O426&amp;IF(VLOOKUP('.'!O426,Recipes!$A:$D,4,FALSE)="",""," ["&amp;VLOOKUP('.'!O426,Recipes!$A:$D,4,FALSE)&amp;"]"))</f>
        <v/>
      </c>
      <c r="P426" s="46" t="str">
        <f t="array" ref="P426">IF('.'!P426="","",'.'!P426&amp;IF(VLOOKUP('.'!P426,Recipes!$A:$D,4,FALSE)="",""," ["&amp;VLOOKUP('.'!P426,Recipes!$A:$D,4,FALSE)&amp;"]"))</f>
        <v/>
      </c>
      <c r="Q426" s="46" t="str">
        <f t="array" ref="Q426">IF('.'!Q426="","",'.'!Q426&amp;IF(VLOOKUP('.'!Q426,Recipes!$A:$D,4,FALSE)="",""," ["&amp;VLOOKUP('.'!Q426,Recipes!$A:$D,4,FALSE)&amp;"]"))</f>
        <v/>
      </c>
      <c r="R426" s="46" t="str">
        <f t="array" ref="R426">IF('.'!R426="","",'.'!R426&amp;IF(VLOOKUP('.'!R426,Recipes!$A:$D,4,FALSE)="",""," ["&amp;VLOOKUP('.'!R426,Recipes!$A:$D,4,FALSE)&amp;"]"))</f>
        <v/>
      </c>
      <c r="S426" s="46" t="str">
        <f t="array" ref="S426">IF('.'!S426="","",'.'!S426&amp;IF(VLOOKUP('.'!S426,Recipes!$A:$D,4,FALSE)="",""," ["&amp;VLOOKUP('.'!S426,Recipes!$A:$D,4,FALSE)&amp;"]"))</f>
        <v/>
      </c>
      <c r="T426" s="46" t="str">
        <f t="array" ref="T426">IF('.'!T426="","",'.'!T426&amp;IF(VLOOKUP('.'!T426,Recipes!$A:$D,4,FALSE)="",""," ["&amp;VLOOKUP('.'!T426,Recipes!$A:$D,4,FALSE)&amp;"]"))</f>
        <v/>
      </c>
      <c r="U426" s="46" t="str">
        <f t="array" ref="U426">IF('.'!U426="","",'.'!U426&amp;IF(VLOOKUP('.'!U426,Recipes!$A:$D,4,FALSE)="",""," ["&amp;VLOOKUP('.'!U426,Recipes!$A:$D,4,FALSE)&amp;"]"))</f>
        <v/>
      </c>
      <c r="V426" s="46" t="str">
        <f t="array" ref="V426">IF('.'!V426="","",'.'!V426&amp;IF(VLOOKUP('.'!V426,Recipes!$A:$D,4,FALSE)="",""," ["&amp;VLOOKUP('.'!V426,Recipes!$A:$D,4,FALSE)&amp;"]"))</f>
        <v/>
      </c>
      <c r="W426" s="46" t="str">
        <f t="array" ref="W426">IF('.'!W426="","",'.'!W426&amp;IF(VLOOKUP('.'!W426,Recipes!$A:$D,4,FALSE)="",""," ["&amp;VLOOKUP('.'!W426,Recipes!$A:$D,4,FALSE)&amp;"]"))</f>
        <v/>
      </c>
      <c r="X426" s="46" t="str">
        <f t="array" ref="X426">IF('.'!X426="","",'.'!X426&amp;IF(VLOOKUP('.'!X426,Recipes!$A:$D,4,FALSE)="",""," ["&amp;VLOOKUP('.'!X426,Recipes!$A:$D,4,FALSE)&amp;"]"))</f>
        <v/>
      </c>
      <c r="Y426" s="46" t="str">
        <f t="array" ref="Y426">IF('.'!Y426="","",'.'!Y426&amp;IF(VLOOKUP('.'!Y426,Recipes!$A:$D,4,FALSE)="",""," ["&amp;VLOOKUP('.'!Y426,Recipes!$A:$D,4,FALSE)&amp;"]"))</f>
        <v/>
      </c>
      <c r="Z426" s="46" t="str">
        <f t="array" ref="Z426">IF('.'!Z426="","",'.'!Z426&amp;IF(VLOOKUP('.'!Z426,Recipes!$A:$D,4,FALSE)="",""," ["&amp;VLOOKUP('.'!Z426,Recipes!$A:$D,4,FALSE)&amp;"]"))</f>
        <v/>
      </c>
      <c r="AA426" s="46" t="str">
        <f t="array" ref="AA426">IF('.'!AA426="","",'.'!AA426&amp;IF(VLOOKUP('.'!AA426,Recipes!$A:$D,4,FALSE)="",""," ["&amp;VLOOKUP('.'!AA426,Recipes!$A:$D,4,FALSE)&amp;"]"))</f>
        <v/>
      </c>
      <c r="AB426" s="46" t="str">
        <f t="array" ref="AB426">IF('.'!AB426="","",'.'!AB426&amp;IF(VLOOKUP('.'!AB426,Recipes!$A:$D,4,FALSE)="",""," ["&amp;VLOOKUP('.'!AB426,Recipes!$A:$D,4,FALSE)&amp;"]"))</f>
        <v/>
      </c>
      <c r="AC426" s="46" t="str">
        <f t="array" ref="AC426">IF('.'!AC426="","",'.'!AC426&amp;IF(VLOOKUP('.'!AC426,Recipes!$A:$D,4,FALSE)="",""," ["&amp;VLOOKUP('.'!AC426,Recipes!$A:$D,4,FALSE)&amp;"]"))</f>
        <v/>
      </c>
      <c r="AD426" s="46" t="str">
        <f t="array" ref="AD426">IF('.'!AD426="","",'.'!AD426&amp;IF(VLOOKUP('.'!AD426,Recipes!$A:$D,4,FALSE)="",""," ["&amp;VLOOKUP('.'!AD426,Recipes!$A:$D,4,FALSE)&amp;"]"))</f>
        <v/>
      </c>
      <c r="AE426" s="47" t="str">
        <f t="array" ref="AE426">IF('.'!AE426="","",'.'!AE426&amp;IF(VLOOKUP('.'!AE426,Recipes!$A:$D,4,FALSE)="",""," ["&amp;VLOOKUP('.'!AE426,Recipes!$A:$D,4,FALSE)&amp;"]"))</f>
        <v/>
      </c>
      <c r="AF426" s="47"/>
      <c r="AG426" s="47"/>
      <c r="AH426" s="47"/>
      <c r="AI426" s="47"/>
      <c r="AJ426" s="47"/>
      <c r="AK426" s="47"/>
      <c r="AL426" s="47"/>
      <c r="AM426" s="47"/>
      <c r="AN426" s="47"/>
      <c r="AO426" s="47"/>
      <c r="AP426" s="47"/>
      <c r="AQ426" s="47"/>
      <c r="AR426" s="47"/>
      <c r="AS426" s="47"/>
      <c r="AT426" s="47"/>
      <c r="AU426" s="47"/>
      <c r="AV426" s="47"/>
      <c r="AW426" s="47"/>
      <c r="AX426" s="47"/>
      <c r="AY426" s="47"/>
      <c r="AZ426" s="47"/>
      <c r="BA426" s="47"/>
      <c r="BB426" s="47"/>
      <c r="BC426" s="47"/>
      <c r="BD426" s="47"/>
      <c r="BE426" s="47"/>
      <c r="BF426" s="47"/>
      <c r="BG426" s="47"/>
      <c r="BH426" s="47"/>
      <c r="BI426" s="47"/>
      <c r="BJ426" s="47"/>
      <c r="BK426" s="47"/>
      <c r="BL426" s="47"/>
      <c r="BM426" s="47"/>
      <c r="BN426" s="47"/>
      <c r="BO426" s="47"/>
      <c r="BP426" s="47"/>
      <c r="BQ426" s="47"/>
      <c r="BR426" s="47"/>
      <c r="BS426" s="47"/>
      <c r="BT426" s="47"/>
      <c r="BU426" s="47"/>
      <c r="BV426" s="47"/>
      <c r="BW426" s="47"/>
      <c r="BX426" s="47"/>
      <c r="BY426" s="47"/>
      <c r="BZ426" s="47"/>
    </row>
    <row r="427" spans="1:78" ht="13">
      <c r="A427" s="48" t="str">
        <f ca="1">'.'!A427</f>
        <v>Summon Fire Slug Scroll</v>
      </c>
      <c r="B427" s="46" t="str">
        <f t="array" aca="1" ref="B427" ca="1">IF('.'!B427="","",'.'!B427&amp;IF(VLOOKUP('.'!B427,Recipes!$A:$D,4,FALSE)="",""," ["&amp;VLOOKUP('.'!B427,Recipes!$A:$D,4,FALSE)&amp;"]"))</f>
        <v>Summon Fire Slug Skillbook [550]</v>
      </c>
      <c r="C427" s="46" t="str">
        <f t="array" ref="C427">IF('.'!C427="","",'.'!C427&amp;IF(VLOOKUP('.'!C427,Recipes!$A:$D,4,FALSE)="",""," ["&amp;VLOOKUP('.'!C427,Recipes!$A:$D,4,FALSE)&amp;"]"))</f>
        <v/>
      </c>
      <c r="D427" s="46" t="str">
        <f t="array" ref="D427">IF('.'!D427="","",'.'!D427&amp;IF(VLOOKUP('.'!D427,Recipes!$A:$D,4,FALSE)="",""," ["&amp;VLOOKUP('.'!D427,Recipes!$A:$D,4,FALSE)&amp;"]"))</f>
        <v/>
      </c>
      <c r="E427" s="46" t="str">
        <f t="array" ref="E427">IF('.'!E427="","",'.'!E427&amp;IF(VLOOKUP('.'!E427,Recipes!$A:$D,4,FALSE)="",""," ["&amp;VLOOKUP('.'!E427,Recipes!$A:$D,4,FALSE)&amp;"]"))</f>
        <v/>
      </c>
      <c r="F427" s="46" t="str">
        <f t="array" ref="F427">IF('.'!F427="","",'.'!F427&amp;IF(VLOOKUP('.'!F427,Recipes!$A:$D,4,FALSE)="",""," ["&amp;VLOOKUP('.'!F427,Recipes!$A:$D,4,FALSE)&amp;"]"))</f>
        <v/>
      </c>
      <c r="G427" s="46" t="str">
        <f t="array" ref="G427">IF('.'!G427="","",'.'!G427&amp;IF(VLOOKUP('.'!G427,Recipes!$A:$D,4,FALSE)="",""," ["&amp;VLOOKUP('.'!G427,Recipes!$A:$D,4,FALSE)&amp;"]"))</f>
        <v/>
      </c>
      <c r="H427" s="46" t="str">
        <f t="array" ref="H427">IF('.'!H427="","",'.'!H427&amp;IF(VLOOKUP('.'!H427,Recipes!$A:$D,4,FALSE)="",""," ["&amp;VLOOKUP('.'!H427,Recipes!$A:$D,4,FALSE)&amp;"]"))</f>
        <v/>
      </c>
      <c r="I427" s="46" t="str">
        <f t="array" ref="I427">IF('.'!I427="","",'.'!I427&amp;IF(VLOOKUP('.'!I427,Recipes!$A:$D,4,FALSE)="",""," ["&amp;VLOOKUP('.'!I427,Recipes!$A:$D,4,FALSE)&amp;"]"))</f>
        <v/>
      </c>
      <c r="J427" s="46" t="str">
        <f t="array" ref="J427">IF('.'!J427="","",'.'!J427&amp;IF(VLOOKUP('.'!J427,Recipes!$A:$D,4,FALSE)="",""," ["&amp;VLOOKUP('.'!J427,Recipes!$A:$D,4,FALSE)&amp;"]"))</f>
        <v/>
      </c>
      <c r="K427" s="46" t="str">
        <f t="array" ref="K427">IF('.'!K427="","",'.'!K427&amp;IF(VLOOKUP('.'!K427,Recipes!$A:$D,4,FALSE)="",""," ["&amp;VLOOKUP('.'!K427,Recipes!$A:$D,4,FALSE)&amp;"]"))</f>
        <v/>
      </c>
      <c r="L427" s="46" t="str">
        <f t="array" ref="L427">IF('.'!L427="","",'.'!L427&amp;IF(VLOOKUP('.'!L427,Recipes!$A:$D,4,FALSE)="",""," ["&amp;VLOOKUP('.'!L427,Recipes!$A:$D,4,FALSE)&amp;"]"))</f>
        <v/>
      </c>
      <c r="M427" s="46" t="str">
        <f t="array" ref="M427">IF('.'!M427="","",'.'!M427&amp;IF(VLOOKUP('.'!M427,Recipes!$A:$D,4,FALSE)="",""," ["&amp;VLOOKUP('.'!M427,Recipes!$A:$D,4,FALSE)&amp;"]"))</f>
        <v/>
      </c>
      <c r="N427" s="46" t="str">
        <f t="array" ref="N427">IF('.'!N427="","",'.'!N427&amp;IF(VLOOKUP('.'!N427,Recipes!$A:$D,4,FALSE)="",""," ["&amp;VLOOKUP('.'!N427,Recipes!$A:$D,4,FALSE)&amp;"]"))</f>
        <v/>
      </c>
      <c r="O427" s="46" t="str">
        <f t="array" ref="O427">IF('.'!O427="","",'.'!O427&amp;IF(VLOOKUP('.'!O427,Recipes!$A:$D,4,FALSE)="",""," ["&amp;VLOOKUP('.'!O427,Recipes!$A:$D,4,FALSE)&amp;"]"))</f>
        <v/>
      </c>
      <c r="P427" s="46" t="str">
        <f t="array" ref="P427">IF('.'!P427="","",'.'!P427&amp;IF(VLOOKUP('.'!P427,Recipes!$A:$D,4,FALSE)="",""," ["&amp;VLOOKUP('.'!P427,Recipes!$A:$D,4,FALSE)&amp;"]"))</f>
        <v/>
      </c>
      <c r="Q427" s="46" t="str">
        <f t="array" ref="Q427">IF('.'!Q427="","",'.'!Q427&amp;IF(VLOOKUP('.'!Q427,Recipes!$A:$D,4,FALSE)="",""," ["&amp;VLOOKUP('.'!Q427,Recipes!$A:$D,4,FALSE)&amp;"]"))</f>
        <v/>
      </c>
      <c r="R427" s="46" t="str">
        <f t="array" ref="R427">IF('.'!R427="","",'.'!R427&amp;IF(VLOOKUP('.'!R427,Recipes!$A:$D,4,FALSE)="",""," ["&amp;VLOOKUP('.'!R427,Recipes!$A:$D,4,FALSE)&amp;"]"))</f>
        <v/>
      </c>
      <c r="S427" s="46" t="str">
        <f t="array" ref="S427">IF('.'!S427="","",'.'!S427&amp;IF(VLOOKUP('.'!S427,Recipes!$A:$D,4,FALSE)="",""," ["&amp;VLOOKUP('.'!S427,Recipes!$A:$D,4,FALSE)&amp;"]"))</f>
        <v/>
      </c>
      <c r="T427" s="46" t="str">
        <f t="array" ref="T427">IF('.'!T427="","",'.'!T427&amp;IF(VLOOKUP('.'!T427,Recipes!$A:$D,4,FALSE)="",""," ["&amp;VLOOKUP('.'!T427,Recipes!$A:$D,4,FALSE)&amp;"]"))</f>
        <v/>
      </c>
      <c r="U427" s="46" t="str">
        <f t="array" ref="U427">IF('.'!U427="","",'.'!U427&amp;IF(VLOOKUP('.'!U427,Recipes!$A:$D,4,FALSE)="",""," ["&amp;VLOOKUP('.'!U427,Recipes!$A:$D,4,FALSE)&amp;"]"))</f>
        <v/>
      </c>
      <c r="V427" s="46" t="str">
        <f t="array" ref="V427">IF('.'!V427="","",'.'!V427&amp;IF(VLOOKUP('.'!V427,Recipes!$A:$D,4,FALSE)="",""," ["&amp;VLOOKUP('.'!V427,Recipes!$A:$D,4,FALSE)&amp;"]"))</f>
        <v/>
      </c>
      <c r="W427" s="46" t="str">
        <f t="array" ref="W427">IF('.'!W427="","",'.'!W427&amp;IF(VLOOKUP('.'!W427,Recipes!$A:$D,4,FALSE)="",""," ["&amp;VLOOKUP('.'!W427,Recipes!$A:$D,4,FALSE)&amp;"]"))</f>
        <v/>
      </c>
      <c r="X427" s="46" t="str">
        <f t="array" ref="X427">IF('.'!X427="","",'.'!X427&amp;IF(VLOOKUP('.'!X427,Recipes!$A:$D,4,FALSE)="",""," ["&amp;VLOOKUP('.'!X427,Recipes!$A:$D,4,FALSE)&amp;"]"))</f>
        <v/>
      </c>
      <c r="Y427" s="46" t="str">
        <f t="array" ref="Y427">IF('.'!Y427="","",'.'!Y427&amp;IF(VLOOKUP('.'!Y427,Recipes!$A:$D,4,FALSE)="",""," ["&amp;VLOOKUP('.'!Y427,Recipes!$A:$D,4,FALSE)&amp;"]"))</f>
        <v/>
      </c>
      <c r="Z427" s="46" t="str">
        <f t="array" ref="Z427">IF('.'!Z427="","",'.'!Z427&amp;IF(VLOOKUP('.'!Z427,Recipes!$A:$D,4,FALSE)="",""," ["&amp;VLOOKUP('.'!Z427,Recipes!$A:$D,4,FALSE)&amp;"]"))</f>
        <v/>
      </c>
      <c r="AA427" s="46" t="str">
        <f t="array" ref="AA427">IF('.'!AA427="","",'.'!AA427&amp;IF(VLOOKUP('.'!AA427,Recipes!$A:$D,4,FALSE)="",""," ["&amp;VLOOKUP('.'!AA427,Recipes!$A:$D,4,FALSE)&amp;"]"))</f>
        <v/>
      </c>
      <c r="AB427" s="46" t="str">
        <f t="array" ref="AB427">IF('.'!AB427="","",'.'!AB427&amp;IF(VLOOKUP('.'!AB427,Recipes!$A:$D,4,FALSE)="",""," ["&amp;VLOOKUP('.'!AB427,Recipes!$A:$D,4,FALSE)&amp;"]"))</f>
        <v/>
      </c>
      <c r="AC427" s="46" t="str">
        <f t="array" ref="AC427">IF('.'!AC427="","",'.'!AC427&amp;IF(VLOOKUP('.'!AC427,Recipes!$A:$D,4,FALSE)="",""," ["&amp;VLOOKUP('.'!AC427,Recipes!$A:$D,4,FALSE)&amp;"]"))</f>
        <v/>
      </c>
      <c r="AD427" s="46" t="str">
        <f t="array" ref="AD427">IF('.'!AD427="","",'.'!AD427&amp;IF(VLOOKUP('.'!AD427,Recipes!$A:$D,4,FALSE)="",""," ["&amp;VLOOKUP('.'!AD427,Recipes!$A:$D,4,FALSE)&amp;"]"))</f>
        <v/>
      </c>
      <c r="AE427" s="47" t="str">
        <f t="array" ref="AE427">IF('.'!AE427="","",'.'!AE427&amp;IF(VLOOKUP('.'!AE427,Recipes!$A:$D,4,FALSE)="",""," ["&amp;VLOOKUP('.'!AE427,Recipes!$A:$D,4,FALSE)&amp;"]"))</f>
        <v/>
      </c>
      <c r="AF427" s="47"/>
      <c r="AG427" s="47"/>
      <c r="AH427" s="47"/>
      <c r="AI427" s="47"/>
      <c r="AJ427" s="47"/>
      <c r="AK427" s="47"/>
      <c r="AL427" s="47"/>
      <c r="AM427" s="47"/>
      <c r="AN427" s="47"/>
      <c r="AO427" s="47"/>
      <c r="AP427" s="47"/>
      <c r="AQ427" s="47"/>
      <c r="AR427" s="47"/>
      <c r="AS427" s="47"/>
      <c r="AT427" s="47"/>
      <c r="AU427" s="47"/>
      <c r="AV427" s="47"/>
      <c r="AW427" s="47"/>
      <c r="AX427" s="47"/>
      <c r="AY427" s="47"/>
      <c r="AZ427" s="47"/>
      <c r="BA427" s="47"/>
      <c r="BB427" s="47"/>
      <c r="BC427" s="47"/>
      <c r="BD427" s="47"/>
      <c r="BE427" s="47"/>
      <c r="BF427" s="47"/>
      <c r="BG427" s="47"/>
      <c r="BH427" s="47"/>
      <c r="BI427" s="47"/>
      <c r="BJ427" s="47"/>
      <c r="BK427" s="47"/>
      <c r="BL427" s="47"/>
      <c r="BM427" s="47"/>
      <c r="BN427" s="47"/>
      <c r="BO427" s="47"/>
      <c r="BP427" s="47"/>
      <c r="BQ427" s="47"/>
      <c r="BR427" s="47"/>
      <c r="BS427" s="47"/>
      <c r="BT427" s="47"/>
      <c r="BU427" s="47"/>
      <c r="BV427" s="47"/>
      <c r="BW427" s="47"/>
      <c r="BX427" s="47"/>
      <c r="BY427" s="47"/>
      <c r="BZ427" s="47"/>
    </row>
    <row r="428" spans="1:78" ht="13">
      <c r="A428" s="48" t="str">
        <f ca="1">'.'!A428</f>
        <v>Summon Oily Blob Scroll</v>
      </c>
      <c r="B428" s="46" t="str">
        <f t="array" aca="1" ref="B428" ca="1">IF('.'!B428="","",'.'!B428&amp;IF(VLOOKUP('.'!B428,Recipes!$A:$D,4,FALSE)="",""," ["&amp;VLOOKUP('.'!B428,Recipes!$A:$D,4,FALSE)&amp;"]"))</f>
        <v>Summon Oily Blob Skillbook [-10]</v>
      </c>
      <c r="C428" s="46" t="str">
        <f t="array" ref="C428">IF('.'!C428="","",'.'!C428&amp;IF(VLOOKUP('.'!C428,Recipes!$A:$D,4,FALSE)="",""," ["&amp;VLOOKUP('.'!C428,Recipes!$A:$D,4,FALSE)&amp;"]"))</f>
        <v/>
      </c>
      <c r="D428" s="46" t="str">
        <f t="array" ref="D428">IF('.'!D428="","",'.'!D428&amp;IF(VLOOKUP('.'!D428,Recipes!$A:$D,4,FALSE)="",""," ["&amp;VLOOKUP('.'!D428,Recipes!$A:$D,4,FALSE)&amp;"]"))</f>
        <v/>
      </c>
      <c r="E428" s="46" t="str">
        <f t="array" ref="E428">IF('.'!E428="","",'.'!E428&amp;IF(VLOOKUP('.'!E428,Recipes!$A:$D,4,FALSE)="",""," ["&amp;VLOOKUP('.'!E428,Recipes!$A:$D,4,FALSE)&amp;"]"))</f>
        <v/>
      </c>
      <c r="F428" s="46" t="str">
        <f t="array" ref="F428">IF('.'!F428="","",'.'!F428&amp;IF(VLOOKUP('.'!F428,Recipes!$A:$D,4,FALSE)="",""," ["&amp;VLOOKUP('.'!F428,Recipes!$A:$D,4,FALSE)&amp;"]"))</f>
        <v/>
      </c>
      <c r="G428" s="46" t="str">
        <f t="array" ref="G428">IF('.'!G428="","",'.'!G428&amp;IF(VLOOKUP('.'!G428,Recipes!$A:$D,4,FALSE)="",""," ["&amp;VLOOKUP('.'!G428,Recipes!$A:$D,4,FALSE)&amp;"]"))</f>
        <v/>
      </c>
      <c r="H428" s="46" t="str">
        <f t="array" ref="H428">IF('.'!H428="","",'.'!H428&amp;IF(VLOOKUP('.'!H428,Recipes!$A:$D,4,FALSE)="",""," ["&amp;VLOOKUP('.'!H428,Recipes!$A:$D,4,FALSE)&amp;"]"))</f>
        <v/>
      </c>
      <c r="I428" s="46" t="str">
        <f t="array" ref="I428">IF('.'!I428="","",'.'!I428&amp;IF(VLOOKUP('.'!I428,Recipes!$A:$D,4,FALSE)="",""," ["&amp;VLOOKUP('.'!I428,Recipes!$A:$D,4,FALSE)&amp;"]"))</f>
        <v/>
      </c>
      <c r="J428" s="46" t="str">
        <f t="array" ref="J428">IF('.'!J428="","",'.'!J428&amp;IF(VLOOKUP('.'!J428,Recipes!$A:$D,4,FALSE)="",""," ["&amp;VLOOKUP('.'!J428,Recipes!$A:$D,4,FALSE)&amp;"]"))</f>
        <v/>
      </c>
      <c r="K428" s="46" t="str">
        <f t="array" ref="K428">IF('.'!K428="","",'.'!K428&amp;IF(VLOOKUP('.'!K428,Recipes!$A:$D,4,FALSE)="",""," ["&amp;VLOOKUP('.'!K428,Recipes!$A:$D,4,FALSE)&amp;"]"))</f>
        <v/>
      </c>
      <c r="L428" s="46" t="str">
        <f t="array" ref="L428">IF('.'!L428="","",'.'!L428&amp;IF(VLOOKUP('.'!L428,Recipes!$A:$D,4,FALSE)="",""," ["&amp;VLOOKUP('.'!L428,Recipes!$A:$D,4,FALSE)&amp;"]"))</f>
        <v/>
      </c>
      <c r="M428" s="46" t="str">
        <f t="array" ref="M428">IF('.'!M428="","",'.'!M428&amp;IF(VLOOKUP('.'!M428,Recipes!$A:$D,4,FALSE)="",""," ["&amp;VLOOKUP('.'!M428,Recipes!$A:$D,4,FALSE)&amp;"]"))</f>
        <v/>
      </c>
      <c r="N428" s="46" t="str">
        <f t="array" ref="N428">IF('.'!N428="","",'.'!N428&amp;IF(VLOOKUP('.'!N428,Recipes!$A:$D,4,FALSE)="",""," ["&amp;VLOOKUP('.'!N428,Recipes!$A:$D,4,FALSE)&amp;"]"))</f>
        <v/>
      </c>
      <c r="O428" s="46" t="str">
        <f t="array" ref="O428">IF('.'!O428="","",'.'!O428&amp;IF(VLOOKUP('.'!O428,Recipes!$A:$D,4,FALSE)="",""," ["&amp;VLOOKUP('.'!O428,Recipes!$A:$D,4,FALSE)&amp;"]"))</f>
        <v/>
      </c>
      <c r="P428" s="46" t="str">
        <f t="array" ref="P428">IF('.'!P428="","",'.'!P428&amp;IF(VLOOKUP('.'!P428,Recipes!$A:$D,4,FALSE)="",""," ["&amp;VLOOKUP('.'!P428,Recipes!$A:$D,4,FALSE)&amp;"]"))</f>
        <v/>
      </c>
      <c r="Q428" s="46" t="str">
        <f t="array" ref="Q428">IF('.'!Q428="","",'.'!Q428&amp;IF(VLOOKUP('.'!Q428,Recipes!$A:$D,4,FALSE)="",""," ["&amp;VLOOKUP('.'!Q428,Recipes!$A:$D,4,FALSE)&amp;"]"))</f>
        <v/>
      </c>
      <c r="R428" s="46" t="str">
        <f t="array" ref="R428">IF('.'!R428="","",'.'!R428&amp;IF(VLOOKUP('.'!R428,Recipes!$A:$D,4,FALSE)="",""," ["&amp;VLOOKUP('.'!R428,Recipes!$A:$D,4,FALSE)&amp;"]"))</f>
        <v/>
      </c>
      <c r="S428" s="46" t="str">
        <f t="array" ref="S428">IF('.'!S428="","",'.'!S428&amp;IF(VLOOKUP('.'!S428,Recipes!$A:$D,4,FALSE)="",""," ["&amp;VLOOKUP('.'!S428,Recipes!$A:$D,4,FALSE)&amp;"]"))</f>
        <v/>
      </c>
      <c r="T428" s="46" t="str">
        <f t="array" ref="T428">IF('.'!T428="","",'.'!T428&amp;IF(VLOOKUP('.'!T428,Recipes!$A:$D,4,FALSE)="",""," ["&amp;VLOOKUP('.'!T428,Recipes!$A:$D,4,FALSE)&amp;"]"))</f>
        <v/>
      </c>
      <c r="U428" s="46" t="str">
        <f t="array" ref="U428">IF('.'!U428="","",'.'!U428&amp;IF(VLOOKUP('.'!U428,Recipes!$A:$D,4,FALSE)="",""," ["&amp;VLOOKUP('.'!U428,Recipes!$A:$D,4,FALSE)&amp;"]"))</f>
        <v/>
      </c>
      <c r="V428" s="46" t="str">
        <f t="array" ref="V428">IF('.'!V428="","",'.'!V428&amp;IF(VLOOKUP('.'!V428,Recipes!$A:$D,4,FALSE)="",""," ["&amp;VLOOKUP('.'!V428,Recipes!$A:$D,4,FALSE)&amp;"]"))</f>
        <v/>
      </c>
      <c r="W428" s="46" t="str">
        <f t="array" ref="W428">IF('.'!W428="","",'.'!W428&amp;IF(VLOOKUP('.'!W428,Recipes!$A:$D,4,FALSE)="",""," ["&amp;VLOOKUP('.'!W428,Recipes!$A:$D,4,FALSE)&amp;"]"))</f>
        <v/>
      </c>
      <c r="X428" s="46" t="str">
        <f t="array" ref="X428">IF('.'!X428="","",'.'!X428&amp;IF(VLOOKUP('.'!X428,Recipes!$A:$D,4,FALSE)="",""," ["&amp;VLOOKUP('.'!X428,Recipes!$A:$D,4,FALSE)&amp;"]"))</f>
        <v/>
      </c>
      <c r="Y428" s="46" t="str">
        <f t="array" ref="Y428">IF('.'!Y428="","",'.'!Y428&amp;IF(VLOOKUP('.'!Y428,Recipes!$A:$D,4,FALSE)="",""," ["&amp;VLOOKUP('.'!Y428,Recipes!$A:$D,4,FALSE)&amp;"]"))</f>
        <v/>
      </c>
      <c r="Z428" s="46" t="str">
        <f t="array" ref="Z428">IF('.'!Z428="","",'.'!Z428&amp;IF(VLOOKUP('.'!Z428,Recipes!$A:$D,4,FALSE)="",""," ["&amp;VLOOKUP('.'!Z428,Recipes!$A:$D,4,FALSE)&amp;"]"))</f>
        <v/>
      </c>
      <c r="AA428" s="46" t="str">
        <f t="array" ref="AA428">IF('.'!AA428="","",'.'!AA428&amp;IF(VLOOKUP('.'!AA428,Recipes!$A:$D,4,FALSE)="",""," ["&amp;VLOOKUP('.'!AA428,Recipes!$A:$D,4,FALSE)&amp;"]"))</f>
        <v/>
      </c>
      <c r="AB428" s="46" t="str">
        <f t="array" ref="AB428">IF('.'!AB428="","",'.'!AB428&amp;IF(VLOOKUP('.'!AB428,Recipes!$A:$D,4,FALSE)="",""," ["&amp;VLOOKUP('.'!AB428,Recipes!$A:$D,4,FALSE)&amp;"]"))</f>
        <v/>
      </c>
      <c r="AC428" s="46" t="str">
        <f t="array" ref="AC428">IF('.'!AC428="","",'.'!AC428&amp;IF(VLOOKUP('.'!AC428,Recipes!$A:$D,4,FALSE)="",""," ["&amp;VLOOKUP('.'!AC428,Recipes!$A:$D,4,FALSE)&amp;"]"))</f>
        <v/>
      </c>
      <c r="AD428" s="46" t="str">
        <f t="array" ref="AD428">IF('.'!AD428="","",'.'!AD428&amp;IF(VLOOKUP('.'!AD428,Recipes!$A:$D,4,FALSE)="",""," ["&amp;VLOOKUP('.'!AD428,Recipes!$A:$D,4,FALSE)&amp;"]"))</f>
        <v/>
      </c>
      <c r="AE428" s="47" t="str">
        <f t="array" ref="AE428">IF('.'!AE428="","",'.'!AE428&amp;IF(VLOOKUP('.'!AE428,Recipes!$A:$D,4,FALSE)="",""," ["&amp;VLOOKUP('.'!AE428,Recipes!$A:$D,4,FALSE)&amp;"]"))</f>
        <v/>
      </c>
      <c r="AF428" s="47"/>
      <c r="AG428" s="47"/>
      <c r="AH428" s="47"/>
      <c r="AI428" s="47"/>
      <c r="AJ428" s="47"/>
      <c r="AK428" s="47"/>
      <c r="AL428" s="47"/>
      <c r="AM428" s="47"/>
      <c r="AN428" s="47"/>
      <c r="AO428" s="47"/>
      <c r="AP428" s="47"/>
      <c r="AQ428" s="47"/>
      <c r="AR428" s="47"/>
      <c r="AS428" s="47"/>
      <c r="AT428" s="47"/>
      <c r="AU428" s="47"/>
      <c r="AV428" s="47"/>
      <c r="AW428" s="47"/>
      <c r="AX428" s="47"/>
      <c r="AY428" s="47"/>
      <c r="AZ428" s="47"/>
      <c r="BA428" s="47"/>
      <c r="BB428" s="47"/>
      <c r="BC428" s="47"/>
      <c r="BD428" s="47"/>
      <c r="BE428" s="47"/>
      <c r="BF428" s="47"/>
      <c r="BG428" s="47"/>
      <c r="BH428" s="47"/>
      <c r="BI428" s="47"/>
      <c r="BJ428" s="47"/>
      <c r="BK428" s="47"/>
      <c r="BL428" s="47"/>
      <c r="BM428" s="47"/>
      <c r="BN428" s="47"/>
      <c r="BO428" s="47"/>
      <c r="BP428" s="47"/>
      <c r="BQ428" s="47"/>
      <c r="BR428" s="47"/>
      <c r="BS428" s="47"/>
      <c r="BT428" s="47"/>
      <c r="BU428" s="47"/>
      <c r="BV428" s="47"/>
      <c r="BW428" s="47"/>
      <c r="BX428" s="47"/>
      <c r="BY428" s="47"/>
      <c r="BZ428" s="47"/>
    </row>
    <row r="429" spans="1:78" ht="13">
      <c r="A429" s="48" t="str">
        <f ca="1">'.'!A429</f>
        <v>Supercharger Scroll</v>
      </c>
      <c r="B429" s="46" t="str">
        <f t="array" aca="1" ref="B429" ca="1">IF('.'!B429="","",'.'!B429&amp;IF(VLOOKUP('.'!B429,Recipes!$A:$D,4,FALSE)="",""," ["&amp;VLOOKUP('.'!B429,Recipes!$A:$D,4,FALSE)&amp;"]"))</f>
        <v>Supercharger Skillbook [-60]</v>
      </c>
      <c r="C429" s="46" t="str">
        <f t="array" ref="C429">IF('.'!C429="","",'.'!C429&amp;IF(VLOOKUP('.'!C429,Recipes!$A:$D,4,FALSE)="",""," ["&amp;VLOOKUP('.'!C429,Recipes!$A:$D,4,FALSE)&amp;"]"))</f>
        <v/>
      </c>
      <c r="D429" s="46" t="str">
        <f t="array" ref="D429">IF('.'!D429="","",'.'!D429&amp;IF(VLOOKUP('.'!D429,Recipes!$A:$D,4,FALSE)="",""," ["&amp;VLOOKUP('.'!D429,Recipes!$A:$D,4,FALSE)&amp;"]"))</f>
        <v/>
      </c>
      <c r="E429" s="46" t="str">
        <f t="array" ref="E429">IF('.'!E429="","",'.'!E429&amp;IF(VLOOKUP('.'!E429,Recipes!$A:$D,4,FALSE)="",""," ["&amp;VLOOKUP('.'!E429,Recipes!$A:$D,4,FALSE)&amp;"]"))</f>
        <v/>
      </c>
      <c r="F429" s="46" t="str">
        <f t="array" ref="F429">IF('.'!F429="","",'.'!F429&amp;IF(VLOOKUP('.'!F429,Recipes!$A:$D,4,FALSE)="",""," ["&amp;VLOOKUP('.'!F429,Recipes!$A:$D,4,FALSE)&amp;"]"))</f>
        <v/>
      </c>
      <c r="G429" s="46" t="str">
        <f t="array" ref="G429">IF('.'!G429="","",'.'!G429&amp;IF(VLOOKUP('.'!G429,Recipes!$A:$D,4,FALSE)="",""," ["&amp;VLOOKUP('.'!G429,Recipes!$A:$D,4,FALSE)&amp;"]"))</f>
        <v/>
      </c>
      <c r="H429" s="46" t="str">
        <f t="array" ref="H429">IF('.'!H429="","",'.'!H429&amp;IF(VLOOKUP('.'!H429,Recipes!$A:$D,4,FALSE)="",""," ["&amp;VLOOKUP('.'!H429,Recipes!$A:$D,4,FALSE)&amp;"]"))</f>
        <v/>
      </c>
      <c r="I429" s="46" t="str">
        <f t="array" ref="I429">IF('.'!I429="","",'.'!I429&amp;IF(VLOOKUP('.'!I429,Recipes!$A:$D,4,FALSE)="",""," ["&amp;VLOOKUP('.'!I429,Recipes!$A:$D,4,FALSE)&amp;"]"))</f>
        <v/>
      </c>
      <c r="J429" s="46" t="str">
        <f t="array" ref="J429">IF('.'!J429="","",'.'!J429&amp;IF(VLOOKUP('.'!J429,Recipes!$A:$D,4,FALSE)="",""," ["&amp;VLOOKUP('.'!J429,Recipes!$A:$D,4,FALSE)&amp;"]"))</f>
        <v/>
      </c>
      <c r="K429" s="46" t="str">
        <f t="array" ref="K429">IF('.'!K429="","",'.'!K429&amp;IF(VLOOKUP('.'!K429,Recipes!$A:$D,4,FALSE)="",""," ["&amp;VLOOKUP('.'!K429,Recipes!$A:$D,4,FALSE)&amp;"]"))</f>
        <v/>
      </c>
      <c r="L429" s="46" t="str">
        <f t="array" ref="L429">IF('.'!L429="","",'.'!L429&amp;IF(VLOOKUP('.'!L429,Recipes!$A:$D,4,FALSE)="",""," ["&amp;VLOOKUP('.'!L429,Recipes!$A:$D,4,FALSE)&amp;"]"))</f>
        <v/>
      </c>
      <c r="M429" s="46" t="str">
        <f t="array" ref="M429">IF('.'!M429="","",'.'!M429&amp;IF(VLOOKUP('.'!M429,Recipes!$A:$D,4,FALSE)="",""," ["&amp;VLOOKUP('.'!M429,Recipes!$A:$D,4,FALSE)&amp;"]"))</f>
        <v/>
      </c>
      <c r="N429" s="46" t="str">
        <f t="array" ref="N429">IF('.'!N429="","",'.'!N429&amp;IF(VLOOKUP('.'!N429,Recipes!$A:$D,4,FALSE)="",""," ["&amp;VLOOKUP('.'!N429,Recipes!$A:$D,4,FALSE)&amp;"]"))</f>
        <v/>
      </c>
      <c r="O429" s="46" t="str">
        <f t="array" ref="O429">IF('.'!O429="","",'.'!O429&amp;IF(VLOOKUP('.'!O429,Recipes!$A:$D,4,FALSE)="",""," ["&amp;VLOOKUP('.'!O429,Recipes!$A:$D,4,FALSE)&amp;"]"))</f>
        <v/>
      </c>
      <c r="P429" s="46" t="str">
        <f t="array" ref="P429">IF('.'!P429="","",'.'!P429&amp;IF(VLOOKUP('.'!P429,Recipes!$A:$D,4,FALSE)="",""," ["&amp;VLOOKUP('.'!P429,Recipes!$A:$D,4,FALSE)&amp;"]"))</f>
        <v/>
      </c>
      <c r="Q429" s="46" t="str">
        <f t="array" ref="Q429">IF('.'!Q429="","",'.'!Q429&amp;IF(VLOOKUP('.'!Q429,Recipes!$A:$D,4,FALSE)="",""," ["&amp;VLOOKUP('.'!Q429,Recipes!$A:$D,4,FALSE)&amp;"]"))</f>
        <v/>
      </c>
      <c r="R429" s="46" t="str">
        <f t="array" ref="R429">IF('.'!R429="","",'.'!R429&amp;IF(VLOOKUP('.'!R429,Recipes!$A:$D,4,FALSE)="",""," ["&amp;VLOOKUP('.'!R429,Recipes!$A:$D,4,FALSE)&amp;"]"))</f>
        <v/>
      </c>
      <c r="S429" s="46" t="str">
        <f t="array" ref="S429">IF('.'!S429="","",'.'!S429&amp;IF(VLOOKUP('.'!S429,Recipes!$A:$D,4,FALSE)="",""," ["&amp;VLOOKUP('.'!S429,Recipes!$A:$D,4,FALSE)&amp;"]"))</f>
        <v/>
      </c>
      <c r="T429" s="46" t="str">
        <f t="array" ref="T429">IF('.'!T429="","",'.'!T429&amp;IF(VLOOKUP('.'!T429,Recipes!$A:$D,4,FALSE)="",""," ["&amp;VLOOKUP('.'!T429,Recipes!$A:$D,4,FALSE)&amp;"]"))</f>
        <v/>
      </c>
      <c r="U429" s="46" t="str">
        <f t="array" ref="U429">IF('.'!U429="","",'.'!U429&amp;IF(VLOOKUP('.'!U429,Recipes!$A:$D,4,FALSE)="",""," ["&amp;VLOOKUP('.'!U429,Recipes!$A:$D,4,FALSE)&amp;"]"))</f>
        <v/>
      </c>
      <c r="V429" s="46" t="str">
        <f t="array" ref="V429">IF('.'!V429="","",'.'!V429&amp;IF(VLOOKUP('.'!V429,Recipes!$A:$D,4,FALSE)="",""," ["&amp;VLOOKUP('.'!V429,Recipes!$A:$D,4,FALSE)&amp;"]"))</f>
        <v/>
      </c>
      <c r="W429" s="46" t="str">
        <f t="array" ref="W429">IF('.'!W429="","",'.'!W429&amp;IF(VLOOKUP('.'!W429,Recipes!$A:$D,4,FALSE)="",""," ["&amp;VLOOKUP('.'!W429,Recipes!$A:$D,4,FALSE)&amp;"]"))</f>
        <v/>
      </c>
      <c r="X429" s="46" t="str">
        <f t="array" ref="X429">IF('.'!X429="","",'.'!X429&amp;IF(VLOOKUP('.'!X429,Recipes!$A:$D,4,FALSE)="",""," ["&amp;VLOOKUP('.'!X429,Recipes!$A:$D,4,FALSE)&amp;"]"))</f>
        <v/>
      </c>
      <c r="Y429" s="46" t="str">
        <f t="array" ref="Y429">IF('.'!Y429="","",'.'!Y429&amp;IF(VLOOKUP('.'!Y429,Recipes!$A:$D,4,FALSE)="",""," ["&amp;VLOOKUP('.'!Y429,Recipes!$A:$D,4,FALSE)&amp;"]"))</f>
        <v/>
      </c>
      <c r="Z429" s="46" t="str">
        <f t="array" ref="Z429">IF('.'!Z429="","",'.'!Z429&amp;IF(VLOOKUP('.'!Z429,Recipes!$A:$D,4,FALSE)="",""," ["&amp;VLOOKUP('.'!Z429,Recipes!$A:$D,4,FALSE)&amp;"]"))</f>
        <v/>
      </c>
      <c r="AA429" s="46" t="str">
        <f t="array" ref="AA429">IF('.'!AA429="","",'.'!AA429&amp;IF(VLOOKUP('.'!AA429,Recipes!$A:$D,4,FALSE)="",""," ["&amp;VLOOKUP('.'!AA429,Recipes!$A:$D,4,FALSE)&amp;"]"))</f>
        <v/>
      </c>
      <c r="AB429" s="46" t="str">
        <f t="array" ref="AB429">IF('.'!AB429="","",'.'!AB429&amp;IF(VLOOKUP('.'!AB429,Recipes!$A:$D,4,FALSE)="",""," ["&amp;VLOOKUP('.'!AB429,Recipes!$A:$D,4,FALSE)&amp;"]"))</f>
        <v/>
      </c>
      <c r="AC429" s="46" t="str">
        <f t="array" ref="AC429">IF('.'!AC429="","",'.'!AC429&amp;IF(VLOOKUP('.'!AC429,Recipes!$A:$D,4,FALSE)="",""," ["&amp;VLOOKUP('.'!AC429,Recipes!$A:$D,4,FALSE)&amp;"]"))</f>
        <v/>
      </c>
      <c r="AD429" s="46" t="str">
        <f t="array" ref="AD429">IF('.'!AD429="","",'.'!AD429&amp;IF(VLOOKUP('.'!AD429,Recipes!$A:$D,4,FALSE)="",""," ["&amp;VLOOKUP('.'!AD429,Recipes!$A:$D,4,FALSE)&amp;"]"))</f>
        <v/>
      </c>
      <c r="AE429" s="47" t="str">
        <f t="array" ref="AE429">IF('.'!AE429="","",'.'!AE429&amp;IF(VLOOKUP('.'!AE429,Recipes!$A:$D,4,FALSE)="",""," ["&amp;VLOOKUP('.'!AE429,Recipes!$A:$D,4,FALSE)&amp;"]"))</f>
        <v/>
      </c>
      <c r="AF429" s="47"/>
      <c r="AG429" s="47"/>
      <c r="AH429" s="47"/>
      <c r="AI429" s="47"/>
      <c r="AJ429" s="47"/>
      <c r="AK429" s="47"/>
      <c r="AL429" s="47"/>
      <c r="AM429" s="47"/>
      <c r="AN429" s="47"/>
      <c r="AO429" s="47"/>
      <c r="AP429" s="47"/>
      <c r="AQ429" s="47"/>
      <c r="AR429" s="47"/>
      <c r="AS429" s="47"/>
      <c r="AT429" s="47"/>
      <c r="AU429" s="47"/>
      <c r="AV429" s="47"/>
      <c r="AW429" s="47"/>
      <c r="AX429" s="47"/>
      <c r="AY429" s="47"/>
      <c r="AZ429" s="47"/>
      <c r="BA429" s="47"/>
      <c r="BB429" s="47"/>
      <c r="BC429" s="47"/>
      <c r="BD429" s="47"/>
      <c r="BE429" s="47"/>
      <c r="BF429" s="47"/>
      <c r="BG429" s="47"/>
      <c r="BH429" s="47"/>
      <c r="BI429" s="47"/>
      <c r="BJ429" s="47"/>
      <c r="BK429" s="47"/>
      <c r="BL429" s="47"/>
      <c r="BM429" s="47"/>
      <c r="BN429" s="47"/>
      <c r="BO429" s="47"/>
      <c r="BP429" s="47"/>
      <c r="BQ429" s="47"/>
      <c r="BR429" s="47"/>
      <c r="BS429" s="47"/>
      <c r="BT429" s="47"/>
      <c r="BU429" s="47"/>
      <c r="BV429" s="47"/>
      <c r="BW429" s="47"/>
      <c r="BX429" s="47"/>
      <c r="BY429" s="47"/>
      <c r="BZ429" s="47"/>
    </row>
    <row r="430" spans="1:78" ht="13">
      <c r="A430" s="48" t="str">
        <f ca="1">'.'!A430</f>
        <v>Superconductor Scroll</v>
      </c>
      <c r="B430" s="46" t="str">
        <f t="array" aca="1" ref="B430" ca="1">IF('.'!B430="","",'.'!B430&amp;IF(VLOOKUP('.'!B430,Recipes!$A:$D,4,FALSE)="",""," ["&amp;VLOOKUP('.'!B430,Recipes!$A:$D,4,FALSE)&amp;"]"))</f>
        <v>Superconductor Skillbook [650]</v>
      </c>
      <c r="C430" s="46" t="str">
        <f t="array" ref="C430">IF('.'!C430="","",'.'!C430&amp;IF(VLOOKUP('.'!C430,Recipes!$A:$D,4,FALSE)="",""," ["&amp;VLOOKUP('.'!C430,Recipes!$A:$D,4,FALSE)&amp;"]"))</f>
        <v/>
      </c>
      <c r="D430" s="46" t="str">
        <f t="array" ref="D430">IF('.'!D430="","",'.'!D430&amp;IF(VLOOKUP('.'!D430,Recipes!$A:$D,4,FALSE)="",""," ["&amp;VLOOKUP('.'!D430,Recipes!$A:$D,4,FALSE)&amp;"]"))</f>
        <v/>
      </c>
      <c r="E430" s="46" t="str">
        <f t="array" ref="E430">IF('.'!E430="","",'.'!E430&amp;IF(VLOOKUP('.'!E430,Recipes!$A:$D,4,FALSE)="",""," ["&amp;VLOOKUP('.'!E430,Recipes!$A:$D,4,FALSE)&amp;"]"))</f>
        <v/>
      </c>
      <c r="F430" s="46" t="str">
        <f t="array" ref="F430">IF('.'!F430="","",'.'!F430&amp;IF(VLOOKUP('.'!F430,Recipes!$A:$D,4,FALSE)="",""," ["&amp;VLOOKUP('.'!F430,Recipes!$A:$D,4,FALSE)&amp;"]"))</f>
        <v/>
      </c>
      <c r="G430" s="46" t="str">
        <f t="array" ref="G430">IF('.'!G430="","",'.'!G430&amp;IF(VLOOKUP('.'!G430,Recipes!$A:$D,4,FALSE)="",""," ["&amp;VLOOKUP('.'!G430,Recipes!$A:$D,4,FALSE)&amp;"]"))</f>
        <v/>
      </c>
      <c r="H430" s="46" t="str">
        <f t="array" ref="H430">IF('.'!H430="","",'.'!H430&amp;IF(VLOOKUP('.'!H430,Recipes!$A:$D,4,FALSE)="",""," ["&amp;VLOOKUP('.'!H430,Recipes!$A:$D,4,FALSE)&amp;"]"))</f>
        <v/>
      </c>
      <c r="I430" s="46" t="str">
        <f t="array" ref="I430">IF('.'!I430="","",'.'!I430&amp;IF(VLOOKUP('.'!I430,Recipes!$A:$D,4,FALSE)="",""," ["&amp;VLOOKUP('.'!I430,Recipes!$A:$D,4,FALSE)&amp;"]"))</f>
        <v/>
      </c>
      <c r="J430" s="46" t="str">
        <f t="array" ref="J430">IF('.'!J430="","",'.'!J430&amp;IF(VLOOKUP('.'!J430,Recipes!$A:$D,4,FALSE)="",""," ["&amp;VLOOKUP('.'!J430,Recipes!$A:$D,4,FALSE)&amp;"]"))</f>
        <v/>
      </c>
      <c r="K430" s="46" t="str">
        <f t="array" ref="K430">IF('.'!K430="","",'.'!K430&amp;IF(VLOOKUP('.'!K430,Recipes!$A:$D,4,FALSE)="",""," ["&amp;VLOOKUP('.'!K430,Recipes!$A:$D,4,FALSE)&amp;"]"))</f>
        <v/>
      </c>
      <c r="L430" s="46" t="str">
        <f t="array" ref="L430">IF('.'!L430="","",'.'!L430&amp;IF(VLOOKUP('.'!L430,Recipes!$A:$D,4,FALSE)="",""," ["&amp;VLOOKUP('.'!L430,Recipes!$A:$D,4,FALSE)&amp;"]"))</f>
        <v/>
      </c>
      <c r="M430" s="46" t="str">
        <f t="array" ref="M430">IF('.'!M430="","",'.'!M430&amp;IF(VLOOKUP('.'!M430,Recipes!$A:$D,4,FALSE)="",""," ["&amp;VLOOKUP('.'!M430,Recipes!$A:$D,4,FALSE)&amp;"]"))</f>
        <v/>
      </c>
      <c r="N430" s="46" t="str">
        <f t="array" ref="N430">IF('.'!N430="","",'.'!N430&amp;IF(VLOOKUP('.'!N430,Recipes!$A:$D,4,FALSE)="",""," ["&amp;VLOOKUP('.'!N430,Recipes!$A:$D,4,FALSE)&amp;"]"))</f>
        <v/>
      </c>
      <c r="O430" s="46" t="str">
        <f t="array" ref="O430">IF('.'!O430="","",'.'!O430&amp;IF(VLOOKUP('.'!O430,Recipes!$A:$D,4,FALSE)="",""," ["&amp;VLOOKUP('.'!O430,Recipes!$A:$D,4,FALSE)&amp;"]"))</f>
        <v/>
      </c>
      <c r="P430" s="46" t="str">
        <f t="array" ref="P430">IF('.'!P430="","",'.'!P430&amp;IF(VLOOKUP('.'!P430,Recipes!$A:$D,4,FALSE)="",""," ["&amp;VLOOKUP('.'!P430,Recipes!$A:$D,4,FALSE)&amp;"]"))</f>
        <v/>
      </c>
      <c r="Q430" s="46" t="str">
        <f t="array" ref="Q430">IF('.'!Q430="","",'.'!Q430&amp;IF(VLOOKUP('.'!Q430,Recipes!$A:$D,4,FALSE)="",""," ["&amp;VLOOKUP('.'!Q430,Recipes!$A:$D,4,FALSE)&amp;"]"))</f>
        <v/>
      </c>
      <c r="R430" s="46" t="str">
        <f t="array" ref="R430">IF('.'!R430="","",'.'!R430&amp;IF(VLOOKUP('.'!R430,Recipes!$A:$D,4,FALSE)="",""," ["&amp;VLOOKUP('.'!R430,Recipes!$A:$D,4,FALSE)&amp;"]"))</f>
        <v/>
      </c>
      <c r="S430" s="46" t="str">
        <f t="array" ref="S430">IF('.'!S430="","",'.'!S430&amp;IF(VLOOKUP('.'!S430,Recipes!$A:$D,4,FALSE)="",""," ["&amp;VLOOKUP('.'!S430,Recipes!$A:$D,4,FALSE)&amp;"]"))</f>
        <v/>
      </c>
      <c r="T430" s="46" t="str">
        <f t="array" ref="T430">IF('.'!T430="","",'.'!T430&amp;IF(VLOOKUP('.'!T430,Recipes!$A:$D,4,FALSE)="",""," ["&amp;VLOOKUP('.'!T430,Recipes!$A:$D,4,FALSE)&amp;"]"))</f>
        <v/>
      </c>
      <c r="U430" s="46" t="str">
        <f t="array" ref="U430">IF('.'!U430="","",'.'!U430&amp;IF(VLOOKUP('.'!U430,Recipes!$A:$D,4,FALSE)="",""," ["&amp;VLOOKUP('.'!U430,Recipes!$A:$D,4,FALSE)&amp;"]"))</f>
        <v/>
      </c>
      <c r="V430" s="46" t="str">
        <f t="array" ref="V430">IF('.'!V430="","",'.'!V430&amp;IF(VLOOKUP('.'!V430,Recipes!$A:$D,4,FALSE)="",""," ["&amp;VLOOKUP('.'!V430,Recipes!$A:$D,4,FALSE)&amp;"]"))</f>
        <v/>
      </c>
      <c r="W430" s="46" t="str">
        <f t="array" ref="W430">IF('.'!W430="","",'.'!W430&amp;IF(VLOOKUP('.'!W430,Recipes!$A:$D,4,FALSE)="",""," ["&amp;VLOOKUP('.'!W430,Recipes!$A:$D,4,FALSE)&amp;"]"))</f>
        <v/>
      </c>
      <c r="X430" s="46" t="str">
        <f t="array" ref="X430">IF('.'!X430="","",'.'!X430&amp;IF(VLOOKUP('.'!X430,Recipes!$A:$D,4,FALSE)="",""," ["&amp;VLOOKUP('.'!X430,Recipes!$A:$D,4,FALSE)&amp;"]"))</f>
        <v/>
      </c>
      <c r="Y430" s="46" t="str">
        <f t="array" ref="Y430">IF('.'!Y430="","",'.'!Y430&amp;IF(VLOOKUP('.'!Y430,Recipes!$A:$D,4,FALSE)="",""," ["&amp;VLOOKUP('.'!Y430,Recipes!$A:$D,4,FALSE)&amp;"]"))</f>
        <v/>
      </c>
      <c r="Z430" s="46" t="str">
        <f t="array" ref="Z430">IF('.'!Z430="","",'.'!Z430&amp;IF(VLOOKUP('.'!Z430,Recipes!$A:$D,4,FALSE)="",""," ["&amp;VLOOKUP('.'!Z430,Recipes!$A:$D,4,FALSE)&amp;"]"))</f>
        <v/>
      </c>
      <c r="AA430" s="46" t="str">
        <f t="array" ref="AA430">IF('.'!AA430="","",'.'!AA430&amp;IF(VLOOKUP('.'!AA430,Recipes!$A:$D,4,FALSE)="",""," ["&amp;VLOOKUP('.'!AA430,Recipes!$A:$D,4,FALSE)&amp;"]"))</f>
        <v/>
      </c>
      <c r="AB430" s="46" t="str">
        <f t="array" ref="AB430">IF('.'!AB430="","",'.'!AB430&amp;IF(VLOOKUP('.'!AB430,Recipes!$A:$D,4,FALSE)="",""," ["&amp;VLOOKUP('.'!AB430,Recipes!$A:$D,4,FALSE)&amp;"]"))</f>
        <v/>
      </c>
      <c r="AC430" s="46" t="str">
        <f t="array" ref="AC430">IF('.'!AC430="","",'.'!AC430&amp;IF(VLOOKUP('.'!AC430,Recipes!$A:$D,4,FALSE)="",""," ["&amp;VLOOKUP('.'!AC430,Recipes!$A:$D,4,FALSE)&amp;"]"))</f>
        <v/>
      </c>
      <c r="AD430" s="46" t="str">
        <f t="array" ref="AD430">IF('.'!AD430="","",'.'!AD430&amp;IF(VLOOKUP('.'!AD430,Recipes!$A:$D,4,FALSE)="",""," ["&amp;VLOOKUP('.'!AD430,Recipes!$A:$D,4,FALSE)&amp;"]"))</f>
        <v/>
      </c>
      <c r="AE430" s="47" t="str">
        <f t="array" ref="AE430">IF('.'!AE430="","",'.'!AE430&amp;IF(VLOOKUP('.'!AE430,Recipes!$A:$D,4,FALSE)="",""," ["&amp;VLOOKUP('.'!AE430,Recipes!$A:$D,4,FALSE)&amp;"]"))</f>
        <v/>
      </c>
      <c r="AF430" s="47"/>
      <c r="AG430" s="47"/>
      <c r="AH430" s="47"/>
      <c r="AI430" s="47"/>
      <c r="AJ430" s="47"/>
      <c r="AK430" s="47"/>
      <c r="AL430" s="47"/>
      <c r="AM430" s="47"/>
      <c r="AN430" s="47"/>
      <c r="AO430" s="47"/>
      <c r="AP430" s="47"/>
      <c r="AQ430" s="47"/>
      <c r="AR430" s="47"/>
      <c r="AS430" s="47"/>
      <c r="AT430" s="47"/>
      <c r="AU430" s="47"/>
      <c r="AV430" s="47"/>
      <c r="AW430" s="47"/>
      <c r="AX430" s="47"/>
      <c r="AY430" s="47"/>
      <c r="AZ430" s="47"/>
      <c r="BA430" s="47"/>
      <c r="BB430" s="47"/>
      <c r="BC430" s="47"/>
      <c r="BD430" s="47"/>
      <c r="BE430" s="47"/>
      <c r="BF430" s="47"/>
      <c r="BG430" s="47"/>
      <c r="BH430" s="47"/>
      <c r="BI430" s="47"/>
      <c r="BJ430" s="47"/>
      <c r="BK430" s="47"/>
      <c r="BL430" s="47"/>
      <c r="BM430" s="47"/>
      <c r="BN430" s="47"/>
      <c r="BO430" s="47"/>
      <c r="BP430" s="47"/>
      <c r="BQ430" s="47"/>
      <c r="BR430" s="47"/>
      <c r="BS430" s="47"/>
      <c r="BT430" s="47"/>
      <c r="BU430" s="47"/>
      <c r="BV430" s="47"/>
      <c r="BW430" s="47"/>
      <c r="BX430" s="47"/>
      <c r="BY430" s="47"/>
      <c r="BZ430" s="47"/>
    </row>
    <row r="431" spans="1:78" ht="13">
      <c r="A431" s="48" t="str">
        <f ca="1">'.'!A431</f>
        <v>Superior Stardust Herb</v>
      </c>
      <c r="B431" s="46" t="str">
        <f t="array" aca="1" ref="B431" ca="1">IF('.'!B431="","",'.'!B431&amp;IF(VLOOKUP('.'!B431,Recipes!$A:$D,4,FALSE)="",""," ["&amp;VLOOKUP('.'!B431,Recipes!$A:$D,4,FALSE)&amp;"]"))</f>
        <v>Mend Metal Scroll [-545]</v>
      </c>
      <c r="C431" s="46" t="str">
        <f t="array" aca="1" ref="C431" ca="1">IF('.'!C431="","",'.'!C431&amp;IF(VLOOKUP('.'!C431,Recipes!$A:$D,4,FALSE)="",""," ["&amp;VLOOKUP('.'!C431,Recipes!$A:$D,4,FALSE)&amp;"]"))</f>
        <v>Pouch of Superior Stardust [200]</v>
      </c>
      <c r="D431" s="46" t="str">
        <f t="array" ref="D431">IF('.'!D431="","",'.'!D431&amp;IF(VLOOKUP('.'!D431,Recipes!$A:$D,4,FALSE)="",""," ["&amp;VLOOKUP('.'!D431,Recipes!$A:$D,4,FALSE)&amp;"]"))</f>
        <v/>
      </c>
      <c r="E431" s="46" t="str">
        <f t="array" ref="E431">IF('.'!E431="","",'.'!E431&amp;IF(VLOOKUP('.'!E431,Recipes!$A:$D,4,FALSE)="",""," ["&amp;VLOOKUP('.'!E431,Recipes!$A:$D,4,FALSE)&amp;"]"))</f>
        <v/>
      </c>
      <c r="F431" s="46" t="str">
        <f t="array" ref="F431">IF('.'!F431="","",'.'!F431&amp;IF(VLOOKUP('.'!F431,Recipes!$A:$D,4,FALSE)="",""," ["&amp;VLOOKUP('.'!F431,Recipes!$A:$D,4,FALSE)&amp;"]"))</f>
        <v/>
      </c>
      <c r="G431" s="46" t="str">
        <f t="array" ref="G431">IF('.'!G431="","",'.'!G431&amp;IF(VLOOKUP('.'!G431,Recipes!$A:$D,4,FALSE)="",""," ["&amp;VLOOKUP('.'!G431,Recipes!$A:$D,4,FALSE)&amp;"]"))</f>
        <v/>
      </c>
      <c r="H431" s="46" t="str">
        <f t="array" ref="H431">IF('.'!H431="","",'.'!H431&amp;IF(VLOOKUP('.'!H431,Recipes!$A:$D,4,FALSE)="",""," ["&amp;VLOOKUP('.'!H431,Recipes!$A:$D,4,FALSE)&amp;"]"))</f>
        <v/>
      </c>
      <c r="I431" s="46" t="str">
        <f t="array" ref="I431">IF('.'!I431="","",'.'!I431&amp;IF(VLOOKUP('.'!I431,Recipes!$A:$D,4,FALSE)="",""," ["&amp;VLOOKUP('.'!I431,Recipes!$A:$D,4,FALSE)&amp;"]"))</f>
        <v/>
      </c>
      <c r="J431" s="46" t="str">
        <f t="array" ref="J431">IF('.'!J431="","",'.'!J431&amp;IF(VLOOKUP('.'!J431,Recipes!$A:$D,4,FALSE)="",""," ["&amp;VLOOKUP('.'!J431,Recipes!$A:$D,4,FALSE)&amp;"]"))</f>
        <v/>
      </c>
      <c r="K431" s="46" t="str">
        <f t="array" ref="K431">IF('.'!K431="","",'.'!K431&amp;IF(VLOOKUP('.'!K431,Recipes!$A:$D,4,FALSE)="",""," ["&amp;VLOOKUP('.'!K431,Recipes!$A:$D,4,FALSE)&amp;"]"))</f>
        <v/>
      </c>
      <c r="L431" s="46" t="str">
        <f t="array" ref="L431">IF('.'!L431="","",'.'!L431&amp;IF(VLOOKUP('.'!L431,Recipes!$A:$D,4,FALSE)="",""," ["&amp;VLOOKUP('.'!L431,Recipes!$A:$D,4,FALSE)&amp;"]"))</f>
        <v/>
      </c>
      <c r="M431" s="46" t="str">
        <f t="array" ref="M431">IF('.'!M431="","",'.'!M431&amp;IF(VLOOKUP('.'!M431,Recipes!$A:$D,4,FALSE)="",""," ["&amp;VLOOKUP('.'!M431,Recipes!$A:$D,4,FALSE)&amp;"]"))</f>
        <v/>
      </c>
      <c r="N431" s="46" t="str">
        <f t="array" ref="N431">IF('.'!N431="","",'.'!N431&amp;IF(VLOOKUP('.'!N431,Recipes!$A:$D,4,FALSE)="",""," ["&amp;VLOOKUP('.'!N431,Recipes!$A:$D,4,FALSE)&amp;"]"))</f>
        <v/>
      </c>
      <c r="O431" s="46" t="str">
        <f t="array" ref="O431">IF('.'!O431="","",'.'!O431&amp;IF(VLOOKUP('.'!O431,Recipes!$A:$D,4,FALSE)="",""," ["&amp;VLOOKUP('.'!O431,Recipes!$A:$D,4,FALSE)&amp;"]"))</f>
        <v/>
      </c>
      <c r="P431" s="46" t="str">
        <f t="array" ref="P431">IF('.'!P431="","",'.'!P431&amp;IF(VLOOKUP('.'!P431,Recipes!$A:$D,4,FALSE)="",""," ["&amp;VLOOKUP('.'!P431,Recipes!$A:$D,4,FALSE)&amp;"]"))</f>
        <v/>
      </c>
      <c r="Q431" s="46" t="str">
        <f t="array" ref="Q431">IF('.'!Q431="","",'.'!Q431&amp;IF(VLOOKUP('.'!Q431,Recipes!$A:$D,4,FALSE)="",""," ["&amp;VLOOKUP('.'!Q431,Recipes!$A:$D,4,FALSE)&amp;"]"))</f>
        <v/>
      </c>
      <c r="R431" s="46" t="str">
        <f t="array" ref="R431">IF('.'!R431="","",'.'!R431&amp;IF(VLOOKUP('.'!R431,Recipes!$A:$D,4,FALSE)="",""," ["&amp;VLOOKUP('.'!R431,Recipes!$A:$D,4,FALSE)&amp;"]"))</f>
        <v/>
      </c>
      <c r="S431" s="46" t="str">
        <f t="array" ref="S431">IF('.'!S431="","",'.'!S431&amp;IF(VLOOKUP('.'!S431,Recipes!$A:$D,4,FALSE)="",""," ["&amp;VLOOKUP('.'!S431,Recipes!$A:$D,4,FALSE)&amp;"]"))</f>
        <v/>
      </c>
      <c r="T431" s="46" t="str">
        <f t="array" ref="T431">IF('.'!T431="","",'.'!T431&amp;IF(VLOOKUP('.'!T431,Recipes!$A:$D,4,FALSE)="",""," ["&amp;VLOOKUP('.'!T431,Recipes!$A:$D,4,FALSE)&amp;"]"))</f>
        <v/>
      </c>
      <c r="U431" s="46" t="str">
        <f t="array" ref="U431">IF('.'!U431="","",'.'!U431&amp;IF(VLOOKUP('.'!U431,Recipes!$A:$D,4,FALSE)="",""," ["&amp;VLOOKUP('.'!U431,Recipes!$A:$D,4,FALSE)&amp;"]"))</f>
        <v/>
      </c>
      <c r="V431" s="46" t="str">
        <f t="array" ref="V431">IF('.'!V431="","",'.'!V431&amp;IF(VLOOKUP('.'!V431,Recipes!$A:$D,4,FALSE)="",""," ["&amp;VLOOKUP('.'!V431,Recipes!$A:$D,4,FALSE)&amp;"]"))</f>
        <v/>
      </c>
      <c r="W431" s="46" t="str">
        <f t="array" ref="W431">IF('.'!W431="","",'.'!W431&amp;IF(VLOOKUP('.'!W431,Recipes!$A:$D,4,FALSE)="",""," ["&amp;VLOOKUP('.'!W431,Recipes!$A:$D,4,FALSE)&amp;"]"))</f>
        <v/>
      </c>
      <c r="X431" s="46" t="str">
        <f t="array" ref="X431">IF('.'!X431="","",'.'!X431&amp;IF(VLOOKUP('.'!X431,Recipes!$A:$D,4,FALSE)="",""," ["&amp;VLOOKUP('.'!X431,Recipes!$A:$D,4,FALSE)&amp;"]"))</f>
        <v/>
      </c>
      <c r="Y431" s="46" t="str">
        <f t="array" ref="Y431">IF('.'!Y431="","",'.'!Y431&amp;IF(VLOOKUP('.'!Y431,Recipes!$A:$D,4,FALSE)="",""," ["&amp;VLOOKUP('.'!Y431,Recipes!$A:$D,4,FALSE)&amp;"]"))</f>
        <v/>
      </c>
      <c r="Z431" s="46" t="str">
        <f t="array" ref="Z431">IF('.'!Z431="","",'.'!Z431&amp;IF(VLOOKUP('.'!Z431,Recipes!$A:$D,4,FALSE)="",""," ["&amp;VLOOKUP('.'!Z431,Recipes!$A:$D,4,FALSE)&amp;"]"))</f>
        <v/>
      </c>
      <c r="AA431" s="46" t="str">
        <f t="array" ref="AA431">IF('.'!AA431="","",'.'!AA431&amp;IF(VLOOKUP('.'!AA431,Recipes!$A:$D,4,FALSE)="",""," ["&amp;VLOOKUP('.'!AA431,Recipes!$A:$D,4,FALSE)&amp;"]"))</f>
        <v/>
      </c>
      <c r="AB431" s="46" t="str">
        <f t="array" ref="AB431">IF('.'!AB431="","",'.'!AB431&amp;IF(VLOOKUP('.'!AB431,Recipes!$A:$D,4,FALSE)="",""," ["&amp;VLOOKUP('.'!AB431,Recipes!$A:$D,4,FALSE)&amp;"]"))</f>
        <v/>
      </c>
      <c r="AC431" s="46" t="str">
        <f t="array" ref="AC431">IF('.'!AC431="","",'.'!AC431&amp;IF(VLOOKUP('.'!AC431,Recipes!$A:$D,4,FALSE)="",""," ["&amp;VLOOKUP('.'!AC431,Recipes!$A:$D,4,FALSE)&amp;"]"))</f>
        <v/>
      </c>
      <c r="AD431" s="46" t="str">
        <f t="array" ref="AD431">IF('.'!AD431="","",'.'!AD431&amp;IF(VLOOKUP('.'!AD431,Recipes!$A:$D,4,FALSE)="",""," ["&amp;VLOOKUP('.'!AD431,Recipes!$A:$D,4,FALSE)&amp;"]"))</f>
        <v/>
      </c>
      <c r="AE431" s="47" t="str">
        <f t="array" ref="AE431">IF('.'!AE431="","",'.'!AE431&amp;IF(VLOOKUP('.'!AE431,Recipes!$A:$D,4,FALSE)="",""," ["&amp;VLOOKUP('.'!AE431,Recipes!$A:$D,4,FALSE)&amp;"]"))</f>
        <v/>
      </c>
      <c r="AF431" s="47"/>
      <c r="AG431" s="47"/>
      <c r="AH431" s="47"/>
      <c r="AI431" s="47"/>
      <c r="AJ431" s="47"/>
      <c r="AK431" s="47"/>
      <c r="AL431" s="47"/>
      <c r="AM431" s="47"/>
      <c r="AN431" s="47"/>
      <c r="AO431" s="47"/>
      <c r="AP431" s="47"/>
      <c r="AQ431" s="47"/>
      <c r="AR431" s="47"/>
      <c r="AS431" s="47"/>
      <c r="AT431" s="47"/>
      <c r="AU431" s="47"/>
      <c r="AV431" s="47"/>
      <c r="AW431" s="47"/>
      <c r="AX431" s="47"/>
      <c r="AY431" s="47"/>
      <c r="AZ431" s="47"/>
      <c r="BA431" s="47"/>
      <c r="BB431" s="47"/>
      <c r="BC431" s="47"/>
      <c r="BD431" s="47"/>
      <c r="BE431" s="47"/>
      <c r="BF431" s="47"/>
      <c r="BG431" s="47"/>
      <c r="BH431" s="47"/>
      <c r="BI431" s="47"/>
      <c r="BJ431" s="47"/>
      <c r="BK431" s="47"/>
      <c r="BL431" s="47"/>
      <c r="BM431" s="47"/>
      <c r="BN431" s="47"/>
      <c r="BO431" s="47"/>
      <c r="BP431" s="47"/>
      <c r="BQ431" s="47"/>
      <c r="BR431" s="47"/>
      <c r="BS431" s="47"/>
      <c r="BT431" s="47"/>
      <c r="BU431" s="47"/>
      <c r="BV431" s="47"/>
      <c r="BW431" s="47"/>
      <c r="BX431" s="47"/>
      <c r="BY431" s="47"/>
      <c r="BZ431" s="47"/>
    </row>
    <row r="432" spans="1:78" ht="13">
      <c r="A432" s="48" t="str">
        <f ca="1">'.'!A432</f>
        <v>Supernova Scroll</v>
      </c>
      <c r="B432" s="46" t="str">
        <f t="array" aca="1" ref="B432" ca="1">IF('.'!B432="","",'.'!B432&amp;IF(VLOOKUP('.'!B432,Recipes!$A:$D,4,FALSE)="",""," ["&amp;VLOOKUP('.'!B432,Recipes!$A:$D,4,FALSE)&amp;"]"))</f>
        <v>Supernova Skillbook [-160]</v>
      </c>
      <c r="C432" s="46" t="str">
        <f t="array" ref="C432">IF('.'!C432="","",'.'!C432&amp;IF(VLOOKUP('.'!C432,Recipes!$A:$D,4,FALSE)="",""," ["&amp;VLOOKUP('.'!C432,Recipes!$A:$D,4,FALSE)&amp;"]"))</f>
        <v/>
      </c>
      <c r="D432" s="46" t="str">
        <f t="array" ref="D432">IF('.'!D432="","",'.'!D432&amp;IF(VLOOKUP('.'!D432,Recipes!$A:$D,4,FALSE)="",""," ["&amp;VLOOKUP('.'!D432,Recipes!$A:$D,4,FALSE)&amp;"]"))</f>
        <v/>
      </c>
      <c r="E432" s="46" t="str">
        <f t="array" ref="E432">IF('.'!E432="","",'.'!E432&amp;IF(VLOOKUP('.'!E432,Recipes!$A:$D,4,FALSE)="",""," ["&amp;VLOOKUP('.'!E432,Recipes!$A:$D,4,FALSE)&amp;"]"))</f>
        <v/>
      </c>
      <c r="F432" s="46" t="str">
        <f t="array" ref="F432">IF('.'!F432="","",'.'!F432&amp;IF(VLOOKUP('.'!F432,Recipes!$A:$D,4,FALSE)="",""," ["&amp;VLOOKUP('.'!F432,Recipes!$A:$D,4,FALSE)&amp;"]"))</f>
        <v/>
      </c>
      <c r="G432" s="46" t="str">
        <f t="array" ref="G432">IF('.'!G432="","",'.'!G432&amp;IF(VLOOKUP('.'!G432,Recipes!$A:$D,4,FALSE)="",""," ["&amp;VLOOKUP('.'!G432,Recipes!$A:$D,4,FALSE)&amp;"]"))</f>
        <v/>
      </c>
      <c r="H432" s="46" t="str">
        <f t="array" ref="H432">IF('.'!H432="","",'.'!H432&amp;IF(VLOOKUP('.'!H432,Recipes!$A:$D,4,FALSE)="",""," ["&amp;VLOOKUP('.'!H432,Recipes!$A:$D,4,FALSE)&amp;"]"))</f>
        <v/>
      </c>
      <c r="I432" s="46" t="str">
        <f t="array" ref="I432">IF('.'!I432="","",'.'!I432&amp;IF(VLOOKUP('.'!I432,Recipes!$A:$D,4,FALSE)="",""," ["&amp;VLOOKUP('.'!I432,Recipes!$A:$D,4,FALSE)&amp;"]"))</f>
        <v/>
      </c>
      <c r="J432" s="46" t="str">
        <f t="array" ref="J432">IF('.'!J432="","",'.'!J432&amp;IF(VLOOKUP('.'!J432,Recipes!$A:$D,4,FALSE)="",""," ["&amp;VLOOKUP('.'!J432,Recipes!$A:$D,4,FALSE)&amp;"]"))</f>
        <v/>
      </c>
      <c r="K432" s="46" t="str">
        <f t="array" ref="K432">IF('.'!K432="","",'.'!K432&amp;IF(VLOOKUP('.'!K432,Recipes!$A:$D,4,FALSE)="",""," ["&amp;VLOOKUP('.'!K432,Recipes!$A:$D,4,FALSE)&amp;"]"))</f>
        <v/>
      </c>
      <c r="L432" s="46" t="str">
        <f t="array" ref="L432">IF('.'!L432="","",'.'!L432&amp;IF(VLOOKUP('.'!L432,Recipes!$A:$D,4,FALSE)="",""," ["&amp;VLOOKUP('.'!L432,Recipes!$A:$D,4,FALSE)&amp;"]"))</f>
        <v/>
      </c>
      <c r="M432" s="46" t="str">
        <f t="array" ref="M432">IF('.'!M432="","",'.'!M432&amp;IF(VLOOKUP('.'!M432,Recipes!$A:$D,4,FALSE)="",""," ["&amp;VLOOKUP('.'!M432,Recipes!$A:$D,4,FALSE)&amp;"]"))</f>
        <v/>
      </c>
      <c r="N432" s="46" t="str">
        <f t="array" ref="N432">IF('.'!N432="","",'.'!N432&amp;IF(VLOOKUP('.'!N432,Recipes!$A:$D,4,FALSE)="",""," ["&amp;VLOOKUP('.'!N432,Recipes!$A:$D,4,FALSE)&amp;"]"))</f>
        <v/>
      </c>
      <c r="O432" s="46" t="str">
        <f t="array" ref="O432">IF('.'!O432="","",'.'!O432&amp;IF(VLOOKUP('.'!O432,Recipes!$A:$D,4,FALSE)="",""," ["&amp;VLOOKUP('.'!O432,Recipes!$A:$D,4,FALSE)&amp;"]"))</f>
        <v/>
      </c>
      <c r="P432" s="46" t="str">
        <f t="array" ref="P432">IF('.'!P432="","",'.'!P432&amp;IF(VLOOKUP('.'!P432,Recipes!$A:$D,4,FALSE)="",""," ["&amp;VLOOKUP('.'!P432,Recipes!$A:$D,4,FALSE)&amp;"]"))</f>
        <v/>
      </c>
      <c r="Q432" s="46" t="str">
        <f t="array" ref="Q432">IF('.'!Q432="","",'.'!Q432&amp;IF(VLOOKUP('.'!Q432,Recipes!$A:$D,4,FALSE)="",""," ["&amp;VLOOKUP('.'!Q432,Recipes!$A:$D,4,FALSE)&amp;"]"))</f>
        <v/>
      </c>
      <c r="R432" s="46" t="str">
        <f t="array" ref="R432">IF('.'!R432="","",'.'!R432&amp;IF(VLOOKUP('.'!R432,Recipes!$A:$D,4,FALSE)="",""," ["&amp;VLOOKUP('.'!R432,Recipes!$A:$D,4,FALSE)&amp;"]"))</f>
        <v/>
      </c>
      <c r="S432" s="46" t="str">
        <f t="array" ref="S432">IF('.'!S432="","",'.'!S432&amp;IF(VLOOKUP('.'!S432,Recipes!$A:$D,4,FALSE)="",""," ["&amp;VLOOKUP('.'!S432,Recipes!$A:$D,4,FALSE)&amp;"]"))</f>
        <v/>
      </c>
      <c r="T432" s="46" t="str">
        <f t="array" ref="T432">IF('.'!T432="","",'.'!T432&amp;IF(VLOOKUP('.'!T432,Recipes!$A:$D,4,FALSE)="",""," ["&amp;VLOOKUP('.'!T432,Recipes!$A:$D,4,FALSE)&amp;"]"))</f>
        <v/>
      </c>
      <c r="U432" s="46" t="str">
        <f t="array" ref="U432">IF('.'!U432="","",'.'!U432&amp;IF(VLOOKUP('.'!U432,Recipes!$A:$D,4,FALSE)="",""," ["&amp;VLOOKUP('.'!U432,Recipes!$A:$D,4,FALSE)&amp;"]"))</f>
        <v/>
      </c>
      <c r="V432" s="46" t="str">
        <f t="array" ref="V432">IF('.'!V432="","",'.'!V432&amp;IF(VLOOKUP('.'!V432,Recipes!$A:$D,4,FALSE)="",""," ["&amp;VLOOKUP('.'!V432,Recipes!$A:$D,4,FALSE)&amp;"]"))</f>
        <v/>
      </c>
      <c r="W432" s="46" t="str">
        <f t="array" ref="W432">IF('.'!W432="","",'.'!W432&amp;IF(VLOOKUP('.'!W432,Recipes!$A:$D,4,FALSE)="",""," ["&amp;VLOOKUP('.'!W432,Recipes!$A:$D,4,FALSE)&amp;"]"))</f>
        <v/>
      </c>
      <c r="X432" s="46" t="str">
        <f t="array" ref="X432">IF('.'!X432="","",'.'!X432&amp;IF(VLOOKUP('.'!X432,Recipes!$A:$D,4,FALSE)="",""," ["&amp;VLOOKUP('.'!X432,Recipes!$A:$D,4,FALSE)&amp;"]"))</f>
        <v/>
      </c>
      <c r="Y432" s="46" t="str">
        <f t="array" ref="Y432">IF('.'!Y432="","",'.'!Y432&amp;IF(VLOOKUP('.'!Y432,Recipes!$A:$D,4,FALSE)="",""," ["&amp;VLOOKUP('.'!Y432,Recipes!$A:$D,4,FALSE)&amp;"]"))</f>
        <v/>
      </c>
      <c r="Z432" s="46" t="str">
        <f t="array" ref="Z432">IF('.'!Z432="","",'.'!Z432&amp;IF(VLOOKUP('.'!Z432,Recipes!$A:$D,4,FALSE)="",""," ["&amp;VLOOKUP('.'!Z432,Recipes!$A:$D,4,FALSE)&amp;"]"))</f>
        <v/>
      </c>
      <c r="AA432" s="46" t="str">
        <f t="array" ref="AA432">IF('.'!AA432="","",'.'!AA432&amp;IF(VLOOKUP('.'!AA432,Recipes!$A:$D,4,FALSE)="",""," ["&amp;VLOOKUP('.'!AA432,Recipes!$A:$D,4,FALSE)&amp;"]"))</f>
        <v/>
      </c>
      <c r="AB432" s="46" t="str">
        <f t="array" ref="AB432">IF('.'!AB432="","",'.'!AB432&amp;IF(VLOOKUP('.'!AB432,Recipes!$A:$D,4,FALSE)="",""," ["&amp;VLOOKUP('.'!AB432,Recipes!$A:$D,4,FALSE)&amp;"]"))</f>
        <v/>
      </c>
      <c r="AC432" s="46" t="str">
        <f t="array" ref="AC432">IF('.'!AC432="","",'.'!AC432&amp;IF(VLOOKUP('.'!AC432,Recipes!$A:$D,4,FALSE)="",""," ["&amp;VLOOKUP('.'!AC432,Recipes!$A:$D,4,FALSE)&amp;"]"))</f>
        <v/>
      </c>
      <c r="AD432" s="46" t="str">
        <f t="array" ref="AD432">IF('.'!AD432="","",'.'!AD432&amp;IF(VLOOKUP('.'!AD432,Recipes!$A:$D,4,FALSE)="",""," ["&amp;VLOOKUP('.'!AD432,Recipes!$A:$D,4,FALSE)&amp;"]"))</f>
        <v/>
      </c>
      <c r="AE432" s="47" t="str">
        <f t="array" ref="AE432">IF('.'!AE432="","",'.'!AE432&amp;IF(VLOOKUP('.'!AE432,Recipes!$A:$D,4,FALSE)="",""," ["&amp;VLOOKUP('.'!AE432,Recipes!$A:$D,4,FALSE)&amp;"]"))</f>
        <v/>
      </c>
      <c r="AF432" s="47"/>
      <c r="AG432" s="47"/>
      <c r="AH432" s="47"/>
      <c r="AI432" s="47"/>
      <c r="AJ432" s="47"/>
      <c r="AK432" s="47"/>
      <c r="AL432" s="47"/>
      <c r="AM432" s="47"/>
      <c r="AN432" s="47"/>
      <c r="AO432" s="47"/>
      <c r="AP432" s="47"/>
      <c r="AQ432" s="47"/>
      <c r="AR432" s="47"/>
      <c r="AS432" s="47"/>
      <c r="AT432" s="47"/>
      <c r="AU432" s="47"/>
      <c r="AV432" s="47"/>
      <c r="AW432" s="47"/>
      <c r="AX432" s="47"/>
      <c r="AY432" s="47"/>
      <c r="AZ432" s="47"/>
      <c r="BA432" s="47"/>
      <c r="BB432" s="47"/>
      <c r="BC432" s="47"/>
      <c r="BD432" s="47"/>
      <c r="BE432" s="47"/>
      <c r="BF432" s="47"/>
      <c r="BG432" s="47"/>
      <c r="BH432" s="47"/>
      <c r="BI432" s="47"/>
      <c r="BJ432" s="47"/>
      <c r="BK432" s="47"/>
      <c r="BL432" s="47"/>
      <c r="BM432" s="47"/>
      <c r="BN432" s="47"/>
      <c r="BO432" s="47"/>
      <c r="BP432" s="47"/>
      <c r="BQ432" s="47"/>
      <c r="BR432" s="47"/>
      <c r="BS432" s="47"/>
      <c r="BT432" s="47"/>
      <c r="BU432" s="47"/>
      <c r="BV432" s="47"/>
      <c r="BW432" s="47"/>
      <c r="BX432" s="47"/>
      <c r="BY432" s="47"/>
      <c r="BZ432" s="47"/>
    </row>
    <row r="433" spans="1:78" ht="13">
      <c r="A433" s="48" t="str">
        <f ca="1">'.'!A433</f>
        <v>Swornbreaker Schematic</v>
      </c>
      <c r="B433" s="46" t="e">
        <f t="array" aca="1" ref="B433" ca="1">IF('.'!B433="","",'.'!B433&amp;IF(VLOOKUP('.'!B433,Recipes!$A:$D,4,FALSE)="",""," ["&amp;VLOOKUP('.'!B433,Recipes!$A:$D,4,FALSE)&amp;"]"))</f>
        <v>#VALUE!</v>
      </c>
      <c r="C433" s="46" t="str">
        <f t="array" ref="C433">IF('.'!C433="","",'.'!C433&amp;IF(VLOOKUP('.'!C433,Recipes!$A:$D,4,FALSE)="",""," ["&amp;VLOOKUP('.'!C433,Recipes!$A:$D,4,FALSE)&amp;"]"))</f>
        <v/>
      </c>
      <c r="D433" s="46" t="str">
        <f t="array" ref="D433">IF('.'!D433="","",'.'!D433&amp;IF(VLOOKUP('.'!D433,Recipes!$A:$D,4,FALSE)="",""," ["&amp;VLOOKUP('.'!D433,Recipes!$A:$D,4,FALSE)&amp;"]"))</f>
        <v/>
      </c>
      <c r="E433" s="46" t="str">
        <f t="array" ref="E433">IF('.'!E433="","",'.'!E433&amp;IF(VLOOKUP('.'!E433,Recipes!$A:$D,4,FALSE)="",""," ["&amp;VLOOKUP('.'!E433,Recipes!$A:$D,4,FALSE)&amp;"]"))</f>
        <v/>
      </c>
      <c r="F433" s="46" t="str">
        <f t="array" ref="F433">IF('.'!F433="","",'.'!F433&amp;IF(VLOOKUP('.'!F433,Recipes!$A:$D,4,FALSE)="",""," ["&amp;VLOOKUP('.'!F433,Recipes!$A:$D,4,FALSE)&amp;"]"))</f>
        <v/>
      </c>
      <c r="G433" s="46" t="str">
        <f t="array" ref="G433">IF('.'!G433="","",'.'!G433&amp;IF(VLOOKUP('.'!G433,Recipes!$A:$D,4,FALSE)="",""," ["&amp;VLOOKUP('.'!G433,Recipes!$A:$D,4,FALSE)&amp;"]"))</f>
        <v/>
      </c>
      <c r="H433" s="46" t="str">
        <f t="array" ref="H433">IF('.'!H433="","",'.'!H433&amp;IF(VLOOKUP('.'!H433,Recipes!$A:$D,4,FALSE)="",""," ["&amp;VLOOKUP('.'!H433,Recipes!$A:$D,4,FALSE)&amp;"]"))</f>
        <v/>
      </c>
      <c r="I433" s="46" t="str">
        <f t="array" ref="I433">IF('.'!I433="","",'.'!I433&amp;IF(VLOOKUP('.'!I433,Recipes!$A:$D,4,FALSE)="",""," ["&amp;VLOOKUP('.'!I433,Recipes!$A:$D,4,FALSE)&amp;"]"))</f>
        <v/>
      </c>
      <c r="J433" s="46" t="str">
        <f t="array" ref="J433">IF('.'!J433="","",'.'!J433&amp;IF(VLOOKUP('.'!J433,Recipes!$A:$D,4,FALSE)="",""," ["&amp;VLOOKUP('.'!J433,Recipes!$A:$D,4,FALSE)&amp;"]"))</f>
        <v/>
      </c>
      <c r="K433" s="46" t="str">
        <f t="array" ref="K433">IF('.'!K433="","",'.'!K433&amp;IF(VLOOKUP('.'!K433,Recipes!$A:$D,4,FALSE)="",""," ["&amp;VLOOKUP('.'!K433,Recipes!$A:$D,4,FALSE)&amp;"]"))</f>
        <v/>
      </c>
      <c r="L433" s="46" t="str">
        <f t="array" ref="L433">IF('.'!L433="","",'.'!L433&amp;IF(VLOOKUP('.'!L433,Recipes!$A:$D,4,FALSE)="",""," ["&amp;VLOOKUP('.'!L433,Recipes!$A:$D,4,FALSE)&amp;"]"))</f>
        <v/>
      </c>
      <c r="M433" s="46" t="str">
        <f t="array" ref="M433">IF('.'!M433="","",'.'!M433&amp;IF(VLOOKUP('.'!M433,Recipes!$A:$D,4,FALSE)="",""," ["&amp;VLOOKUP('.'!M433,Recipes!$A:$D,4,FALSE)&amp;"]"))</f>
        <v/>
      </c>
      <c r="N433" s="46" t="str">
        <f t="array" ref="N433">IF('.'!N433="","",'.'!N433&amp;IF(VLOOKUP('.'!N433,Recipes!$A:$D,4,FALSE)="",""," ["&amp;VLOOKUP('.'!N433,Recipes!$A:$D,4,FALSE)&amp;"]"))</f>
        <v/>
      </c>
      <c r="O433" s="46" t="str">
        <f t="array" ref="O433">IF('.'!O433="","",'.'!O433&amp;IF(VLOOKUP('.'!O433,Recipes!$A:$D,4,FALSE)="",""," ["&amp;VLOOKUP('.'!O433,Recipes!$A:$D,4,FALSE)&amp;"]"))</f>
        <v/>
      </c>
      <c r="P433" s="46" t="str">
        <f t="array" ref="P433">IF('.'!P433="","",'.'!P433&amp;IF(VLOOKUP('.'!P433,Recipes!$A:$D,4,FALSE)="",""," ["&amp;VLOOKUP('.'!P433,Recipes!$A:$D,4,FALSE)&amp;"]"))</f>
        <v/>
      </c>
      <c r="Q433" s="46" t="str">
        <f t="array" ref="Q433">IF('.'!Q433="","",'.'!Q433&amp;IF(VLOOKUP('.'!Q433,Recipes!$A:$D,4,FALSE)="",""," ["&amp;VLOOKUP('.'!Q433,Recipes!$A:$D,4,FALSE)&amp;"]"))</f>
        <v/>
      </c>
      <c r="R433" s="46" t="str">
        <f t="array" ref="R433">IF('.'!R433="","",'.'!R433&amp;IF(VLOOKUP('.'!R433,Recipes!$A:$D,4,FALSE)="",""," ["&amp;VLOOKUP('.'!R433,Recipes!$A:$D,4,FALSE)&amp;"]"))</f>
        <v/>
      </c>
      <c r="S433" s="46" t="str">
        <f t="array" ref="S433">IF('.'!S433="","",'.'!S433&amp;IF(VLOOKUP('.'!S433,Recipes!$A:$D,4,FALSE)="",""," ["&amp;VLOOKUP('.'!S433,Recipes!$A:$D,4,FALSE)&amp;"]"))</f>
        <v/>
      </c>
      <c r="T433" s="46" t="str">
        <f t="array" ref="T433">IF('.'!T433="","",'.'!T433&amp;IF(VLOOKUP('.'!T433,Recipes!$A:$D,4,FALSE)="",""," ["&amp;VLOOKUP('.'!T433,Recipes!$A:$D,4,FALSE)&amp;"]"))</f>
        <v/>
      </c>
      <c r="U433" s="46" t="str">
        <f t="array" ref="U433">IF('.'!U433="","",'.'!U433&amp;IF(VLOOKUP('.'!U433,Recipes!$A:$D,4,FALSE)="",""," ["&amp;VLOOKUP('.'!U433,Recipes!$A:$D,4,FALSE)&amp;"]"))</f>
        <v/>
      </c>
      <c r="V433" s="46" t="str">
        <f t="array" ref="V433">IF('.'!V433="","",'.'!V433&amp;IF(VLOOKUP('.'!V433,Recipes!$A:$D,4,FALSE)="",""," ["&amp;VLOOKUP('.'!V433,Recipes!$A:$D,4,FALSE)&amp;"]"))</f>
        <v/>
      </c>
      <c r="W433" s="46" t="str">
        <f t="array" ref="W433">IF('.'!W433="","",'.'!W433&amp;IF(VLOOKUP('.'!W433,Recipes!$A:$D,4,FALSE)="",""," ["&amp;VLOOKUP('.'!W433,Recipes!$A:$D,4,FALSE)&amp;"]"))</f>
        <v/>
      </c>
      <c r="X433" s="46" t="str">
        <f t="array" ref="X433">IF('.'!X433="","",'.'!X433&amp;IF(VLOOKUP('.'!X433,Recipes!$A:$D,4,FALSE)="",""," ["&amp;VLOOKUP('.'!X433,Recipes!$A:$D,4,FALSE)&amp;"]"))</f>
        <v/>
      </c>
      <c r="Y433" s="46" t="str">
        <f t="array" ref="Y433">IF('.'!Y433="","",'.'!Y433&amp;IF(VLOOKUP('.'!Y433,Recipes!$A:$D,4,FALSE)="",""," ["&amp;VLOOKUP('.'!Y433,Recipes!$A:$D,4,FALSE)&amp;"]"))</f>
        <v/>
      </c>
      <c r="Z433" s="46" t="str">
        <f t="array" ref="Z433">IF('.'!Z433="","",'.'!Z433&amp;IF(VLOOKUP('.'!Z433,Recipes!$A:$D,4,FALSE)="",""," ["&amp;VLOOKUP('.'!Z433,Recipes!$A:$D,4,FALSE)&amp;"]"))</f>
        <v/>
      </c>
      <c r="AA433" s="46" t="str">
        <f t="array" ref="AA433">IF('.'!AA433="","",'.'!AA433&amp;IF(VLOOKUP('.'!AA433,Recipes!$A:$D,4,FALSE)="",""," ["&amp;VLOOKUP('.'!AA433,Recipes!$A:$D,4,FALSE)&amp;"]"))</f>
        <v/>
      </c>
      <c r="AB433" s="46" t="str">
        <f t="array" ref="AB433">IF('.'!AB433="","",'.'!AB433&amp;IF(VLOOKUP('.'!AB433,Recipes!$A:$D,4,FALSE)="",""," ["&amp;VLOOKUP('.'!AB433,Recipes!$A:$D,4,FALSE)&amp;"]"))</f>
        <v/>
      </c>
      <c r="AC433" s="46" t="str">
        <f t="array" ref="AC433">IF('.'!AC433="","",'.'!AC433&amp;IF(VLOOKUP('.'!AC433,Recipes!$A:$D,4,FALSE)="",""," ["&amp;VLOOKUP('.'!AC433,Recipes!$A:$D,4,FALSE)&amp;"]"))</f>
        <v/>
      </c>
      <c r="AD433" s="46" t="str">
        <f t="array" ref="AD433">IF('.'!AD433="","",'.'!AD433&amp;IF(VLOOKUP('.'!AD433,Recipes!$A:$D,4,FALSE)="",""," ["&amp;VLOOKUP('.'!AD433,Recipes!$A:$D,4,FALSE)&amp;"]"))</f>
        <v/>
      </c>
      <c r="AE433" s="47" t="str">
        <f t="array" ref="AE433">IF('.'!AE433="","",'.'!AE433&amp;IF(VLOOKUP('.'!AE433,Recipes!$A:$D,4,FALSE)="",""," ["&amp;VLOOKUP('.'!AE433,Recipes!$A:$D,4,FALSE)&amp;"]"))</f>
        <v/>
      </c>
      <c r="AF433" s="47"/>
      <c r="AG433" s="47"/>
      <c r="AH433" s="47"/>
      <c r="AI433" s="47"/>
      <c r="AJ433" s="47"/>
      <c r="AK433" s="47"/>
      <c r="AL433" s="47"/>
      <c r="AM433" s="47"/>
      <c r="AN433" s="47"/>
      <c r="AO433" s="47"/>
      <c r="AP433" s="47"/>
      <c r="AQ433" s="47"/>
      <c r="AR433" s="47"/>
      <c r="AS433" s="47"/>
      <c r="AT433" s="47"/>
      <c r="AU433" s="47"/>
      <c r="AV433" s="47"/>
      <c r="AW433" s="47"/>
      <c r="AX433" s="47"/>
      <c r="AY433" s="47"/>
      <c r="AZ433" s="47"/>
      <c r="BA433" s="47"/>
      <c r="BB433" s="47"/>
      <c r="BC433" s="47"/>
      <c r="BD433" s="47"/>
      <c r="BE433" s="47"/>
      <c r="BF433" s="47"/>
      <c r="BG433" s="47"/>
      <c r="BH433" s="47"/>
      <c r="BI433" s="47"/>
      <c r="BJ433" s="47"/>
      <c r="BK433" s="47"/>
      <c r="BL433" s="47"/>
      <c r="BM433" s="47"/>
      <c r="BN433" s="47"/>
      <c r="BO433" s="47"/>
      <c r="BP433" s="47"/>
      <c r="BQ433" s="47"/>
      <c r="BR433" s="47"/>
      <c r="BS433" s="47"/>
      <c r="BT433" s="47"/>
      <c r="BU433" s="47"/>
      <c r="BV433" s="47"/>
      <c r="BW433" s="47"/>
      <c r="BX433" s="47"/>
      <c r="BY433" s="47"/>
      <c r="BZ433" s="47"/>
    </row>
    <row r="434" spans="1:78" ht="13">
      <c r="A434" s="48" t="str">
        <f ca="1">'.'!A434</f>
        <v>Tablet</v>
      </c>
      <c r="B434" s="46" t="str">
        <f t="array" aca="1" ref="B434" ca="1">IF('.'!B434="","",'.'!B434&amp;IF(VLOOKUP('.'!B434,Recipes!$A:$D,4,FALSE)="",""," ["&amp;VLOOKUP('.'!B434,Recipes!$A:$D,4,FALSE)&amp;"]"))</f>
        <v>Pyroclastic Eruption Scroll</v>
      </c>
      <c r="C434" s="46" t="str">
        <f t="array" ref="C434">IF('.'!C434="","",'.'!C434&amp;IF(VLOOKUP('.'!C434,Recipes!$A:$D,4,FALSE)="",""," ["&amp;VLOOKUP('.'!C434,Recipes!$A:$D,4,FALSE)&amp;"]"))</f>
        <v/>
      </c>
      <c r="D434" s="46" t="str">
        <f t="array" ref="D434">IF('.'!D434="","",'.'!D434&amp;IF(VLOOKUP('.'!D434,Recipes!$A:$D,4,FALSE)="",""," ["&amp;VLOOKUP('.'!D434,Recipes!$A:$D,4,FALSE)&amp;"]"))</f>
        <v/>
      </c>
      <c r="E434" s="46" t="str">
        <f t="array" ref="E434">IF('.'!E434="","",'.'!E434&amp;IF(VLOOKUP('.'!E434,Recipes!$A:$D,4,FALSE)="",""," ["&amp;VLOOKUP('.'!E434,Recipes!$A:$D,4,FALSE)&amp;"]"))</f>
        <v/>
      </c>
      <c r="F434" s="46" t="str">
        <f t="array" ref="F434">IF('.'!F434="","",'.'!F434&amp;IF(VLOOKUP('.'!F434,Recipes!$A:$D,4,FALSE)="",""," ["&amp;VLOOKUP('.'!F434,Recipes!$A:$D,4,FALSE)&amp;"]"))</f>
        <v/>
      </c>
      <c r="G434" s="46" t="str">
        <f t="array" ref="G434">IF('.'!G434="","",'.'!G434&amp;IF(VLOOKUP('.'!G434,Recipes!$A:$D,4,FALSE)="",""," ["&amp;VLOOKUP('.'!G434,Recipes!$A:$D,4,FALSE)&amp;"]"))</f>
        <v/>
      </c>
      <c r="H434" s="46" t="str">
        <f t="array" ref="H434">IF('.'!H434="","",'.'!H434&amp;IF(VLOOKUP('.'!H434,Recipes!$A:$D,4,FALSE)="",""," ["&amp;VLOOKUP('.'!H434,Recipes!$A:$D,4,FALSE)&amp;"]"))</f>
        <v/>
      </c>
      <c r="I434" s="46" t="str">
        <f t="array" ref="I434">IF('.'!I434="","",'.'!I434&amp;IF(VLOOKUP('.'!I434,Recipes!$A:$D,4,FALSE)="",""," ["&amp;VLOOKUP('.'!I434,Recipes!$A:$D,4,FALSE)&amp;"]"))</f>
        <v/>
      </c>
      <c r="J434" s="46" t="str">
        <f t="array" ref="J434">IF('.'!J434="","",'.'!J434&amp;IF(VLOOKUP('.'!J434,Recipes!$A:$D,4,FALSE)="",""," ["&amp;VLOOKUP('.'!J434,Recipes!$A:$D,4,FALSE)&amp;"]"))</f>
        <v/>
      </c>
      <c r="K434" s="46" t="str">
        <f t="array" ref="K434">IF('.'!K434="","",'.'!K434&amp;IF(VLOOKUP('.'!K434,Recipes!$A:$D,4,FALSE)="",""," ["&amp;VLOOKUP('.'!K434,Recipes!$A:$D,4,FALSE)&amp;"]"))</f>
        <v/>
      </c>
      <c r="L434" s="46" t="str">
        <f t="array" ref="L434">IF('.'!L434="","",'.'!L434&amp;IF(VLOOKUP('.'!L434,Recipes!$A:$D,4,FALSE)="",""," ["&amp;VLOOKUP('.'!L434,Recipes!$A:$D,4,FALSE)&amp;"]"))</f>
        <v/>
      </c>
      <c r="M434" s="46" t="str">
        <f t="array" ref="M434">IF('.'!M434="","",'.'!M434&amp;IF(VLOOKUP('.'!M434,Recipes!$A:$D,4,FALSE)="",""," ["&amp;VLOOKUP('.'!M434,Recipes!$A:$D,4,FALSE)&amp;"]"))</f>
        <v/>
      </c>
      <c r="N434" s="46" t="str">
        <f t="array" ref="N434">IF('.'!N434="","",'.'!N434&amp;IF(VLOOKUP('.'!N434,Recipes!$A:$D,4,FALSE)="",""," ["&amp;VLOOKUP('.'!N434,Recipes!$A:$D,4,FALSE)&amp;"]"))</f>
        <v/>
      </c>
      <c r="O434" s="46" t="str">
        <f t="array" ref="O434">IF('.'!O434="","",'.'!O434&amp;IF(VLOOKUP('.'!O434,Recipes!$A:$D,4,FALSE)="",""," ["&amp;VLOOKUP('.'!O434,Recipes!$A:$D,4,FALSE)&amp;"]"))</f>
        <v/>
      </c>
      <c r="P434" s="46" t="str">
        <f t="array" ref="P434">IF('.'!P434="","",'.'!P434&amp;IF(VLOOKUP('.'!P434,Recipes!$A:$D,4,FALSE)="",""," ["&amp;VLOOKUP('.'!P434,Recipes!$A:$D,4,FALSE)&amp;"]"))</f>
        <v/>
      </c>
      <c r="Q434" s="46" t="str">
        <f t="array" ref="Q434">IF('.'!Q434="","",'.'!Q434&amp;IF(VLOOKUP('.'!Q434,Recipes!$A:$D,4,FALSE)="",""," ["&amp;VLOOKUP('.'!Q434,Recipes!$A:$D,4,FALSE)&amp;"]"))</f>
        <v/>
      </c>
      <c r="R434" s="46" t="str">
        <f t="array" ref="R434">IF('.'!R434="","",'.'!R434&amp;IF(VLOOKUP('.'!R434,Recipes!$A:$D,4,FALSE)="",""," ["&amp;VLOOKUP('.'!R434,Recipes!$A:$D,4,FALSE)&amp;"]"))</f>
        <v/>
      </c>
      <c r="S434" s="46" t="str">
        <f t="array" ref="S434">IF('.'!S434="","",'.'!S434&amp;IF(VLOOKUP('.'!S434,Recipes!$A:$D,4,FALSE)="",""," ["&amp;VLOOKUP('.'!S434,Recipes!$A:$D,4,FALSE)&amp;"]"))</f>
        <v/>
      </c>
      <c r="T434" s="46" t="str">
        <f t="array" ref="T434">IF('.'!T434="","",'.'!T434&amp;IF(VLOOKUP('.'!T434,Recipes!$A:$D,4,FALSE)="",""," ["&amp;VLOOKUP('.'!T434,Recipes!$A:$D,4,FALSE)&amp;"]"))</f>
        <v/>
      </c>
      <c r="U434" s="46" t="str">
        <f t="array" ref="U434">IF('.'!U434="","",'.'!U434&amp;IF(VLOOKUP('.'!U434,Recipes!$A:$D,4,FALSE)="",""," ["&amp;VLOOKUP('.'!U434,Recipes!$A:$D,4,FALSE)&amp;"]"))</f>
        <v/>
      </c>
      <c r="V434" s="46" t="str">
        <f t="array" ref="V434">IF('.'!V434="","",'.'!V434&amp;IF(VLOOKUP('.'!V434,Recipes!$A:$D,4,FALSE)="",""," ["&amp;VLOOKUP('.'!V434,Recipes!$A:$D,4,FALSE)&amp;"]"))</f>
        <v/>
      </c>
      <c r="W434" s="46" t="str">
        <f t="array" ref="W434">IF('.'!W434="","",'.'!W434&amp;IF(VLOOKUP('.'!W434,Recipes!$A:$D,4,FALSE)="",""," ["&amp;VLOOKUP('.'!W434,Recipes!$A:$D,4,FALSE)&amp;"]"))</f>
        <v/>
      </c>
      <c r="X434" s="46" t="str">
        <f t="array" ref="X434">IF('.'!X434="","",'.'!X434&amp;IF(VLOOKUP('.'!X434,Recipes!$A:$D,4,FALSE)="",""," ["&amp;VLOOKUP('.'!X434,Recipes!$A:$D,4,FALSE)&amp;"]"))</f>
        <v/>
      </c>
      <c r="Y434" s="46" t="str">
        <f t="array" ref="Y434">IF('.'!Y434="","",'.'!Y434&amp;IF(VLOOKUP('.'!Y434,Recipes!$A:$D,4,FALSE)="",""," ["&amp;VLOOKUP('.'!Y434,Recipes!$A:$D,4,FALSE)&amp;"]"))</f>
        <v/>
      </c>
      <c r="Z434" s="46" t="str">
        <f t="array" ref="Z434">IF('.'!Z434="","",'.'!Z434&amp;IF(VLOOKUP('.'!Z434,Recipes!$A:$D,4,FALSE)="",""," ["&amp;VLOOKUP('.'!Z434,Recipes!$A:$D,4,FALSE)&amp;"]"))</f>
        <v/>
      </c>
      <c r="AA434" s="46" t="str">
        <f t="array" ref="AA434">IF('.'!AA434="","",'.'!AA434&amp;IF(VLOOKUP('.'!AA434,Recipes!$A:$D,4,FALSE)="",""," ["&amp;VLOOKUP('.'!AA434,Recipes!$A:$D,4,FALSE)&amp;"]"))</f>
        <v/>
      </c>
      <c r="AB434" s="46" t="str">
        <f t="array" ref="AB434">IF('.'!AB434="","",'.'!AB434&amp;IF(VLOOKUP('.'!AB434,Recipes!$A:$D,4,FALSE)="",""," ["&amp;VLOOKUP('.'!AB434,Recipes!$A:$D,4,FALSE)&amp;"]"))</f>
        <v/>
      </c>
      <c r="AC434" s="46" t="str">
        <f t="array" ref="AC434">IF('.'!AC434="","",'.'!AC434&amp;IF(VLOOKUP('.'!AC434,Recipes!$A:$D,4,FALSE)="",""," ["&amp;VLOOKUP('.'!AC434,Recipes!$A:$D,4,FALSE)&amp;"]"))</f>
        <v/>
      </c>
      <c r="AD434" s="46" t="str">
        <f t="array" ref="AD434">IF('.'!AD434="","",'.'!AD434&amp;IF(VLOOKUP('.'!AD434,Recipes!$A:$D,4,FALSE)="",""," ["&amp;VLOOKUP('.'!AD434,Recipes!$A:$D,4,FALSE)&amp;"]"))</f>
        <v/>
      </c>
      <c r="AE434" s="47" t="str">
        <f t="array" ref="AE434">IF('.'!AE434="","",'.'!AE434&amp;IF(VLOOKUP('.'!AE434,Recipes!$A:$D,4,FALSE)="",""," ["&amp;VLOOKUP('.'!AE434,Recipes!$A:$D,4,FALSE)&amp;"]"))</f>
        <v/>
      </c>
      <c r="AF434" s="47"/>
      <c r="AG434" s="47"/>
      <c r="AH434" s="47"/>
      <c r="AI434" s="47"/>
      <c r="AJ434" s="47"/>
      <c r="AK434" s="47"/>
      <c r="AL434" s="47"/>
      <c r="AM434" s="47"/>
      <c r="AN434" s="47"/>
      <c r="AO434" s="47"/>
      <c r="AP434" s="47"/>
      <c r="AQ434" s="47"/>
      <c r="AR434" s="47"/>
      <c r="AS434" s="47"/>
      <c r="AT434" s="47"/>
      <c r="AU434" s="47"/>
      <c r="AV434" s="47"/>
      <c r="AW434" s="47"/>
      <c r="AX434" s="47"/>
      <c r="AY434" s="47"/>
      <c r="AZ434" s="47"/>
      <c r="BA434" s="47"/>
      <c r="BB434" s="47"/>
      <c r="BC434" s="47"/>
      <c r="BD434" s="47"/>
      <c r="BE434" s="47"/>
      <c r="BF434" s="47"/>
      <c r="BG434" s="47"/>
      <c r="BH434" s="47"/>
      <c r="BI434" s="47"/>
      <c r="BJ434" s="47"/>
      <c r="BK434" s="47"/>
      <c r="BL434" s="47"/>
      <c r="BM434" s="47"/>
      <c r="BN434" s="47"/>
      <c r="BO434" s="47"/>
      <c r="BP434" s="47"/>
      <c r="BQ434" s="47"/>
      <c r="BR434" s="47"/>
      <c r="BS434" s="47"/>
      <c r="BT434" s="47"/>
      <c r="BU434" s="47"/>
      <c r="BV434" s="47"/>
      <c r="BW434" s="47"/>
      <c r="BX434" s="47"/>
      <c r="BY434" s="47"/>
      <c r="BZ434" s="47"/>
    </row>
    <row r="435" spans="1:78" ht="13">
      <c r="A435" s="48" t="str">
        <f ca="1">'.'!A435</f>
        <v>Tea Herbs</v>
      </c>
      <c r="B435" s="46" t="e">
        <f t="array" aca="1" ref="B435" ca="1">IF('.'!B435="","",'.'!B435&amp;IF(VLOOKUP('.'!B435,Recipes!$A:$D,4,FALSE)="",""," ["&amp;VLOOKUP('.'!B435,Recipes!$A:$D,4,FALSE)&amp;"]"))</f>
        <v>#VALUE!</v>
      </c>
      <c r="C435" s="46" t="str">
        <f t="array" aca="1" ref="C435" ca="1">IF('.'!C435="","",'.'!C435&amp;IF(VLOOKUP('.'!C435,Recipes!$A:$D,4,FALSE)="",""," ["&amp;VLOOKUP('.'!C435,Recipes!$A:$D,4,FALSE)&amp;"]"))</f>
        <v>Mug of Tea [-3]</v>
      </c>
      <c r="D435" s="46" t="str">
        <f t="array" ref="D435">IF('.'!D435="","",'.'!D435&amp;IF(VLOOKUP('.'!D435,Recipes!$A:$D,4,FALSE)="",""," ["&amp;VLOOKUP('.'!D435,Recipes!$A:$D,4,FALSE)&amp;"]"))</f>
        <v/>
      </c>
      <c r="E435" s="46" t="str">
        <f t="array" ref="E435">IF('.'!E435="","",'.'!E435&amp;IF(VLOOKUP('.'!E435,Recipes!$A:$D,4,FALSE)="",""," ["&amp;VLOOKUP('.'!E435,Recipes!$A:$D,4,FALSE)&amp;"]"))</f>
        <v/>
      </c>
      <c r="F435" s="46" t="str">
        <f t="array" ref="F435">IF('.'!F435="","",'.'!F435&amp;IF(VLOOKUP('.'!F435,Recipes!$A:$D,4,FALSE)="",""," ["&amp;VLOOKUP('.'!F435,Recipes!$A:$D,4,FALSE)&amp;"]"))</f>
        <v/>
      </c>
      <c r="G435" s="46" t="str">
        <f t="array" ref="G435">IF('.'!G435="","",'.'!G435&amp;IF(VLOOKUP('.'!G435,Recipes!$A:$D,4,FALSE)="",""," ["&amp;VLOOKUP('.'!G435,Recipes!$A:$D,4,FALSE)&amp;"]"))</f>
        <v/>
      </c>
      <c r="H435" s="46" t="str">
        <f t="array" ref="H435">IF('.'!H435="","",'.'!H435&amp;IF(VLOOKUP('.'!H435,Recipes!$A:$D,4,FALSE)="",""," ["&amp;VLOOKUP('.'!H435,Recipes!$A:$D,4,FALSE)&amp;"]"))</f>
        <v/>
      </c>
      <c r="I435" s="46" t="str">
        <f t="array" ref="I435">IF('.'!I435="","",'.'!I435&amp;IF(VLOOKUP('.'!I435,Recipes!$A:$D,4,FALSE)="",""," ["&amp;VLOOKUP('.'!I435,Recipes!$A:$D,4,FALSE)&amp;"]"))</f>
        <v/>
      </c>
      <c r="J435" s="46" t="str">
        <f t="array" ref="J435">IF('.'!J435="","",'.'!J435&amp;IF(VLOOKUP('.'!J435,Recipes!$A:$D,4,FALSE)="",""," ["&amp;VLOOKUP('.'!J435,Recipes!$A:$D,4,FALSE)&amp;"]"))</f>
        <v/>
      </c>
      <c r="K435" s="46" t="str">
        <f t="array" ref="K435">IF('.'!K435="","",'.'!K435&amp;IF(VLOOKUP('.'!K435,Recipes!$A:$D,4,FALSE)="",""," ["&amp;VLOOKUP('.'!K435,Recipes!$A:$D,4,FALSE)&amp;"]"))</f>
        <v/>
      </c>
      <c r="L435" s="46" t="str">
        <f t="array" ref="L435">IF('.'!L435="","",'.'!L435&amp;IF(VLOOKUP('.'!L435,Recipes!$A:$D,4,FALSE)="",""," ["&amp;VLOOKUP('.'!L435,Recipes!$A:$D,4,FALSE)&amp;"]"))</f>
        <v/>
      </c>
      <c r="M435" s="46" t="str">
        <f t="array" ref="M435">IF('.'!M435="","",'.'!M435&amp;IF(VLOOKUP('.'!M435,Recipes!$A:$D,4,FALSE)="",""," ["&amp;VLOOKUP('.'!M435,Recipes!$A:$D,4,FALSE)&amp;"]"))</f>
        <v/>
      </c>
      <c r="N435" s="46" t="str">
        <f t="array" ref="N435">IF('.'!N435="","",'.'!N435&amp;IF(VLOOKUP('.'!N435,Recipes!$A:$D,4,FALSE)="",""," ["&amp;VLOOKUP('.'!N435,Recipes!$A:$D,4,FALSE)&amp;"]"))</f>
        <v/>
      </c>
      <c r="O435" s="46" t="str">
        <f t="array" ref="O435">IF('.'!O435="","",'.'!O435&amp;IF(VLOOKUP('.'!O435,Recipes!$A:$D,4,FALSE)="",""," ["&amp;VLOOKUP('.'!O435,Recipes!$A:$D,4,FALSE)&amp;"]"))</f>
        <v/>
      </c>
      <c r="P435" s="46" t="str">
        <f t="array" ref="P435">IF('.'!P435="","",'.'!P435&amp;IF(VLOOKUP('.'!P435,Recipes!$A:$D,4,FALSE)="",""," ["&amp;VLOOKUP('.'!P435,Recipes!$A:$D,4,FALSE)&amp;"]"))</f>
        <v/>
      </c>
      <c r="Q435" s="46" t="str">
        <f t="array" ref="Q435">IF('.'!Q435="","",'.'!Q435&amp;IF(VLOOKUP('.'!Q435,Recipes!$A:$D,4,FALSE)="",""," ["&amp;VLOOKUP('.'!Q435,Recipes!$A:$D,4,FALSE)&amp;"]"))</f>
        <v/>
      </c>
      <c r="R435" s="46" t="str">
        <f t="array" ref="R435">IF('.'!R435="","",'.'!R435&amp;IF(VLOOKUP('.'!R435,Recipes!$A:$D,4,FALSE)="",""," ["&amp;VLOOKUP('.'!R435,Recipes!$A:$D,4,FALSE)&amp;"]"))</f>
        <v/>
      </c>
      <c r="S435" s="46" t="str">
        <f t="array" ref="S435">IF('.'!S435="","",'.'!S435&amp;IF(VLOOKUP('.'!S435,Recipes!$A:$D,4,FALSE)="",""," ["&amp;VLOOKUP('.'!S435,Recipes!$A:$D,4,FALSE)&amp;"]"))</f>
        <v/>
      </c>
      <c r="T435" s="46" t="str">
        <f t="array" ref="T435">IF('.'!T435="","",'.'!T435&amp;IF(VLOOKUP('.'!T435,Recipes!$A:$D,4,FALSE)="",""," ["&amp;VLOOKUP('.'!T435,Recipes!$A:$D,4,FALSE)&amp;"]"))</f>
        <v/>
      </c>
      <c r="U435" s="46" t="str">
        <f t="array" ref="U435">IF('.'!U435="","",'.'!U435&amp;IF(VLOOKUP('.'!U435,Recipes!$A:$D,4,FALSE)="",""," ["&amp;VLOOKUP('.'!U435,Recipes!$A:$D,4,FALSE)&amp;"]"))</f>
        <v/>
      </c>
      <c r="V435" s="46" t="str">
        <f t="array" ref="V435">IF('.'!V435="","",'.'!V435&amp;IF(VLOOKUP('.'!V435,Recipes!$A:$D,4,FALSE)="",""," ["&amp;VLOOKUP('.'!V435,Recipes!$A:$D,4,FALSE)&amp;"]"))</f>
        <v/>
      </c>
      <c r="W435" s="46" t="str">
        <f t="array" ref="W435">IF('.'!W435="","",'.'!W435&amp;IF(VLOOKUP('.'!W435,Recipes!$A:$D,4,FALSE)="",""," ["&amp;VLOOKUP('.'!W435,Recipes!$A:$D,4,FALSE)&amp;"]"))</f>
        <v/>
      </c>
      <c r="X435" s="46" t="str">
        <f t="array" ref="X435">IF('.'!X435="","",'.'!X435&amp;IF(VLOOKUP('.'!X435,Recipes!$A:$D,4,FALSE)="",""," ["&amp;VLOOKUP('.'!X435,Recipes!$A:$D,4,FALSE)&amp;"]"))</f>
        <v/>
      </c>
      <c r="Y435" s="46" t="str">
        <f t="array" ref="Y435">IF('.'!Y435="","",'.'!Y435&amp;IF(VLOOKUP('.'!Y435,Recipes!$A:$D,4,FALSE)="",""," ["&amp;VLOOKUP('.'!Y435,Recipes!$A:$D,4,FALSE)&amp;"]"))</f>
        <v/>
      </c>
      <c r="Z435" s="46" t="str">
        <f t="array" ref="Z435">IF('.'!Z435="","",'.'!Z435&amp;IF(VLOOKUP('.'!Z435,Recipes!$A:$D,4,FALSE)="",""," ["&amp;VLOOKUP('.'!Z435,Recipes!$A:$D,4,FALSE)&amp;"]"))</f>
        <v/>
      </c>
      <c r="AA435" s="46" t="str">
        <f t="array" ref="AA435">IF('.'!AA435="","",'.'!AA435&amp;IF(VLOOKUP('.'!AA435,Recipes!$A:$D,4,FALSE)="",""," ["&amp;VLOOKUP('.'!AA435,Recipes!$A:$D,4,FALSE)&amp;"]"))</f>
        <v/>
      </c>
      <c r="AB435" s="46" t="str">
        <f t="array" ref="AB435">IF('.'!AB435="","",'.'!AB435&amp;IF(VLOOKUP('.'!AB435,Recipes!$A:$D,4,FALSE)="",""," ["&amp;VLOOKUP('.'!AB435,Recipes!$A:$D,4,FALSE)&amp;"]"))</f>
        <v/>
      </c>
      <c r="AC435" s="46" t="str">
        <f t="array" ref="AC435">IF('.'!AC435="","",'.'!AC435&amp;IF(VLOOKUP('.'!AC435,Recipes!$A:$D,4,FALSE)="",""," ["&amp;VLOOKUP('.'!AC435,Recipes!$A:$D,4,FALSE)&amp;"]"))</f>
        <v/>
      </c>
      <c r="AD435" s="46" t="str">
        <f t="array" ref="AD435">IF('.'!AD435="","",'.'!AD435&amp;IF(VLOOKUP('.'!AD435,Recipes!$A:$D,4,FALSE)="",""," ["&amp;VLOOKUP('.'!AD435,Recipes!$A:$D,4,FALSE)&amp;"]"))</f>
        <v/>
      </c>
      <c r="AE435" s="47" t="str">
        <f t="array" ref="AE435">IF('.'!AE435="","",'.'!AE435&amp;IF(VLOOKUP('.'!AE435,Recipes!$A:$D,4,FALSE)="",""," ["&amp;VLOOKUP('.'!AE435,Recipes!$A:$D,4,FALSE)&amp;"]"))</f>
        <v/>
      </c>
      <c r="AF435" s="47"/>
      <c r="AG435" s="47"/>
      <c r="AH435" s="47"/>
      <c r="AI435" s="47"/>
      <c r="AJ435" s="47"/>
      <c r="AK435" s="47"/>
      <c r="AL435" s="47"/>
      <c r="AM435" s="47"/>
      <c r="AN435" s="47"/>
      <c r="AO435" s="47"/>
      <c r="AP435" s="47"/>
      <c r="AQ435" s="47"/>
      <c r="AR435" s="47"/>
      <c r="AS435" s="47"/>
      <c r="AT435" s="47"/>
      <c r="AU435" s="47"/>
      <c r="AV435" s="47"/>
      <c r="AW435" s="47"/>
      <c r="AX435" s="47"/>
      <c r="AY435" s="47"/>
      <c r="AZ435" s="47"/>
      <c r="BA435" s="47"/>
      <c r="BB435" s="47"/>
      <c r="BC435" s="47"/>
      <c r="BD435" s="47"/>
      <c r="BE435" s="47"/>
      <c r="BF435" s="47"/>
      <c r="BG435" s="47"/>
      <c r="BH435" s="47"/>
      <c r="BI435" s="47"/>
      <c r="BJ435" s="47"/>
      <c r="BK435" s="47"/>
      <c r="BL435" s="47"/>
      <c r="BM435" s="47"/>
      <c r="BN435" s="47"/>
      <c r="BO435" s="47"/>
      <c r="BP435" s="47"/>
      <c r="BQ435" s="47"/>
      <c r="BR435" s="47"/>
      <c r="BS435" s="47"/>
      <c r="BT435" s="47"/>
      <c r="BU435" s="47"/>
      <c r="BV435" s="47"/>
      <c r="BW435" s="47"/>
      <c r="BX435" s="47"/>
      <c r="BY435" s="47"/>
      <c r="BZ435" s="47"/>
    </row>
    <row r="436" spans="1:78" ht="13">
      <c r="A436" s="48" t="str">
        <f ca="1">'.'!A436</f>
        <v>Teapot</v>
      </c>
      <c r="B436" s="46" t="str">
        <f t="array" aca="1" ref="B436" ca="1">IF('.'!B436="","",'.'!B436&amp;IF(VLOOKUP('.'!B436,Recipes!$A:$D,4,FALSE)="",""," ["&amp;VLOOKUP('.'!B436,Recipes!$A:$D,4,FALSE)&amp;"]"))</f>
        <v>Black Tea</v>
      </c>
      <c r="C436" s="46" t="str">
        <f t="array" aca="1" ref="C436" ca="1">IF('.'!C436="","",'.'!C436&amp;IF(VLOOKUP('.'!C436,Recipes!$A:$D,4,FALSE)="",""," ["&amp;VLOOKUP('.'!C436,Recipes!$A:$D,4,FALSE)&amp;"]"))</f>
        <v>Green Tea</v>
      </c>
      <c r="D436" s="46" t="str">
        <f t="array" aca="1" ref="D436" ca="1">IF('.'!D436="","",'.'!D436&amp;IF(VLOOKUP('.'!D436,Recipes!$A:$D,4,FALSE)="",""," ["&amp;VLOOKUP('.'!D436,Recipes!$A:$D,4,FALSE)&amp;"]"))</f>
        <v>White Tea</v>
      </c>
      <c r="E436" s="46" t="str">
        <f t="array" ref="E436">IF('.'!E436="","",'.'!E436&amp;IF(VLOOKUP('.'!E436,Recipes!$A:$D,4,FALSE)="",""," ["&amp;VLOOKUP('.'!E436,Recipes!$A:$D,4,FALSE)&amp;"]"))</f>
        <v/>
      </c>
      <c r="F436" s="46" t="str">
        <f t="array" ref="F436">IF('.'!F436="","",'.'!F436&amp;IF(VLOOKUP('.'!F436,Recipes!$A:$D,4,FALSE)="",""," ["&amp;VLOOKUP('.'!F436,Recipes!$A:$D,4,FALSE)&amp;"]"))</f>
        <v/>
      </c>
      <c r="G436" s="46" t="str">
        <f t="array" ref="G436">IF('.'!G436="","",'.'!G436&amp;IF(VLOOKUP('.'!G436,Recipes!$A:$D,4,FALSE)="",""," ["&amp;VLOOKUP('.'!G436,Recipes!$A:$D,4,FALSE)&amp;"]"))</f>
        <v/>
      </c>
      <c r="H436" s="46" t="str">
        <f t="array" ref="H436">IF('.'!H436="","",'.'!H436&amp;IF(VLOOKUP('.'!H436,Recipes!$A:$D,4,FALSE)="",""," ["&amp;VLOOKUP('.'!H436,Recipes!$A:$D,4,FALSE)&amp;"]"))</f>
        <v/>
      </c>
      <c r="I436" s="46" t="str">
        <f t="array" ref="I436">IF('.'!I436="","",'.'!I436&amp;IF(VLOOKUP('.'!I436,Recipes!$A:$D,4,FALSE)="",""," ["&amp;VLOOKUP('.'!I436,Recipes!$A:$D,4,FALSE)&amp;"]"))</f>
        <v/>
      </c>
      <c r="J436" s="46" t="str">
        <f t="array" ref="J436">IF('.'!J436="","",'.'!J436&amp;IF(VLOOKUP('.'!J436,Recipes!$A:$D,4,FALSE)="",""," ["&amp;VLOOKUP('.'!J436,Recipes!$A:$D,4,FALSE)&amp;"]"))</f>
        <v/>
      </c>
      <c r="K436" s="46" t="str">
        <f t="array" ref="K436">IF('.'!K436="","",'.'!K436&amp;IF(VLOOKUP('.'!K436,Recipes!$A:$D,4,FALSE)="",""," ["&amp;VLOOKUP('.'!K436,Recipes!$A:$D,4,FALSE)&amp;"]"))</f>
        <v/>
      </c>
      <c r="L436" s="46" t="str">
        <f t="array" ref="L436">IF('.'!L436="","",'.'!L436&amp;IF(VLOOKUP('.'!L436,Recipes!$A:$D,4,FALSE)="",""," ["&amp;VLOOKUP('.'!L436,Recipes!$A:$D,4,FALSE)&amp;"]"))</f>
        <v/>
      </c>
      <c r="M436" s="46" t="str">
        <f t="array" ref="M436">IF('.'!M436="","",'.'!M436&amp;IF(VLOOKUP('.'!M436,Recipes!$A:$D,4,FALSE)="",""," ["&amp;VLOOKUP('.'!M436,Recipes!$A:$D,4,FALSE)&amp;"]"))</f>
        <v/>
      </c>
      <c r="N436" s="46" t="str">
        <f t="array" ref="N436">IF('.'!N436="","",'.'!N436&amp;IF(VLOOKUP('.'!N436,Recipes!$A:$D,4,FALSE)="",""," ["&amp;VLOOKUP('.'!N436,Recipes!$A:$D,4,FALSE)&amp;"]"))</f>
        <v/>
      </c>
      <c r="O436" s="46" t="str">
        <f t="array" ref="O436">IF('.'!O436="","",'.'!O436&amp;IF(VLOOKUP('.'!O436,Recipes!$A:$D,4,FALSE)="",""," ["&amp;VLOOKUP('.'!O436,Recipes!$A:$D,4,FALSE)&amp;"]"))</f>
        <v/>
      </c>
      <c r="P436" s="46" t="str">
        <f t="array" ref="P436">IF('.'!P436="","",'.'!P436&amp;IF(VLOOKUP('.'!P436,Recipes!$A:$D,4,FALSE)="",""," ["&amp;VLOOKUP('.'!P436,Recipes!$A:$D,4,FALSE)&amp;"]"))</f>
        <v/>
      </c>
      <c r="Q436" s="46" t="str">
        <f t="array" ref="Q436">IF('.'!Q436="","",'.'!Q436&amp;IF(VLOOKUP('.'!Q436,Recipes!$A:$D,4,FALSE)="",""," ["&amp;VLOOKUP('.'!Q436,Recipes!$A:$D,4,FALSE)&amp;"]"))</f>
        <v/>
      </c>
      <c r="R436" s="46" t="str">
        <f t="array" ref="R436">IF('.'!R436="","",'.'!R436&amp;IF(VLOOKUP('.'!R436,Recipes!$A:$D,4,FALSE)="",""," ["&amp;VLOOKUP('.'!R436,Recipes!$A:$D,4,FALSE)&amp;"]"))</f>
        <v/>
      </c>
      <c r="S436" s="46" t="str">
        <f t="array" ref="S436">IF('.'!S436="","",'.'!S436&amp;IF(VLOOKUP('.'!S436,Recipes!$A:$D,4,FALSE)="",""," ["&amp;VLOOKUP('.'!S436,Recipes!$A:$D,4,FALSE)&amp;"]"))</f>
        <v/>
      </c>
      <c r="T436" s="46" t="str">
        <f t="array" ref="T436">IF('.'!T436="","",'.'!T436&amp;IF(VLOOKUP('.'!T436,Recipes!$A:$D,4,FALSE)="",""," ["&amp;VLOOKUP('.'!T436,Recipes!$A:$D,4,FALSE)&amp;"]"))</f>
        <v/>
      </c>
      <c r="U436" s="46" t="str">
        <f t="array" ref="U436">IF('.'!U436="","",'.'!U436&amp;IF(VLOOKUP('.'!U436,Recipes!$A:$D,4,FALSE)="",""," ["&amp;VLOOKUP('.'!U436,Recipes!$A:$D,4,FALSE)&amp;"]"))</f>
        <v/>
      </c>
      <c r="V436" s="46" t="str">
        <f t="array" ref="V436">IF('.'!V436="","",'.'!V436&amp;IF(VLOOKUP('.'!V436,Recipes!$A:$D,4,FALSE)="",""," ["&amp;VLOOKUP('.'!V436,Recipes!$A:$D,4,FALSE)&amp;"]"))</f>
        <v/>
      </c>
      <c r="W436" s="46" t="str">
        <f t="array" ref="W436">IF('.'!W436="","",'.'!W436&amp;IF(VLOOKUP('.'!W436,Recipes!$A:$D,4,FALSE)="",""," ["&amp;VLOOKUP('.'!W436,Recipes!$A:$D,4,FALSE)&amp;"]"))</f>
        <v/>
      </c>
      <c r="X436" s="46" t="str">
        <f t="array" ref="X436">IF('.'!X436="","",'.'!X436&amp;IF(VLOOKUP('.'!X436,Recipes!$A:$D,4,FALSE)="",""," ["&amp;VLOOKUP('.'!X436,Recipes!$A:$D,4,FALSE)&amp;"]"))</f>
        <v/>
      </c>
      <c r="Y436" s="46" t="str">
        <f t="array" ref="Y436">IF('.'!Y436="","",'.'!Y436&amp;IF(VLOOKUP('.'!Y436,Recipes!$A:$D,4,FALSE)="",""," ["&amp;VLOOKUP('.'!Y436,Recipes!$A:$D,4,FALSE)&amp;"]"))</f>
        <v/>
      </c>
      <c r="Z436" s="46" t="str">
        <f t="array" ref="Z436">IF('.'!Z436="","",'.'!Z436&amp;IF(VLOOKUP('.'!Z436,Recipes!$A:$D,4,FALSE)="",""," ["&amp;VLOOKUP('.'!Z436,Recipes!$A:$D,4,FALSE)&amp;"]"))</f>
        <v/>
      </c>
      <c r="AA436" s="46" t="str">
        <f t="array" ref="AA436">IF('.'!AA436="","",'.'!AA436&amp;IF(VLOOKUP('.'!AA436,Recipes!$A:$D,4,FALSE)="",""," ["&amp;VLOOKUP('.'!AA436,Recipes!$A:$D,4,FALSE)&amp;"]"))</f>
        <v/>
      </c>
      <c r="AB436" s="46" t="str">
        <f t="array" ref="AB436">IF('.'!AB436="","",'.'!AB436&amp;IF(VLOOKUP('.'!AB436,Recipes!$A:$D,4,FALSE)="",""," ["&amp;VLOOKUP('.'!AB436,Recipes!$A:$D,4,FALSE)&amp;"]"))</f>
        <v/>
      </c>
      <c r="AC436" s="46" t="str">
        <f t="array" ref="AC436">IF('.'!AC436="","",'.'!AC436&amp;IF(VLOOKUP('.'!AC436,Recipes!$A:$D,4,FALSE)="",""," ["&amp;VLOOKUP('.'!AC436,Recipes!$A:$D,4,FALSE)&amp;"]"))</f>
        <v/>
      </c>
      <c r="AD436" s="46" t="str">
        <f t="array" ref="AD436">IF('.'!AD436="","",'.'!AD436&amp;IF(VLOOKUP('.'!AD436,Recipes!$A:$D,4,FALSE)="",""," ["&amp;VLOOKUP('.'!AD436,Recipes!$A:$D,4,FALSE)&amp;"]"))</f>
        <v/>
      </c>
      <c r="AE436" s="47" t="str">
        <f t="array" ref="AE436">IF('.'!AE436="","",'.'!AE436&amp;IF(VLOOKUP('.'!AE436,Recipes!$A:$D,4,FALSE)="",""," ["&amp;VLOOKUP('.'!AE436,Recipes!$A:$D,4,FALSE)&amp;"]"))</f>
        <v/>
      </c>
      <c r="AF436" s="47"/>
      <c r="AG436" s="47"/>
      <c r="AH436" s="47"/>
      <c r="AI436" s="47"/>
      <c r="AJ436" s="47"/>
      <c r="AK436" s="47"/>
      <c r="AL436" s="47"/>
      <c r="AM436" s="47"/>
      <c r="AN436" s="47"/>
      <c r="AO436" s="47"/>
      <c r="AP436" s="47"/>
      <c r="AQ436" s="47"/>
      <c r="AR436" s="47"/>
      <c r="AS436" s="47"/>
      <c r="AT436" s="47"/>
      <c r="AU436" s="47"/>
      <c r="AV436" s="47"/>
      <c r="AW436" s="47"/>
      <c r="AX436" s="47"/>
      <c r="AY436" s="47"/>
      <c r="AZ436" s="47"/>
      <c r="BA436" s="47"/>
      <c r="BB436" s="47"/>
      <c r="BC436" s="47"/>
      <c r="BD436" s="47"/>
      <c r="BE436" s="47"/>
      <c r="BF436" s="47"/>
      <c r="BG436" s="47"/>
      <c r="BH436" s="47"/>
      <c r="BI436" s="47"/>
      <c r="BJ436" s="47"/>
      <c r="BK436" s="47"/>
      <c r="BL436" s="47"/>
      <c r="BM436" s="47"/>
      <c r="BN436" s="47"/>
      <c r="BO436" s="47"/>
      <c r="BP436" s="47"/>
      <c r="BQ436" s="47"/>
      <c r="BR436" s="47"/>
      <c r="BS436" s="47"/>
      <c r="BT436" s="47"/>
      <c r="BU436" s="47"/>
      <c r="BV436" s="47"/>
      <c r="BW436" s="47"/>
      <c r="BX436" s="47"/>
      <c r="BY436" s="47"/>
      <c r="BZ436" s="47"/>
    </row>
    <row r="437" spans="1:78" ht="13">
      <c r="A437" s="48" t="str">
        <f ca="1">'.'!A437</f>
        <v>Teleportation Scroll</v>
      </c>
      <c r="B437" s="46" t="str">
        <f t="array" aca="1" ref="B437" ca="1">IF('.'!B437="","",'.'!B437&amp;IF(VLOOKUP('.'!B437,Recipes!$A:$D,4,FALSE)="",""," ["&amp;VLOOKUP('.'!B437,Recipes!$A:$D,4,FALSE)&amp;"]"))</f>
        <v>Teleportation Skillbook [-100]</v>
      </c>
      <c r="C437" s="46" t="str">
        <f t="array" ref="C437">IF('.'!C437="","",'.'!C437&amp;IF(VLOOKUP('.'!C437,Recipes!$A:$D,4,FALSE)="",""," ["&amp;VLOOKUP('.'!C437,Recipes!$A:$D,4,FALSE)&amp;"]"))</f>
        <v/>
      </c>
      <c r="D437" s="46" t="str">
        <f t="array" ref="D437">IF('.'!D437="","",'.'!D437&amp;IF(VLOOKUP('.'!D437,Recipes!$A:$D,4,FALSE)="",""," ["&amp;VLOOKUP('.'!D437,Recipes!$A:$D,4,FALSE)&amp;"]"))</f>
        <v/>
      </c>
      <c r="E437" s="46" t="str">
        <f t="array" ref="E437">IF('.'!E437="","",'.'!E437&amp;IF(VLOOKUP('.'!E437,Recipes!$A:$D,4,FALSE)="",""," ["&amp;VLOOKUP('.'!E437,Recipes!$A:$D,4,FALSE)&amp;"]"))</f>
        <v/>
      </c>
      <c r="F437" s="46" t="str">
        <f t="array" ref="F437">IF('.'!F437="","",'.'!F437&amp;IF(VLOOKUP('.'!F437,Recipes!$A:$D,4,FALSE)="",""," ["&amp;VLOOKUP('.'!F437,Recipes!$A:$D,4,FALSE)&amp;"]"))</f>
        <v/>
      </c>
      <c r="G437" s="46" t="str">
        <f t="array" ref="G437">IF('.'!G437="","",'.'!G437&amp;IF(VLOOKUP('.'!G437,Recipes!$A:$D,4,FALSE)="",""," ["&amp;VLOOKUP('.'!G437,Recipes!$A:$D,4,FALSE)&amp;"]"))</f>
        <v/>
      </c>
      <c r="H437" s="46" t="str">
        <f t="array" ref="H437">IF('.'!H437="","",'.'!H437&amp;IF(VLOOKUP('.'!H437,Recipes!$A:$D,4,FALSE)="",""," ["&amp;VLOOKUP('.'!H437,Recipes!$A:$D,4,FALSE)&amp;"]"))</f>
        <v/>
      </c>
      <c r="I437" s="46" t="str">
        <f t="array" ref="I437">IF('.'!I437="","",'.'!I437&amp;IF(VLOOKUP('.'!I437,Recipes!$A:$D,4,FALSE)="",""," ["&amp;VLOOKUP('.'!I437,Recipes!$A:$D,4,FALSE)&amp;"]"))</f>
        <v/>
      </c>
      <c r="J437" s="46" t="str">
        <f t="array" ref="J437">IF('.'!J437="","",'.'!J437&amp;IF(VLOOKUP('.'!J437,Recipes!$A:$D,4,FALSE)="",""," ["&amp;VLOOKUP('.'!J437,Recipes!$A:$D,4,FALSE)&amp;"]"))</f>
        <v/>
      </c>
      <c r="K437" s="46" t="str">
        <f t="array" ref="K437">IF('.'!K437="","",'.'!K437&amp;IF(VLOOKUP('.'!K437,Recipes!$A:$D,4,FALSE)="",""," ["&amp;VLOOKUP('.'!K437,Recipes!$A:$D,4,FALSE)&amp;"]"))</f>
        <v/>
      </c>
      <c r="L437" s="46" t="str">
        <f t="array" ref="L437">IF('.'!L437="","",'.'!L437&amp;IF(VLOOKUP('.'!L437,Recipes!$A:$D,4,FALSE)="",""," ["&amp;VLOOKUP('.'!L437,Recipes!$A:$D,4,FALSE)&amp;"]"))</f>
        <v/>
      </c>
      <c r="M437" s="46" t="str">
        <f t="array" ref="M437">IF('.'!M437="","",'.'!M437&amp;IF(VLOOKUP('.'!M437,Recipes!$A:$D,4,FALSE)="",""," ["&amp;VLOOKUP('.'!M437,Recipes!$A:$D,4,FALSE)&amp;"]"))</f>
        <v/>
      </c>
      <c r="N437" s="46" t="str">
        <f t="array" ref="N437">IF('.'!N437="","",'.'!N437&amp;IF(VLOOKUP('.'!N437,Recipes!$A:$D,4,FALSE)="",""," ["&amp;VLOOKUP('.'!N437,Recipes!$A:$D,4,FALSE)&amp;"]"))</f>
        <v/>
      </c>
      <c r="O437" s="46" t="str">
        <f t="array" ref="O437">IF('.'!O437="","",'.'!O437&amp;IF(VLOOKUP('.'!O437,Recipes!$A:$D,4,FALSE)="",""," ["&amp;VLOOKUP('.'!O437,Recipes!$A:$D,4,FALSE)&amp;"]"))</f>
        <v/>
      </c>
      <c r="P437" s="46" t="str">
        <f t="array" ref="P437">IF('.'!P437="","",'.'!P437&amp;IF(VLOOKUP('.'!P437,Recipes!$A:$D,4,FALSE)="",""," ["&amp;VLOOKUP('.'!P437,Recipes!$A:$D,4,FALSE)&amp;"]"))</f>
        <v/>
      </c>
      <c r="Q437" s="46" t="str">
        <f t="array" ref="Q437">IF('.'!Q437="","",'.'!Q437&amp;IF(VLOOKUP('.'!Q437,Recipes!$A:$D,4,FALSE)="",""," ["&amp;VLOOKUP('.'!Q437,Recipes!$A:$D,4,FALSE)&amp;"]"))</f>
        <v/>
      </c>
      <c r="R437" s="46" t="str">
        <f t="array" ref="R437">IF('.'!R437="","",'.'!R437&amp;IF(VLOOKUP('.'!R437,Recipes!$A:$D,4,FALSE)="",""," ["&amp;VLOOKUP('.'!R437,Recipes!$A:$D,4,FALSE)&amp;"]"))</f>
        <v/>
      </c>
      <c r="S437" s="46" t="str">
        <f t="array" ref="S437">IF('.'!S437="","",'.'!S437&amp;IF(VLOOKUP('.'!S437,Recipes!$A:$D,4,FALSE)="",""," ["&amp;VLOOKUP('.'!S437,Recipes!$A:$D,4,FALSE)&amp;"]"))</f>
        <v/>
      </c>
      <c r="T437" s="46" t="str">
        <f t="array" ref="T437">IF('.'!T437="","",'.'!T437&amp;IF(VLOOKUP('.'!T437,Recipes!$A:$D,4,FALSE)="",""," ["&amp;VLOOKUP('.'!T437,Recipes!$A:$D,4,FALSE)&amp;"]"))</f>
        <v/>
      </c>
      <c r="U437" s="46" t="str">
        <f t="array" ref="U437">IF('.'!U437="","",'.'!U437&amp;IF(VLOOKUP('.'!U437,Recipes!$A:$D,4,FALSE)="",""," ["&amp;VLOOKUP('.'!U437,Recipes!$A:$D,4,FALSE)&amp;"]"))</f>
        <v/>
      </c>
      <c r="V437" s="46" t="str">
        <f t="array" ref="V437">IF('.'!V437="","",'.'!V437&amp;IF(VLOOKUP('.'!V437,Recipes!$A:$D,4,FALSE)="",""," ["&amp;VLOOKUP('.'!V437,Recipes!$A:$D,4,FALSE)&amp;"]"))</f>
        <v/>
      </c>
      <c r="W437" s="46" t="str">
        <f t="array" ref="W437">IF('.'!W437="","",'.'!W437&amp;IF(VLOOKUP('.'!W437,Recipes!$A:$D,4,FALSE)="",""," ["&amp;VLOOKUP('.'!W437,Recipes!$A:$D,4,FALSE)&amp;"]"))</f>
        <v/>
      </c>
      <c r="X437" s="46" t="str">
        <f t="array" ref="X437">IF('.'!X437="","",'.'!X437&amp;IF(VLOOKUP('.'!X437,Recipes!$A:$D,4,FALSE)="",""," ["&amp;VLOOKUP('.'!X437,Recipes!$A:$D,4,FALSE)&amp;"]"))</f>
        <v/>
      </c>
      <c r="Y437" s="46" t="str">
        <f t="array" ref="Y437">IF('.'!Y437="","",'.'!Y437&amp;IF(VLOOKUP('.'!Y437,Recipes!$A:$D,4,FALSE)="",""," ["&amp;VLOOKUP('.'!Y437,Recipes!$A:$D,4,FALSE)&amp;"]"))</f>
        <v/>
      </c>
      <c r="Z437" s="46" t="str">
        <f t="array" ref="Z437">IF('.'!Z437="","",'.'!Z437&amp;IF(VLOOKUP('.'!Z437,Recipes!$A:$D,4,FALSE)="",""," ["&amp;VLOOKUP('.'!Z437,Recipes!$A:$D,4,FALSE)&amp;"]"))</f>
        <v/>
      </c>
      <c r="AA437" s="46" t="str">
        <f t="array" ref="AA437">IF('.'!AA437="","",'.'!AA437&amp;IF(VLOOKUP('.'!AA437,Recipes!$A:$D,4,FALSE)="",""," ["&amp;VLOOKUP('.'!AA437,Recipes!$A:$D,4,FALSE)&amp;"]"))</f>
        <v/>
      </c>
      <c r="AB437" s="46" t="str">
        <f t="array" ref="AB437">IF('.'!AB437="","",'.'!AB437&amp;IF(VLOOKUP('.'!AB437,Recipes!$A:$D,4,FALSE)="",""," ["&amp;VLOOKUP('.'!AB437,Recipes!$A:$D,4,FALSE)&amp;"]"))</f>
        <v/>
      </c>
      <c r="AC437" s="46" t="str">
        <f t="array" ref="AC437">IF('.'!AC437="","",'.'!AC437&amp;IF(VLOOKUP('.'!AC437,Recipes!$A:$D,4,FALSE)="",""," ["&amp;VLOOKUP('.'!AC437,Recipes!$A:$D,4,FALSE)&amp;"]"))</f>
        <v/>
      </c>
      <c r="AD437" s="46" t="str">
        <f t="array" ref="AD437">IF('.'!AD437="","",'.'!AD437&amp;IF(VLOOKUP('.'!AD437,Recipes!$A:$D,4,FALSE)="",""," ["&amp;VLOOKUP('.'!AD437,Recipes!$A:$D,4,FALSE)&amp;"]"))</f>
        <v/>
      </c>
      <c r="AE437" s="47" t="str">
        <f t="array" ref="AE437">IF('.'!AE437="","",'.'!AE437&amp;IF(VLOOKUP('.'!AE437,Recipes!$A:$D,4,FALSE)="",""," ["&amp;VLOOKUP('.'!AE437,Recipes!$A:$D,4,FALSE)&amp;"]"))</f>
        <v/>
      </c>
      <c r="AF437" s="47"/>
      <c r="AG437" s="47"/>
      <c r="AH437" s="47"/>
      <c r="AI437" s="47"/>
      <c r="AJ437" s="47"/>
      <c r="AK437" s="47"/>
      <c r="AL437" s="47"/>
      <c r="AM437" s="47"/>
      <c r="AN437" s="47"/>
      <c r="AO437" s="47"/>
      <c r="AP437" s="47"/>
      <c r="AQ437" s="47"/>
      <c r="AR437" s="47"/>
      <c r="AS437" s="47"/>
      <c r="AT437" s="47"/>
      <c r="AU437" s="47"/>
      <c r="AV437" s="47"/>
      <c r="AW437" s="47"/>
      <c r="AX437" s="47"/>
      <c r="AY437" s="47"/>
      <c r="AZ437" s="47"/>
      <c r="BA437" s="47"/>
      <c r="BB437" s="47"/>
      <c r="BC437" s="47"/>
      <c r="BD437" s="47"/>
      <c r="BE437" s="47"/>
      <c r="BF437" s="47"/>
      <c r="BG437" s="47"/>
      <c r="BH437" s="47"/>
      <c r="BI437" s="47"/>
      <c r="BJ437" s="47"/>
      <c r="BK437" s="47"/>
      <c r="BL437" s="47"/>
      <c r="BM437" s="47"/>
      <c r="BN437" s="47"/>
      <c r="BO437" s="47"/>
      <c r="BP437" s="47"/>
      <c r="BQ437" s="47"/>
      <c r="BR437" s="47"/>
      <c r="BS437" s="47"/>
      <c r="BT437" s="47"/>
      <c r="BU437" s="47"/>
      <c r="BV437" s="47"/>
      <c r="BW437" s="47"/>
      <c r="BX437" s="47"/>
      <c r="BY437" s="47"/>
      <c r="BZ437" s="47"/>
    </row>
    <row r="438" spans="1:78" ht="13">
      <c r="A438" s="48" t="str">
        <f ca="1">'.'!A438</f>
        <v>Tentacle Lash Scroll</v>
      </c>
      <c r="B438" s="46" t="str">
        <f t="array" aca="1" ref="B438" ca="1">IF('.'!B438="","",'.'!B438&amp;IF(VLOOKUP('.'!B438,Recipes!$A:$D,4,FALSE)="",""," ["&amp;VLOOKUP('.'!B438,Recipes!$A:$D,4,FALSE)&amp;"]"))</f>
        <v>Tentacle Lash Skillbook [-200]</v>
      </c>
      <c r="C438" s="46" t="str">
        <f t="array" ref="C438">IF('.'!C438="","",'.'!C438&amp;IF(VLOOKUP('.'!C438,Recipes!$A:$D,4,FALSE)="",""," ["&amp;VLOOKUP('.'!C438,Recipes!$A:$D,4,FALSE)&amp;"]"))</f>
        <v/>
      </c>
      <c r="D438" s="46" t="str">
        <f t="array" ref="D438">IF('.'!D438="","",'.'!D438&amp;IF(VLOOKUP('.'!D438,Recipes!$A:$D,4,FALSE)="",""," ["&amp;VLOOKUP('.'!D438,Recipes!$A:$D,4,FALSE)&amp;"]"))</f>
        <v/>
      </c>
      <c r="E438" s="46" t="str">
        <f t="array" ref="E438">IF('.'!E438="","",'.'!E438&amp;IF(VLOOKUP('.'!E438,Recipes!$A:$D,4,FALSE)="",""," ["&amp;VLOOKUP('.'!E438,Recipes!$A:$D,4,FALSE)&amp;"]"))</f>
        <v/>
      </c>
      <c r="F438" s="46" t="str">
        <f t="array" ref="F438">IF('.'!F438="","",'.'!F438&amp;IF(VLOOKUP('.'!F438,Recipes!$A:$D,4,FALSE)="",""," ["&amp;VLOOKUP('.'!F438,Recipes!$A:$D,4,FALSE)&amp;"]"))</f>
        <v/>
      </c>
      <c r="G438" s="46" t="str">
        <f t="array" ref="G438">IF('.'!G438="","",'.'!G438&amp;IF(VLOOKUP('.'!G438,Recipes!$A:$D,4,FALSE)="",""," ["&amp;VLOOKUP('.'!G438,Recipes!$A:$D,4,FALSE)&amp;"]"))</f>
        <v/>
      </c>
      <c r="H438" s="46" t="str">
        <f t="array" ref="H438">IF('.'!H438="","",'.'!H438&amp;IF(VLOOKUP('.'!H438,Recipes!$A:$D,4,FALSE)="",""," ["&amp;VLOOKUP('.'!H438,Recipes!$A:$D,4,FALSE)&amp;"]"))</f>
        <v/>
      </c>
      <c r="I438" s="46" t="str">
        <f t="array" ref="I438">IF('.'!I438="","",'.'!I438&amp;IF(VLOOKUP('.'!I438,Recipes!$A:$D,4,FALSE)="",""," ["&amp;VLOOKUP('.'!I438,Recipes!$A:$D,4,FALSE)&amp;"]"))</f>
        <v/>
      </c>
      <c r="J438" s="46" t="str">
        <f t="array" ref="J438">IF('.'!J438="","",'.'!J438&amp;IF(VLOOKUP('.'!J438,Recipes!$A:$D,4,FALSE)="",""," ["&amp;VLOOKUP('.'!J438,Recipes!$A:$D,4,FALSE)&amp;"]"))</f>
        <v/>
      </c>
      <c r="K438" s="46" t="str">
        <f t="array" ref="K438">IF('.'!K438="","",'.'!K438&amp;IF(VLOOKUP('.'!K438,Recipes!$A:$D,4,FALSE)="",""," ["&amp;VLOOKUP('.'!K438,Recipes!$A:$D,4,FALSE)&amp;"]"))</f>
        <v/>
      </c>
      <c r="L438" s="46" t="str">
        <f t="array" ref="L438">IF('.'!L438="","",'.'!L438&amp;IF(VLOOKUP('.'!L438,Recipes!$A:$D,4,FALSE)="",""," ["&amp;VLOOKUP('.'!L438,Recipes!$A:$D,4,FALSE)&amp;"]"))</f>
        <v/>
      </c>
      <c r="M438" s="46" t="str">
        <f t="array" ref="M438">IF('.'!M438="","",'.'!M438&amp;IF(VLOOKUP('.'!M438,Recipes!$A:$D,4,FALSE)="",""," ["&amp;VLOOKUP('.'!M438,Recipes!$A:$D,4,FALSE)&amp;"]"))</f>
        <v/>
      </c>
      <c r="N438" s="46" t="str">
        <f t="array" ref="N438">IF('.'!N438="","",'.'!N438&amp;IF(VLOOKUP('.'!N438,Recipes!$A:$D,4,FALSE)="",""," ["&amp;VLOOKUP('.'!N438,Recipes!$A:$D,4,FALSE)&amp;"]"))</f>
        <v/>
      </c>
      <c r="O438" s="46" t="str">
        <f t="array" ref="O438">IF('.'!O438="","",'.'!O438&amp;IF(VLOOKUP('.'!O438,Recipes!$A:$D,4,FALSE)="",""," ["&amp;VLOOKUP('.'!O438,Recipes!$A:$D,4,FALSE)&amp;"]"))</f>
        <v/>
      </c>
      <c r="P438" s="46" t="str">
        <f t="array" ref="P438">IF('.'!P438="","",'.'!P438&amp;IF(VLOOKUP('.'!P438,Recipes!$A:$D,4,FALSE)="",""," ["&amp;VLOOKUP('.'!P438,Recipes!$A:$D,4,FALSE)&amp;"]"))</f>
        <v/>
      </c>
      <c r="Q438" s="46" t="str">
        <f t="array" ref="Q438">IF('.'!Q438="","",'.'!Q438&amp;IF(VLOOKUP('.'!Q438,Recipes!$A:$D,4,FALSE)="",""," ["&amp;VLOOKUP('.'!Q438,Recipes!$A:$D,4,FALSE)&amp;"]"))</f>
        <v/>
      </c>
      <c r="R438" s="46" t="str">
        <f t="array" ref="R438">IF('.'!R438="","",'.'!R438&amp;IF(VLOOKUP('.'!R438,Recipes!$A:$D,4,FALSE)="",""," ["&amp;VLOOKUP('.'!R438,Recipes!$A:$D,4,FALSE)&amp;"]"))</f>
        <v/>
      </c>
      <c r="S438" s="46" t="str">
        <f t="array" ref="S438">IF('.'!S438="","",'.'!S438&amp;IF(VLOOKUP('.'!S438,Recipes!$A:$D,4,FALSE)="",""," ["&amp;VLOOKUP('.'!S438,Recipes!$A:$D,4,FALSE)&amp;"]"))</f>
        <v/>
      </c>
      <c r="T438" s="46" t="str">
        <f t="array" ref="T438">IF('.'!T438="","",'.'!T438&amp;IF(VLOOKUP('.'!T438,Recipes!$A:$D,4,FALSE)="",""," ["&amp;VLOOKUP('.'!T438,Recipes!$A:$D,4,FALSE)&amp;"]"))</f>
        <v/>
      </c>
      <c r="U438" s="46" t="str">
        <f t="array" ref="U438">IF('.'!U438="","",'.'!U438&amp;IF(VLOOKUP('.'!U438,Recipes!$A:$D,4,FALSE)="",""," ["&amp;VLOOKUP('.'!U438,Recipes!$A:$D,4,FALSE)&amp;"]"))</f>
        <v/>
      </c>
      <c r="V438" s="46" t="str">
        <f t="array" ref="V438">IF('.'!V438="","",'.'!V438&amp;IF(VLOOKUP('.'!V438,Recipes!$A:$D,4,FALSE)="",""," ["&amp;VLOOKUP('.'!V438,Recipes!$A:$D,4,FALSE)&amp;"]"))</f>
        <v/>
      </c>
      <c r="W438" s="46" t="str">
        <f t="array" ref="W438">IF('.'!W438="","",'.'!W438&amp;IF(VLOOKUP('.'!W438,Recipes!$A:$D,4,FALSE)="",""," ["&amp;VLOOKUP('.'!W438,Recipes!$A:$D,4,FALSE)&amp;"]"))</f>
        <v/>
      </c>
      <c r="X438" s="46" t="str">
        <f t="array" ref="X438">IF('.'!X438="","",'.'!X438&amp;IF(VLOOKUP('.'!X438,Recipes!$A:$D,4,FALSE)="",""," ["&amp;VLOOKUP('.'!X438,Recipes!$A:$D,4,FALSE)&amp;"]"))</f>
        <v/>
      </c>
      <c r="Y438" s="46" t="str">
        <f t="array" ref="Y438">IF('.'!Y438="","",'.'!Y438&amp;IF(VLOOKUP('.'!Y438,Recipes!$A:$D,4,FALSE)="",""," ["&amp;VLOOKUP('.'!Y438,Recipes!$A:$D,4,FALSE)&amp;"]"))</f>
        <v/>
      </c>
      <c r="Z438" s="46" t="str">
        <f t="array" ref="Z438">IF('.'!Z438="","",'.'!Z438&amp;IF(VLOOKUP('.'!Z438,Recipes!$A:$D,4,FALSE)="",""," ["&amp;VLOOKUP('.'!Z438,Recipes!$A:$D,4,FALSE)&amp;"]"))</f>
        <v/>
      </c>
      <c r="AA438" s="46" t="str">
        <f t="array" ref="AA438">IF('.'!AA438="","",'.'!AA438&amp;IF(VLOOKUP('.'!AA438,Recipes!$A:$D,4,FALSE)="",""," ["&amp;VLOOKUP('.'!AA438,Recipes!$A:$D,4,FALSE)&amp;"]"))</f>
        <v/>
      </c>
      <c r="AB438" s="46" t="str">
        <f t="array" ref="AB438">IF('.'!AB438="","",'.'!AB438&amp;IF(VLOOKUP('.'!AB438,Recipes!$A:$D,4,FALSE)="",""," ["&amp;VLOOKUP('.'!AB438,Recipes!$A:$D,4,FALSE)&amp;"]"))</f>
        <v/>
      </c>
      <c r="AC438" s="46" t="str">
        <f t="array" ref="AC438">IF('.'!AC438="","",'.'!AC438&amp;IF(VLOOKUP('.'!AC438,Recipes!$A:$D,4,FALSE)="",""," ["&amp;VLOOKUP('.'!AC438,Recipes!$A:$D,4,FALSE)&amp;"]"))</f>
        <v/>
      </c>
      <c r="AD438" s="46" t="str">
        <f t="array" ref="AD438">IF('.'!AD438="","",'.'!AD438&amp;IF(VLOOKUP('.'!AD438,Recipes!$A:$D,4,FALSE)="",""," ["&amp;VLOOKUP('.'!AD438,Recipes!$A:$D,4,FALSE)&amp;"]"))</f>
        <v/>
      </c>
      <c r="AE438" s="47" t="str">
        <f t="array" ref="AE438">IF('.'!AE438="","",'.'!AE438&amp;IF(VLOOKUP('.'!AE438,Recipes!$A:$D,4,FALSE)="",""," ["&amp;VLOOKUP('.'!AE438,Recipes!$A:$D,4,FALSE)&amp;"]"))</f>
        <v/>
      </c>
      <c r="AF438" s="47"/>
      <c r="AG438" s="47"/>
      <c r="AH438" s="47"/>
      <c r="AI438" s="47"/>
      <c r="AJ438" s="47"/>
      <c r="AK438" s="47"/>
      <c r="AL438" s="47"/>
      <c r="AM438" s="47"/>
      <c r="AN438" s="47"/>
      <c r="AO438" s="47"/>
      <c r="AP438" s="47"/>
      <c r="AQ438" s="47"/>
      <c r="AR438" s="47"/>
      <c r="AS438" s="47"/>
      <c r="AT438" s="47"/>
      <c r="AU438" s="47"/>
      <c r="AV438" s="47"/>
      <c r="AW438" s="47"/>
      <c r="AX438" s="47"/>
      <c r="AY438" s="47"/>
      <c r="AZ438" s="47"/>
      <c r="BA438" s="47"/>
      <c r="BB438" s="47"/>
      <c r="BC438" s="47"/>
      <c r="BD438" s="47"/>
      <c r="BE438" s="47"/>
      <c r="BF438" s="47"/>
      <c r="BG438" s="47"/>
      <c r="BH438" s="47"/>
      <c r="BI438" s="47"/>
      <c r="BJ438" s="47"/>
      <c r="BK438" s="47"/>
      <c r="BL438" s="47"/>
      <c r="BM438" s="47"/>
      <c r="BN438" s="47"/>
      <c r="BO438" s="47"/>
      <c r="BP438" s="47"/>
      <c r="BQ438" s="47"/>
      <c r="BR438" s="47"/>
      <c r="BS438" s="47"/>
      <c r="BT438" s="47"/>
      <c r="BU438" s="47"/>
      <c r="BV438" s="47"/>
      <c r="BW438" s="47"/>
      <c r="BX438" s="47"/>
      <c r="BY438" s="47"/>
      <c r="BZ438" s="47"/>
    </row>
    <row r="439" spans="1:78" ht="13">
      <c r="A439" s="48" t="str">
        <f ca="1">'.'!A439</f>
        <v>Thread</v>
      </c>
      <c r="B439" s="46" t="str">
        <f t="array" aca="1" ref="B439" ca="1">IF('.'!B439="","",'.'!B439&amp;IF(VLOOKUP('.'!B439,Recipes!$A:$D,4,FALSE)="",""," ["&amp;VLOOKUP('.'!B439,Recipes!$A:$D,4,FALSE)&amp;"]"))</f>
        <v>Needle and Thread [0]</v>
      </c>
      <c r="C439" s="46" t="str">
        <f t="array" ref="C439">IF('.'!C439="","",'.'!C439&amp;IF(VLOOKUP('.'!C439,Recipes!$A:$D,4,FALSE)="",""," ["&amp;VLOOKUP('.'!C439,Recipes!$A:$D,4,FALSE)&amp;"]"))</f>
        <v/>
      </c>
      <c r="D439" s="46" t="str">
        <f t="array" ref="D439">IF('.'!D439="","",'.'!D439&amp;IF(VLOOKUP('.'!D439,Recipes!$A:$D,4,FALSE)="",""," ["&amp;VLOOKUP('.'!D439,Recipes!$A:$D,4,FALSE)&amp;"]"))</f>
        <v/>
      </c>
      <c r="E439" s="46" t="str">
        <f t="array" ref="E439">IF('.'!E439="","",'.'!E439&amp;IF(VLOOKUP('.'!E439,Recipes!$A:$D,4,FALSE)="",""," ["&amp;VLOOKUP('.'!E439,Recipes!$A:$D,4,FALSE)&amp;"]"))</f>
        <v/>
      </c>
      <c r="F439" s="46" t="str">
        <f t="array" ref="F439">IF('.'!F439="","",'.'!F439&amp;IF(VLOOKUP('.'!F439,Recipes!$A:$D,4,FALSE)="",""," ["&amp;VLOOKUP('.'!F439,Recipes!$A:$D,4,FALSE)&amp;"]"))</f>
        <v/>
      </c>
      <c r="G439" s="46" t="str">
        <f t="array" ref="G439">IF('.'!G439="","",'.'!G439&amp;IF(VLOOKUP('.'!G439,Recipes!$A:$D,4,FALSE)="",""," ["&amp;VLOOKUP('.'!G439,Recipes!$A:$D,4,FALSE)&amp;"]"))</f>
        <v/>
      </c>
      <c r="H439" s="46" t="str">
        <f t="array" ref="H439">IF('.'!H439="","",'.'!H439&amp;IF(VLOOKUP('.'!H439,Recipes!$A:$D,4,FALSE)="",""," ["&amp;VLOOKUP('.'!H439,Recipes!$A:$D,4,FALSE)&amp;"]"))</f>
        <v/>
      </c>
      <c r="I439" s="46" t="str">
        <f t="array" ref="I439">IF('.'!I439="","",'.'!I439&amp;IF(VLOOKUP('.'!I439,Recipes!$A:$D,4,FALSE)="",""," ["&amp;VLOOKUP('.'!I439,Recipes!$A:$D,4,FALSE)&amp;"]"))</f>
        <v/>
      </c>
      <c r="J439" s="46" t="str">
        <f t="array" ref="J439">IF('.'!J439="","",'.'!J439&amp;IF(VLOOKUP('.'!J439,Recipes!$A:$D,4,FALSE)="",""," ["&amp;VLOOKUP('.'!J439,Recipes!$A:$D,4,FALSE)&amp;"]"))</f>
        <v/>
      </c>
      <c r="K439" s="46" t="str">
        <f t="array" ref="K439">IF('.'!K439="","",'.'!K439&amp;IF(VLOOKUP('.'!K439,Recipes!$A:$D,4,FALSE)="",""," ["&amp;VLOOKUP('.'!K439,Recipes!$A:$D,4,FALSE)&amp;"]"))</f>
        <v/>
      </c>
      <c r="L439" s="46" t="str">
        <f t="array" ref="L439">IF('.'!L439="","",'.'!L439&amp;IF(VLOOKUP('.'!L439,Recipes!$A:$D,4,FALSE)="",""," ["&amp;VLOOKUP('.'!L439,Recipes!$A:$D,4,FALSE)&amp;"]"))</f>
        <v/>
      </c>
      <c r="M439" s="46" t="str">
        <f t="array" ref="M439">IF('.'!M439="","",'.'!M439&amp;IF(VLOOKUP('.'!M439,Recipes!$A:$D,4,FALSE)="",""," ["&amp;VLOOKUP('.'!M439,Recipes!$A:$D,4,FALSE)&amp;"]"))</f>
        <v/>
      </c>
      <c r="N439" s="46" t="str">
        <f t="array" ref="N439">IF('.'!N439="","",'.'!N439&amp;IF(VLOOKUP('.'!N439,Recipes!$A:$D,4,FALSE)="",""," ["&amp;VLOOKUP('.'!N439,Recipes!$A:$D,4,FALSE)&amp;"]"))</f>
        <v/>
      </c>
      <c r="O439" s="46" t="str">
        <f t="array" ref="O439">IF('.'!O439="","",'.'!O439&amp;IF(VLOOKUP('.'!O439,Recipes!$A:$D,4,FALSE)="",""," ["&amp;VLOOKUP('.'!O439,Recipes!$A:$D,4,FALSE)&amp;"]"))</f>
        <v/>
      </c>
      <c r="P439" s="46" t="str">
        <f t="array" ref="P439">IF('.'!P439="","",'.'!P439&amp;IF(VLOOKUP('.'!P439,Recipes!$A:$D,4,FALSE)="",""," ["&amp;VLOOKUP('.'!P439,Recipes!$A:$D,4,FALSE)&amp;"]"))</f>
        <v/>
      </c>
      <c r="Q439" s="46" t="str">
        <f t="array" ref="Q439">IF('.'!Q439="","",'.'!Q439&amp;IF(VLOOKUP('.'!Q439,Recipes!$A:$D,4,FALSE)="",""," ["&amp;VLOOKUP('.'!Q439,Recipes!$A:$D,4,FALSE)&amp;"]"))</f>
        <v/>
      </c>
      <c r="R439" s="46" t="str">
        <f t="array" ref="R439">IF('.'!R439="","",'.'!R439&amp;IF(VLOOKUP('.'!R439,Recipes!$A:$D,4,FALSE)="",""," ["&amp;VLOOKUP('.'!R439,Recipes!$A:$D,4,FALSE)&amp;"]"))</f>
        <v/>
      </c>
      <c r="S439" s="46" t="str">
        <f t="array" ref="S439">IF('.'!S439="","",'.'!S439&amp;IF(VLOOKUP('.'!S439,Recipes!$A:$D,4,FALSE)="",""," ["&amp;VLOOKUP('.'!S439,Recipes!$A:$D,4,FALSE)&amp;"]"))</f>
        <v/>
      </c>
      <c r="T439" s="46" t="str">
        <f t="array" ref="T439">IF('.'!T439="","",'.'!T439&amp;IF(VLOOKUP('.'!T439,Recipes!$A:$D,4,FALSE)="",""," ["&amp;VLOOKUP('.'!T439,Recipes!$A:$D,4,FALSE)&amp;"]"))</f>
        <v/>
      </c>
      <c r="U439" s="46" t="str">
        <f t="array" ref="U439">IF('.'!U439="","",'.'!U439&amp;IF(VLOOKUP('.'!U439,Recipes!$A:$D,4,FALSE)="",""," ["&amp;VLOOKUP('.'!U439,Recipes!$A:$D,4,FALSE)&amp;"]"))</f>
        <v/>
      </c>
      <c r="V439" s="46" t="str">
        <f t="array" ref="V439">IF('.'!V439="","",'.'!V439&amp;IF(VLOOKUP('.'!V439,Recipes!$A:$D,4,FALSE)="",""," ["&amp;VLOOKUP('.'!V439,Recipes!$A:$D,4,FALSE)&amp;"]"))</f>
        <v/>
      </c>
      <c r="W439" s="46" t="str">
        <f t="array" ref="W439">IF('.'!W439="","",'.'!W439&amp;IF(VLOOKUP('.'!W439,Recipes!$A:$D,4,FALSE)="",""," ["&amp;VLOOKUP('.'!W439,Recipes!$A:$D,4,FALSE)&amp;"]"))</f>
        <v/>
      </c>
      <c r="X439" s="46" t="str">
        <f t="array" ref="X439">IF('.'!X439="","",'.'!X439&amp;IF(VLOOKUP('.'!X439,Recipes!$A:$D,4,FALSE)="",""," ["&amp;VLOOKUP('.'!X439,Recipes!$A:$D,4,FALSE)&amp;"]"))</f>
        <v/>
      </c>
      <c r="Y439" s="46" t="str">
        <f t="array" ref="Y439">IF('.'!Y439="","",'.'!Y439&amp;IF(VLOOKUP('.'!Y439,Recipes!$A:$D,4,FALSE)="",""," ["&amp;VLOOKUP('.'!Y439,Recipes!$A:$D,4,FALSE)&amp;"]"))</f>
        <v/>
      </c>
      <c r="Z439" s="46" t="str">
        <f t="array" ref="Z439">IF('.'!Z439="","",'.'!Z439&amp;IF(VLOOKUP('.'!Z439,Recipes!$A:$D,4,FALSE)="",""," ["&amp;VLOOKUP('.'!Z439,Recipes!$A:$D,4,FALSE)&amp;"]"))</f>
        <v/>
      </c>
      <c r="AA439" s="46" t="str">
        <f t="array" ref="AA439">IF('.'!AA439="","",'.'!AA439&amp;IF(VLOOKUP('.'!AA439,Recipes!$A:$D,4,FALSE)="",""," ["&amp;VLOOKUP('.'!AA439,Recipes!$A:$D,4,FALSE)&amp;"]"))</f>
        <v/>
      </c>
      <c r="AB439" s="46" t="str">
        <f t="array" ref="AB439">IF('.'!AB439="","",'.'!AB439&amp;IF(VLOOKUP('.'!AB439,Recipes!$A:$D,4,FALSE)="",""," ["&amp;VLOOKUP('.'!AB439,Recipes!$A:$D,4,FALSE)&amp;"]"))</f>
        <v/>
      </c>
      <c r="AC439" s="46" t="str">
        <f t="array" ref="AC439">IF('.'!AC439="","",'.'!AC439&amp;IF(VLOOKUP('.'!AC439,Recipes!$A:$D,4,FALSE)="",""," ["&amp;VLOOKUP('.'!AC439,Recipes!$A:$D,4,FALSE)&amp;"]"))</f>
        <v/>
      </c>
      <c r="AD439" s="46" t="str">
        <f t="array" ref="AD439">IF('.'!AD439="","",'.'!AD439&amp;IF(VLOOKUP('.'!AD439,Recipes!$A:$D,4,FALSE)="",""," ["&amp;VLOOKUP('.'!AD439,Recipes!$A:$D,4,FALSE)&amp;"]"))</f>
        <v/>
      </c>
      <c r="AE439" s="47" t="str">
        <f t="array" ref="AE439">IF('.'!AE439="","",'.'!AE439&amp;IF(VLOOKUP('.'!AE439,Recipes!$A:$D,4,FALSE)="",""," ["&amp;VLOOKUP('.'!AE439,Recipes!$A:$D,4,FALSE)&amp;"]"))</f>
        <v/>
      </c>
      <c r="AF439" s="47"/>
      <c r="AG439" s="47"/>
      <c r="AH439" s="47"/>
      <c r="AI439" s="47"/>
      <c r="AJ439" s="47"/>
      <c r="AK439" s="47"/>
      <c r="AL439" s="47"/>
      <c r="AM439" s="47"/>
      <c r="AN439" s="47"/>
      <c r="AO439" s="47"/>
      <c r="AP439" s="47"/>
      <c r="AQ439" s="47"/>
      <c r="AR439" s="47"/>
      <c r="AS439" s="47"/>
      <c r="AT439" s="47"/>
      <c r="AU439" s="47"/>
      <c r="AV439" s="47"/>
      <c r="AW439" s="47"/>
      <c r="AX439" s="47"/>
      <c r="AY439" s="47"/>
      <c r="AZ439" s="47"/>
      <c r="BA439" s="47"/>
      <c r="BB439" s="47"/>
      <c r="BC439" s="47"/>
      <c r="BD439" s="47"/>
      <c r="BE439" s="47"/>
      <c r="BF439" s="47"/>
      <c r="BG439" s="47"/>
      <c r="BH439" s="47"/>
      <c r="BI439" s="47"/>
      <c r="BJ439" s="47"/>
      <c r="BK439" s="47"/>
      <c r="BL439" s="47"/>
      <c r="BM439" s="47"/>
      <c r="BN439" s="47"/>
      <c r="BO439" s="47"/>
      <c r="BP439" s="47"/>
      <c r="BQ439" s="47"/>
      <c r="BR439" s="47"/>
      <c r="BS439" s="47"/>
      <c r="BT439" s="47"/>
      <c r="BU439" s="47"/>
      <c r="BV439" s="47"/>
      <c r="BW439" s="47"/>
      <c r="BX439" s="47"/>
      <c r="BY439" s="47"/>
      <c r="BZ439" s="47"/>
    </row>
    <row r="440" spans="1:78" ht="13">
      <c r="A440" s="48" t="str">
        <f ca="1">'.'!A440</f>
        <v>Thunderstorm Scroll</v>
      </c>
      <c r="B440" s="46" t="str">
        <f t="array" aca="1" ref="B440" ca="1">IF('.'!B440="","",'.'!B440&amp;IF(VLOOKUP('.'!B440,Recipes!$A:$D,4,FALSE)="",""," ["&amp;VLOOKUP('.'!B440,Recipes!$A:$D,4,FALSE)&amp;"]"))</f>
        <v>Thunderstorm Skillbook [2600]</v>
      </c>
      <c r="C440" s="46" t="str">
        <f t="array" ref="C440">IF('.'!C440="","",'.'!C440&amp;IF(VLOOKUP('.'!C440,Recipes!$A:$D,4,FALSE)="",""," ["&amp;VLOOKUP('.'!C440,Recipes!$A:$D,4,FALSE)&amp;"]"))</f>
        <v/>
      </c>
      <c r="D440" s="46" t="str">
        <f t="array" ref="D440">IF('.'!D440="","",'.'!D440&amp;IF(VLOOKUP('.'!D440,Recipes!$A:$D,4,FALSE)="",""," ["&amp;VLOOKUP('.'!D440,Recipes!$A:$D,4,FALSE)&amp;"]"))</f>
        <v/>
      </c>
      <c r="E440" s="46" t="str">
        <f t="array" ref="E440">IF('.'!E440="","",'.'!E440&amp;IF(VLOOKUP('.'!E440,Recipes!$A:$D,4,FALSE)="",""," ["&amp;VLOOKUP('.'!E440,Recipes!$A:$D,4,FALSE)&amp;"]"))</f>
        <v/>
      </c>
      <c r="F440" s="46" t="str">
        <f t="array" ref="F440">IF('.'!F440="","",'.'!F440&amp;IF(VLOOKUP('.'!F440,Recipes!$A:$D,4,FALSE)="",""," ["&amp;VLOOKUP('.'!F440,Recipes!$A:$D,4,FALSE)&amp;"]"))</f>
        <v/>
      </c>
      <c r="G440" s="46" t="str">
        <f t="array" ref="G440">IF('.'!G440="","",'.'!G440&amp;IF(VLOOKUP('.'!G440,Recipes!$A:$D,4,FALSE)="",""," ["&amp;VLOOKUP('.'!G440,Recipes!$A:$D,4,FALSE)&amp;"]"))</f>
        <v/>
      </c>
      <c r="H440" s="46" t="str">
        <f t="array" ref="H440">IF('.'!H440="","",'.'!H440&amp;IF(VLOOKUP('.'!H440,Recipes!$A:$D,4,FALSE)="",""," ["&amp;VLOOKUP('.'!H440,Recipes!$A:$D,4,FALSE)&amp;"]"))</f>
        <v/>
      </c>
      <c r="I440" s="46" t="str">
        <f t="array" ref="I440">IF('.'!I440="","",'.'!I440&amp;IF(VLOOKUP('.'!I440,Recipes!$A:$D,4,FALSE)="",""," ["&amp;VLOOKUP('.'!I440,Recipes!$A:$D,4,FALSE)&amp;"]"))</f>
        <v/>
      </c>
      <c r="J440" s="46" t="str">
        <f t="array" ref="J440">IF('.'!J440="","",'.'!J440&amp;IF(VLOOKUP('.'!J440,Recipes!$A:$D,4,FALSE)="",""," ["&amp;VLOOKUP('.'!J440,Recipes!$A:$D,4,FALSE)&amp;"]"))</f>
        <v/>
      </c>
      <c r="K440" s="46" t="str">
        <f t="array" ref="K440">IF('.'!K440="","",'.'!K440&amp;IF(VLOOKUP('.'!K440,Recipes!$A:$D,4,FALSE)="",""," ["&amp;VLOOKUP('.'!K440,Recipes!$A:$D,4,FALSE)&amp;"]"))</f>
        <v/>
      </c>
      <c r="L440" s="46" t="str">
        <f t="array" ref="L440">IF('.'!L440="","",'.'!L440&amp;IF(VLOOKUP('.'!L440,Recipes!$A:$D,4,FALSE)="",""," ["&amp;VLOOKUP('.'!L440,Recipes!$A:$D,4,FALSE)&amp;"]"))</f>
        <v/>
      </c>
      <c r="M440" s="46" t="str">
        <f t="array" ref="M440">IF('.'!M440="","",'.'!M440&amp;IF(VLOOKUP('.'!M440,Recipes!$A:$D,4,FALSE)="",""," ["&amp;VLOOKUP('.'!M440,Recipes!$A:$D,4,FALSE)&amp;"]"))</f>
        <v/>
      </c>
      <c r="N440" s="46" t="str">
        <f t="array" ref="N440">IF('.'!N440="","",'.'!N440&amp;IF(VLOOKUP('.'!N440,Recipes!$A:$D,4,FALSE)="",""," ["&amp;VLOOKUP('.'!N440,Recipes!$A:$D,4,FALSE)&amp;"]"))</f>
        <v/>
      </c>
      <c r="O440" s="46" t="str">
        <f t="array" ref="O440">IF('.'!O440="","",'.'!O440&amp;IF(VLOOKUP('.'!O440,Recipes!$A:$D,4,FALSE)="",""," ["&amp;VLOOKUP('.'!O440,Recipes!$A:$D,4,FALSE)&amp;"]"))</f>
        <v/>
      </c>
      <c r="P440" s="46" t="str">
        <f t="array" ref="P440">IF('.'!P440="","",'.'!P440&amp;IF(VLOOKUP('.'!P440,Recipes!$A:$D,4,FALSE)="",""," ["&amp;VLOOKUP('.'!P440,Recipes!$A:$D,4,FALSE)&amp;"]"))</f>
        <v/>
      </c>
      <c r="Q440" s="46" t="str">
        <f t="array" ref="Q440">IF('.'!Q440="","",'.'!Q440&amp;IF(VLOOKUP('.'!Q440,Recipes!$A:$D,4,FALSE)="",""," ["&amp;VLOOKUP('.'!Q440,Recipes!$A:$D,4,FALSE)&amp;"]"))</f>
        <v/>
      </c>
      <c r="R440" s="46" t="str">
        <f t="array" ref="R440">IF('.'!R440="","",'.'!R440&amp;IF(VLOOKUP('.'!R440,Recipes!$A:$D,4,FALSE)="",""," ["&amp;VLOOKUP('.'!R440,Recipes!$A:$D,4,FALSE)&amp;"]"))</f>
        <v/>
      </c>
      <c r="S440" s="46" t="str">
        <f t="array" ref="S440">IF('.'!S440="","",'.'!S440&amp;IF(VLOOKUP('.'!S440,Recipes!$A:$D,4,FALSE)="",""," ["&amp;VLOOKUP('.'!S440,Recipes!$A:$D,4,FALSE)&amp;"]"))</f>
        <v/>
      </c>
      <c r="T440" s="46" t="str">
        <f t="array" ref="T440">IF('.'!T440="","",'.'!T440&amp;IF(VLOOKUP('.'!T440,Recipes!$A:$D,4,FALSE)="",""," ["&amp;VLOOKUP('.'!T440,Recipes!$A:$D,4,FALSE)&amp;"]"))</f>
        <v/>
      </c>
      <c r="U440" s="46" t="str">
        <f t="array" ref="U440">IF('.'!U440="","",'.'!U440&amp;IF(VLOOKUP('.'!U440,Recipes!$A:$D,4,FALSE)="",""," ["&amp;VLOOKUP('.'!U440,Recipes!$A:$D,4,FALSE)&amp;"]"))</f>
        <v/>
      </c>
      <c r="V440" s="46" t="str">
        <f t="array" ref="V440">IF('.'!V440="","",'.'!V440&amp;IF(VLOOKUP('.'!V440,Recipes!$A:$D,4,FALSE)="",""," ["&amp;VLOOKUP('.'!V440,Recipes!$A:$D,4,FALSE)&amp;"]"))</f>
        <v/>
      </c>
      <c r="W440" s="46" t="str">
        <f t="array" ref="W440">IF('.'!W440="","",'.'!W440&amp;IF(VLOOKUP('.'!W440,Recipes!$A:$D,4,FALSE)="",""," ["&amp;VLOOKUP('.'!W440,Recipes!$A:$D,4,FALSE)&amp;"]"))</f>
        <v/>
      </c>
      <c r="X440" s="46" t="str">
        <f t="array" ref="X440">IF('.'!X440="","",'.'!X440&amp;IF(VLOOKUP('.'!X440,Recipes!$A:$D,4,FALSE)="",""," ["&amp;VLOOKUP('.'!X440,Recipes!$A:$D,4,FALSE)&amp;"]"))</f>
        <v/>
      </c>
      <c r="Y440" s="46" t="str">
        <f t="array" ref="Y440">IF('.'!Y440="","",'.'!Y440&amp;IF(VLOOKUP('.'!Y440,Recipes!$A:$D,4,FALSE)="",""," ["&amp;VLOOKUP('.'!Y440,Recipes!$A:$D,4,FALSE)&amp;"]"))</f>
        <v/>
      </c>
      <c r="Z440" s="46" t="str">
        <f t="array" ref="Z440">IF('.'!Z440="","",'.'!Z440&amp;IF(VLOOKUP('.'!Z440,Recipes!$A:$D,4,FALSE)="",""," ["&amp;VLOOKUP('.'!Z440,Recipes!$A:$D,4,FALSE)&amp;"]"))</f>
        <v/>
      </c>
      <c r="AA440" s="46" t="str">
        <f t="array" ref="AA440">IF('.'!AA440="","",'.'!AA440&amp;IF(VLOOKUP('.'!AA440,Recipes!$A:$D,4,FALSE)="",""," ["&amp;VLOOKUP('.'!AA440,Recipes!$A:$D,4,FALSE)&amp;"]"))</f>
        <v/>
      </c>
      <c r="AB440" s="46" t="str">
        <f t="array" ref="AB440">IF('.'!AB440="","",'.'!AB440&amp;IF(VLOOKUP('.'!AB440,Recipes!$A:$D,4,FALSE)="",""," ["&amp;VLOOKUP('.'!AB440,Recipes!$A:$D,4,FALSE)&amp;"]"))</f>
        <v/>
      </c>
      <c r="AC440" s="46" t="str">
        <f t="array" ref="AC440">IF('.'!AC440="","",'.'!AC440&amp;IF(VLOOKUP('.'!AC440,Recipes!$A:$D,4,FALSE)="",""," ["&amp;VLOOKUP('.'!AC440,Recipes!$A:$D,4,FALSE)&amp;"]"))</f>
        <v/>
      </c>
      <c r="AD440" s="46" t="str">
        <f t="array" ref="AD440">IF('.'!AD440="","",'.'!AD440&amp;IF(VLOOKUP('.'!AD440,Recipes!$A:$D,4,FALSE)="",""," ["&amp;VLOOKUP('.'!AD440,Recipes!$A:$D,4,FALSE)&amp;"]"))</f>
        <v/>
      </c>
      <c r="AE440" s="47" t="str">
        <f t="array" ref="AE440">IF('.'!AE440="","",'.'!AE440&amp;IF(VLOOKUP('.'!AE440,Recipes!$A:$D,4,FALSE)="",""," ["&amp;VLOOKUP('.'!AE440,Recipes!$A:$D,4,FALSE)&amp;"]"))</f>
        <v/>
      </c>
      <c r="AF440" s="47"/>
      <c r="AG440" s="47"/>
      <c r="AH440" s="47"/>
      <c r="AI440" s="47"/>
      <c r="AJ440" s="47"/>
      <c r="AK440" s="47"/>
      <c r="AL440" s="47"/>
      <c r="AM440" s="47"/>
      <c r="AN440" s="47"/>
      <c r="AO440" s="47"/>
      <c r="AP440" s="47"/>
      <c r="AQ440" s="47"/>
      <c r="AR440" s="47"/>
      <c r="AS440" s="47"/>
      <c r="AT440" s="47"/>
      <c r="AU440" s="47"/>
      <c r="AV440" s="47"/>
      <c r="AW440" s="47"/>
      <c r="AX440" s="47"/>
      <c r="AY440" s="47"/>
      <c r="AZ440" s="47"/>
      <c r="BA440" s="47"/>
      <c r="BB440" s="47"/>
      <c r="BC440" s="47"/>
      <c r="BD440" s="47"/>
      <c r="BE440" s="47"/>
      <c r="BF440" s="47"/>
      <c r="BG440" s="47"/>
      <c r="BH440" s="47"/>
      <c r="BI440" s="47"/>
      <c r="BJ440" s="47"/>
      <c r="BK440" s="47"/>
      <c r="BL440" s="47"/>
      <c r="BM440" s="47"/>
      <c r="BN440" s="47"/>
      <c r="BO440" s="47"/>
      <c r="BP440" s="47"/>
      <c r="BQ440" s="47"/>
      <c r="BR440" s="47"/>
      <c r="BS440" s="47"/>
      <c r="BT440" s="47"/>
      <c r="BU440" s="47"/>
      <c r="BV440" s="47"/>
      <c r="BW440" s="47"/>
      <c r="BX440" s="47"/>
      <c r="BY440" s="47"/>
      <c r="BZ440" s="47"/>
    </row>
    <row r="441" spans="1:78" ht="13">
      <c r="A441" s="48" t="str">
        <f ca="1">'.'!A441</f>
        <v>Tomato</v>
      </c>
      <c r="B441" s="46" t="str">
        <f t="array" aca="1" ref="B441" ca="1">IF('.'!B441="","",'.'!B441&amp;IF(VLOOKUP('.'!B441,Recipes!$A:$D,4,FALSE)="",""," ["&amp;VLOOKUP('.'!B441,Recipes!$A:$D,4,FALSE)&amp;"]"))</f>
        <v>Tomato Sauce [1]</v>
      </c>
      <c r="C441" s="46" t="str">
        <f t="array" ref="C441">IF('.'!C441="","",'.'!C441&amp;IF(VLOOKUP('.'!C441,Recipes!$A:$D,4,FALSE)="",""," ["&amp;VLOOKUP('.'!C441,Recipes!$A:$D,4,FALSE)&amp;"]"))</f>
        <v/>
      </c>
      <c r="D441" s="46" t="str">
        <f t="array" ref="D441">IF('.'!D441="","",'.'!D441&amp;IF(VLOOKUP('.'!D441,Recipes!$A:$D,4,FALSE)="",""," ["&amp;VLOOKUP('.'!D441,Recipes!$A:$D,4,FALSE)&amp;"]"))</f>
        <v/>
      </c>
      <c r="E441" s="46" t="str">
        <f t="array" ref="E441">IF('.'!E441="","",'.'!E441&amp;IF(VLOOKUP('.'!E441,Recipes!$A:$D,4,FALSE)="",""," ["&amp;VLOOKUP('.'!E441,Recipes!$A:$D,4,FALSE)&amp;"]"))</f>
        <v/>
      </c>
      <c r="F441" s="46" t="str">
        <f t="array" ref="F441">IF('.'!F441="","",'.'!F441&amp;IF(VLOOKUP('.'!F441,Recipes!$A:$D,4,FALSE)="",""," ["&amp;VLOOKUP('.'!F441,Recipes!$A:$D,4,FALSE)&amp;"]"))</f>
        <v/>
      </c>
      <c r="G441" s="46" t="str">
        <f t="array" ref="G441">IF('.'!G441="","",'.'!G441&amp;IF(VLOOKUP('.'!G441,Recipes!$A:$D,4,FALSE)="",""," ["&amp;VLOOKUP('.'!G441,Recipes!$A:$D,4,FALSE)&amp;"]"))</f>
        <v/>
      </c>
      <c r="H441" s="46" t="str">
        <f t="array" ref="H441">IF('.'!H441="","",'.'!H441&amp;IF(VLOOKUP('.'!H441,Recipes!$A:$D,4,FALSE)="",""," ["&amp;VLOOKUP('.'!H441,Recipes!$A:$D,4,FALSE)&amp;"]"))</f>
        <v/>
      </c>
      <c r="I441" s="46" t="str">
        <f t="array" ref="I441">IF('.'!I441="","",'.'!I441&amp;IF(VLOOKUP('.'!I441,Recipes!$A:$D,4,FALSE)="",""," ["&amp;VLOOKUP('.'!I441,Recipes!$A:$D,4,FALSE)&amp;"]"))</f>
        <v/>
      </c>
      <c r="J441" s="46" t="str">
        <f t="array" ref="J441">IF('.'!J441="","",'.'!J441&amp;IF(VLOOKUP('.'!J441,Recipes!$A:$D,4,FALSE)="",""," ["&amp;VLOOKUP('.'!J441,Recipes!$A:$D,4,FALSE)&amp;"]"))</f>
        <v/>
      </c>
      <c r="K441" s="46" t="str">
        <f t="array" ref="K441">IF('.'!K441="","",'.'!K441&amp;IF(VLOOKUP('.'!K441,Recipes!$A:$D,4,FALSE)="",""," ["&amp;VLOOKUP('.'!K441,Recipes!$A:$D,4,FALSE)&amp;"]"))</f>
        <v/>
      </c>
      <c r="L441" s="46" t="str">
        <f t="array" ref="L441">IF('.'!L441="","",'.'!L441&amp;IF(VLOOKUP('.'!L441,Recipes!$A:$D,4,FALSE)="",""," ["&amp;VLOOKUP('.'!L441,Recipes!$A:$D,4,FALSE)&amp;"]"))</f>
        <v/>
      </c>
      <c r="M441" s="46" t="str">
        <f t="array" ref="M441">IF('.'!M441="","",'.'!M441&amp;IF(VLOOKUP('.'!M441,Recipes!$A:$D,4,FALSE)="",""," ["&amp;VLOOKUP('.'!M441,Recipes!$A:$D,4,FALSE)&amp;"]"))</f>
        <v/>
      </c>
      <c r="N441" s="46" t="str">
        <f t="array" ref="N441">IF('.'!N441="","",'.'!N441&amp;IF(VLOOKUP('.'!N441,Recipes!$A:$D,4,FALSE)="",""," ["&amp;VLOOKUP('.'!N441,Recipes!$A:$D,4,FALSE)&amp;"]"))</f>
        <v/>
      </c>
      <c r="O441" s="46" t="str">
        <f t="array" ref="O441">IF('.'!O441="","",'.'!O441&amp;IF(VLOOKUP('.'!O441,Recipes!$A:$D,4,FALSE)="",""," ["&amp;VLOOKUP('.'!O441,Recipes!$A:$D,4,FALSE)&amp;"]"))</f>
        <v/>
      </c>
      <c r="P441" s="46" t="str">
        <f t="array" ref="P441">IF('.'!P441="","",'.'!P441&amp;IF(VLOOKUP('.'!P441,Recipes!$A:$D,4,FALSE)="",""," ["&amp;VLOOKUP('.'!P441,Recipes!$A:$D,4,FALSE)&amp;"]"))</f>
        <v/>
      </c>
      <c r="Q441" s="46" t="str">
        <f t="array" ref="Q441">IF('.'!Q441="","",'.'!Q441&amp;IF(VLOOKUP('.'!Q441,Recipes!$A:$D,4,FALSE)="",""," ["&amp;VLOOKUP('.'!Q441,Recipes!$A:$D,4,FALSE)&amp;"]"))</f>
        <v/>
      </c>
      <c r="R441" s="46" t="str">
        <f t="array" ref="R441">IF('.'!R441="","",'.'!R441&amp;IF(VLOOKUP('.'!R441,Recipes!$A:$D,4,FALSE)="",""," ["&amp;VLOOKUP('.'!R441,Recipes!$A:$D,4,FALSE)&amp;"]"))</f>
        <v/>
      </c>
      <c r="S441" s="46" t="str">
        <f t="array" ref="S441">IF('.'!S441="","",'.'!S441&amp;IF(VLOOKUP('.'!S441,Recipes!$A:$D,4,FALSE)="",""," ["&amp;VLOOKUP('.'!S441,Recipes!$A:$D,4,FALSE)&amp;"]"))</f>
        <v/>
      </c>
      <c r="T441" s="46" t="str">
        <f t="array" ref="T441">IF('.'!T441="","",'.'!T441&amp;IF(VLOOKUP('.'!T441,Recipes!$A:$D,4,FALSE)="",""," ["&amp;VLOOKUP('.'!T441,Recipes!$A:$D,4,FALSE)&amp;"]"))</f>
        <v/>
      </c>
      <c r="U441" s="46" t="str">
        <f t="array" ref="U441">IF('.'!U441="","",'.'!U441&amp;IF(VLOOKUP('.'!U441,Recipes!$A:$D,4,FALSE)="",""," ["&amp;VLOOKUP('.'!U441,Recipes!$A:$D,4,FALSE)&amp;"]"))</f>
        <v/>
      </c>
      <c r="V441" s="46" t="str">
        <f t="array" ref="V441">IF('.'!V441="","",'.'!V441&amp;IF(VLOOKUP('.'!V441,Recipes!$A:$D,4,FALSE)="",""," ["&amp;VLOOKUP('.'!V441,Recipes!$A:$D,4,FALSE)&amp;"]"))</f>
        <v/>
      </c>
      <c r="W441" s="46" t="str">
        <f t="array" ref="W441">IF('.'!W441="","",'.'!W441&amp;IF(VLOOKUP('.'!W441,Recipes!$A:$D,4,FALSE)="",""," ["&amp;VLOOKUP('.'!W441,Recipes!$A:$D,4,FALSE)&amp;"]"))</f>
        <v/>
      </c>
      <c r="X441" s="46" t="str">
        <f t="array" ref="X441">IF('.'!X441="","",'.'!X441&amp;IF(VLOOKUP('.'!X441,Recipes!$A:$D,4,FALSE)="",""," ["&amp;VLOOKUP('.'!X441,Recipes!$A:$D,4,FALSE)&amp;"]"))</f>
        <v/>
      </c>
      <c r="Y441" s="46" t="str">
        <f t="array" ref="Y441">IF('.'!Y441="","",'.'!Y441&amp;IF(VLOOKUP('.'!Y441,Recipes!$A:$D,4,FALSE)="",""," ["&amp;VLOOKUP('.'!Y441,Recipes!$A:$D,4,FALSE)&amp;"]"))</f>
        <v/>
      </c>
      <c r="Z441" s="46" t="str">
        <f t="array" ref="Z441">IF('.'!Z441="","",'.'!Z441&amp;IF(VLOOKUP('.'!Z441,Recipes!$A:$D,4,FALSE)="",""," ["&amp;VLOOKUP('.'!Z441,Recipes!$A:$D,4,FALSE)&amp;"]"))</f>
        <v/>
      </c>
      <c r="AA441" s="46" t="str">
        <f t="array" ref="AA441">IF('.'!AA441="","",'.'!AA441&amp;IF(VLOOKUP('.'!AA441,Recipes!$A:$D,4,FALSE)="",""," ["&amp;VLOOKUP('.'!AA441,Recipes!$A:$D,4,FALSE)&amp;"]"))</f>
        <v/>
      </c>
      <c r="AB441" s="46" t="str">
        <f t="array" ref="AB441">IF('.'!AB441="","",'.'!AB441&amp;IF(VLOOKUP('.'!AB441,Recipes!$A:$D,4,FALSE)="",""," ["&amp;VLOOKUP('.'!AB441,Recipes!$A:$D,4,FALSE)&amp;"]"))</f>
        <v/>
      </c>
      <c r="AC441" s="46" t="str">
        <f t="array" ref="AC441">IF('.'!AC441="","",'.'!AC441&amp;IF(VLOOKUP('.'!AC441,Recipes!$A:$D,4,FALSE)="",""," ["&amp;VLOOKUP('.'!AC441,Recipes!$A:$D,4,FALSE)&amp;"]"))</f>
        <v/>
      </c>
      <c r="AD441" s="46" t="str">
        <f t="array" ref="AD441">IF('.'!AD441="","",'.'!AD441&amp;IF(VLOOKUP('.'!AD441,Recipes!$A:$D,4,FALSE)="",""," ["&amp;VLOOKUP('.'!AD441,Recipes!$A:$D,4,FALSE)&amp;"]"))</f>
        <v/>
      </c>
      <c r="AE441" s="47" t="str">
        <f t="array" ref="AE441">IF('.'!AE441="","",'.'!AE441&amp;IF(VLOOKUP('.'!AE441,Recipes!$A:$D,4,FALSE)="",""," ["&amp;VLOOKUP('.'!AE441,Recipes!$A:$D,4,FALSE)&amp;"]"))</f>
        <v/>
      </c>
      <c r="AF441" s="47"/>
      <c r="AG441" s="47"/>
      <c r="AH441" s="47"/>
      <c r="AI441" s="47"/>
      <c r="AJ441" s="47"/>
      <c r="AK441" s="47"/>
      <c r="AL441" s="47"/>
      <c r="AM441" s="47"/>
      <c r="AN441" s="47"/>
      <c r="AO441" s="47"/>
      <c r="AP441" s="47"/>
      <c r="AQ441" s="47"/>
      <c r="AR441" s="47"/>
      <c r="AS441" s="47"/>
      <c r="AT441" s="47"/>
      <c r="AU441" s="47"/>
      <c r="AV441" s="47"/>
      <c r="AW441" s="47"/>
      <c r="AX441" s="47"/>
      <c r="AY441" s="47"/>
      <c r="AZ441" s="47"/>
      <c r="BA441" s="47"/>
      <c r="BB441" s="47"/>
      <c r="BC441" s="47"/>
      <c r="BD441" s="47"/>
      <c r="BE441" s="47"/>
      <c r="BF441" s="47"/>
      <c r="BG441" s="47"/>
      <c r="BH441" s="47"/>
      <c r="BI441" s="47"/>
      <c r="BJ441" s="47"/>
      <c r="BK441" s="47"/>
      <c r="BL441" s="47"/>
      <c r="BM441" s="47"/>
      <c r="BN441" s="47"/>
      <c r="BO441" s="47"/>
      <c r="BP441" s="47"/>
      <c r="BQ441" s="47"/>
      <c r="BR441" s="47"/>
      <c r="BS441" s="47"/>
      <c r="BT441" s="47"/>
      <c r="BU441" s="47"/>
      <c r="BV441" s="47"/>
      <c r="BW441" s="47"/>
      <c r="BX441" s="47"/>
      <c r="BY441" s="47"/>
      <c r="BZ441" s="47"/>
    </row>
    <row r="442" spans="1:78" ht="13">
      <c r="A442" s="48" t="str">
        <f ca="1">'.'!A442</f>
        <v>Tomato Sauce</v>
      </c>
      <c r="B442" s="46" t="str">
        <f t="array" aca="1" ref="B442" ca="1">IF('.'!B442="","",'.'!B442&amp;IF(VLOOKUP('.'!B442,Recipes!$A:$D,4,FALSE)="",""," ["&amp;VLOOKUP('.'!B442,Recipes!$A:$D,4,FALSE)&amp;"]"))</f>
        <v>Elven Stew [0]</v>
      </c>
      <c r="C442" s="46" t="str">
        <f t="array" aca="1" ref="C442" ca="1">IF('.'!C442="","",'.'!C442&amp;IF(VLOOKUP('.'!C442,Recipes!$A:$D,4,FALSE)="",""," ["&amp;VLOOKUP('.'!C442,Recipes!$A:$D,4,FALSE)&amp;"]"))</f>
        <v>Pizza Dough [-1]</v>
      </c>
      <c r="D442" s="46" t="str">
        <f t="array" ref="D442">IF('.'!D442="","",'.'!D442&amp;IF(VLOOKUP('.'!D442,Recipes!$A:$D,4,FALSE)="",""," ["&amp;VLOOKUP('.'!D442,Recipes!$A:$D,4,FALSE)&amp;"]"))</f>
        <v/>
      </c>
      <c r="E442" s="46" t="str">
        <f t="array" ref="E442">IF('.'!E442="","",'.'!E442&amp;IF(VLOOKUP('.'!E442,Recipes!$A:$D,4,FALSE)="",""," ["&amp;VLOOKUP('.'!E442,Recipes!$A:$D,4,FALSE)&amp;"]"))</f>
        <v/>
      </c>
      <c r="F442" s="46" t="str">
        <f t="array" ref="F442">IF('.'!F442="","",'.'!F442&amp;IF(VLOOKUP('.'!F442,Recipes!$A:$D,4,FALSE)="",""," ["&amp;VLOOKUP('.'!F442,Recipes!$A:$D,4,FALSE)&amp;"]"))</f>
        <v/>
      </c>
      <c r="G442" s="46" t="str">
        <f t="array" ref="G442">IF('.'!G442="","",'.'!G442&amp;IF(VLOOKUP('.'!G442,Recipes!$A:$D,4,FALSE)="",""," ["&amp;VLOOKUP('.'!G442,Recipes!$A:$D,4,FALSE)&amp;"]"))</f>
        <v/>
      </c>
      <c r="H442" s="46" t="str">
        <f t="array" ref="H442">IF('.'!H442="","",'.'!H442&amp;IF(VLOOKUP('.'!H442,Recipes!$A:$D,4,FALSE)="",""," ["&amp;VLOOKUP('.'!H442,Recipes!$A:$D,4,FALSE)&amp;"]"))</f>
        <v/>
      </c>
      <c r="I442" s="46" t="str">
        <f t="array" ref="I442">IF('.'!I442="","",'.'!I442&amp;IF(VLOOKUP('.'!I442,Recipes!$A:$D,4,FALSE)="",""," ["&amp;VLOOKUP('.'!I442,Recipes!$A:$D,4,FALSE)&amp;"]"))</f>
        <v/>
      </c>
      <c r="J442" s="46" t="str">
        <f t="array" ref="J442">IF('.'!J442="","",'.'!J442&amp;IF(VLOOKUP('.'!J442,Recipes!$A:$D,4,FALSE)="",""," ["&amp;VLOOKUP('.'!J442,Recipes!$A:$D,4,FALSE)&amp;"]"))</f>
        <v/>
      </c>
      <c r="K442" s="46" t="str">
        <f t="array" ref="K442">IF('.'!K442="","",'.'!K442&amp;IF(VLOOKUP('.'!K442,Recipes!$A:$D,4,FALSE)="",""," ["&amp;VLOOKUP('.'!K442,Recipes!$A:$D,4,FALSE)&amp;"]"))</f>
        <v/>
      </c>
      <c r="L442" s="46" t="str">
        <f t="array" ref="L442">IF('.'!L442="","",'.'!L442&amp;IF(VLOOKUP('.'!L442,Recipes!$A:$D,4,FALSE)="",""," ["&amp;VLOOKUP('.'!L442,Recipes!$A:$D,4,FALSE)&amp;"]"))</f>
        <v/>
      </c>
      <c r="M442" s="46" t="str">
        <f t="array" ref="M442">IF('.'!M442="","",'.'!M442&amp;IF(VLOOKUP('.'!M442,Recipes!$A:$D,4,FALSE)="",""," ["&amp;VLOOKUP('.'!M442,Recipes!$A:$D,4,FALSE)&amp;"]"))</f>
        <v/>
      </c>
      <c r="N442" s="46" t="str">
        <f t="array" ref="N442">IF('.'!N442="","",'.'!N442&amp;IF(VLOOKUP('.'!N442,Recipes!$A:$D,4,FALSE)="",""," ["&amp;VLOOKUP('.'!N442,Recipes!$A:$D,4,FALSE)&amp;"]"))</f>
        <v/>
      </c>
      <c r="O442" s="46" t="str">
        <f t="array" ref="O442">IF('.'!O442="","",'.'!O442&amp;IF(VLOOKUP('.'!O442,Recipes!$A:$D,4,FALSE)="",""," ["&amp;VLOOKUP('.'!O442,Recipes!$A:$D,4,FALSE)&amp;"]"))</f>
        <v/>
      </c>
      <c r="P442" s="46" t="str">
        <f t="array" ref="P442">IF('.'!P442="","",'.'!P442&amp;IF(VLOOKUP('.'!P442,Recipes!$A:$D,4,FALSE)="",""," ["&amp;VLOOKUP('.'!P442,Recipes!$A:$D,4,FALSE)&amp;"]"))</f>
        <v/>
      </c>
      <c r="Q442" s="46" t="str">
        <f t="array" ref="Q442">IF('.'!Q442="","",'.'!Q442&amp;IF(VLOOKUP('.'!Q442,Recipes!$A:$D,4,FALSE)="",""," ["&amp;VLOOKUP('.'!Q442,Recipes!$A:$D,4,FALSE)&amp;"]"))</f>
        <v/>
      </c>
      <c r="R442" s="46" t="str">
        <f t="array" ref="R442">IF('.'!R442="","",'.'!R442&amp;IF(VLOOKUP('.'!R442,Recipes!$A:$D,4,FALSE)="",""," ["&amp;VLOOKUP('.'!R442,Recipes!$A:$D,4,FALSE)&amp;"]"))</f>
        <v/>
      </c>
      <c r="S442" s="46" t="str">
        <f t="array" ref="S442">IF('.'!S442="","",'.'!S442&amp;IF(VLOOKUP('.'!S442,Recipes!$A:$D,4,FALSE)="",""," ["&amp;VLOOKUP('.'!S442,Recipes!$A:$D,4,FALSE)&amp;"]"))</f>
        <v/>
      </c>
      <c r="T442" s="46" t="str">
        <f t="array" ref="T442">IF('.'!T442="","",'.'!T442&amp;IF(VLOOKUP('.'!T442,Recipes!$A:$D,4,FALSE)="",""," ["&amp;VLOOKUP('.'!T442,Recipes!$A:$D,4,FALSE)&amp;"]"))</f>
        <v/>
      </c>
      <c r="U442" s="46" t="str">
        <f t="array" ref="U442">IF('.'!U442="","",'.'!U442&amp;IF(VLOOKUP('.'!U442,Recipes!$A:$D,4,FALSE)="",""," ["&amp;VLOOKUP('.'!U442,Recipes!$A:$D,4,FALSE)&amp;"]"))</f>
        <v/>
      </c>
      <c r="V442" s="46" t="str">
        <f t="array" ref="V442">IF('.'!V442="","",'.'!V442&amp;IF(VLOOKUP('.'!V442,Recipes!$A:$D,4,FALSE)="",""," ["&amp;VLOOKUP('.'!V442,Recipes!$A:$D,4,FALSE)&amp;"]"))</f>
        <v/>
      </c>
      <c r="W442" s="46" t="str">
        <f t="array" ref="W442">IF('.'!W442="","",'.'!W442&amp;IF(VLOOKUP('.'!W442,Recipes!$A:$D,4,FALSE)="",""," ["&amp;VLOOKUP('.'!W442,Recipes!$A:$D,4,FALSE)&amp;"]"))</f>
        <v/>
      </c>
      <c r="X442" s="46" t="str">
        <f t="array" ref="X442">IF('.'!X442="","",'.'!X442&amp;IF(VLOOKUP('.'!X442,Recipes!$A:$D,4,FALSE)="",""," ["&amp;VLOOKUP('.'!X442,Recipes!$A:$D,4,FALSE)&amp;"]"))</f>
        <v/>
      </c>
      <c r="Y442" s="46" t="str">
        <f t="array" ref="Y442">IF('.'!Y442="","",'.'!Y442&amp;IF(VLOOKUP('.'!Y442,Recipes!$A:$D,4,FALSE)="",""," ["&amp;VLOOKUP('.'!Y442,Recipes!$A:$D,4,FALSE)&amp;"]"))</f>
        <v/>
      </c>
      <c r="Z442" s="46" t="str">
        <f t="array" ref="Z442">IF('.'!Z442="","",'.'!Z442&amp;IF(VLOOKUP('.'!Z442,Recipes!$A:$D,4,FALSE)="",""," ["&amp;VLOOKUP('.'!Z442,Recipes!$A:$D,4,FALSE)&amp;"]"))</f>
        <v/>
      </c>
      <c r="AA442" s="46" t="str">
        <f t="array" ref="AA442">IF('.'!AA442="","",'.'!AA442&amp;IF(VLOOKUP('.'!AA442,Recipes!$A:$D,4,FALSE)="",""," ["&amp;VLOOKUP('.'!AA442,Recipes!$A:$D,4,FALSE)&amp;"]"))</f>
        <v/>
      </c>
      <c r="AB442" s="46" t="str">
        <f t="array" ref="AB442">IF('.'!AB442="","",'.'!AB442&amp;IF(VLOOKUP('.'!AB442,Recipes!$A:$D,4,FALSE)="",""," ["&amp;VLOOKUP('.'!AB442,Recipes!$A:$D,4,FALSE)&amp;"]"))</f>
        <v/>
      </c>
      <c r="AC442" s="46" t="str">
        <f t="array" ref="AC442">IF('.'!AC442="","",'.'!AC442&amp;IF(VLOOKUP('.'!AC442,Recipes!$A:$D,4,FALSE)="",""," ["&amp;VLOOKUP('.'!AC442,Recipes!$A:$D,4,FALSE)&amp;"]"))</f>
        <v/>
      </c>
      <c r="AD442" s="46" t="str">
        <f t="array" ref="AD442">IF('.'!AD442="","",'.'!AD442&amp;IF(VLOOKUP('.'!AD442,Recipes!$A:$D,4,FALSE)="",""," ["&amp;VLOOKUP('.'!AD442,Recipes!$A:$D,4,FALSE)&amp;"]"))</f>
        <v/>
      </c>
      <c r="AE442" s="47" t="str">
        <f t="array" ref="AE442">IF('.'!AE442="","",'.'!AE442&amp;IF(VLOOKUP('.'!AE442,Recipes!$A:$D,4,FALSE)="",""," ["&amp;VLOOKUP('.'!AE442,Recipes!$A:$D,4,FALSE)&amp;"]"))</f>
        <v/>
      </c>
      <c r="AF442" s="47"/>
      <c r="AG442" s="47"/>
      <c r="AH442" s="47"/>
      <c r="AI442" s="47"/>
      <c r="AJ442" s="47"/>
      <c r="AK442" s="47"/>
      <c r="AL442" s="47"/>
      <c r="AM442" s="47"/>
      <c r="AN442" s="47"/>
      <c r="AO442" s="47"/>
      <c r="AP442" s="47"/>
      <c r="AQ442" s="47"/>
      <c r="AR442" s="47"/>
      <c r="AS442" s="47"/>
      <c r="AT442" s="47"/>
      <c r="AU442" s="47"/>
      <c r="AV442" s="47"/>
      <c r="AW442" s="47"/>
      <c r="AX442" s="47"/>
      <c r="AY442" s="47"/>
      <c r="AZ442" s="47"/>
      <c r="BA442" s="47"/>
      <c r="BB442" s="47"/>
      <c r="BC442" s="47"/>
      <c r="BD442" s="47"/>
      <c r="BE442" s="47"/>
      <c r="BF442" s="47"/>
      <c r="BG442" s="47"/>
      <c r="BH442" s="47"/>
      <c r="BI442" s="47"/>
      <c r="BJ442" s="47"/>
      <c r="BK442" s="47"/>
      <c r="BL442" s="47"/>
      <c r="BM442" s="47"/>
      <c r="BN442" s="47"/>
      <c r="BO442" s="47"/>
      <c r="BP442" s="47"/>
      <c r="BQ442" s="47"/>
      <c r="BR442" s="47"/>
      <c r="BS442" s="47"/>
      <c r="BT442" s="47"/>
      <c r="BU442" s="47"/>
      <c r="BV442" s="47"/>
      <c r="BW442" s="47"/>
      <c r="BX442" s="47"/>
      <c r="BY442" s="47"/>
      <c r="BZ442" s="47"/>
    </row>
    <row r="443" spans="1:78" ht="13">
      <c r="A443" s="48" t="str">
        <f ca="1">'.'!A443</f>
        <v>Tongs</v>
      </c>
      <c r="B443" s="46" t="str">
        <f t="array" aca="1" ref="B443" ca="1">IF('.'!B443="","",'.'!B443&amp;IF(VLOOKUP('.'!B443,Recipes!$A:$D,4,FALSE)="",""," ["&amp;VLOOKUP('.'!B443,Recipes!$A:$D,4,FALSE)&amp;"]"))</f>
        <v>Trap Disarming Kit [8]</v>
      </c>
      <c r="C443" s="46" t="str">
        <f t="array" aca="1" ref="C443" ca="1">IF('.'!C443="","",'.'!C443&amp;IF(VLOOKUP('.'!C443,Recipes!$A:$D,4,FALSE)="",""," ["&amp;VLOOKUP('.'!C443,Recipes!$A:$D,4,FALSE)&amp;"]"))</f>
        <v>Big Tongs Roped Together [V]</v>
      </c>
      <c r="D443" s="46" t="str">
        <f t="array" ref="D443">IF('.'!D443="","",'.'!D443&amp;IF(VLOOKUP('.'!D443,Recipes!$A:$D,4,FALSE)="",""," ["&amp;VLOOKUP('.'!D443,Recipes!$A:$D,4,FALSE)&amp;"]"))</f>
        <v/>
      </c>
      <c r="E443" s="46" t="str">
        <f t="array" ref="E443">IF('.'!E443="","",'.'!E443&amp;IF(VLOOKUP('.'!E443,Recipes!$A:$D,4,FALSE)="",""," ["&amp;VLOOKUP('.'!E443,Recipes!$A:$D,4,FALSE)&amp;"]"))</f>
        <v/>
      </c>
      <c r="F443" s="46" t="str">
        <f t="array" ref="F443">IF('.'!F443="","",'.'!F443&amp;IF(VLOOKUP('.'!F443,Recipes!$A:$D,4,FALSE)="",""," ["&amp;VLOOKUP('.'!F443,Recipes!$A:$D,4,FALSE)&amp;"]"))</f>
        <v/>
      </c>
      <c r="G443" s="46" t="str">
        <f t="array" ref="G443">IF('.'!G443="","",'.'!G443&amp;IF(VLOOKUP('.'!G443,Recipes!$A:$D,4,FALSE)="",""," ["&amp;VLOOKUP('.'!G443,Recipes!$A:$D,4,FALSE)&amp;"]"))</f>
        <v/>
      </c>
      <c r="H443" s="46" t="str">
        <f t="array" ref="H443">IF('.'!H443="","",'.'!H443&amp;IF(VLOOKUP('.'!H443,Recipes!$A:$D,4,FALSE)="",""," ["&amp;VLOOKUP('.'!H443,Recipes!$A:$D,4,FALSE)&amp;"]"))</f>
        <v/>
      </c>
      <c r="I443" s="46" t="str">
        <f t="array" ref="I443">IF('.'!I443="","",'.'!I443&amp;IF(VLOOKUP('.'!I443,Recipes!$A:$D,4,FALSE)="",""," ["&amp;VLOOKUP('.'!I443,Recipes!$A:$D,4,FALSE)&amp;"]"))</f>
        <v/>
      </c>
      <c r="J443" s="46" t="str">
        <f t="array" ref="J443">IF('.'!J443="","",'.'!J443&amp;IF(VLOOKUP('.'!J443,Recipes!$A:$D,4,FALSE)="",""," ["&amp;VLOOKUP('.'!J443,Recipes!$A:$D,4,FALSE)&amp;"]"))</f>
        <v/>
      </c>
      <c r="K443" s="46" t="str">
        <f t="array" ref="K443">IF('.'!K443="","",'.'!K443&amp;IF(VLOOKUP('.'!K443,Recipes!$A:$D,4,FALSE)="",""," ["&amp;VLOOKUP('.'!K443,Recipes!$A:$D,4,FALSE)&amp;"]"))</f>
        <v/>
      </c>
      <c r="L443" s="46" t="str">
        <f t="array" ref="L443">IF('.'!L443="","",'.'!L443&amp;IF(VLOOKUP('.'!L443,Recipes!$A:$D,4,FALSE)="",""," ["&amp;VLOOKUP('.'!L443,Recipes!$A:$D,4,FALSE)&amp;"]"))</f>
        <v/>
      </c>
      <c r="M443" s="46" t="str">
        <f t="array" ref="M443">IF('.'!M443="","",'.'!M443&amp;IF(VLOOKUP('.'!M443,Recipes!$A:$D,4,FALSE)="",""," ["&amp;VLOOKUP('.'!M443,Recipes!$A:$D,4,FALSE)&amp;"]"))</f>
        <v/>
      </c>
      <c r="N443" s="46" t="str">
        <f t="array" ref="N443">IF('.'!N443="","",'.'!N443&amp;IF(VLOOKUP('.'!N443,Recipes!$A:$D,4,FALSE)="",""," ["&amp;VLOOKUP('.'!N443,Recipes!$A:$D,4,FALSE)&amp;"]"))</f>
        <v/>
      </c>
      <c r="O443" s="46" t="str">
        <f t="array" ref="O443">IF('.'!O443="","",'.'!O443&amp;IF(VLOOKUP('.'!O443,Recipes!$A:$D,4,FALSE)="",""," ["&amp;VLOOKUP('.'!O443,Recipes!$A:$D,4,FALSE)&amp;"]"))</f>
        <v/>
      </c>
      <c r="P443" s="46" t="str">
        <f t="array" ref="P443">IF('.'!P443="","",'.'!P443&amp;IF(VLOOKUP('.'!P443,Recipes!$A:$D,4,FALSE)="",""," ["&amp;VLOOKUP('.'!P443,Recipes!$A:$D,4,FALSE)&amp;"]"))</f>
        <v/>
      </c>
      <c r="Q443" s="46" t="str">
        <f t="array" ref="Q443">IF('.'!Q443="","",'.'!Q443&amp;IF(VLOOKUP('.'!Q443,Recipes!$A:$D,4,FALSE)="",""," ["&amp;VLOOKUP('.'!Q443,Recipes!$A:$D,4,FALSE)&amp;"]"))</f>
        <v/>
      </c>
      <c r="R443" s="46" t="str">
        <f t="array" ref="R443">IF('.'!R443="","",'.'!R443&amp;IF(VLOOKUP('.'!R443,Recipes!$A:$D,4,FALSE)="",""," ["&amp;VLOOKUP('.'!R443,Recipes!$A:$D,4,FALSE)&amp;"]"))</f>
        <v/>
      </c>
      <c r="S443" s="46" t="str">
        <f t="array" ref="S443">IF('.'!S443="","",'.'!S443&amp;IF(VLOOKUP('.'!S443,Recipes!$A:$D,4,FALSE)="",""," ["&amp;VLOOKUP('.'!S443,Recipes!$A:$D,4,FALSE)&amp;"]"))</f>
        <v/>
      </c>
      <c r="T443" s="46" t="str">
        <f t="array" ref="T443">IF('.'!T443="","",'.'!T443&amp;IF(VLOOKUP('.'!T443,Recipes!$A:$D,4,FALSE)="",""," ["&amp;VLOOKUP('.'!T443,Recipes!$A:$D,4,FALSE)&amp;"]"))</f>
        <v/>
      </c>
      <c r="U443" s="46" t="str">
        <f t="array" ref="U443">IF('.'!U443="","",'.'!U443&amp;IF(VLOOKUP('.'!U443,Recipes!$A:$D,4,FALSE)="",""," ["&amp;VLOOKUP('.'!U443,Recipes!$A:$D,4,FALSE)&amp;"]"))</f>
        <v/>
      </c>
      <c r="V443" s="46" t="str">
        <f t="array" ref="V443">IF('.'!V443="","",'.'!V443&amp;IF(VLOOKUP('.'!V443,Recipes!$A:$D,4,FALSE)="",""," ["&amp;VLOOKUP('.'!V443,Recipes!$A:$D,4,FALSE)&amp;"]"))</f>
        <v/>
      </c>
      <c r="W443" s="46" t="str">
        <f t="array" ref="W443">IF('.'!W443="","",'.'!W443&amp;IF(VLOOKUP('.'!W443,Recipes!$A:$D,4,FALSE)="",""," ["&amp;VLOOKUP('.'!W443,Recipes!$A:$D,4,FALSE)&amp;"]"))</f>
        <v/>
      </c>
      <c r="X443" s="46" t="str">
        <f t="array" ref="X443">IF('.'!X443="","",'.'!X443&amp;IF(VLOOKUP('.'!X443,Recipes!$A:$D,4,FALSE)="",""," ["&amp;VLOOKUP('.'!X443,Recipes!$A:$D,4,FALSE)&amp;"]"))</f>
        <v/>
      </c>
      <c r="Y443" s="46" t="str">
        <f t="array" ref="Y443">IF('.'!Y443="","",'.'!Y443&amp;IF(VLOOKUP('.'!Y443,Recipes!$A:$D,4,FALSE)="",""," ["&amp;VLOOKUP('.'!Y443,Recipes!$A:$D,4,FALSE)&amp;"]"))</f>
        <v/>
      </c>
      <c r="Z443" s="46" t="str">
        <f t="array" ref="Z443">IF('.'!Z443="","",'.'!Z443&amp;IF(VLOOKUP('.'!Z443,Recipes!$A:$D,4,FALSE)="",""," ["&amp;VLOOKUP('.'!Z443,Recipes!$A:$D,4,FALSE)&amp;"]"))</f>
        <v/>
      </c>
      <c r="AA443" s="46" t="str">
        <f t="array" ref="AA443">IF('.'!AA443="","",'.'!AA443&amp;IF(VLOOKUP('.'!AA443,Recipes!$A:$D,4,FALSE)="",""," ["&amp;VLOOKUP('.'!AA443,Recipes!$A:$D,4,FALSE)&amp;"]"))</f>
        <v/>
      </c>
      <c r="AB443" s="46" t="str">
        <f t="array" ref="AB443">IF('.'!AB443="","",'.'!AB443&amp;IF(VLOOKUP('.'!AB443,Recipes!$A:$D,4,FALSE)="",""," ["&amp;VLOOKUP('.'!AB443,Recipes!$A:$D,4,FALSE)&amp;"]"))</f>
        <v/>
      </c>
      <c r="AC443" s="46" t="str">
        <f t="array" ref="AC443">IF('.'!AC443="","",'.'!AC443&amp;IF(VLOOKUP('.'!AC443,Recipes!$A:$D,4,FALSE)="",""," ["&amp;VLOOKUP('.'!AC443,Recipes!$A:$D,4,FALSE)&amp;"]"))</f>
        <v/>
      </c>
      <c r="AD443" s="46" t="str">
        <f t="array" ref="AD443">IF('.'!AD443="","",'.'!AD443&amp;IF(VLOOKUP('.'!AD443,Recipes!$A:$D,4,FALSE)="",""," ["&amp;VLOOKUP('.'!AD443,Recipes!$A:$D,4,FALSE)&amp;"]"))</f>
        <v/>
      </c>
      <c r="AE443" s="47" t="str">
        <f t="array" ref="AE443">IF('.'!AE443="","",'.'!AE443&amp;IF(VLOOKUP('.'!AE443,Recipes!$A:$D,4,FALSE)="",""," ["&amp;VLOOKUP('.'!AE443,Recipes!$A:$D,4,FALSE)&amp;"]"))</f>
        <v/>
      </c>
      <c r="AF443" s="47"/>
      <c r="AG443" s="47"/>
      <c r="AH443" s="47"/>
      <c r="AI443" s="47"/>
      <c r="AJ443" s="47"/>
      <c r="AK443" s="47"/>
      <c r="AL443" s="47"/>
      <c r="AM443" s="47"/>
      <c r="AN443" s="47"/>
      <c r="AO443" s="47"/>
      <c r="AP443" s="47"/>
      <c r="AQ443" s="47"/>
      <c r="AR443" s="47"/>
      <c r="AS443" s="47"/>
      <c r="AT443" s="47"/>
      <c r="AU443" s="47"/>
      <c r="AV443" s="47"/>
      <c r="AW443" s="47"/>
      <c r="AX443" s="47"/>
      <c r="AY443" s="47"/>
      <c r="AZ443" s="47"/>
      <c r="BA443" s="47"/>
      <c r="BB443" s="47"/>
      <c r="BC443" s="47"/>
      <c r="BD443" s="47"/>
      <c r="BE443" s="47"/>
      <c r="BF443" s="47"/>
      <c r="BG443" s="47"/>
      <c r="BH443" s="47"/>
      <c r="BI443" s="47"/>
      <c r="BJ443" s="47"/>
      <c r="BK443" s="47"/>
      <c r="BL443" s="47"/>
      <c r="BM443" s="47"/>
      <c r="BN443" s="47"/>
      <c r="BO443" s="47"/>
      <c r="BP443" s="47"/>
      <c r="BQ443" s="47"/>
      <c r="BR443" s="47"/>
      <c r="BS443" s="47"/>
      <c r="BT443" s="47"/>
      <c r="BU443" s="47"/>
      <c r="BV443" s="47"/>
      <c r="BW443" s="47"/>
      <c r="BX443" s="47"/>
      <c r="BY443" s="47"/>
      <c r="BZ443" s="47"/>
    </row>
    <row r="444" spans="1:78" ht="13">
      <c r="A444" s="48" t="str">
        <f ca="1">'.'!A444</f>
        <v>Tooth</v>
      </c>
      <c r="B444" s="46" t="str">
        <f t="array" aca="1" ref="B444" ca="1">IF('.'!B444="","",'.'!B444&amp;IF(VLOOKUP('.'!B444,Recipes!$A:$D,4,FALSE)="",""," ["&amp;VLOOKUP('.'!B444,Recipes!$A:$D,4,FALSE)&amp;"]"))</f>
        <v>Shocking Arrowhead [85]</v>
      </c>
      <c r="C444" s="46" t="str">
        <f t="array" aca="1" ref="C444" ca="1">IF('.'!C444="","",'.'!C444&amp;IF(VLOOKUP('.'!C444,Recipes!$A:$D,4,FALSE)="",""," ["&amp;VLOOKUP('.'!C444,Recipes!$A:$D,4,FALSE)&amp;"]"))</f>
        <v>Searing Daggers Scroll [-10]</v>
      </c>
      <c r="D444" s="46" t="str">
        <f t="array" ref="D444">IF('.'!D444="","",'.'!D444&amp;IF(VLOOKUP('.'!D444,Recipes!$A:$D,4,FALSE)="",""," ["&amp;VLOOKUP('.'!D444,Recipes!$A:$D,4,FALSE)&amp;"]"))</f>
        <v/>
      </c>
      <c r="E444" s="46" t="str">
        <f t="array" ref="E444">IF('.'!E444="","",'.'!E444&amp;IF(VLOOKUP('.'!E444,Recipes!$A:$D,4,FALSE)="",""," ["&amp;VLOOKUP('.'!E444,Recipes!$A:$D,4,FALSE)&amp;"]"))</f>
        <v/>
      </c>
      <c r="F444" s="46" t="str">
        <f t="array" ref="F444">IF('.'!F444="","",'.'!F444&amp;IF(VLOOKUP('.'!F444,Recipes!$A:$D,4,FALSE)="",""," ["&amp;VLOOKUP('.'!F444,Recipes!$A:$D,4,FALSE)&amp;"]"))</f>
        <v/>
      </c>
      <c r="G444" s="46" t="str">
        <f t="array" ref="G444">IF('.'!G444="","",'.'!G444&amp;IF(VLOOKUP('.'!G444,Recipes!$A:$D,4,FALSE)="",""," ["&amp;VLOOKUP('.'!G444,Recipes!$A:$D,4,FALSE)&amp;"]"))</f>
        <v/>
      </c>
      <c r="H444" s="46" t="str">
        <f t="array" ref="H444">IF('.'!H444="","",'.'!H444&amp;IF(VLOOKUP('.'!H444,Recipes!$A:$D,4,FALSE)="",""," ["&amp;VLOOKUP('.'!H444,Recipes!$A:$D,4,FALSE)&amp;"]"))</f>
        <v/>
      </c>
      <c r="I444" s="46" t="str">
        <f t="array" ref="I444">IF('.'!I444="","",'.'!I444&amp;IF(VLOOKUP('.'!I444,Recipes!$A:$D,4,FALSE)="",""," ["&amp;VLOOKUP('.'!I444,Recipes!$A:$D,4,FALSE)&amp;"]"))</f>
        <v/>
      </c>
      <c r="J444" s="46" t="str">
        <f t="array" ref="J444">IF('.'!J444="","",'.'!J444&amp;IF(VLOOKUP('.'!J444,Recipes!$A:$D,4,FALSE)="",""," ["&amp;VLOOKUP('.'!J444,Recipes!$A:$D,4,FALSE)&amp;"]"))</f>
        <v/>
      </c>
      <c r="K444" s="46" t="str">
        <f t="array" ref="K444">IF('.'!K444="","",'.'!K444&amp;IF(VLOOKUP('.'!K444,Recipes!$A:$D,4,FALSE)="",""," ["&amp;VLOOKUP('.'!K444,Recipes!$A:$D,4,FALSE)&amp;"]"))</f>
        <v/>
      </c>
      <c r="L444" s="46" t="str">
        <f t="array" ref="L444">IF('.'!L444="","",'.'!L444&amp;IF(VLOOKUP('.'!L444,Recipes!$A:$D,4,FALSE)="",""," ["&amp;VLOOKUP('.'!L444,Recipes!$A:$D,4,FALSE)&amp;"]"))</f>
        <v/>
      </c>
      <c r="M444" s="46" t="str">
        <f t="array" ref="M444">IF('.'!M444="","",'.'!M444&amp;IF(VLOOKUP('.'!M444,Recipes!$A:$D,4,FALSE)="",""," ["&amp;VLOOKUP('.'!M444,Recipes!$A:$D,4,FALSE)&amp;"]"))</f>
        <v/>
      </c>
      <c r="N444" s="46" t="str">
        <f t="array" ref="N444">IF('.'!N444="","",'.'!N444&amp;IF(VLOOKUP('.'!N444,Recipes!$A:$D,4,FALSE)="",""," ["&amp;VLOOKUP('.'!N444,Recipes!$A:$D,4,FALSE)&amp;"]"))</f>
        <v/>
      </c>
      <c r="O444" s="46" t="str">
        <f t="array" ref="O444">IF('.'!O444="","",'.'!O444&amp;IF(VLOOKUP('.'!O444,Recipes!$A:$D,4,FALSE)="",""," ["&amp;VLOOKUP('.'!O444,Recipes!$A:$D,4,FALSE)&amp;"]"))</f>
        <v/>
      </c>
      <c r="P444" s="46" t="str">
        <f t="array" ref="P444">IF('.'!P444="","",'.'!P444&amp;IF(VLOOKUP('.'!P444,Recipes!$A:$D,4,FALSE)="",""," ["&amp;VLOOKUP('.'!P444,Recipes!$A:$D,4,FALSE)&amp;"]"))</f>
        <v/>
      </c>
      <c r="Q444" s="46" t="str">
        <f t="array" ref="Q444">IF('.'!Q444="","",'.'!Q444&amp;IF(VLOOKUP('.'!Q444,Recipes!$A:$D,4,FALSE)="",""," ["&amp;VLOOKUP('.'!Q444,Recipes!$A:$D,4,FALSE)&amp;"]"))</f>
        <v/>
      </c>
      <c r="R444" s="46" t="str">
        <f t="array" ref="R444">IF('.'!R444="","",'.'!R444&amp;IF(VLOOKUP('.'!R444,Recipes!$A:$D,4,FALSE)="",""," ["&amp;VLOOKUP('.'!R444,Recipes!$A:$D,4,FALSE)&amp;"]"))</f>
        <v/>
      </c>
      <c r="S444" s="46" t="str">
        <f t="array" ref="S444">IF('.'!S444="","",'.'!S444&amp;IF(VLOOKUP('.'!S444,Recipes!$A:$D,4,FALSE)="",""," ["&amp;VLOOKUP('.'!S444,Recipes!$A:$D,4,FALSE)&amp;"]"))</f>
        <v/>
      </c>
      <c r="T444" s="46" t="str">
        <f t="array" ref="T444">IF('.'!T444="","",'.'!T444&amp;IF(VLOOKUP('.'!T444,Recipes!$A:$D,4,FALSE)="",""," ["&amp;VLOOKUP('.'!T444,Recipes!$A:$D,4,FALSE)&amp;"]"))</f>
        <v/>
      </c>
      <c r="U444" s="46" t="str">
        <f t="array" ref="U444">IF('.'!U444="","",'.'!U444&amp;IF(VLOOKUP('.'!U444,Recipes!$A:$D,4,FALSE)="",""," ["&amp;VLOOKUP('.'!U444,Recipes!$A:$D,4,FALSE)&amp;"]"))</f>
        <v/>
      </c>
      <c r="V444" s="46" t="str">
        <f t="array" ref="V444">IF('.'!V444="","",'.'!V444&amp;IF(VLOOKUP('.'!V444,Recipes!$A:$D,4,FALSE)="",""," ["&amp;VLOOKUP('.'!V444,Recipes!$A:$D,4,FALSE)&amp;"]"))</f>
        <v/>
      </c>
      <c r="W444" s="46" t="str">
        <f t="array" ref="W444">IF('.'!W444="","",'.'!W444&amp;IF(VLOOKUP('.'!W444,Recipes!$A:$D,4,FALSE)="",""," ["&amp;VLOOKUP('.'!W444,Recipes!$A:$D,4,FALSE)&amp;"]"))</f>
        <v/>
      </c>
      <c r="X444" s="46" t="str">
        <f t="array" ref="X444">IF('.'!X444="","",'.'!X444&amp;IF(VLOOKUP('.'!X444,Recipes!$A:$D,4,FALSE)="",""," ["&amp;VLOOKUP('.'!X444,Recipes!$A:$D,4,FALSE)&amp;"]"))</f>
        <v/>
      </c>
      <c r="Y444" s="46" t="str">
        <f t="array" ref="Y444">IF('.'!Y444="","",'.'!Y444&amp;IF(VLOOKUP('.'!Y444,Recipes!$A:$D,4,FALSE)="",""," ["&amp;VLOOKUP('.'!Y444,Recipes!$A:$D,4,FALSE)&amp;"]"))</f>
        <v/>
      </c>
      <c r="Z444" s="46" t="str">
        <f t="array" ref="Z444">IF('.'!Z444="","",'.'!Z444&amp;IF(VLOOKUP('.'!Z444,Recipes!$A:$D,4,FALSE)="",""," ["&amp;VLOOKUP('.'!Z444,Recipes!$A:$D,4,FALSE)&amp;"]"))</f>
        <v/>
      </c>
      <c r="AA444" s="46" t="str">
        <f t="array" ref="AA444">IF('.'!AA444="","",'.'!AA444&amp;IF(VLOOKUP('.'!AA444,Recipes!$A:$D,4,FALSE)="",""," ["&amp;VLOOKUP('.'!AA444,Recipes!$A:$D,4,FALSE)&amp;"]"))</f>
        <v/>
      </c>
      <c r="AB444" s="46" t="str">
        <f t="array" ref="AB444">IF('.'!AB444="","",'.'!AB444&amp;IF(VLOOKUP('.'!AB444,Recipes!$A:$D,4,FALSE)="",""," ["&amp;VLOOKUP('.'!AB444,Recipes!$A:$D,4,FALSE)&amp;"]"))</f>
        <v/>
      </c>
      <c r="AC444" s="46" t="str">
        <f t="array" ref="AC444">IF('.'!AC444="","",'.'!AC444&amp;IF(VLOOKUP('.'!AC444,Recipes!$A:$D,4,FALSE)="",""," ["&amp;VLOOKUP('.'!AC444,Recipes!$A:$D,4,FALSE)&amp;"]"))</f>
        <v/>
      </c>
      <c r="AD444" s="46" t="str">
        <f t="array" ref="AD444">IF('.'!AD444="","",'.'!AD444&amp;IF(VLOOKUP('.'!AD444,Recipes!$A:$D,4,FALSE)="",""," ["&amp;VLOOKUP('.'!AD444,Recipes!$A:$D,4,FALSE)&amp;"]"))</f>
        <v/>
      </c>
      <c r="AE444" s="47" t="str">
        <f t="array" ref="AE444">IF('.'!AE444="","",'.'!AE444&amp;IF(VLOOKUP('.'!AE444,Recipes!$A:$D,4,FALSE)="",""," ["&amp;VLOOKUP('.'!AE444,Recipes!$A:$D,4,FALSE)&amp;"]"))</f>
        <v/>
      </c>
      <c r="AF444" s="47"/>
      <c r="AG444" s="47"/>
      <c r="AH444" s="47"/>
      <c r="AI444" s="47"/>
      <c r="AJ444" s="47"/>
      <c r="AK444" s="47"/>
      <c r="AL444" s="47"/>
      <c r="AM444" s="47"/>
      <c r="AN444" s="47"/>
      <c r="AO444" s="47"/>
      <c r="AP444" s="47"/>
      <c r="AQ444" s="47"/>
      <c r="AR444" s="47"/>
      <c r="AS444" s="47"/>
      <c r="AT444" s="47"/>
      <c r="AU444" s="47"/>
      <c r="AV444" s="47"/>
      <c r="AW444" s="47"/>
      <c r="AX444" s="47"/>
      <c r="AY444" s="47"/>
      <c r="AZ444" s="47"/>
      <c r="BA444" s="47"/>
      <c r="BB444" s="47"/>
      <c r="BC444" s="47"/>
      <c r="BD444" s="47"/>
      <c r="BE444" s="47"/>
      <c r="BF444" s="47"/>
      <c r="BG444" s="47"/>
      <c r="BH444" s="47"/>
      <c r="BI444" s="47"/>
      <c r="BJ444" s="47"/>
      <c r="BK444" s="47"/>
      <c r="BL444" s="47"/>
      <c r="BM444" s="47"/>
      <c r="BN444" s="47"/>
      <c r="BO444" s="47"/>
      <c r="BP444" s="47"/>
      <c r="BQ444" s="47"/>
      <c r="BR444" s="47"/>
      <c r="BS444" s="47"/>
      <c r="BT444" s="47"/>
      <c r="BU444" s="47"/>
      <c r="BV444" s="47"/>
      <c r="BW444" s="47"/>
      <c r="BX444" s="47"/>
      <c r="BY444" s="47"/>
      <c r="BZ444" s="47"/>
    </row>
    <row r="445" spans="1:78" ht="13">
      <c r="A445" s="48" t="str">
        <f ca="1">'.'!A445</f>
        <v>Tormented Soul</v>
      </c>
      <c r="B445" s="46" t="str">
        <f t="array" aca="1" ref="B445" ca="1">IF('.'!B445="","",'.'!B445&amp;IF(VLOOKUP('.'!B445,Recipes!$A:$D,4,FALSE)="",""," ["&amp;VLOOKUP('.'!B445,Recipes!$A:$D,4,FALSE)&amp;"]"))</f>
        <v>Terror Grenade [300]</v>
      </c>
      <c r="C445" s="46" t="str">
        <f t="array" aca="1" ref="C445" ca="1">IF('.'!C445="","",'.'!C445&amp;IF(VLOOKUP('.'!C445,Recipes!$A:$D,4,FALSE)="",""," ["&amp;VLOOKUP('.'!C445,Recipes!$A:$D,4,FALSE)&amp;"]"))</f>
        <v>Dimensional Bolt Scroll [24]</v>
      </c>
      <c r="D445" s="46" t="str">
        <f t="array" aca="1" ref="D445" ca="1">IF('.'!D445="","",'.'!D445&amp;IF(VLOOKUP('.'!D445,Recipes!$A:$D,4,FALSE)="",""," ["&amp;VLOOKUP('.'!D445,Recipes!$A:$D,4,FALSE)&amp;"]"))</f>
        <v>Elemental Totem Scroll [-105]</v>
      </c>
      <c r="E445" s="46" t="str">
        <f t="array" aca="1" ref="E445" ca="1">IF('.'!E445="","",'.'!E445&amp;IF(VLOOKUP('.'!E445,Recipes!$A:$D,4,FALSE)="",""," ["&amp;VLOOKUP('.'!E445,Recipes!$A:$D,4,FALSE)&amp;"]"))</f>
        <v>Rallying Cry Scroll [51]</v>
      </c>
      <c r="F445" s="46" t="str">
        <f t="array" ref="F445">IF('.'!F445="","",'.'!F445&amp;IF(VLOOKUP('.'!F445,Recipes!$A:$D,4,FALSE)="",""," ["&amp;VLOOKUP('.'!F445,Recipes!$A:$D,4,FALSE)&amp;"]"))</f>
        <v/>
      </c>
      <c r="G445" s="46" t="str">
        <f t="array" ref="G445">IF('.'!G445="","",'.'!G445&amp;IF(VLOOKUP('.'!G445,Recipes!$A:$D,4,FALSE)="",""," ["&amp;VLOOKUP('.'!G445,Recipes!$A:$D,4,FALSE)&amp;"]"))</f>
        <v/>
      </c>
      <c r="H445" s="46" t="str">
        <f t="array" ref="H445">IF('.'!H445="","",'.'!H445&amp;IF(VLOOKUP('.'!H445,Recipes!$A:$D,4,FALSE)="",""," ["&amp;VLOOKUP('.'!H445,Recipes!$A:$D,4,FALSE)&amp;"]"))</f>
        <v/>
      </c>
      <c r="I445" s="46" t="str">
        <f t="array" ref="I445">IF('.'!I445="","",'.'!I445&amp;IF(VLOOKUP('.'!I445,Recipes!$A:$D,4,FALSE)="",""," ["&amp;VLOOKUP('.'!I445,Recipes!$A:$D,4,FALSE)&amp;"]"))</f>
        <v/>
      </c>
      <c r="J445" s="46" t="str">
        <f t="array" ref="J445">IF('.'!J445="","",'.'!J445&amp;IF(VLOOKUP('.'!J445,Recipes!$A:$D,4,FALSE)="",""," ["&amp;VLOOKUP('.'!J445,Recipes!$A:$D,4,FALSE)&amp;"]"))</f>
        <v/>
      </c>
      <c r="K445" s="46" t="str">
        <f t="array" ref="K445">IF('.'!K445="","",'.'!K445&amp;IF(VLOOKUP('.'!K445,Recipes!$A:$D,4,FALSE)="",""," ["&amp;VLOOKUP('.'!K445,Recipes!$A:$D,4,FALSE)&amp;"]"))</f>
        <v/>
      </c>
      <c r="L445" s="46" t="str">
        <f t="array" ref="L445">IF('.'!L445="","",'.'!L445&amp;IF(VLOOKUP('.'!L445,Recipes!$A:$D,4,FALSE)="",""," ["&amp;VLOOKUP('.'!L445,Recipes!$A:$D,4,FALSE)&amp;"]"))</f>
        <v/>
      </c>
      <c r="M445" s="46" t="str">
        <f t="array" ref="M445">IF('.'!M445="","",'.'!M445&amp;IF(VLOOKUP('.'!M445,Recipes!$A:$D,4,FALSE)="",""," ["&amp;VLOOKUP('.'!M445,Recipes!$A:$D,4,FALSE)&amp;"]"))</f>
        <v/>
      </c>
      <c r="N445" s="46" t="str">
        <f t="array" ref="N445">IF('.'!N445="","",'.'!N445&amp;IF(VLOOKUP('.'!N445,Recipes!$A:$D,4,FALSE)="",""," ["&amp;VLOOKUP('.'!N445,Recipes!$A:$D,4,FALSE)&amp;"]"))</f>
        <v/>
      </c>
      <c r="O445" s="46" t="str">
        <f t="array" ref="O445">IF('.'!O445="","",'.'!O445&amp;IF(VLOOKUP('.'!O445,Recipes!$A:$D,4,FALSE)="",""," ["&amp;VLOOKUP('.'!O445,Recipes!$A:$D,4,FALSE)&amp;"]"))</f>
        <v/>
      </c>
      <c r="P445" s="46" t="str">
        <f t="array" ref="P445">IF('.'!P445="","",'.'!P445&amp;IF(VLOOKUP('.'!P445,Recipes!$A:$D,4,FALSE)="",""," ["&amp;VLOOKUP('.'!P445,Recipes!$A:$D,4,FALSE)&amp;"]"))</f>
        <v/>
      </c>
      <c r="Q445" s="46" t="str">
        <f t="array" ref="Q445">IF('.'!Q445="","",'.'!Q445&amp;IF(VLOOKUP('.'!Q445,Recipes!$A:$D,4,FALSE)="",""," ["&amp;VLOOKUP('.'!Q445,Recipes!$A:$D,4,FALSE)&amp;"]"))</f>
        <v/>
      </c>
      <c r="R445" s="46" t="str">
        <f t="array" ref="R445">IF('.'!R445="","",'.'!R445&amp;IF(VLOOKUP('.'!R445,Recipes!$A:$D,4,FALSE)="",""," ["&amp;VLOOKUP('.'!R445,Recipes!$A:$D,4,FALSE)&amp;"]"))</f>
        <v/>
      </c>
      <c r="S445" s="46" t="str">
        <f t="array" ref="S445">IF('.'!S445="","",'.'!S445&amp;IF(VLOOKUP('.'!S445,Recipes!$A:$D,4,FALSE)="",""," ["&amp;VLOOKUP('.'!S445,Recipes!$A:$D,4,FALSE)&amp;"]"))</f>
        <v/>
      </c>
      <c r="T445" s="46" t="str">
        <f t="array" ref="T445">IF('.'!T445="","",'.'!T445&amp;IF(VLOOKUP('.'!T445,Recipes!$A:$D,4,FALSE)="",""," ["&amp;VLOOKUP('.'!T445,Recipes!$A:$D,4,FALSE)&amp;"]"))</f>
        <v/>
      </c>
      <c r="U445" s="46" t="str">
        <f t="array" ref="U445">IF('.'!U445="","",'.'!U445&amp;IF(VLOOKUP('.'!U445,Recipes!$A:$D,4,FALSE)="",""," ["&amp;VLOOKUP('.'!U445,Recipes!$A:$D,4,FALSE)&amp;"]"))</f>
        <v/>
      </c>
      <c r="V445" s="46" t="str">
        <f t="array" ref="V445">IF('.'!V445="","",'.'!V445&amp;IF(VLOOKUP('.'!V445,Recipes!$A:$D,4,FALSE)="",""," ["&amp;VLOOKUP('.'!V445,Recipes!$A:$D,4,FALSE)&amp;"]"))</f>
        <v/>
      </c>
      <c r="W445" s="46" t="str">
        <f t="array" ref="W445">IF('.'!W445="","",'.'!W445&amp;IF(VLOOKUP('.'!W445,Recipes!$A:$D,4,FALSE)="",""," ["&amp;VLOOKUP('.'!W445,Recipes!$A:$D,4,FALSE)&amp;"]"))</f>
        <v/>
      </c>
      <c r="X445" s="46" t="str">
        <f t="array" ref="X445">IF('.'!X445="","",'.'!X445&amp;IF(VLOOKUP('.'!X445,Recipes!$A:$D,4,FALSE)="",""," ["&amp;VLOOKUP('.'!X445,Recipes!$A:$D,4,FALSE)&amp;"]"))</f>
        <v/>
      </c>
      <c r="Y445" s="46" t="str">
        <f t="array" ref="Y445">IF('.'!Y445="","",'.'!Y445&amp;IF(VLOOKUP('.'!Y445,Recipes!$A:$D,4,FALSE)="",""," ["&amp;VLOOKUP('.'!Y445,Recipes!$A:$D,4,FALSE)&amp;"]"))</f>
        <v/>
      </c>
      <c r="Z445" s="46" t="str">
        <f t="array" ref="Z445">IF('.'!Z445="","",'.'!Z445&amp;IF(VLOOKUP('.'!Z445,Recipes!$A:$D,4,FALSE)="",""," ["&amp;VLOOKUP('.'!Z445,Recipes!$A:$D,4,FALSE)&amp;"]"))</f>
        <v/>
      </c>
      <c r="AA445" s="46" t="str">
        <f t="array" ref="AA445">IF('.'!AA445="","",'.'!AA445&amp;IF(VLOOKUP('.'!AA445,Recipes!$A:$D,4,FALSE)="",""," ["&amp;VLOOKUP('.'!AA445,Recipes!$A:$D,4,FALSE)&amp;"]"))</f>
        <v/>
      </c>
      <c r="AB445" s="46" t="str">
        <f t="array" ref="AB445">IF('.'!AB445="","",'.'!AB445&amp;IF(VLOOKUP('.'!AB445,Recipes!$A:$D,4,FALSE)="",""," ["&amp;VLOOKUP('.'!AB445,Recipes!$A:$D,4,FALSE)&amp;"]"))</f>
        <v/>
      </c>
      <c r="AC445" s="46" t="str">
        <f t="array" ref="AC445">IF('.'!AC445="","",'.'!AC445&amp;IF(VLOOKUP('.'!AC445,Recipes!$A:$D,4,FALSE)="",""," ["&amp;VLOOKUP('.'!AC445,Recipes!$A:$D,4,FALSE)&amp;"]"))</f>
        <v/>
      </c>
      <c r="AD445" s="46" t="str">
        <f t="array" ref="AD445">IF('.'!AD445="","",'.'!AD445&amp;IF(VLOOKUP('.'!AD445,Recipes!$A:$D,4,FALSE)="",""," ["&amp;VLOOKUP('.'!AD445,Recipes!$A:$D,4,FALSE)&amp;"]"))</f>
        <v/>
      </c>
      <c r="AE445" s="47" t="str">
        <f t="array" ref="AE445">IF('.'!AE445="","",'.'!AE445&amp;IF(VLOOKUP('.'!AE445,Recipes!$A:$D,4,FALSE)="",""," ["&amp;VLOOKUP('.'!AE445,Recipes!$A:$D,4,FALSE)&amp;"]"))</f>
        <v/>
      </c>
      <c r="AF445" s="47"/>
      <c r="AG445" s="47"/>
      <c r="AH445" s="47"/>
      <c r="AI445" s="47"/>
      <c r="AJ445" s="47"/>
      <c r="AK445" s="47"/>
      <c r="AL445" s="47"/>
      <c r="AM445" s="47"/>
      <c r="AN445" s="47"/>
      <c r="AO445" s="47"/>
      <c r="AP445" s="47"/>
      <c r="AQ445" s="47"/>
      <c r="AR445" s="47"/>
      <c r="AS445" s="47"/>
      <c r="AT445" s="47"/>
      <c r="AU445" s="47"/>
      <c r="AV445" s="47"/>
      <c r="AW445" s="47"/>
      <c r="AX445" s="47"/>
      <c r="AY445" s="47"/>
      <c r="AZ445" s="47"/>
      <c r="BA445" s="47"/>
      <c r="BB445" s="47"/>
      <c r="BC445" s="47"/>
      <c r="BD445" s="47"/>
      <c r="BE445" s="47"/>
      <c r="BF445" s="47"/>
      <c r="BG445" s="47"/>
      <c r="BH445" s="47"/>
      <c r="BI445" s="47"/>
      <c r="BJ445" s="47"/>
      <c r="BK445" s="47"/>
      <c r="BL445" s="47"/>
      <c r="BM445" s="47"/>
      <c r="BN445" s="47"/>
      <c r="BO445" s="47"/>
      <c r="BP445" s="47"/>
      <c r="BQ445" s="47"/>
      <c r="BR445" s="47"/>
      <c r="BS445" s="47"/>
      <c r="BT445" s="47"/>
      <c r="BU445" s="47"/>
      <c r="BV445" s="47"/>
      <c r="BW445" s="47"/>
      <c r="BX445" s="47"/>
      <c r="BY445" s="47"/>
      <c r="BZ445" s="47"/>
    </row>
    <row r="446" spans="1:78" ht="13">
      <c r="A446" s="48" t="str">
        <f ca="1">'.'!A446</f>
        <v>Tornado Scroll</v>
      </c>
      <c r="B446" s="46" t="str">
        <f t="array" aca="1" ref="B446" ca="1">IF('.'!B446="","",'.'!B446&amp;IF(VLOOKUP('.'!B446,Recipes!$A:$D,4,FALSE)="",""," ["&amp;VLOOKUP('.'!B446,Recipes!$A:$D,4,FALSE)&amp;"]"))</f>
        <v>Tornado Skillbook [740]</v>
      </c>
      <c r="C446" s="46" t="str">
        <f t="array" ref="C446">IF('.'!C446="","",'.'!C446&amp;IF(VLOOKUP('.'!C446,Recipes!$A:$D,4,FALSE)="",""," ["&amp;VLOOKUP('.'!C446,Recipes!$A:$D,4,FALSE)&amp;"]"))</f>
        <v/>
      </c>
      <c r="D446" s="46" t="str">
        <f t="array" ref="D446">IF('.'!D446="","",'.'!D446&amp;IF(VLOOKUP('.'!D446,Recipes!$A:$D,4,FALSE)="",""," ["&amp;VLOOKUP('.'!D446,Recipes!$A:$D,4,FALSE)&amp;"]"))</f>
        <v/>
      </c>
      <c r="E446" s="46" t="str">
        <f t="array" ref="E446">IF('.'!E446="","",'.'!E446&amp;IF(VLOOKUP('.'!E446,Recipes!$A:$D,4,FALSE)="",""," ["&amp;VLOOKUP('.'!E446,Recipes!$A:$D,4,FALSE)&amp;"]"))</f>
        <v/>
      </c>
      <c r="F446" s="46" t="str">
        <f t="array" ref="F446">IF('.'!F446="","",'.'!F446&amp;IF(VLOOKUP('.'!F446,Recipes!$A:$D,4,FALSE)="",""," ["&amp;VLOOKUP('.'!F446,Recipes!$A:$D,4,FALSE)&amp;"]"))</f>
        <v/>
      </c>
      <c r="G446" s="46" t="str">
        <f t="array" ref="G446">IF('.'!G446="","",'.'!G446&amp;IF(VLOOKUP('.'!G446,Recipes!$A:$D,4,FALSE)="",""," ["&amp;VLOOKUP('.'!G446,Recipes!$A:$D,4,FALSE)&amp;"]"))</f>
        <v/>
      </c>
      <c r="H446" s="46" t="str">
        <f t="array" ref="H446">IF('.'!H446="","",'.'!H446&amp;IF(VLOOKUP('.'!H446,Recipes!$A:$D,4,FALSE)="",""," ["&amp;VLOOKUP('.'!H446,Recipes!$A:$D,4,FALSE)&amp;"]"))</f>
        <v/>
      </c>
      <c r="I446" s="46" t="str">
        <f t="array" ref="I446">IF('.'!I446="","",'.'!I446&amp;IF(VLOOKUP('.'!I446,Recipes!$A:$D,4,FALSE)="",""," ["&amp;VLOOKUP('.'!I446,Recipes!$A:$D,4,FALSE)&amp;"]"))</f>
        <v/>
      </c>
      <c r="J446" s="46" t="str">
        <f t="array" ref="J446">IF('.'!J446="","",'.'!J446&amp;IF(VLOOKUP('.'!J446,Recipes!$A:$D,4,FALSE)="",""," ["&amp;VLOOKUP('.'!J446,Recipes!$A:$D,4,FALSE)&amp;"]"))</f>
        <v/>
      </c>
      <c r="K446" s="46" t="str">
        <f t="array" ref="K446">IF('.'!K446="","",'.'!K446&amp;IF(VLOOKUP('.'!K446,Recipes!$A:$D,4,FALSE)="",""," ["&amp;VLOOKUP('.'!K446,Recipes!$A:$D,4,FALSE)&amp;"]"))</f>
        <v/>
      </c>
      <c r="L446" s="46" t="str">
        <f t="array" ref="L446">IF('.'!L446="","",'.'!L446&amp;IF(VLOOKUP('.'!L446,Recipes!$A:$D,4,FALSE)="",""," ["&amp;VLOOKUP('.'!L446,Recipes!$A:$D,4,FALSE)&amp;"]"))</f>
        <v/>
      </c>
      <c r="M446" s="46" t="str">
        <f t="array" ref="M446">IF('.'!M446="","",'.'!M446&amp;IF(VLOOKUP('.'!M446,Recipes!$A:$D,4,FALSE)="",""," ["&amp;VLOOKUP('.'!M446,Recipes!$A:$D,4,FALSE)&amp;"]"))</f>
        <v/>
      </c>
      <c r="N446" s="46" t="str">
        <f t="array" ref="N446">IF('.'!N446="","",'.'!N446&amp;IF(VLOOKUP('.'!N446,Recipes!$A:$D,4,FALSE)="",""," ["&amp;VLOOKUP('.'!N446,Recipes!$A:$D,4,FALSE)&amp;"]"))</f>
        <v/>
      </c>
      <c r="O446" s="46" t="str">
        <f t="array" ref="O446">IF('.'!O446="","",'.'!O446&amp;IF(VLOOKUP('.'!O446,Recipes!$A:$D,4,FALSE)="",""," ["&amp;VLOOKUP('.'!O446,Recipes!$A:$D,4,FALSE)&amp;"]"))</f>
        <v/>
      </c>
      <c r="P446" s="46" t="str">
        <f t="array" ref="P446">IF('.'!P446="","",'.'!P446&amp;IF(VLOOKUP('.'!P446,Recipes!$A:$D,4,FALSE)="",""," ["&amp;VLOOKUP('.'!P446,Recipes!$A:$D,4,FALSE)&amp;"]"))</f>
        <v/>
      </c>
      <c r="Q446" s="46" t="str">
        <f t="array" ref="Q446">IF('.'!Q446="","",'.'!Q446&amp;IF(VLOOKUP('.'!Q446,Recipes!$A:$D,4,FALSE)="",""," ["&amp;VLOOKUP('.'!Q446,Recipes!$A:$D,4,FALSE)&amp;"]"))</f>
        <v/>
      </c>
      <c r="R446" s="46" t="str">
        <f t="array" ref="R446">IF('.'!R446="","",'.'!R446&amp;IF(VLOOKUP('.'!R446,Recipes!$A:$D,4,FALSE)="",""," ["&amp;VLOOKUP('.'!R446,Recipes!$A:$D,4,FALSE)&amp;"]"))</f>
        <v/>
      </c>
      <c r="S446" s="46" t="str">
        <f t="array" ref="S446">IF('.'!S446="","",'.'!S446&amp;IF(VLOOKUP('.'!S446,Recipes!$A:$D,4,FALSE)="",""," ["&amp;VLOOKUP('.'!S446,Recipes!$A:$D,4,FALSE)&amp;"]"))</f>
        <v/>
      </c>
      <c r="T446" s="46" t="str">
        <f t="array" ref="T446">IF('.'!T446="","",'.'!T446&amp;IF(VLOOKUP('.'!T446,Recipes!$A:$D,4,FALSE)="",""," ["&amp;VLOOKUP('.'!T446,Recipes!$A:$D,4,FALSE)&amp;"]"))</f>
        <v/>
      </c>
      <c r="U446" s="46" t="str">
        <f t="array" ref="U446">IF('.'!U446="","",'.'!U446&amp;IF(VLOOKUP('.'!U446,Recipes!$A:$D,4,FALSE)="",""," ["&amp;VLOOKUP('.'!U446,Recipes!$A:$D,4,FALSE)&amp;"]"))</f>
        <v/>
      </c>
      <c r="V446" s="46" t="str">
        <f t="array" ref="V446">IF('.'!V446="","",'.'!V446&amp;IF(VLOOKUP('.'!V446,Recipes!$A:$D,4,FALSE)="",""," ["&amp;VLOOKUP('.'!V446,Recipes!$A:$D,4,FALSE)&amp;"]"))</f>
        <v/>
      </c>
      <c r="W446" s="46" t="str">
        <f t="array" ref="W446">IF('.'!W446="","",'.'!W446&amp;IF(VLOOKUP('.'!W446,Recipes!$A:$D,4,FALSE)="",""," ["&amp;VLOOKUP('.'!W446,Recipes!$A:$D,4,FALSE)&amp;"]"))</f>
        <v/>
      </c>
      <c r="X446" s="46" t="str">
        <f t="array" ref="X446">IF('.'!X446="","",'.'!X446&amp;IF(VLOOKUP('.'!X446,Recipes!$A:$D,4,FALSE)="",""," ["&amp;VLOOKUP('.'!X446,Recipes!$A:$D,4,FALSE)&amp;"]"))</f>
        <v/>
      </c>
      <c r="Y446" s="46" t="str">
        <f t="array" ref="Y446">IF('.'!Y446="","",'.'!Y446&amp;IF(VLOOKUP('.'!Y446,Recipes!$A:$D,4,FALSE)="",""," ["&amp;VLOOKUP('.'!Y446,Recipes!$A:$D,4,FALSE)&amp;"]"))</f>
        <v/>
      </c>
      <c r="Z446" s="46" t="str">
        <f t="array" ref="Z446">IF('.'!Z446="","",'.'!Z446&amp;IF(VLOOKUP('.'!Z446,Recipes!$A:$D,4,FALSE)="",""," ["&amp;VLOOKUP('.'!Z446,Recipes!$A:$D,4,FALSE)&amp;"]"))</f>
        <v/>
      </c>
      <c r="AA446" s="46" t="str">
        <f t="array" ref="AA446">IF('.'!AA446="","",'.'!AA446&amp;IF(VLOOKUP('.'!AA446,Recipes!$A:$D,4,FALSE)="",""," ["&amp;VLOOKUP('.'!AA446,Recipes!$A:$D,4,FALSE)&amp;"]"))</f>
        <v/>
      </c>
      <c r="AB446" s="46" t="str">
        <f t="array" ref="AB446">IF('.'!AB446="","",'.'!AB446&amp;IF(VLOOKUP('.'!AB446,Recipes!$A:$D,4,FALSE)="",""," ["&amp;VLOOKUP('.'!AB446,Recipes!$A:$D,4,FALSE)&amp;"]"))</f>
        <v/>
      </c>
      <c r="AC446" s="46" t="str">
        <f t="array" ref="AC446">IF('.'!AC446="","",'.'!AC446&amp;IF(VLOOKUP('.'!AC446,Recipes!$A:$D,4,FALSE)="",""," ["&amp;VLOOKUP('.'!AC446,Recipes!$A:$D,4,FALSE)&amp;"]"))</f>
        <v/>
      </c>
      <c r="AD446" s="46" t="str">
        <f t="array" ref="AD446">IF('.'!AD446="","",'.'!AD446&amp;IF(VLOOKUP('.'!AD446,Recipes!$A:$D,4,FALSE)="",""," ["&amp;VLOOKUP('.'!AD446,Recipes!$A:$D,4,FALSE)&amp;"]"))</f>
        <v/>
      </c>
      <c r="AE446" s="47" t="str">
        <f t="array" ref="AE446">IF('.'!AE446="","",'.'!AE446&amp;IF(VLOOKUP('.'!AE446,Recipes!$A:$D,4,FALSE)="",""," ["&amp;VLOOKUP('.'!AE446,Recipes!$A:$D,4,FALSE)&amp;"]"))</f>
        <v/>
      </c>
      <c r="AF446" s="47"/>
      <c r="AG446" s="47"/>
      <c r="AH446" s="47"/>
      <c r="AI446" s="47"/>
      <c r="AJ446" s="47"/>
      <c r="AK446" s="47"/>
      <c r="AL446" s="47"/>
      <c r="AM446" s="47"/>
      <c r="AN446" s="47"/>
      <c r="AO446" s="47"/>
      <c r="AP446" s="47"/>
      <c r="AQ446" s="47"/>
      <c r="AR446" s="47"/>
      <c r="AS446" s="47"/>
      <c r="AT446" s="47"/>
      <c r="AU446" s="47"/>
      <c r="AV446" s="47"/>
      <c r="AW446" s="47"/>
      <c r="AX446" s="47"/>
      <c r="AY446" s="47"/>
      <c r="AZ446" s="47"/>
      <c r="BA446" s="47"/>
      <c r="BB446" s="47"/>
      <c r="BC446" s="47"/>
      <c r="BD446" s="47"/>
      <c r="BE446" s="47"/>
      <c r="BF446" s="47"/>
      <c r="BG446" s="47"/>
      <c r="BH446" s="47"/>
      <c r="BI446" s="47"/>
      <c r="BJ446" s="47"/>
      <c r="BK446" s="47"/>
      <c r="BL446" s="47"/>
      <c r="BM446" s="47"/>
      <c r="BN446" s="47"/>
      <c r="BO446" s="47"/>
      <c r="BP446" s="47"/>
      <c r="BQ446" s="47"/>
      <c r="BR446" s="47"/>
      <c r="BS446" s="47"/>
      <c r="BT446" s="47"/>
      <c r="BU446" s="47"/>
      <c r="BV446" s="47"/>
      <c r="BW446" s="47"/>
      <c r="BX446" s="47"/>
      <c r="BY446" s="47"/>
      <c r="BZ446" s="47"/>
    </row>
    <row r="447" spans="1:78" ht="13">
      <c r="A447" s="48" t="str">
        <f ca="1">'.'!A447</f>
        <v>Totems of the Necromancer Scroll</v>
      </c>
      <c r="B447" s="46" t="str">
        <f t="array" aca="1" ref="B447" ca="1">IF('.'!B447="","",'.'!B447&amp;IF(VLOOKUP('.'!B447,Recipes!$A:$D,4,FALSE)="",""," ["&amp;VLOOKUP('.'!B447,Recipes!$A:$D,4,FALSE)&amp;"]"))</f>
        <v>Totems of the Necromancer Skillbook [2600]</v>
      </c>
      <c r="C447" s="46" t="str">
        <f t="array" ref="C447">IF('.'!C447="","",'.'!C447&amp;IF(VLOOKUP('.'!C447,Recipes!$A:$D,4,FALSE)="",""," ["&amp;VLOOKUP('.'!C447,Recipes!$A:$D,4,FALSE)&amp;"]"))</f>
        <v/>
      </c>
      <c r="D447" s="46" t="str">
        <f t="array" ref="D447">IF('.'!D447="","",'.'!D447&amp;IF(VLOOKUP('.'!D447,Recipes!$A:$D,4,FALSE)="",""," ["&amp;VLOOKUP('.'!D447,Recipes!$A:$D,4,FALSE)&amp;"]"))</f>
        <v/>
      </c>
      <c r="E447" s="46" t="str">
        <f t="array" ref="E447">IF('.'!E447="","",'.'!E447&amp;IF(VLOOKUP('.'!E447,Recipes!$A:$D,4,FALSE)="",""," ["&amp;VLOOKUP('.'!E447,Recipes!$A:$D,4,FALSE)&amp;"]"))</f>
        <v/>
      </c>
      <c r="F447" s="46" t="str">
        <f t="array" ref="F447">IF('.'!F447="","",'.'!F447&amp;IF(VLOOKUP('.'!F447,Recipes!$A:$D,4,FALSE)="",""," ["&amp;VLOOKUP('.'!F447,Recipes!$A:$D,4,FALSE)&amp;"]"))</f>
        <v/>
      </c>
      <c r="G447" s="46" t="str">
        <f t="array" ref="G447">IF('.'!G447="","",'.'!G447&amp;IF(VLOOKUP('.'!G447,Recipes!$A:$D,4,FALSE)="",""," ["&amp;VLOOKUP('.'!G447,Recipes!$A:$D,4,FALSE)&amp;"]"))</f>
        <v/>
      </c>
      <c r="H447" s="46" t="str">
        <f t="array" ref="H447">IF('.'!H447="","",'.'!H447&amp;IF(VLOOKUP('.'!H447,Recipes!$A:$D,4,FALSE)="",""," ["&amp;VLOOKUP('.'!H447,Recipes!$A:$D,4,FALSE)&amp;"]"))</f>
        <v/>
      </c>
      <c r="I447" s="46" t="str">
        <f t="array" ref="I447">IF('.'!I447="","",'.'!I447&amp;IF(VLOOKUP('.'!I447,Recipes!$A:$D,4,FALSE)="",""," ["&amp;VLOOKUP('.'!I447,Recipes!$A:$D,4,FALSE)&amp;"]"))</f>
        <v/>
      </c>
      <c r="J447" s="46" t="str">
        <f t="array" ref="J447">IF('.'!J447="","",'.'!J447&amp;IF(VLOOKUP('.'!J447,Recipes!$A:$D,4,FALSE)="",""," ["&amp;VLOOKUP('.'!J447,Recipes!$A:$D,4,FALSE)&amp;"]"))</f>
        <v/>
      </c>
      <c r="K447" s="46" t="str">
        <f t="array" ref="K447">IF('.'!K447="","",'.'!K447&amp;IF(VLOOKUP('.'!K447,Recipes!$A:$D,4,FALSE)="",""," ["&amp;VLOOKUP('.'!K447,Recipes!$A:$D,4,FALSE)&amp;"]"))</f>
        <v/>
      </c>
      <c r="L447" s="46" t="str">
        <f t="array" ref="L447">IF('.'!L447="","",'.'!L447&amp;IF(VLOOKUP('.'!L447,Recipes!$A:$D,4,FALSE)="",""," ["&amp;VLOOKUP('.'!L447,Recipes!$A:$D,4,FALSE)&amp;"]"))</f>
        <v/>
      </c>
      <c r="M447" s="46" t="str">
        <f t="array" ref="M447">IF('.'!M447="","",'.'!M447&amp;IF(VLOOKUP('.'!M447,Recipes!$A:$D,4,FALSE)="",""," ["&amp;VLOOKUP('.'!M447,Recipes!$A:$D,4,FALSE)&amp;"]"))</f>
        <v/>
      </c>
      <c r="N447" s="46" t="str">
        <f t="array" ref="N447">IF('.'!N447="","",'.'!N447&amp;IF(VLOOKUP('.'!N447,Recipes!$A:$D,4,FALSE)="",""," ["&amp;VLOOKUP('.'!N447,Recipes!$A:$D,4,FALSE)&amp;"]"))</f>
        <v/>
      </c>
      <c r="O447" s="46" t="str">
        <f t="array" ref="O447">IF('.'!O447="","",'.'!O447&amp;IF(VLOOKUP('.'!O447,Recipes!$A:$D,4,FALSE)="",""," ["&amp;VLOOKUP('.'!O447,Recipes!$A:$D,4,FALSE)&amp;"]"))</f>
        <v/>
      </c>
      <c r="P447" s="46" t="str">
        <f t="array" ref="P447">IF('.'!P447="","",'.'!P447&amp;IF(VLOOKUP('.'!P447,Recipes!$A:$D,4,FALSE)="",""," ["&amp;VLOOKUP('.'!P447,Recipes!$A:$D,4,FALSE)&amp;"]"))</f>
        <v/>
      </c>
      <c r="Q447" s="46" t="str">
        <f t="array" ref="Q447">IF('.'!Q447="","",'.'!Q447&amp;IF(VLOOKUP('.'!Q447,Recipes!$A:$D,4,FALSE)="",""," ["&amp;VLOOKUP('.'!Q447,Recipes!$A:$D,4,FALSE)&amp;"]"))</f>
        <v/>
      </c>
      <c r="R447" s="46" t="str">
        <f t="array" ref="R447">IF('.'!R447="","",'.'!R447&amp;IF(VLOOKUP('.'!R447,Recipes!$A:$D,4,FALSE)="",""," ["&amp;VLOOKUP('.'!R447,Recipes!$A:$D,4,FALSE)&amp;"]"))</f>
        <v/>
      </c>
      <c r="S447" s="46" t="str">
        <f t="array" ref="S447">IF('.'!S447="","",'.'!S447&amp;IF(VLOOKUP('.'!S447,Recipes!$A:$D,4,FALSE)="",""," ["&amp;VLOOKUP('.'!S447,Recipes!$A:$D,4,FALSE)&amp;"]"))</f>
        <v/>
      </c>
      <c r="T447" s="46" t="str">
        <f t="array" ref="T447">IF('.'!T447="","",'.'!T447&amp;IF(VLOOKUP('.'!T447,Recipes!$A:$D,4,FALSE)="",""," ["&amp;VLOOKUP('.'!T447,Recipes!$A:$D,4,FALSE)&amp;"]"))</f>
        <v/>
      </c>
      <c r="U447" s="46" t="str">
        <f t="array" ref="U447">IF('.'!U447="","",'.'!U447&amp;IF(VLOOKUP('.'!U447,Recipes!$A:$D,4,FALSE)="",""," ["&amp;VLOOKUP('.'!U447,Recipes!$A:$D,4,FALSE)&amp;"]"))</f>
        <v/>
      </c>
      <c r="V447" s="46" t="str">
        <f t="array" ref="V447">IF('.'!V447="","",'.'!V447&amp;IF(VLOOKUP('.'!V447,Recipes!$A:$D,4,FALSE)="",""," ["&amp;VLOOKUP('.'!V447,Recipes!$A:$D,4,FALSE)&amp;"]"))</f>
        <v/>
      </c>
      <c r="W447" s="46" t="str">
        <f t="array" ref="W447">IF('.'!W447="","",'.'!W447&amp;IF(VLOOKUP('.'!W447,Recipes!$A:$D,4,FALSE)="",""," ["&amp;VLOOKUP('.'!W447,Recipes!$A:$D,4,FALSE)&amp;"]"))</f>
        <v/>
      </c>
      <c r="X447" s="46" t="str">
        <f t="array" ref="X447">IF('.'!X447="","",'.'!X447&amp;IF(VLOOKUP('.'!X447,Recipes!$A:$D,4,FALSE)="",""," ["&amp;VLOOKUP('.'!X447,Recipes!$A:$D,4,FALSE)&amp;"]"))</f>
        <v/>
      </c>
      <c r="Y447" s="46" t="str">
        <f t="array" ref="Y447">IF('.'!Y447="","",'.'!Y447&amp;IF(VLOOKUP('.'!Y447,Recipes!$A:$D,4,FALSE)="",""," ["&amp;VLOOKUP('.'!Y447,Recipes!$A:$D,4,FALSE)&amp;"]"))</f>
        <v/>
      </c>
      <c r="Z447" s="46" t="str">
        <f t="array" ref="Z447">IF('.'!Z447="","",'.'!Z447&amp;IF(VLOOKUP('.'!Z447,Recipes!$A:$D,4,FALSE)="",""," ["&amp;VLOOKUP('.'!Z447,Recipes!$A:$D,4,FALSE)&amp;"]"))</f>
        <v/>
      </c>
      <c r="AA447" s="46" t="str">
        <f t="array" ref="AA447">IF('.'!AA447="","",'.'!AA447&amp;IF(VLOOKUP('.'!AA447,Recipes!$A:$D,4,FALSE)="",""," ["&amp;VLOOKUP('.'!AA447,Recipes!$A:$D,4,FALSE)&amp;"]"))</f>
        <v/>
      </c>
      <c r="AB447" s="46" t="str">
        <f t="array" ref="AB447">IF('.'!AB447="","",'.'!AB447&amp;IF(VLOOKUP('.'!AB447,Recipes!$A:$D,4,FALSE)="",""," ["&amp;VLOOKUP('.'!AB447,Recipes!$A:$D,4,FALSE)&amp;"]"))</f>
        <v/>
      </c>
      <c r="AC447" s="46" t="str">
        <f t="array" ref="AC447">IF('.'!AC447="","",'.'!AC447&amp;IF(VLOOKUP('.'!AC447,Recipes!$A:$D,4,FALSE)="",""," ["&amp;VLOOKUP('.'!AC447,Recipes!$A:$D,4,FALSE)&amp;"]"))</f>
        <v/>
      </c>
      <c r="AD447" s="46" t="str">
        <f t="array" ref="AD447">IF('.'!AD447="","",'.'!AD447&amp;IF(VLOOKUP('.'!AD447,Recipes!$A:$D,4,FALSE)="",""," ["&amp;VLOOKUP('.'!AD447,Recipes!$A:$D,4,FALSE)&amp;"]"))</f>
        <v/>
      </c>
      <c r="AE447" s="47" t="str">
        <f t="array" ref="AE447">IF('.'!AE447="","",'.'!AE447&amp;IF(VLOOKUP('.'!AE447,Recipes!$A:$D,4,FALSE)="",""," ["&amp;VLOOKUP('.'!AE447,Recipes!$A:$D,4,FALSE)&amp;"]"))</f>
        <v/>
      </c>
      <c r="AF447" s="47"/>
      <c r="AG447" s="47"/>
      <c r="AH447" s="47"/>
      <c r="AI447" s="47"/>
      <c r="AJ447" s="47"/>
      <c r="AK447" s="47"/>
      <c r="AL447" s="47"/>
      <c r="AM447" s="47"/>
      <c r="AN447" s="47"/>
      <c r="AO447" s="47"/>
      <c r="AP447" s="47"/>
      <c r="AQ447" s="47"/>
      <c r="AR447" s="47"/>
      <c r="AS447" s="47"/>
      <c r="AT447" s="47"/>
      <c r="AU447" s="47"/>
      <c r="AV447" s="47"/>
      <c r="AW447" s="47"/>
      <c r="AX447" s="47"/>
      <c r="AY447" s="47"/>
      <c r="AZ447" s="47"/>
      <c r="BA447" s="47"/>
      <c r="BB447" s="47"/>
      <c r="BC447" s="47"/>
      <c r="BD447" s="47"/>
      <c r="BE447" s="47"/>
      <c r="BF447" s="47"/>
      <c r="BG447" s="47"/>
      <c r="BH447" s="47"/>
      <c r="BI447" s="47"/>
      <c r="BJ447" s="47"/>
      <c r="BK447" s="47"/>
      <c r="BL447" s="47"/>
      <c r="BM447" s="47"/>
      <c r="BN447" s="47"/>
      <c r="BO447" s="47"/>
      <c r="BP447" s="47"/>
      <c r="BQ447" s="47"/>
      <c r="BR447" s="47"/>
      <c r="BS447" s="47"/>
      <c r="BT447" s="47"/>
      <c r="BU447" s="47"/>
      <c r="BV447" s="47"/>
      <c r="BW447" s="47"/>
      <c r="BX447" s="47"/>
      <c r="BY447" s="47"/>
      <c r="BZ447" s="47"/>
    </row>
    <row r="448" spans="1:78" ht="13">
      <c r="A448" s="48" t="str">
        <f ca="1">'.'!A448</f>
        <v>Trumpet of Death</v>
      </c>
      <c r="B448" s="46" t="str">
        <f t="array" aca="1" ref="B448" ca="1">IF('.'!B448="","",'.'!B448&amp;IF(VLOOKUP('.'!B448,Recipes!$A:$D,4,FALSE)="",""," ["&amp;VLOOKUP('.'!B448,Recipes!$A:$D,4,FALSE)&amp;"]"))</f>
        <v>Reactive Armor Scroll [20]</v>
      </c>
      <c r="C448" s="46" t="str">
        <f t="array" aca="1" ref="C448" ca="1">IF('.'!C448="","",'.'!C448&amp;IF(VLOOKUP('.'!C448,Recipes!$A:$D,4,FALSE)="",""," ["&amp;VLOOKUP('.'!C448,Recipes!$A:$D,4,FALSE)&amp;"]"))</f>
        <v>Minor Resist All Potion [70]</v>
      </c>
      <c r="D448" s="46" t="str">
        <f t="array" ref="D448">IF('.'!D448="","",'.'!D448&amp;IF(VLOOKUP('.'!D448,Recipes!$A:$D,4,FALSE)="",""," ["&amp;VLOOKUP('.'!D448,Recipes!$A:$D,4,FALSE)&amp;"]"))</f>
        <v/>
      </c>
      <c r="E448" s="46" t="str">
        <f t="array" ref="E448">IF('.'!E448="","",'.'!E448&amp;IF(VLOOKUP('.'!E448,Recipes!$A:$D,4,FALSE)="",""," ["&amp;VLOOKUP('.'!E448,Recipes!$A:$D,4,FALSE)&amp;"]"))</f>
        <v/>
      </c>
      <c r="F448" s="46" t="str">
        <f t="array" ref="F448">IF('.'!F448="","",'.'!F448&amp;IF(VLOOKUP('.'!F448,Recipes!$A:$D,4,FALSE)="",""," ["&amp;VLOOKUP('.'!F448,Recipes!$A:$D,4,FALSE)&amp;"]"))</f>
        <v/>
      </c>
      <c r="G448" s="46" t="str">
        <f t="array" ref="G448">IF('.'!G448="","",'.'!G448&amp;IF(VLOOKUP('.'!G448,Recipes!$A:$D,4,FALSE)="",""," ["&amp;VLOOKUP('.'!G448,Recipes!$A:$D,4,FALSE)&amp;"]"))</f>
        <v/>
      </c>
      <c r="H448" s="46" t="str">
        <f t="array" ref="H448">IF('.'!H448="","",'.'!H448&amp;IF(VLOOKUP('.'!H448,Recipes!$A:$D,4,FALSE)="",""," ["&amp;VLOOKUP('.'!H448,Recipes!$A:$D,4,FALSE)&amp;"]"))</f>
        <v/>
      </c>
      <c r="I448" s="46" t="str">
        <f t="array" ref="I448">IF('.'!I448="","",'.'!I448&amp;IF(VLOOKUP('.'!I448,Recipes!$A:$D,4,FALSE)="",""," ["&amp;VLOOKUP('.'!I448,Recipes!$A:$D,4,FALSE)&amp;"]"))</f>
        <v/>
      </c>
      <c r="J448" s="46" t="str">
        <f t="array" ref="J448">IF('.'!J448="","",'.'!J448&amp;IF(VLOOKUP('.'!J448,Recipes!$A:$D,4,FALSE)="",""," ["&amp;VLOOKUP('.'!J448,Recipes!$A:$D,4,FALSE)&amp;"]"))</f>
        <v/>
      </c>
      <c r="K448" s="46" t="str">
        <f t="array" ref="K448">IF('.'!K448="","",'.'!K448&amp;IF(VLOOKUP('.'!K448,Recipes!$A:$D,4,FALSE)="",""," ["&amp;VLOOKUP('.'!K448,Recipes!$A:$D,4,FALSE)&amp;"]"))</f>
        <v/>
      </c>
      <c r="L448" s="46" t="str">
        <f t="array" ref="L448">IF('.'!L448="","",'.'!L448&amp;IF(VLOOKUP('.'!L448,Recipes!$A:$D,4,FALSE)="",""," ["&amp;VLOOKUP('.'!L448,Recipes!$A:$D,4,FALSE)&amp;"]"))</f>
        <v/>
      </c>
      <c r="M448" s="46" t="str">
        <f t="array" ref="M448">IF('.'!M448="","",'.'!M448&amp;IF(VLOOKUP('.'!M448,Recipes!$A:$D,4,FALSE)="",""," ["&amp;VLOOKUP('.'!M448,Recipes!$A:$D,4,FALSE)&amp;"]"))</f>
        <v/>
      </c>
      <c r="N448" s="46" t="str">
        <f t="array" ref="N448">IF('.'!N448="","",'.'!N448&amp;IF(VLOOKUP('.'!N448,Recipes!$A:$D,4,FALSE)="",""," ["&amp;VLOOKUP('.'!N448,Recipes!$A:$D,4,FALSE)&amp;"]"))</f>
        <v/>
      </c>
      <c r="O448" s="46" t="str">
        <f t="array" ref="O448">IF('.'!O448="","",'.'!O448&amp;IF(VLOOKUP('.'!O448,Recipes!$A:$D,4,FALSE)="",""," ["&amp;VLOOKUP('.'!O448,Recipes!$A:$D,4,FALSE)&amp;"]"))</f>
        <v/>
      </c>
      <c r="P448" s="46" t="str">
        <f t="array" ref="P448">IF('.'!P448="","",'.'!P448&amp;IF(VLOOKUP('.'!P448,Recipes!$A:$D,4,FALSE)="",""," ["&amp;VLOOKUP('.'!P448,Recipes!$A:$D,4,FALSE)&amp;"]"))</f>
        <v/>
      </c>
      <c r="Q448" s="46" t="str">
        <f t="array" ref="Q448">IF('.'!Q448="","",'.'!Q448&amp;IF(VLOOKUP('.'!Q448,Recipes!$A:$D,4,FALSE)="",""," ["&amp;VLOOKUP('.'!Q448,Recipes!$A:$D,4,FALSE)&amp;"]"))</f>
        <v/>
      </c>
      <c r="R448" s="46" t="str">
        <f t="array" ref="R448">IF('.'!R448="","",'.'!R448&amp;IF(VLOOKUP('.'!R448,Recipes!$A:$D,4,FALSE)="",""," ["&amp;VLOOKUP('.'!R448,Recipes!$A:$D,4,FALSE)&amp;"]"))</f>
        <v/>
      </c>
      <c r="S448" s="46" t="str">
        <f t="array" ref="S448">IF('.'!S448="","",'.'!S448&amp;IF(VLOOKUP('.'!S448,Recipes!$A:$D,4,FALSE)="",""," ["&amp;VLOOKUP('.'!S448,Recipes!$A:$D,4,FALSE)&amp;"]"))</f>
        <v/>
      </c>
      <c r="T448" s="46" t="str">
        <f t="array" ref="T448">IF('.'!T448="","",'.'!T448&amp;IF(VLOOKUP('.'!T448,Recipes!$A:$D,4,FALSE)="",""," ["&amp;VLOOKUP('.'!T448,Recipes!$A:$D,4,FALSE)&amp;"]"))</f>
        <v/>
      </c>
      <c r="U448" s="46" t="str">
        <f t="array" ref="U448">IF('.'!U448="","",'.'!U448&amp;IF(VLOOKUP('.'!U448,Recipes!$A:$D,4,FALSE)="",""," ["&amp;VLOOKUP('.'!U448,Recipes!$A:$D,4,FALSE)&amp;"]"))</f>
        <v/>
      </c>
      <c r="V448" s="46" t="str">
        <f t="array" ref="V448">IF('.'!V448="","",'.'!V448&amp;IF(VLOOKUP('.'!V448,Recipes!$A:$D,4,FALSE)="",""," ["&amp;VLOOKUP('.'!V448,Recipes!$A:$D,4,FALSE)&amp;"]"))</f>
        <v/>
      </c>
      <c r="W448" s="46" t="str">
        <f t="array" ref="W448">IF('.'!W448="","",'.'!W448&amp;IF(VLOOKUP('.'!W448,Recipes!$A:$D,4,FALSE)="",""," ["&amp;VLOOKUP('.'!W448,Recipes!$A:$D,4,FALSE)&amp;"]"))</f>
        <v/>
      </c>
      <c r="X448" s="46" t="str">
        <f t="array" ref="X448">IF('.'!X448="","",'.'!X448&amp;IF(VLOOKUP('.'!X448,Recipes!$A:$D,4,FALSE)="",""," ["&amp;VLOOKUP('.'!X448,Recipes!$A:$D,4,FALSE)&amp;"]"))</f>
        <v/>
      </c>
      <c r="Y448" s="46" t="str">
        <f t="array" ref="Y448">IF('.'!Y448="","",'.'!Y448&amp;IF(VLOOKUP('.'!Y448,Recipes!$A:$D,4,FALSE)="",""," ["&amp;VLOOKUP('.'!Y448,Recipes!$A:$D,4,FALSE)&amp;"]"))</f>
        <v/>
      </c>
      <c r="Z448" s="46" t="str">
        <f t="array" ref="Z448">IF('.'!Z448="","",'.'!Z448&amp;IF(VLOOKUP('.'!Z448,Recipes!$A:$D,4,FALSE)="",""," ["&amp;VLOOKUP('.'!Z448,Recipes!$A:$D,4,FALSE)&amp;"]"))</f>
        <v/>
      </c>
      <c r="AA448" s="46" t="str">
        <f t="array" ref="AA448">IF('.'!AA448="","",'.'!AA448&amp;IF(VLOOKUP('.'!AA448,Recipes!$A:$D,4,FALSE)="",""," ["&amp;VLOOKUP('.'!AA448,Recipes!$A:$D,4,FALSE)&amp;"]"))</f>
        <v/>
      </c>
      <c r="AB448" s="46" t="str">
        <f t="array" ref="AB448">IF('.'!AB448="","",'.'!AB448&amp;IF(VLOOKUP('.'!AB448,Recipes!$A:$D,4,FALSE)="",""," ["&amp;VLOOKUP('.'!AB448,Recipes!$A:$D,4,FALSE)&amp;"]"))</f>
        <v/>
      </c>
      <c r="AC448" s="46" t="str">
        <f t="array" ref="AC448">IF('.'!AC448="","",'.'!AC448&amp;IF(VLOOKUP('.'!AC448,Recipes!$A:$D,4,FALSE)="",""," ["&amp;VLOOKUP('.'!AC448,Recipes!$A:$D,4,FALSE)&amp;"]"))</f>
        <v/>
      </c>
      <c r="AD448" s="46" t="str">
        <f t="array" ref="AD448">IF('.'!AD448="","",'.'!AD448&amp;IF(VLOOKUP('.'!AD448,Recipes!$A:$D,4,FALSE)="",""," ["&amp;VLOOKUP('.'!AD448,Recipes!$A:$D,4,FALSE)&amp;"]"))</f>
        <v/>
      </c>
      <c r="AE448" s="47" t="str">
        <f t="array" ref="AE448">IF('.'!AE448="","",'.'!AE448&amp;IF(VLOOKUP('.'!AE448,Recipes!$A:$D,4,FALSE)="",""," ["&amp;VLOOKUP('.'!AE448,Recipes!$A:$D,4,FALSE)&amp;"]"))</f>
        <v/>
      </c>
      <c r="AF448" s="47"/>
      <c r="AG448" s="47"/>
      <c r="AH448" s="47"/>
      <c r="AI448" s="47"/>
      <c r="AJ448" s="47"/>
      <c r="AK448" s="47"/>
      <c r="AL448" s="47"/>
      <c r="AM448" s="47"/>
      <c r="AN448" s="47"/>
      <c r="AO448" s="47"/>
      <c r="AP448" s="47"/>
      <c r="AQ448" s="47"/>
      <c r="AR448" s="47"/>
      <c r="AS448" s="47"/>
      <c r="AT448" s="47"/>
      <c r="AU448" s="47"/>
      <c r="AV448" s="47"/>
      <c r="AW448" s="47"/>
      <c r="AX448" s="47"/>
      <c r="AY448" s="47"/>
      <c r="AZ448" s="47"/>
      <c r="BA448" s="47"/>
      <c r="BB448" s="47"/>
      <c r="BC448" s="47"/>
      <c r="BD448" s="47"/>
      <c r="BE448" s="47"/>
      <c r="BF448" s="47"/>
      <c r="BG448" s="47"/>
      <c r="BH448" s="47"/>
      <c r="BI448" s="47"/>
      <c r="BJ448" s="47"/>
      <c r="BK448" s="47"/>
      <c r="BL448" s="47"/>
      <c r="BM448" s="47"/>
      <c r="BN448" s="47"/>
      <c r="BO448" s="47"/>
      <c r="BP448" s="47"/>
      <c r="BQ448" s="47"/>
      <c r="BR448" s="47"/>
      <c r="BS448" s="47"/>
      <c r="BT448" s="47"/>
      <c r="BU448" s="47"/>
      <c r="BV448" s="47"/>
      <c r="BW448" s="47"/>
      <c r="BX448" s="47"/>
      <c r="BY448" s="47"/>
      <c r="BZ448" s="47"/>
    </row>
    <row r="449" spans="1:78" ht="13">
      <c r="A449" s="48" t="str">
        <f ca="1">'.'!A449</f>
        <v>Tusk</v>
      </c>
      <c r="B449" s="46" t="str">
        <f t="array" aca="1" ref="B449" ca="1">IF('.'!B449="","",'.'!B449&amp;IF(VLOOKUP('.'!B449,Recipes!$A:$D,4,FALSE)="",""," ["&amp;VLOOKUP('.'!B449,Recipes!$A:$D,4,FALSE)&amp;"]"))</f>
        <v>Ignition Scroll [-35]</v>
      </c>
      <c r="C449" s="46" t="str">
        <f t="array" ref="C449">IF('.'!C449="","",'.'!C449&amp;IF(VLOOKUP('.'!C449,Recipes!$A:$D,4,FALSE)="",""," ["&amp;VLOOKUP('.'!C449,Recipes!$A:$D,4,FALSE)&amp;"]"))</f>
        <v/>
      </c>
      <c r="D449" s="46" t="str">
        <f t="array" ref="D449">IF('.'!D449="","",'.'!D449&amp;IF(VLOOKUP('.'!D449,Recipes!$A:$D,4,FALSE)="",""," ["&amp;VLOOKUP('.'!D449,Recipes!$A:$D,4,FALSE)&amp;"]"))</f>
        <v/>
      </c>
      <c r="E449" s="46" t="str">
        <f t="array" ref="E449">IF('.'!E449="","",'.'!E449&amp;IF(VLOOKUP('.'!E449,Recipes!$A:$D,4,FALSE)="",""," ["&amp;VLOOKUP('.'!E449,Recipes!$A:$D,4,FALSE)&amp;"]"))</f>
        <v/>
      </c>
      <c r="F449" s="46" t="str">
        <f t="array" ref="F449">IF('.'!F449="","",'.'!F449&amp;IF(VLOOKUP('.'!F449,Recipes!$A:$D,4,FALSE)="",""," ["&amp;VLOOKUP('.'!F449,Recipes!$A:$D,4,FALSE)&amp;"]"))</f>
        <v/>
      </c>
      <c r="G449" s="46" t="str">
        <f t="array" ref="G449">IF('.'!G449="","",'.'!G449&amp;IF(VLOOKUP('.'!G449,Recipes!$A:$D,4,FALSE)="",""," ["&amp;VLOOKUP('.'!G449,Recipes!$A:$D,4,FALSE)&amp;"]"))</f>
        <v/>
      </c>
      <c r="H449" s="46" t="str">
        <f t="array" ref="H449">IF('.'!H449="","",'.'!H449&amp;IF(VLOOKUP('.'!H449,Recipes!$A:$D,4,FALSE)="",""," ["&amp;VLOOKUP('.'!H449,Recipes!$A:$D,4,FALSE)&amp;"]"))</f>
        <v/>
      </c>
      <c r="I449" s="46" t="str">
        <f t="array" ref="I449">IF('.'!I449="","",'.'!I449&amp;IF(VLOOKUP('.'!I449,Recipes!$A:$D,4,FALSE)="",""," ["&amp;VLOOKUP('.'!I449,Recipes!$A:$D,4,FALSE)&amp;"]"))</f>
        <v/>
      </c>
      <c r="J449" s="46" t="str">
        <f t="array" ref="J449">IF('.'!J449="","",'.'!J449&amp;IF(VLOOKUP('.'!J449,Recipes!$A:$D,4,FALSE)="",""," ["&amp;VLOOKUP('.'!J449,Recipes!$A:$D,4,FALSE)&amp;"]"))</f>
        <v/>
      </c>
      <c r="K449" s="46" t="str">
        <f t="array" ref="K449">IF('.'!K449="","",'.'!K449&amp;IF(VLOOKUP('.'!K449,Recipes!$A:$D,4,FALSE)="",""," ["&amp;VLOOKUP('.'!K449,Recipes!$A:$D,4,FALSE)&amp;"]"))</f>
        <v/>
      </c>
      <c r="L449" s="46" t="str">
        <f t="array" ref="L449">IF('.'!L449="","",'.'!L449&amp;IF(VLOOKUP('.'!L449,Recipes!$A:$D,4,FALSE)="",""," ["&amp;VLOOKUP('.'!L449,Recipes!$A:$D,4,FALSE)&amp;"]"))</f>
        <v/>
      </c>
      <c r="M449" s="46" t="str">
        <f t="array" ref="M449">IF('.'!M449="","",'.'!M449&amp;IF(VLOOKUP('.'!M449,Recipes!$A:$D,4,FALSE)="",""," ["&amp;VLOOKUP('.'!M449,Recipes!$A:$D,4,FALSE)&amp;"]"))</f>
        <v/>
      </c>
      <c r="N449" s="46" t="str">
        <f t="array" ref="N449">IF('.'!N449="","",'.'!N449&amp;IF(VLOOKUP('.'!N449,Recipes!$A:$D,4,FALSE)="",""," ["&amp;VLOOKUP('.'!N449,Recipes!$A:$D,4,FALSE)&amp;"]"))</f>
        <v/>
      </c>
      <c r="O449" s="46" t="str">
        <f t="array" ref="O449">IF('.'!O449="","",'.'!O449&amp;IF(VLOOKUP('.'!O449,Recipes!$A:$D,4,FALSE)="",""," ["&amp;VLOOKUP('.'!O449,Recipes!$A:$D,4,FALSE)&amp;"]"))</f>
        <v/>
      </c>
      <c r="P449" s="46" t="str">
        <f t="array" ref="P449">IF('.'!P449="","",'.'!P449&amp;IF(VLOOKUP('.'!P449,Recipes!$A:$D,4,FALSE)="",""," ["&amp;VLOOKUP('.'!P449,Recipes!$A:$D,4,FALSE)&amp;"]"))</f>
        <v/>
      </c>
      <c r="Q449" s="46" t="str">
        <f t="array" ref="Q449">IF('.'!Q449="","",'.'!Q449&amp;IF(VLOOKUP('.'!Q449,Recipes!$A:$D,4,FALSE)="",""," ["&amp;VLOOKUP('.'!Q449,Recipes!$A:$D,4,FALSE)&amp;"]"))</f>
        <v/>
      </c>
      <c r="R449" s="46" t="str">
        <f t="array" ref="R449">IF('.'!R449="","",'.'!R449&amp;IF(VLOOKUP('.'!R449,Recipes!$A:$D,4,FALSE)="",""," ["&amp;VLOOKUP('.'!R449,Recipes!$A:$D,4,FALSE)&amp;"]"))</f>
        <v/>
      </c>
      <c r="S449" s="46" t="str">
        <f t="array" ref="S449">IF('.'!S449="","",'.'!S449&amp;IF(VLOOKUP('.'!S449,Recipes!$A:$D,4,FALSE)="",""," ["&amp;VLOOKUP('.'!S449,Recipes!$A:$D,4,FALSE)&amp;"]"))</f>
        <v/>
      </c>
      <c r="T449" s="46" t="str">
        <f t="array" ref="T449">IF('.'!T449="","",'.'!T449&amp;IF(VLOOKUP('.'!T449,Recipes!$A:$D,4,FALSE)="",""," ["&amp;VLOOKUP('.'!T449,Recipes!$A:$D,4,FALSE)&amp;"]"))</f>
        <v/>
      </c>
      <c r="U449" s="46" t="str">
        <f t="array" ref="U449">IF('.'!U449="","",'.'!U449&amp;IF(VLOOKUP('.'!U449,Recipes!$A:$D,4,FALSE)="",""," ["&amp;VLOOKUP('.'!U449,Recipes!$A:$D,4,FALSE)&amp;"]"))</f>
        <v/>
      </c>
      <c r="V449" s="46" t="str">
        <f t="array" ref="V449">IF('.'!V449="","",'.'!V449&amp;IF(VLOOKUP('.'!V449,Recipes!$A:$D,4,FALSE)="",""," ["&amp;VLOOKUP('.'!V449,Recipes!$A:$D,4,FALSE)&amp;"]"))</f>
        <v/>
      </c>
      <c r="W449" s="46" t="str">
        <f t="array" ref="W449">IF('.'!W449="","",'.'!W449&amp;IF(VLOOKUP('.'!W449,Recipes!$A:$D,4,FALSE)="",""," ["&amp;VLOOKUP('.'!W449,Recipes!$A:$D,4,FALSE)&amp;"]"))</f>
        <v/>
      </c>
      <c r="X449" s="46" t="str">
        <f t="array" ref="X449">IF('.'!X449="","",'.'!X449&amp;IF(VLOOKUP('.'!X449,Recipes!$A:$D,4,FALSE)="",""," ["&amp;VLOOKUP('.'!X449,Recipes!$A:$D,4,FALSE)&amp;"]"))</f>
        <v/>
      </c>
      <c r="Y449" s="46" t="str">
        <f t="array" ref="Y449">IF('.'!Y449="","",'.'!Y449&amp;IF(VLOOKUP('.'!Y449,Recipes!$A:$D,4,FALSE)="",""," ["&amp;VLOOKUP('.'!Y449,Recipes!$A:$D,4,FALSE)&amp;"]"))</f>
        <v/>
      </c>
      <c r="Z449" s="46" t="str">
        <f t="array" ref="Z449">IF('.'!Z449="","",'.'!Z449&amp;IF(VLOOKUP('.'!Z449,Recipes!$A:$D,4,FALSE)="",""," ["&amp;VLOOKUP('.'!Z449,Recipes!$A:$D,4,FALSE)&amp;"]"))</f>
        <v/>
      </c>
      <c r="AA449" s="46" t="str">
        <f t="array" ref="AA449">IF('.'!AA449="","",'.'!AA449&amp;IF(VLOOKUP('.'!AA449,Recipes!$A:$D,4,FALSE)="",""," ["&amp;VLOOKUP('.'!AA449,Recipes!$A:$D,4,FALSE)&amp;"]"))</f>
        <v/>
      </c>
      <c r="AB449" s="46" t="str">
        <f t="array" ref="AB449">IF('.'!AB449="","",'.'!AB449&amp;IF(VLOOKUP('.'!AB449,Recipes!$A:$D,4,FALSE)="",""," ["&amp;VLOOKUP('.'!AB449,Recipes!$A:$D,4,FALSE)&amp;"]"))</f>
        <v/>
      </c>
      <c r="AC449" s="46" t="str">
        <f t="array" ref="AC449">IF('.'!AC449="","",'.'!AC449&amp;IF(VLOOKUP('.'!AC449,Recipes!$A:$D,4,FALSE)="",""," ["&amp;VLOOKUP('.'!AC449,Recipes!$A:$D,4,FALSE)&amp;"]"))</f>
        <v/>
      </c>
      <c r="AD449" s="46" t="str">
        <f t="array" ref="AD449">IF('.'!AD449="","",'.'!AD449&amp;IF(VLOOKUP('.'!AD449,Recipes!$A:$D,4,FALSE)="",""," ["&amp;VLOOKUP('.'!AD449,Recipes!$A:$D,4,FALSE)&amp;"]"))</f>
        <v/>
      </c>
      <c r="AE449" s="47" t="str">
        <f t="array" ref="AE449">IF('.'!AE449="","",'.'!AE449&amp;IF(VLOOKUP('.'!AE449,Recipes!$A:$D,4,FALSE)="",""," ["&amp;VLOOKUP('.'!AE449,Recipes!$A:$D,4,FALSE)&amp;"]"))</f>
        <v/>
      </c>
      <c r="AF449" s="47"/>
      <c r="AG449" s="47"/>
      <c r="AH449" s="47"/>
      <c r="AI449" s="47"/>
      <c r="AJ449" s="47"/>
      <c r="AK449" s="47"/>
      <c r="AL449" s="47"/>
      <c r="AM449" s="47"/>
      <c r="AN449" s="47"/>
      <c r="AO449" s="47"/>
      <c r="AP449" s="47"/>
      <c r="AQ449" s="47"/>
      <c r="AR449" s="47"/>
      <c r="AS449" s="47"/>
      <c r="AT449" s="47"/>
      <c r="AU449" s="47"/>
      <c r="AV449" s="47"/>
      <c r="AW449" s="47"/>
      <c r="AX449" s="47"/>
      <c r="AY449" s="47"/>
      <c r="AZ449" s="47"/>
      <c r="BA449" s="47"/>
      <c r="BB449" s="47"/>
      <c r="BC449" s="47"/>
      <c r="BD449" s="47"/>
      <c r="BE449" s="47"/>
      <c r="BF449" s="47"/>
      <c r="BG449" s="47"/>
      <c r="BH449" s="47"/>
      <c r="BI449" s="47"/>
      <c r="BJ449" s="47"/>
      <c r="BK449" s="47"/>
      <c r="BL449" s="47"/>
      <c r="BM449" s="47"/>
      <c r="BN449" s="47"/>
      <c r="BO449" s="47"/>
      <c r="BP449" s="47"/>
      <c r="BQ449" s="47"/>
      <c r="BR449" s="47"/>
      <c r="BS449" s="47"/>
      <c r="BT449" s="47"/>
      <c r="BU449" s="47"/>
      <c r="BV449" s="47"/>
      <c r="BW449" s="47"/>
      <c r="BX449" s="47"/>
      <c r="BY449" s="47"/>
      <c r="BZ449" s="47"/>
    </row>
    <row r="450" spans="1:78" ht="13">
      <c r="A450" s="48" t="str">
        <f ca="1">'.'!A450</f>
        <v>Ultimate Augmentor</v>
      </c>
      <c r="B450" s="46" t="str">
        <f t="array" aca="1" ref="B450" ca="1">IF('.'!B450="","",'.'!B450&amp;IF(VLOOKUP('.'!B450,Recipes!$A:$D,4,FALSE)="",""," ["&amp;VLOOKUP('.'!B450,Recipes!$A:$D,4,FALSE)&amp;"]"))</f>
        <v>Huge Air Resistance Potion [150]</v>
      </c>
      <c r="C450" s="46" t="str">
        <f t="array" aca="1" ref="C450" ca="1">IF('.'!C450="","",'.'!C450&amp;IF(VLOOKUP('.'!C450,Recipes!$A:$D,4,FALSE)="",""," ["&amp;VLOOKUP('.'!C450,Recipes!$A:$D,4,FALSE)&amp;"]"))</f>
        <v>Huge Earth Resistance Potion [150]</v>
      </c>
      <c r="D450" s="46" t="str">
        <f t="array" aca="1" ref="D450" ca="1">IF('.'!D450="","",'.'!D450&amp;IF(VLOOKUP('.'!D450,Recipes!$A:$D,4,FALSE)="",""," ["&amp;VLOOKUP('.'!D450,Recipes!$A:$D,4,FALSE)&amp;"]"))</f>
        <v>Huge Fire Resistance Potion [150]</v>
      </c>
      <c r="E450" s="46" t="str">
        <f t="array" aca="1" ref="E450" ca="1">IF('.'!E450="","",'.'!E450&amp;IF(VLOOKUP('.'!E450,Recipes!$A:$D,4,FALSE)="",""," ["&amp;VLOOKUP('.'!E450,Recipes!$A:$D,4,FALSE)&amp;"]"))</f>
        <v>Huge Water Resistance Potion [150]</v>
      </c>
      <c r="F450" s="46" t="str">
        <f t="array" aca="1" ref="F450" ca="1">IF('.'!F450="","",'.'!F450&amp;IF(VLOOKUP('.'!F450,Recipes!$A:$D,4,FALSE)="",""," ["&amp;VLOOKUP('.'!F450,Recipes!$A:$D,4,FALSE)&amp;"]"))</f>
        <v>Large Resist All Potion [-100]</v>
      </c>
      <c r="G450" s="46" t="str">
        <f t="array" aca="1" ref="G450" ca="1">IF('.'!G450="","",'.'!G450&amp;IF(VLOOKUP('.'!G450,Recipes!$A:$D,4,FALSE)="",""," ["&amp;VLOOKUP('.'!G450,Recipes!$A:$D,4,FALSE)&amp;"]"))</f>
        <v>Giant Healing Potion [-20]</v>
      </c>
      <c r="H450" s="46" t="str">
        <f t="array" aca="1" ref="H450" ca="1">IF('.'!H450="","",'.'!H450&amp;IF(VLOOKUP('.'!H450,Recipes!$A:$D,4,FALSE)="",""," ["&amp;VLOOKUP('.'!H450,Recipes!$A:$D,4,FALSE)&amp;"]"))</f>
        <v>Giant Poison Bottle [-20]</v>
      </c>
      <c r="I450" s="46" t="str">
        <f t="array" ref="I450">IF('.'!I450="","",'.'!I450&amp;IF(VLOOKUP('.'!I450,Recipes!$A:$D,4,FALSE)="",""," ["&amp;VLOOKUP('.'!I450,Recipes!$A:$D,4,FALSE)&amp;"]"))</f>
        <v/>
      </c>
      <c r="J450" s="46" t="str">
        <f t="array" ref="J450">IF('.'!J450="","",'.'!J450&amp;IF(VLOOKUP('.'!J450,Recipes!$A:$D,4,FALSE)="",""," ["&amp;VLOOKUP('.'!J450,Recipes!$A:$D,4,FALSE)&amp;"]"))</f>
        <v/>
      </c>
      <c r="K450" s="46" t="str">
        <f t="array" ref="K450">IF('.'!K450="","",'.'!K450&amp;IF(VLOOKUP('.'!K450,Recipes!$A:$D,4,FALSE)="",""," ["&amp;VLOOKUP('.'!K450,Recipes!$A:$D,4,FALSE)&amp;"]"))</f>
        <v/>
      </c>
      <c r="L450" s="46" t="str">
        <f t="array" ref="L450">IF('.'!L450="","",'.'!L450&amp;IF(VLOOKUP('.'!L450,Recipes!$A:$D,4,FALSE)="",""," ["&amp;VLOOKUP('.'!L450,Recipes!$A:$D,4,FALSE)&amp;"]"))</f>
        <v/>
      </c>
      <c r="M450" s="46" t="str">
        <f t="array" ref="M450">IF('.'!M450="","",'.'!M450&amp;IF(VLOOKUP('.'!M450,Recipes!$A:$D,4,FALSE)="",""," ["&amp;VLOOKUP('.'!M450,Recipes!$A:$D,4,FALSE)&amp;"]"))</f>
        <v/>
      </c>
      <c r="N450" s="46" t="str">
        <f t="array" ref="N450">IF('.'!N450="","",'.'!N450&amp;IF(VLOOKUP('.'!N450,Recipes!$A:$D,4,FALSE)="",""," ["&amp;VLOOKUP('.'!N450,Recipes!$A:$D,4,FALSE)&amp;"]"))</f>
        <v/>
      </c>
      <c r="O450" s="46" t="str">
        <f t="array" ref="O450">IF('.'!O450="","",'.'!O450&amp;IF(VLOOKUP('.'!O450,Recipes!$A:$D,4,FALSE)="",""," ["&amp;VLOOKUP('.'!O450,Recipes!$A:$D,4,FALSE)&amp;"]"))</f>
        <v/>
      </c>
      <c r="P450" s="46" t="str">
        <f t="array" ref="P450">IF('.'!P450="","",'.'!P450&amp;IF(VLOOKUP('.'!P450,Recipes!$A:$D,4,FALSE)="",""," ["&amp;VLOOKUP('.'!P450,Recipes!$A:$D,4,FALSE)&amp;"]"))</f>
        <v/>
      </c>
      <c r="Q450" s="46" t="str">
        <f t="array" ref="Q450">IF('.'!Q450="","",'.'!Q450&amp;IF(VLOOKUP('.'!Q450,Recipes!$A:$D,4,FALSE)="",""," ["&amp;VLOOKUP('.'!Q450,Recipes!$A:$D,4,FALSE)&amp;"]"))</f>
        <v/>
      </c>
      <c r="R450" s="46" t="str">
        <f t="array" ref="R450">IF('.'!R450="","",'.'!R450&amp;IF(VLOOKUP('.'!R450,Recipes!$A:$D,4,FALSE)="",""," ["&amp;VLOOKUP('.'!R450,Recipes!$A:$D,4,FALSE)&amp;"]"))</f>
        <v/>
      </c>
      <c r="S450" s="46" t="str">
        <f t="array" ref="S450">IF('.'!S450="","",'.'!S450&amp;IF(VLOOKUP('.'!S450,Recipes!$A:$D,4,FALSE)="",""," ["&amp;VLOOKUP('.'!S450,Recipes!$A:$D,4,FALSE)&amp;"]"))</f>
        <v/>
      </c>
      <c r="T450" s="46" t="str">
        <f t="array" ref="T450">IF('.'!T450="","",'.'!T450&amp;IF(VLOOKUP('.'!T450,Recipes!$A:$D,4,FALSE)="",""," ["&amp;VLOOKUP('.'!T450,Recipes!$A:$D,4,FALSE)&amp;"]"))</f>
        <v/>
      </c>
      <c r="U450" s="46" t="str">
        <f t="array" ref="U450">IF('.'!U450="","",'.'!U450&amp;IF(VLOOKUP('.'!U450,Recipes!$A:$D,4,FALSE)="",""," ["&amp;VLOOKUP('.'!U450,Recipes!$A:$D,4,FALSE)&amp;"]"))</f>
        <v/>
      </c>
      <c r="V450" s="46" t="str">
        <f t="array" ref="V450">IF('.'!V450="","",'.'!V450&amp;IF(VLOOKUP('.'!V450,Recipes!$A:$D,4,FALSE)="",""," ["&amp;VLOOKUP('.'!V450,Recipes!$A:$D,4,FALSE)&amp;"]"))</f>
        <v/>
      </c>
      <c r="W450" s="46" t="str">
        <f t="array" ref="W450">IF('.'!W450="","",'.'!W450&amp;IF(VLOOKUP('.'!W450,Recipes!$A:$D,4,FALSE)="",""," ["&amp;VLOOKUP('.'!W450,Recipes!$A:$D,4,FALSE)&amp;"]"))</f>
        <v/>
      </c>
      <c r="X450" s="46" t="str">
        <f t="array" ref="X450">IF('.'!X450="","",'.'!X450&amp;IF(VLOOKUP('.'!X450,Recipes!$A:$D,4,FALSE)="",""," ["&amp;VLOOKUP('.'!X450,Recipes!$A:$D,4,FALSE)&amp;"]"))</f>
        <v/>
      </c>
      <c r="Y450" s="46" t="str">
        <f t="array" ref="Y450">IF('.'!Y450="","",'.'!Y450&amp;IF(VLOOKUP('.'!Y450,Recipes!$A:$D,4,FALSE)="",""," ["&amp;VLOOKUP('.'!Y450,Recipes!$A:$D,4,FALSE)&amp;"]"))</f>
        <v/>
      </c>
      <c r="Z450" s="46" t="str">
        <f t="array" ref="Z450">IF('.'!Z450="","",'.'!Z450&amp;IF(VLOOKUP('.'!Z450,Recipes!$A:$D,4,FALSE)="",""," ["&amp;VLOOKUP('.'!Z450,Recipes!$A:$D,4,FALSE)&amp;"]"))</f>
        <v/>
      </c>
      <c r="AA450" s="46" t="str">
        <f t="array" ref="AA450">IF('.'!AA450="","",'.'!AA450&amp;IF(VLOOKUP('.'!AA450,Recipes!$A:$D,4,FALSE)="",""," ["&amp;VLOOKUP('.'!AA450,Recipes!$A:$D,4,FALSE)&amp;"]"))</f>
        <v/>
      </c>
      <c r="AB450" s="46" t="str">
        <f t="array" ref="AB450">IF('.'!AB450="","",'.'!AB450&amp;IF(VLOOKUP('.'!AB450,Recipes!$A:$D,4,FALSE)="",""," ["&amp;VLOOKUP('.'!AB450,Recipes!$A:$D,4,FALSE)&amp;"]"))</f>
        <v/>
      </c>
      <c r="AC450" s="46" t="str">
        <f t="array" ref="AC450">IF('.'!AC450="","",'.'!AC450&amp;IF(VLOOKUP('.'!AC450,Recipes!$A:$D,4,FALSE)="",""," ["&amp;VLOOKUP('.'!AC450,Recipes!$A:$D,4,FALSE)&amp;"]"))</f>
        <v/>
      </c>
      <c r="AD450" s="46" t="str">
        <f t="array" ref="AD450">IF('.'!AD450="","",'.'!AD450&amp;IF(VLOOKUP('.'!AD450,Recipes!$A:$D,4,FALSE)="",""," ["&amp;VLOOKUP('.'!AD450,Recipes!$A:$D,4,FALSE)&amp;"]"))</f>
        <v/>
      </c>
      <c r="AE450" s="47" t="str">
        <f t="array" ref="AE450">IF('.'!AE450="","",'.'!AE450&amp;IF(VLOOKUP('.'!AE450,Recipes!$A:$D,4,FALSE)="",""," ["&amp;VLOOKUP('.'!AE450,Recipes!$A:$D,4,FALSE)&amp;"]"))</f>
        <v/>
      </c>
      <c r="AF450" s="47"/>
      <c r="AG450" s="47"/>
      <c r="AH450" s="47"/>
      <c r="AI450" s="47"/>
      <c r="AJ450" s="47"/>
      <c r="AK450" s="47"/>
      <c r="AL450" s="47"/>
      <c r="AM450" s="47"/>
      <c r="AN450" s="47"/>
      <c r="AO450" s="47"/>
      <c r="AP450" s="47"/>
      <c r="AQ450" s="47"/>
      <c r="AR450" s="47"/>
      <c r="AS450" s="47"/>
      <c r="AT450" s="47"/>
      <c r="AU450" s="47"/>
      <c r="AV450" s="47"/>
      <c r="AW450" s="47"/>
      <c r="AX450" s="47"/>
      <c r="AY450" s="47"/>
      <c r="AZ450" s="47"/>
      <c r="BA450" s="47"/>
      <c r="BB450" s="47"/>
      <c r="BC450" s="47"/>
      <c r="BD450" s="47"/>
      <c r="BE450" s="47"/>
      <c r="BF450" s="47"/>
      <c r="BG450" s="47"/>
      <c r="BH450" s="47"/>
      <c r="BI450" s="47"/>
      <c r="BJ450" s="47"/>
      <c r="BK450" s="47"/>
      <c r="BL450" s="47"/>
      <c r="BM450" s="47"/>
      <c r="BN450" s="47"/>
      <c r="BO450" s="47"/>
      <c r="BP450" s="47"/>
      <c r="BQ450" s="47"/>
      <c r="BR450" s="47"/>
      <c r="BS450" s="47"/>
      <c r="BT450" s="47"/>
      <c r="BU450" s="47"/>
      <c r="BV450" s="47"/>
      <c r="BW450" s="47"/>
      <c r="BX450" s="47"/>
      <c r="BY450" s="47"/>
      <c r="BZ450" s="47"/>
    </row>
    <row r="451" spans="1:78" ht="13">
      <c r="A451" s="48" t="str">
        <f ca="1">'.'!A451</f>
        <v>Void-Enhanced Poison</v>
      </c>
      <c r="B451" s="46" t="str">
        <f t="array" aca="1" ref="B451" ca="1">IF('.'!B451="","",'.'!B451&amp;IF(VLOOKUP('.'!B451,Recipes!$A:$D,4,FALSE)="",""," ["&amp;VLOOKUP('.'!B451,Recipes!$A:$D,4,FALSE)&amp;"]"))</f>
        <v>Large Healing Potion [Poisoned] [-110]</v>
      </c>
      <c r="C451" s="46" t="str">
        <f t="array" ref="C451">IF('.'!C451="","",'.'!C451&amp;IF(VLOOKUP('.'!C451,Recipes!$A:$D,4,FALSE)="",""," ["&amp;VLOOKUP('.'!C451,Recipes!$A:$D,4,FALSE)&amp;"]"))</f>
        <v/>
      </c>
      <c r="D451" s="46" t="str">
        <f t="array" ref="D451">IF('.'!D451="","",'.'!D451&amp;IF(VLOOKUP('.'!D451,Recipes!$A:$D,4,FALSE)="",""," ["&amp;VLOOKUP('.'!D451,Recipes!$A:$D,4,FALSE)&amp;"]"))</f>
        <v/>
      </c>
      <c r="E451" s="46" t="str">
        <f t="array" ref="E451">IF('.'!E451="","",'.'!E451&amp;IF(VLOOKUP('.'!E451,Recipes!$A:$D,4,FALSE)="",""," ["&amp;VLOOKUP('.'!E451,Recipes!$A:$D,4,FALSE)&amp;"]"))</f>
        <v/>
      </c>
      <c r="F451" s="46" t="str">
        <f t="array" ref="F451">IF('.'!F451="","",'.'!F451&amp;IF(VLOOKUP('.'!F451,Recipes!$A:$D,4,FALSE)="",""," ["&amp;VLOOKUP('.'!F451,Recipes!$A:$D,4,FALSE)&amp;"]"))</f>
        <v/>
      </c>
      <c r="G451" s="46" t="str">
        <f t="array" ref="G451">IF('.'!G451="","",'.'!G451&amp;IF(VLOOKUP('.'!G451,Recipes!$A:$D,4,FALSE)="",""," ["&amp;VLOOKUP('.'!G451,Recipes!$A:$D,4,FALSE)&amp;"]"))</f>
        <v/>
      </c>
      <c r="H451" s="46" t="str">
        <f t="array" ref="H451">IF('.'!H451="","",'.'!H451&amp;IF(VLOOKUP('.'!H451,Recipes!$A:$D,4,FALSE)="",""," ["&amp;VLOOKUP('.'!H451,Recipes!$A:$D,4,FALSE)&amp;"]"))</f>
        <v/>
      </c>
      <c r="I451" s="46" t="str">
        <f t="array" ref="I451">IF('.'!I451="","",'.'!I451&amp;IF(VLOOKUP('.'!I451,Recipes!$A:$D,4,FALSE)="",""," ["&amp;VLOOKUP('.'!I451,Recipes!$A:$D,4,FALSE)&amp;"]"))</f>
        <v/>
      </c>
      <c r="J451" s="46" t="str">
        <f t="array" ref="J451">IF('.'!J451="","",'.'!J451&amp;IF(VLOOKUP('.'!J451,Recipes!$A:$D,4,FALSE)="",""," ["&amp;VLOOKUP('.'!J451,Recipes!$A:$D,4,FALSE)&amp;"]"))</f>
        <v/>
      </c>
      <c r="K451" s="46" t="str">
        <f t="array" ref="K451">IF('.'!K451="","",'.'!K451&amp;IF(VLOOKUP('.'!K451,Recipes!$A:$D,4,FALSE)="",""," ["&amp;VLOOKUP('.'!K451,Recipes!$A:$D,4,FALSE)&amp;"]"))</f>
        <v/>
      </c>
      <c r="L451" s="46" t="str">
        <f t="array" ref="L451">IF('.'!L451="","",'.'!L451&amp;IF(VLOOKUP('.'!L451,Recipes!$A:$D,4,FALSE)="",""," ["&amp;VLOOKUP('.'!L451,Recipes!$A:$D,4,FALSE)&amp;"]"))</f>
        <v/>
      </c>
      <c r="M451" s="46" t="str">
        <f t="array" ref="M451">IF('.'!M451="","",'.'!M451&amp;IF(VLOOKUP('.'!M451,Recipes!$A:$D,4,FALSE)="",""," ["&amp;VLOOKUP('.'!M451,Recipes!$A:$D,4,FALSE)&amp;"]"))</f>
        <v/>
      </c>
      <c r="N451" s="46" t="str">
        <f t="array" ref="N451">IF('.'!N451="","",'.'!N451&amp;IF(VLOOKUP('.'!N451,Recipes!$A:$D,4,FALSE)="",""," ["&amp;VLOOKUP('.'!N451,Recipes!$A:$D,4,FALSE)&amp;"]"))</f>
        <v/>
      </c>
      <c r="O451" s="46" t="str">
        <f t="array" ref="O451">IF('.'!O451="","",'.'!O451&amp;IF(VLOOKUP('.'!O451,Recipes!$A:$D,4,FALSE)="",""," ["&amp;VLOOKUP('.'!O451,Recipes!$A:$D,4,FALSE)&amp;"]"))</f>
        <v/>
      </c>
      <c r="P451" s="46" t="str">
        <f t="array" ref="P451">IF('.'!P451="","",'.'!P451&amp;IF(VLOOKUP('.'!P451,Recipes!$A:$D,4,FALSE)="",""," ["&amp;VLOOKUP('.'!P451,Recipes!$A:$D,4,FALSE)&amp;"]"))</f>
        <v/>
      </c>
      <c r="Q451" s="46" t="str">
        <f t="array" ref="Q451">IF('.'!Q451="","",'.'!Q451&amp;IF(VLOOKUP('.'!Q451,Recipes!$A:$D,4,FALSE)="",""," ["&amp;VLOOKUP('.'!Q451,Recipes!$A:$D,4,FALSE)&amp;"]"))</f>
        <v/>
      </c>
      <c r="R451" s="46" t="str">
        <f t="array" ref="R451">IF('.'!R451="","",'.'!R451&amp;IF(VLOOKUP('.'!R451,Recipes!$A:$D,4,FALSE)="",""," ["&amp;VLOOKUP('.'!R451,Recipes!$A:$D,4,FALSE)&amp;"]"))</f>
        <v/>
      </c>
      <c r="S451" s="46" t="str">
        <f t="array" ref="S451">IF('.'!S451="","",'.'!S451&amp;IF(VLOOKUP('.'!S451,Recipes!$A:$D,4,FALSE)="",""," ["&amp;VLOOKUP('.'!S451,Recipes!$A:$D,4,FALSE)&amp;"]"))</f>
        <v/>
      </c>
      <c r="T451" s="46" t="str">
        <f t="array" ref="T451">IF('.'!T451="","",'.'!T451&amp;IF(VLOOKUP('.'!T451,Recipes!$A:$D,4,FALSE)="",""," ["&amp;VLOOKUP('.'!T451,Recipes!$A:$D,4,FALSE)&amp;"]"))</f>
        <v/>
      </c>
      <c r="U451" s="46" t="str">
        <f t="array" ref="U451">IF('.'!U451="","",'.'!U451&amp;IF(VLOOKUP('.'!U451,Recipes!$A:$D,4,FALSE)="",""," ["&amp;VLOOKUP('.'!U451,Recipes!$A:$D,4,FALSE)&amp;"]"))</f>
        <v/>
      </c>
      <c r="V451" s="46" t="str">
        <f t="array" ref="V451">IF('.'!V451="","",'.'!V451&amp;IF(VLOOKUP('.'!V451,Recipes!$A:$D,4,FALSE)="",""," ["&amp;VLOOKUP('.'!V451,Recipes!$A:$D,4,FALSE)&amp;"]"))</f>
        <v/>
      </c>
      <c r="W451" s="46" t="str">
        <f t="array" ref="W451">IF('.'!W451="","",'.'!W451&amp;IF(VLOOKUP('.'!W451,Recipes!$A:$D,4,FALSE)="",""," ["&amp;VLOOKUP('.'!W451,Recipes!$A:$D,4,FALSE)&amp;"]"))</f>
        <v/>
      </c>
      <c r="X451" s="46" t="str">
        <f t="array" ref="X451">IF('.'!X451="","",'.'!X451&amp;IF(VLOOKUP('.'!X451,Recipes!$A:$D,4,FALSE)="",""," ["&amp;VLOOKUP('.'!X451,Recipes!$A:$D,4,FALSE)&amp;"]"))</f>
        <v/>
      </c>
      <c r="Y451" s="46" t="str">
        <f t="array" ref="Y451">IF('.'!Y451="","",'.'!Y451&amp;IF(VLOOKUP('.'!Y451,Recipes!$A:$D,4,FALSE)="",""," ["&amp;VLOOKUP('.'!Y451,Recipes!$A:$D,4,FALSE)&amp;"]"))</f>
        <v/>
      </c>
      <c r="Z451" s="46" t="str">
        <f t="array" ref="Z451">IF('.'!Z451="","",'.'!Z451&amp;IF(VLOOKUP('.'!Z451,Recipes!$A:$D,4,FALSE)="",""," ["&amp;VLOOKUP('.'!Z451,Recipes!$A:$D,4,FALSE)&amp;"]"))</f>
        <v/>
      </c>
      <c r="AA451" s="46" t="str">
        <f t="array" ref="AA451">IF('.'!AA451="","",'.'!AA451&amp;IF(VLOOKUP('.'!AA451,Recipes!$A:$D,4,FALSE)="",""," ["&amp;VLOOKUP('.'!AA451,Recipes!$A:$D,4,FALSE)&amp;"]"))</f>
        <v/>
      </c>
      <c r="AB451" s="46" t="str">
        <f t="array" ref="AB451">IF('.'!AB451="","",'.'!AB451&amp;IF(VLOOKUP('.'!AB451,Recipes!$A:$D,4,FALSE)="",""," ["&amp;VLOOKUP('.'!AB451,Recipes!$A:$D,4,FALSE)&amp;"]"))</f>
        <v/>
      </c>
      <c r="AC451" s="46" t="str">
        <f t="array" ref="AC451">IF('.'!AC451="","",'.'!AC451&amp;IF(VLOOKUP('.'!AC451,Recipes!$A:$D,4,FALSE)="",""," ["&amp;VLOOKUP('.'!AC451,Recipes!$A:$D,4,FALSE)&amp;"]"))</f>
        <v/>
      </c>
      <c r="AD451" s="46" t="str">
        <f t="array" ref="AD451">IF('.'!AD451="","",'.'!AD451&amp;IF(VLOOKUP('.'!AD451,Recipes!$A:$D,4,FALSE)="",""," ["&amp;VLOOKUP('.'!AD451,Recipes!$A:$D,4,FALSE)&amp;"]"))</f>
        <v/>
      </c>
      <c r="AE451" s="47" t="str">
        <f t="array" ref="AE451">IF('.'!AE451="","",'.'!AE451&amp;IF(VLOOKUP('.'!AE451,Recipes!$A:$D,4,FALSE)="",""," ["&amp;VLOOKUP('.'!AE451,Recipes!$A:$D,4,FALSE)&amp;"]"))</f>
        <v/>
      </c>
      <c r="AF451" s="47"/>
      <c r="AG451" s="47"/>
      <c r="AH451" s="47"/>
      <c r="AI451" s="47"/>
      <c r="AJ451" s="47"/>
      <c r="AK451" s="47"/>
      <c r="AL451" s="47"/>
      <c r="AM451" s="47"/>
      <c r="AN451" s="47"/>
      <c r="AO451" s="47"/>
      <c r="AP451" s="47"/>
      <c r="AQ451" s="47"/>
      <c r="AR451" s="47"/>
      <c r="AS451" s="47"/>
      <c r="AT451" s="47"/>
      <c r="AU451" s="47"/>
      <c r="AV451" s="47"/>
      <c r="AW451" s="47"/>
      <c r="AX451" s="47"/>
      <c r="AY451" s="47"/>
      <c r="AZ451" s="47"/>
      <c r="BA451" s="47"/>
      <c r="BB451" s="47"/>
      <c r="BC451" s="47"/>
      <c r="BD451" s="47"/>
      <c r="BE451" s="47"/>
      <c r="BF451" s="47"/>
      <c r="BG451" s="47"/>
      <c r="BH451" s="47"/>
      <c r="BI451" s="47"/>
      <c r="BJ451" s="47"/>
      <c r="BK451" s="47"/>
      <c r="BL451" s="47"/>
      <c r="BM451" s="47"/>
      <c r="BN451" s="47"/>
      <c r="BO451" s="47"/>
      <c r="BP451" s="47"/>
      <c r="BQ451" s="47"/>
      <c r="BR451" s="47"/>
      <c r="BS451" s="47"/>
      <c r="BT451" s="47"/>
      <c r="BU451" s="47"/>
      <c r="BV451" s="47"/>
      <c r="BW451" s="47"/>
      <c r="BX451" s="47"/>
      <c r="BY451" s="47"/>
      <c r="BZ451" s="47"/>
    </row>
    <row r="452" spans="1:78" ht="13">
      <c r="A452" s="48" t="str">
        <f ca="1">'.'!A452</f>
        <v>Void-Tainted Crimson Bream</v>
      </c>
      <c r="B452" s="46" t="str">
        <f t="array" aca="1" ref="B452" ca="1">IF('.'!B452="","",'.'!B452&amp;IF(VLOOKUP('.'!B452,Recipes!$A:$D,4,FALSE)="",""," ["&amp;VLOOKUP('.'!B452,Recipes!$A:$D,4,FALSE)&amp;"]"))</f>
        <v>Potent Ferocity Herbmix [39]</v>
      </c>
      <c r="C452" s="46" t="str">
        <f t="array" ref="C452">IF('.'!C452="","",'.'!C452&amp;IF(VLOOKUP('.'!C452,Recipes!$A:$D,4,FALSE)="",""," ["&amp;VLOOKUP('.'!C452,Recipes!$A:$D,4,FALSE)&amp;"]"))</f>
        <v/>
      </c>
      <c r="D452" s="46" t="str">
        <f t="array" ref="D452">IF('.'!D452="","",'.'!D452&amp;IF(VLOOKUP('.'!D452,Recipes!$A:$D,4,FALSE)="",""," ["&amp;VLOOKUP('.'!D452,Recipes!$A:$D,4,FALSE)&amp;"]"))</f>
        <v/>
      </c>
      <c r="E452" s="46" t="str">
        <f t="array" ref="E452">IF('.'!E452="","",'.'!E452&amp;IF(VLOOKUP('.'!E452,Recipes!$A:$D,4,FALSE)="",""," ["&amp;VLOOKUP('.'!E452,Recipes!$A:$D,4,FALSE)&amp;"]"))</f>
        <v/>
      </c>
      <c r="F452" s="46" t="str">
        <f t="array" ref="F452">IF('.'!F452="","",'.'!F452&amp;IF(VLOOKUP('.'!F452,Recipes!$A:$D,4,FALSE)="",""," ["&amp;VLOOKUP('.'!F452,Recipes!$A:$D,4,FALSE)&amp;"]"))</f>
        <v/>
      </c>
      <c r="G452" s="46" t="str">
        <f t="array" ref="G452">IF('.'!G452="","",'.'!G452&amp;IF(VLOOKUP('.'!G452,Recipes!$A:$D,4,FALSE)="",""," ["&amp;VLOOKUP('.'!G452,Recipes!$A:$D,4,FALSE)&amp;"]"))</f>
        <v/>
      </c>
      <c r="H452" s="46" t="str">
        <f t="array" ref="H452">IF('.'!H452="","",'.'!H452&amp;IF(VLOOKUP('.'!H452,Recipes!$A:$D,4,FALSE)="",""," ["&amp;VLOOKUP('.'!H452,Recipes!$A:$D,4,FALSE)&amp;"]"))</f>
        <v/>
      </c>
      <c r="I452" s="46" t="str">
        <f t="array" ref="I452">IF('.'!I452="","",'.'!I452&amp;IF(VLOOKUP('.'!I452,Recipes!$A:$D,4,FALSE)="",""," ["&amp;VLOOKUP('.'!I452,Recipes!$A:$D,4,FALSE)&amp;"]"))</f>
        <v/>
      </c>
      <c r="J452" s="46" t="str">
        <f t="array" ref="J452">IF('.'!J452="","",'.'!J452&amp;IF(VLOOKUP('.'!J452,Recipes!$A:$D,4,FALSE)="",""," ["&amp;VLOOKUP('.'!J452,Recipes!$A:$D,4,FALSE)&amp;"]"))</f>
        <v/>
      </c>
      <c r="K452" s="46" t="str">
        <f t="array" ref="K452">IF('.'!K452="","",'.'!K452&amp;IF(VLOOKUP('.'!K452,Recipes!$A:$D,4,FALSE)="",""," ["&amp;VLOOKUP('.'!K452,Recipes!$A:$D,4,FALSE)&amp;"]"))</f>
        <v/>
      </c>
      <c r="L452" s="46" t="str">
        <f t="array" ref="L452">IF('.'!L452="","",'.'!L452&amp;IF(VLOOKUP('.'!L452,Recipes!$A:$D,4,FALSE)="",""," ["&amp;VLOOKUP('.'!L452,Recipes!$A:$D,4,FALSE)&amp;"]"))</f>
        <v/>
      </c>
      <c r="M452" s="46" t="str">
        <f t="array" ref="M452">IF('.'!M452="","",'.'!M452&amp;IF(VLOOKUP('.'!M452,Recipes!$A:$D,4,FALSE)="",""," ["&amp;VLOOKUP('.'!M452,Recipes!$A:$D,4,FALSE)&amp;"]"))</f>
        <v/>
      </c>
      <c r="N452" s="46" t="str">
        <f t="array" ref="N452">IF('.'!N452="","",'.'!N452&amp;IF(VLOOKUP('.'!N452,Recipes!$A:$D,4,FALSE)="",""," ["&amp;VLOOKUP('.'!N452,Recipes!$A:$D,4,FALSE)&amp;"]"))</f>
        <v/>
      </c>
      <c r="O452" s="46" t="str">
        <f t="array" ref="O452">IF('.'!O452="","",'.'!O452&amp;IF(VLOOKUP('.'!O452,Recipes!$A:$D,4,FALSE)="",""," ["&amp;VLOOKUP('.'!O452,Recipes!$A:$D,4,FALSE)&amp;"]"))</f>
        <v/>
      </c>
      <c r="P452" s="46" t="str">
        <f t="array" ref="P452">IF('.'!P452="","",'.'!P452&amp;IF(VLOOKUP('.'!P452,Recipes!$A:$D,4,FALSE)="",""," ["&amp;VLOOKUP('.'!P452,Recipes!$A:$D,4,FALSE)&amp;"]"))</f>
        <v/>
      </c>
      <c r="Q452" s="46" t="str">
        <f t="array" ref="Q452">IF('.'!Q452="","",'.'!Q452&amp;IF(VLOOKUP('.'!Q452,Recipes!$A:$D,4,FALSE)="",""," ["&amp;VLOOKUP('.'!Q452,Recipes!$A:$D,4,FALSE)&amp;"]"))</f>
        <v/>
      </c>
      <c r="R452" s="46" t="str">
        <f t="array" ref="R452">IF('.'!R452="","",'.'!R452&amp;IF(VLOOKUP('.'!R452,Recipes!$A:$D,4,FALSE)="",""," ["&amp;VLOOKUP('.'!R452,Recipes!$A:$D,4,FALSE)&amp;"]"))</f>
        <v/>
      </c>
      <c r="S452" s="46" t="str">
        <f t="array" ref="S452">IF('.'!S452="","",'.'!S452&amp;IF(VLOOKUP('.'!S452,Recipes!$A:$D,4,FALSE)="",""," ["&amp;VLOOKUP('.'!S452,Recipes!$A:$D,4,FALSE)&amp;"]"))</f>
        <v/>
      </c>
      <c r="T452" s="46" t="str">
        <f t="array" ref="T452">IF('.'!T452="","",'.'!T452&amp;IF(VLOOKUP('.'!T452,Recipes!$A:$D,4,FALSE)="",""," ["&amp;VLOOKUP('.'!T452,Recipes!$A:$D,4,FALSE)&amp;"]"))</f>
        <v/>
      </c>
      <c r="U452" s="46" t="str">
        <f t="array" ref="U452">IF('.'!U452="","",'.'!U452&amp;IF(VLOOKUP('.'!U452,Recipes!$A:$D,4,FALSE)="",""," ["&amp;VLOOKUP('.'!U452,Recipes!$A:$D,4,FALSE)&amp;"]"))</f>
        <v/>
      </c>
      <c r="V452" s="46" t="str">
        <f t="array" ref="V452">IF('.'!V452="","",'.'!V452&amp;IF(VLOOKUP('.'!V452,Recipes!$A:$D,4,FALSE)="",""," ["&amp;VLOOKUP('.'!V452,Recipes!$A:$D,4,FALSE)&amp;"]"))</f>
        <v/>
      </c>
      <c r="W452" s="46" t="str">
        <f t="array" ref="W452">IF('.'!W452="","",'.'!W452&amp;IF(VLOOKUP('.'!W452,Recipes!$A:$D,4,FALSE)="",""," ["&amp;VLOOKUP('.'!W452,Recipes!$A:$D,4,FALSE)&amp;"]"))</f>
        <v/>
      </c>
      <c r="X452" s="46" t="str">
        <f t="array" ref="X452">IF('.'!X452="","",'.'!X452&amp;IF(VLOOKUP('.'!X452,Recipes!$A:$D,4,FALSE)="",""," ["&amp;VLOOKUP('.'!X452,Recipes!$A:$D,4,FALSE)&amp;"]"))</f>
        <v/>
      </c>
      <c r="Y452" s="46" t="str">
        <f t="array" ref="Y452">IF('.'!Y452="","",'.'!Y452&amp;IF(VLOOKUP('.'!Y452,Recipes!$A:$D,4,FALSE)="",""," ["&amp;VLOOKUP('.'!Y452,Recipes!$A:$D,4,FALSE)&amp;"]"))</f>
        <v/>
      </c>
      <c r="Z452" s="46" t="str">
        <f t="array" ref="Z452">IF('.'!Z452="","",'.'!Z452&amp;IF(VLOOKUP('.'!Z452,Recipes!$A:$D,4,FALSE)="",""," ["&amp;VLOOKUP('.'!Z452,Recipes!$A:$D,4,FALSE)&amp;"]"))</f>
        <v/>
      </c>
      <c r="AA452" s="46" t="str">
        <f t="array" ref="AA452">IF('.'!AA452="","",'.'!AA452&amp;IF(VLOOKUP('.'!AA452,Recipes!$A:$D,4,FALSE)="",""," ["&amp;VLOOKUP('.'!AA452,Recipes!$A:$D,4,FALSE)&amp;"]"))</f>
        <v/>
      </c>
      <c r="AB452" s="46" t="str">
        <f t="array" ref="AB452">IF('.'!AB452="","",'.'!AB452&amp;IF(VLOOKUP('.'!AB452,Recipes!$A:$D,4,FALSE)="",""," ["&amp;VLOOKUP('.'!AB452,Recipes!$A:$D,4,FALSE)&amp;"]"))</f>
        <v/>
      </c>
      <c r="AC452" s="46" t="str">
        <f t="array" ref="AC452">IF('.'!AC452="","",'.'!AC452&amp;IF(VLOOKUP('.'!AC452,Recipes!$A:$D,4,FALSE)="",""," ["&amp;VLOOKUP('.'!AC452,Recipes!$A:$D,4,FALSE)&amp;"]"))</f>
        <v/>
      </c>
      <c r="AD452" s="46" t="str">
        <f t="array" ref="AD452">IF('.'!AD452="","",'.'!AD452&amp;IF(VLOOKUP('.'!AD452,Recipes!$A:$D,4,FALSE)="",""," ["&amp;VLOOKUP('.'!AD452,Recipes!$A:$D,4,FALSE)&amp;"]"))</f>
        <v/>
      </c>
      <c r="AE452" s="47" t="str">
        <f t="array" ref="AE452">IF('.'!AE452="","",'.'!AE452&amp;IF(VLOOKUP('.'!AE452,Recipes!$A:$D,4,FALSE)="",""," ["&amp;VLOOKUP('.'!AE452,Recipes!$A:$D,4,FALSE)&amp;"]"))</f>
        <v/>
      </c>
      <c r="AF452" s="47"/>
      <c r="AG452" s="47"/>
      <c r="AH452" s="47"/>
      <c r="AI452" s="47"/>
      <c r="AJ452" s="47"/>
      <c r="AK452" s="47"/>
      <c r="AL452" s="47"/>
      <c r="AM452" s="47"/>
      <c r="AN452" s="47"/>
      <c r="AO452" s="47"/>
      <c r="AP452" s="47"/>
      <c r="AQ452" s="47"/>
      <c r="AR452" s="47"/>
      <c r="AS452" s="47"/>
      <c r="AT452" s="47"/>
      <c r="AU452" s="47"/>
      <c r="AV452" s="47"/>
      <c r="AW452" s="47"/>
      <c r="AX452" s="47"/>
      <c r="AY452" s="47"/>
      <c r="AZ452" s="47"/>
      <c r="BA452" s="47"/>
      <c r="BB452" s="47"/>
      <c r="BC452" s="47"/>
      <c r="BD452" s="47"/>
      <c r="BE452" s="47"/>
      <c r="BF452" s="47"/>
      <c r="BG452" s="47"/>
      <c r="BH452" s="47"/>
      <c r="BI452" s="47"/>
      <c r="BJ452" s="47"/>
      <c r="BK452" s="47"/>
      <c r="BL452" s="47"/>
      <c r="BM452" s="47"/>
      <c r="BN452" s="47"/>
      <c r="BO452" s="47"/>
      <c r="BP452" s="47"/>
      <c r="BQ452" s="47"/>
      <c r="BR452" s="47"/>
      <c r="BS452" s="47"/>
      <c r="BT452" s="47"/>
      <c r="BU452" s="47"/>
      <c r="BV452" s="47"/>
      <c r="BW452" s="47"/>
      <c r="BX452" s="47"/>
      <c r="BY452" s="47"/>
      <c r="BZ452" s="47"/>
    </row>
    <row r="453" spans="1:78" ht="13">
      <c r="A453" s="48" t="str">
        <f ca="1">'.'!A453</f>
        <v>Void-Tainted Fish</v>
      </c>
      <c r="B453" s="46" t="str">
        <f t="array" aca="1" ref="B453" ca="1">IF('.'!B453="","",'.'!B453&amp;IF(VLOOKUP('.'!B453,Recipes!$A:$D,4,FALSE)="",""," ["&amp;VLOOKUP('.'!B453,Recipes!$A:$D,4,FALSE)&amp;"]"))</f>
        <v>Tainted Stew [-9]</v>
      </c>
      <c r="C453" s="46" t="str">
        <f t="array" aca="1" ref="C453" ca="1">IF('.'!C453="","",'.'!C453&amp;IF(VLOOKUP('.'!C453,Recipes!$A:$D,4,FALSE)="",""," ["&amp;VLOOKUP('.'!C453,Recipes!$A:$D,4,FALSE)&amp;"]"))</f>
        <v>Curse Scroll [279]</v>
      </c>
      <c r="D453" s="46" t="str">
        <f t="array" ref="D453">IF('.'!D453="","",'.'!D453&amp;IF(VLOOKUP('.'!D453,Recipes!$A:$D,4,FALSE)="",""," ["&amp;VLOOKUP('.'!D453,Recipes!$A:$D,4,FALSE)&amp;"]"))</f>
        <v/>
      </c>
      <c r="E453" s="46" t="str">
        <f t="array" ref="E453">IF('.'!E453="","",'.'!E453&amp;IF(VLOOKUP('.'!E453,Recipes!$A:$D,4,FALSE)="",""," ["&amp;VLOOKUP('.'!E453,Recipes!$A:$D,4,FALSE)&amp;"]"))</f>
        <v/>
      </c>
      <c r="F453" s="46" t="str">
        <f t="array" ref="F453">IF('.'!F453="","",'.'!F453&amp;IF(VLOOKUP('.'!F453,Recipes!$A:$D,4,FALSE)="",""," ["&amp;VLOOKUP('.'!F453,Recipes!$A:$D,4,FALSE)&amp;"]"))</f>
        <v/>
      </c>
      <c r="G453" s="46" t="str">
        <f t="array" ref="G453">IF('.'!G453="","",'.'!G453&amp;IF(VLOOKUP('.'!G453,Recipes!$A:$D,4,FALSE)="",""," ["&amp;VLOOKUP('.'!G453,Recipes!$A:$D,4,FALSE)&amp;"]"))</f>
        <v/>
      </c>
      <c r="H453" s="46" t="str">
        <f t="array" ref="H453">IF('.'!H453="","",'.'!H453&amp;IF(VLOOKUP('.'!H453,Recipes!$A:$D,4,FALSE)="",""," ["&amp;VLOOKUP('.'!H453,Recipes!$A:$D,4,FALSE)&amp;"]"))</f>
        <v/>
      </c>
      <c r="I453" s="46" t="str">
        <f t="array" ref="I453">IF('.'!I453="","",'.'!I453&amp;IF(VLOOKUP('.'!I453,Recipes!$A:$D,4,FALSE)="",""," ["&amp;VLOOKUP('.'!I453,Recipes!$A:$D,4,FALSE)&amp;"]"))</f>
        <v/>
      </c>
      <c r="J453" s="46" t="str">
        <f t="array" ref="J453">IF('.'!J453="","",'.'!J453&amp;IF(VLOOKUP('.'!J453,Recipes!$A:$D,4,FALSE)="",""," ["&amp;VLOOKUP('.'!J453,Recipes!$A:$D,4,FALSE)&amp;"]"))</f>
        <v/>
      </c>
      <c r="K453" s="46" t="str">
        <f t="array" ref="K453">IF('.'!K453="","",'.'!K453&amp;IF(VLOOKUP('.'!K453,Recipes!$A:$D,4,FALSE)="",""," ["&amp;VLOOKUP('.'!K453,Recipes!$A:$D,4,FALSE)&amp;"]"))</f>
        <v/>
      </c>
      <c r="L453" s="46" t="str">
        <f t="array" ref="L453">IF('.'!L453="","",'.'!L453&amp;IF(VLOOKUP('.'!L453,Recipes!$A:$D,4,FALSE)="",""," ["&amp;VLOOKUP('.'!L453,Recipes!$A:$D,4,FALSE)&amp;"]"))</f>
        <v/>
      </c>
      <c r="M453" s="46" t="str">
        <f t="array" ref="M453">IF('.'!M453="","",'.'!M453&amp;IF(VLOOKUP('.'!M453,Recipes!$A:$D,4,FALSE)="",""," ["&amp;VLOOKUP('.'!M453,Recipes!$A:$D,4,FALSE)&amp;"]"))</f>
        <v/>
      </c>
      <c r="N453" s="46" t="str">
        <f t="array" ref="N453">IF('.'!N453="","",'.'!N453&amp;IF(VLOOKUP('.'!N453,Recipes!$A:$D,4,FALSE)="",""," ["&amp;VLOOKUP('.'!N453,Recipes!$A:$D,4,FALSE)&amp;"]"))</f>
        <v/>
      </c>
      <c r="O453" s="46" t="str">
        <f t="array" ref="O453">IF('.'!O453="","",'.'!O453&amp;IF(VLOOKUP('.'!O453,Recipes!$A:$D,4,FALSE)="",""," ["&amp;VLOOKUP('.'!O453,Recipes!$A:$D,4,FALSE)&amp;"]"))</f>
        <v/>
      </c>
      <c r="P453" s="46" t="str">
        <f t="array" ref="P453">IF('.'!P453="","",'.'!P453&amp;IF(VLOOKUP('.'!P453,Recipes!$A:$D,4,FALSE)="",""," ["&amp;VLOOKUP('.'!P453,Recipes!$A:$D,4,FALSE)&amp;"]"))</f>
        <v/>
      </c>
      <c r="Q453" s="46" t="str">
        <f t="array" ref="Q453">IF('.'!Q453="","",'.'!Q453&amp;IF(VLOOKUP('.'!Q453,Recipes!$A:$D,4,FALSE)="",""," ["&amp;VLOOKUP('.'!Q453,Recipes!$A:$D,4,FALSE)&amp;"]"))</f>
        <v/>
      </c>
      <c r="R453" s="46" t="str">
        <f t="array" ref="R453">IF('.'!R453="","",'.'!R453&amp;IF(VLOOKUP('.'!R453,Recipes!$A:$D,4,FALSE)="",""," ["&amp;VLOOKUP('.'!R453,Recipes!$A:$D,4,FALSE)&amp;"]"))</f>
        <v/>
      </c>
      <c r="S453" s="46" t="str">
        <f t="array" ref="S453">IF('.'!S453="","",'.'!S453&amp;IF(VLOOKUP('.'!S453,Recipes!$A:$D,4,FALSE)="",""," ["&amp;VLOOKUP('.'!S453,Recipes!$A:$D,4,FALSE)&amp;"]"))</f>
        <v/>
      </c>
      <c r="T453" s="46" t="str">
        <f t="array" ref="T453">IF('.'!T453="","",'.'!T453&amp;IF(VLOOKUP('.'!T453,Recipes!$A:$D,4,FALSE)="",""," ["&amp;VLOOKUP('.'!T453,Recipes!$A:$D,4,FALSE)&amp;"]"))</f>
        <v/>
      </c>
      <c r="U453" s="46" t="str">
        <f t="array" ref="U453">IF('.'!U453="","",'.'!U453&amp;IF(VLOOKUP('.'!U453,Recipes!$A:$D,4,FALSE)="",""," ["&amp;VLOOKUP('.'!U453,Recipes!$A:$D,4,FALSE)&amp;"]"))</f>
        <v/>
      </c>
      <c r="V453" s="46" t="str">
        <f t="array" ref="V453">IF('.'!V453="","",'.'!V453&amp;IF(VLOOKUP('.'!V453,Recipes!$A:$D,4,FALSE)="",""," ["&amp;VLOOKUP('.'!V453,Recipes!$A:$D,4,FALSE)&amp;"]"))</f>
        <v/>
      </c>
      <c r="W453" s="46" t="str">
        <f t="array" ref="W453">IF('.'!W453="","",'.'!W453&amp;IF(VLOOKUP('.'!W453,Recipes!$A:$D,4,FALSE)="",""," ["&amp;VLOOKUP('.'!W453,Recipes!$A:$D,4,FALSE)&amp;"]"))</f>
        <v/>
      </c>
      <c r="X453" s="46" t="str">
        <f t="array" ref="X453">IF('.'!X453="","",'.'!X453&amp;IF(VLOOKUP('.'!X453,Recipes!$A:$D,4,FALSE)="",""," ["&amp;VLOOKUP('.'!X453,Recipes!$A:$D,4,FALSE)&amp;"]"))</f>
        <v/>
      </c>
      <c r="Y453" s="46" t="str">
        <f t="array" ref="Y453">IF('.'!Y453="","",'.'!Y453&amp;IF(VLOOKUP('.'!Y453,Recipes!$A:$D,4,FALSE)="",""," ["&amp;VLOOKUP('.'!Y453,Recipes!$A:$D,4,FALSE)&amp;"]"))</f>
        <v/>
      </c>
      <c r="Z453" s="46" t="str">
        <f t="array" ref="Z453">IF('.'!Z453="","",'.'!Z453&amp;IF(VLOOKUP('.'!Z453,Recipes!$A:$D,4,FALSE)="",""," ["&amp;VLOOKUP('.'!Z453,Recipes!$A:$D,4,FALSE)&amp;"]"))</f>
        <v/>
      </c>
      <c r="AA453" s="46" t="str">
        <f t="array" ref="AA453">IF('.'!AA453="","",'.'!AA453&amp;IF(VLOOKUP('.'!AA453,Recipes!$A:$D,4,FALSE)="",""," ["&amp;VLOOKUP('.'!AA453,Recipes!$A:$D,4,FALSE)&amp;"]"))</f>
        <v/>
      </c>
      <c r="AB453" s="46" t="str">
        <f t="array" ref="AB453">IF('.'!AB453="","",'.'!AB453&amp;IF(VLOOKUP('.'!AB453,Recipes!$A:$D,4,FALSE)="",""," ["&amp;VLOOKUP('.'!AB453,Recipes!$A:$D,4,FALSE)&amp;"]"))</f>
        <v/>
      </c>
      <c r="AC453" s="46" t="str">
        <f t="array" ref="AC453">IF('.'!AC453="","",'.'!AC453&amp;IF(VLOOKUP('.'!AC453,Recipes!$A:$D,4,FALSE)="",""," ["&amp;VLOOKUP('.'!AC453,Recipes!$A:$D,4,FALSE)&amp;"]"))</f>
        <v/>
      </c>
      <c r="AD453" s="46" t="str">
        <f t="array" ref="AD453">IF('.'!AD453="","",'.'!AD453&amp;IF(VLOOKUP('.'!AD453,Recipes!$A:$D,4,FALSE)="",""," ["&amp;VLOOKUP('.'!AD453,Recipes!$A:$D,4,FALSE)&amp;"]"))</f>
        <v/>
      </c>
      <c r="AE453" s="47" t="str">
        <f t="array" ref="AE453">IF('.'!AE453="","",'.'!AE453&amp;IF(VLOOKUP('.'!AE453,Recipes!$A:$D,4,FALSE)="",""," ["&amp;VLOOKUP('.'!AE453,Recipes!$A:$D,4,FALSE)&amp;"]"))</f>
        <v/>
      </c>
      <c r="AF453" s="47"/>
      <c r="AG453" s="47"/>
      <c r="AH453" s="47"/>
      <c r="AI453" s="47"/>
      <c r="AJ453" s="47"/>
      <c r="AK453" s="47"/>
      <c r="AL453" s="47"/>
      <c r="AM453" s="47"/>
      <c r="AN453" s="47"/>
      <c r="AO453" s="47"/>
      <c r="AP453" s="47"/>
      <c r="AQ453" s="47"/>
      <c r="AR453" s="47"/>
      <c r="AS453" s="47"/>
      <c r="AT453" s="47"/>
      <c r="AU453" s="47"/>
      <c r="AV453" s="47"/>
      <c r="AW453" s="47"/>
      <c r="AX453" s="47"/>
      <c r="AY453" s="47"/>
      <c r="AZ453" s="47"/>
      <c r="BA453" s="47"/>
      <c r="BB453" s="47"/>
      <c r="BC453" s="47"/>
      <c r="BD453" s="47"/>
      <c r="BE453" s="47"/>
      <c r="BF453" s="47"/>
      <c r="BG453" s="47"/>
      <c r="BH453" s="47"/>
      <c r="BI453" s="47"/>
      <c r="BJ453" s="47"/>
      <c r="BK453" s="47"/>
      <c r="BL453" s="47"/>
      <c r="BM453" s="47"/>
      <c r="BN453" s="47"/>
      <c r="BO453" s="47"/>
      <c r="BP453" s="47"/>
      <c r="BQ453" s="47"/>
      <c r="BR453" s="47"/>
      <c r="BS453" s="47"/>
      <c r="BT453" s="47"/>
      <c r="BU453" s="47"/>
      <c r="BV453" s="47"/>
      <c r="BW453" s="47"/>
      <c r="BX453" s="47"/>
      <c r="BY453" s="47"/>
      <c r="BZ453" s="47"/>
    </row>
    <row r="454" spans="1:78" ht="13">
      <c r="A454" s="48" t="str">
        <f ca="1">'.'!A454</f>
        <v>Void-Tainted Umber Monkfish</v>
      </c>
      <c r="B454" s="46" t="str">
        <f t="array" aca="1" ref="B454" ca="1">IF('.'!B454="","",'.'!B454&amp;IF(VLOOKUP('.'!B454,Recipes!$A:$D,4,FALSE)="",""," ["&amp;VLOOKUP('.'!B454,Recipes!$A:$D,4,FALSE)&amp;"]"))</f>
        <v>Potent Enlightenment Herbmix [39]</v>
      </c>
      <c r="C454" s="46" t="str">
        <f t="array" ref="C454">IF('.'!C454="","",'.'!C454&amp;IF(VLOOKUP('.'!C454,Recipes!$A:$D,4,FALSE)="",""," ["&amp;VLOOKUP('.'!C454,Recipes!$A:$D,4,FALSE)&amp;"]"))</f>
        <v/>
      </c>
      <c r="D454" s="46" t="str">
        <f t="array" ref="D454">IF('.'!D454="","",'.'!D454&amp;IF(VLOOKUP('.'!D454,Recipes!$A:$D,4,FALSE)="",""," ["&amp;VLOOKUP('.'!D454,Recipes!$A:$D,4,FALSE)&amp;"]"))</f>
        <v/>
      </c>
      <c r="E454" s="46" t="str">
        <f t="array" ref="E454">IF('.'!E454="","",'.'!E454&amp;IF(VLOOKUP('.'!E454,Recipes!$A:$D,4,FALSE)="",""," ["&amp;VLOOKUP('.'!E454,Recipes!$A:$D,4,FALSE)&amp;"]"))</f>
        <v/>
      </c>
      <c r="F454" s="46" t="str">
        <f t="array" ref="F454">IF('.'!F454="","",'.'!F454&amp;IF(VLOOKUP('.'!F454,Recipes!$A:$D,4,FALSE)="",""," ["&amp;VLOOKUP('.'!F454,Recipes!$A:$D,4,FALSE)&amp;"]"))</f>
        <v/>
      </c>
      <c r="G454" s="46" t="str">
        <f t="array" ref="G454">IF('.'!G454="","",'.'!G454&amp;IF(VLOOKUP('.'!G454,Recipes!$A:$D,4,FALSE)="",""," ["&amp;VLOOKUP('.'!G454,Recipes!$A:$D,4,FALSE)&amp;"]"))</f>
        <v/>
      </c>
      <c r="H454" s="46" t="str">
        <f t="array" ref="H454">IF('.'!H454="","",'.'!H454&amp;IF(VLOOKUP('.'!H454,Recipes!$A:$D,4,FALSE)="",""," ["&amp;VLOOKUP('.'!H454,Recipes!$A:$D,4,FALSE)&amp;"]"))</f>
        <v/>
      </c>
      <c r="I454" s="46" t="str">
        <f t="array" ref="I454">IF('.'!I454="","",'.'!I454&amp;IF(VLOOKUP('.'!I454,Recipes!$A:$D,4,FALSE)="",""," ["&amp;VLOOKUP('.'!I454,Recipes!$A:$D,4,FALSE)&amp;"]"))</f>
        <v/>
      </c>
      <c r="J454" s="46" t="str">
        <f t="array" ref="J454">IF('.'!J454="","",'.'!J454&amp;IF(VLOOKUP('.'!J454,Recipes!$A:$D,4,FALSE)="",""," ["&amp;VLOOKUP('.'!J454,Recipes!$A:$D,4,FALSE)&amp;"]"))</f>
        <v/>
      </c>
      <c r="K454" s="46" t="str">
        <f t="array" ref="K454">IF('.'!K454="","",'.'!K454&amp;IF(VLOOKUP('.'!K454,Recipes!$A:$D,4,FALSE)="",""," ["&amp;VLOOKUP('.'!K454,Recipes!$A:$D,4,FALSE)&amp;"]"))</f>
        <v/>
      </c>
      <c r="L454" s="46" t="str">
        <f t="array" ref="L454">IF('.'!L454="","",'.'!L454&amp;IF(VLOOKUP('.'!L454,Recipes!$A:$D,4,FALSE)="",""," ["&amp;VLOOKUP('.'!L454,Recipes!$A:$D,4,FALSE)&amp;"]"))</f>
        <v/>
      </c>
      <c r="M454" s="46" t="str">
        <f t="array" ref="M454">IF('.'!M454="","",'.'!M454&amp;IF(VLOOKUP('.'!M454,Recipes!$A:$D,4,FALSE)="",""," ["&amp;VLOOKUP('.'!M454,Recipes!$A:$D,4,FALSE)&amp;"]"))</f>
        <v/>
      </c>
      <c r="N454" s="46" t="str">
        <f t="array" ref="N454">IF('.'!N454="","",'.'!N454&amp;IF(VLOOKUP('.'!N454,Recipes!$A:$D,4,FALSE)="",""," ["&amp;VLOOKUP('.'!N454,Recipes!$A:$D,4,FALSE)&amp;"]"))</f>
        <v/>
      </c>
      <c r="O454" s="46" t="str">
        <f t="array" ref="O454">IF('.'!O454="","",'.'!O454&amp;IF(VLOOKUP('.'!O454,Recipes!$A:$D,4,FALSE)="",""," ["&amp;VLOOKUP('.'!O454,Recipes!$A:$D,4,FALSE)&amp;"]"))</f>
        <v/>
      </c>
      <c r="P454" s="46" t="str">
        <f t="array" ref="P454">IF('.'!P454="","",'.'!P454&amp;IF(VLOOKUP('.'!P454,Recipes!$A:$D,4,FALSE)="",""," ["&amp;VLOOKUP('.'!P454,Recipes!$A:$D,4,FALSE)&amp;"]"))</f>
        <v/>
      </c>
      <c r="Q454" s="46" t="str">
        <f t="array" ref="Q454">IF('.'!Q454="","",'.'!Q454&amp;IF(VLOOKUP('.'!Q454,Recipes!$A:$D,4,FALSE)="",""," ["&amp;VLOOKUP('.'!Q454,Recipes!$A:$D,4,FALSE)&amp;"]"))</f>
        <v/>
      </c>
      <c r="R454" s="46" t="str">
        <f t="array" ref="R454">IF('.'!R454="","",'.'!R454&amp;IF(VLOOKUP('.'!R454,Recipes!$A:$D,4,FALSE)="",""," ["&amp;VLOOKUP('.'!R454,Recipes!$A:$D,4,FALSE)&amp;"]"))</f>
        <v/>
      </c>
      <c r="S454" s="46" t="str">
        <f t="array" ref="S454">IF('.'!S454="","",'.'!S454&amp;IF(VLOOKUP('.'!S454,Recipes!$A:$D,4,FALSE)="",""," ["&amp;VLOOKUP('.'!S454,Recipes!$A:$D,4,FALSE)&amp;"]"))</f>
        <v/>
      </c>
      <c r="T454" s="46" t="str">
        <f t="array" ref="T454">IF('.'!T454="","",'.'!T454&amp;IF(VLOOKUP('.'!T454,Recipes!$A:$D,4,FALSE)="",""," ["&amp;VLOOKUP('.'!T454,Recipes!$A:$D,4,FALSE)&amp;"]"))</f>
        <v/>
      </c>
      <c r="U454" s="46" t="str">
        <f t="array" ref="U454">IF('.'!U454="","",'.'!U454&amp;IF(VLOOKUP('.'!U454,Recipes!$A:$D,4,FALSE)="",""," ["&amp;VLOOKUP('.'!U454,Recipes!$A:$D,4,FALSE)&amp;"]"))</f>
        <v/>
      </c>
      <c r="V454" s="46" t="str">
        <f t="array" ref="V454">IF('.'!V454="","",'.'!V454&amp;IF(VLOOKUP('.'!V454,Recipes!$A:$D,4,FALSE)="",""," ["&amp;VLOOKUP('.'!V454,Recipes!$A:$D,4,FALSE)&amp;"]"))</f>
        <v/>
      </c>
      <c r="W454" s="46" t="str">
        <f t="array" ref="W454">IF('.'!W454="","",'.'!W454&amp;IF(VLOOKUP('.'!W454,Recipes!$A:$D,4,FALSE)="",""," ["&amp;VLOOKUP('.'!W454,Recipes!$A:$D,4,FALSE)&amp;"]"))</f>
        <v/>
      </c>
      <c r="X454" s="46" t="str">
        <f t="array" ref="X454">IF('.'!X454="","",'.'!X454&amp;IF(VLOOKUP('.'!X454,Recipes!$A:$D,4,FALSE)="",""," ["&amp;VLOOKUP('.'!X454,Recipes!$A:$D,4,FALSE)&amp;"]"))</f>
        <v/>
      </c>
      <c r="Y454" s="46" t="str">
        <f t="array" ref="Y454">IF('.'!Y454="","",'.'!Y454&amp;IF(VLOOKUP('.'!Y454,Recipes!$A:$D,4,FALSE)="",""," ["&amp;VLOOKUP('.'!Y454,Recipes!$A:$D,4,FALSE)&amp;"]"))</f>
        <v/>
      </c>
      <c r="Z454" s="46" t="str">
        <f t="array" ref="Z454">IF('.'!Z454="","",'.'!Z454&amp;IF(VLOOKUP('.'!Z454,Recipes!$A:$D,4,FALSE)="",""," ["&amp;VLOOKUP('.'!Z454,Recipes!$A:$D,4,FALSE)&amp;"]"))</f>
        <v/>
      </c>
      <c r="AA454" s="46" t="str">
        <f t="array" ref="AA454">IF('.'!AA454="","",'.'!AA454&amp;IF(VLOOKUP('.'!AA454,Recipes!$A:$D,4,FALSE)="",""," ["&amp;VLOOKUP('.'!AA454,Recipes!$A:$D,4,FALSE)&amp;"]"))</f>
        <v/>
      </c>
      <c r="AB454" s="46" t="str">
        <f t="array" ref="AB454">IF('.'!AB454="","",'.'!AB454&amp;IF(VLOOKUP('.'!AB454,Recipes!$A:$D,4,FALSE)="",""," ["&amp;VLOOKUP('.'!AB454,Recipes!$A:$D,4,FALSE)&amp;"]"))</f>
        <v/>
      </c>
      <c r="AC454" s="46" t="str">
        <f t="array" ref="AC454">IF('.'!AC454="","",'.'!AC454&amp;IF(VLOOKUP('.'!AC454,Recipes!$A:$D,4,FALSE)="",""," ["&amp;VLOOKUP('.'!AC454,Recipes!$A:$D,4,FALSE)&amp;"]"))</f>
        <v/>
      </c>
      <c r="AD454" s="46" t="str">
        <f t="array" ref="AD454">IF('.'!AD454="","",'.'!AD454&amp;IF(VLOOKUP('.'!AD454,Recipes!$A:$D,4,FALSE)="",""," ["&amp;VLOOKUP('.'!AD454,Recipes!$A:$D,4,FALSE)&amp;"]"))</f>
        <v/>
      </c>
      <c r="AE454" s="47" t="str">
        <f t="array" ref="AE454">IF('.'!AE454="","",'.'!AE454&amp;IF(VLOOKUP('.'!AE454,Recipes!$A:$D,4,FALSE)="",""," ["&amp;VLOOKUP('.'!AE454,Recipes!$A:$D,4,FALSE)&amp;"]"))</f>
        <v/>
      </c>
      <c r="AF454" s="47"/>
      <c r="AG454" s="47"/>
      <c r="AH454" s="47"/>
      <c r="AI454" s="47"/>
      <c r="AJ454" s="47"/>
      <c r="AK454" s="47"/>
      <c r="AL454" s="47"/>
      <c r="AM454" s="47"/>
      <c r="AN454" s="47"/>
      <c r="AO454" s="47"/>
      <c r="AP454" s="47"/>
      <c r="AQ454" s="47"/>
      <c r="AR454" s="47"/>
      <c r="AS454" s="47"/>
      <c r="AT454" s="47"/>
      <c r="AU454" s="47"/>
      <c r="AV454" s="47"/>
      <c r="AW454" s="47"/>
      <c r="AX454" s="47"/>
      <c r="AY454" s="47"/>
      <c r="AZ454" s="47"/>
      <c r="BA454" s="47"/>
      <c r="BB454" s="47"/>
      <c r="BC454" s="47"/>
      <c r="BD454" s="47"/>
      <c r="BE454" s="47"/>
      <c r="BF454" s="47"/>
      <c r="BG454" s="47"/>
      <c r="BH454" s="47"/>
      <c r="BI454" s="47"/>
      <c r="BJ454" s="47"/>
      <c r="BK454" s="47"/>
      <c r="BL454" s="47"/>
      <c r="BM454" s="47"/>
      <c r="BN454" s="47"/>
      <c r="BO454" s="47"/>
      <c r="BP454" s="47"/>
      <c r="BQ454" s="47"/>
      <c r="BR454" s="47"/>
      <c r="BS454" s="47"/>
      <c r="BT454" s="47"/>
      <c r="BU454" s="47"/>
      <c r="BV454" s="47"/>
      <c r="BW454" s="47"/>
      <c r="BX454" s="47"/>
      <c r="BY454" s="47"/>
      <c r="BZ454" s="47"/>
    </row>
    <row r="455" spans="1:78" ht="13">
      <c r="A455" s="48" t="str">
        <f ca="1">'.'!A455</f>
        <v>Void-Tainted Yellow Ridgeback</v>
      </c>
      <c r="B455" s="46" t="str">
        <f t="array" aca="1" ref="B455" ca="1">IF('.'!B455="","",'.'!B455&amp;IF(VLOOKUP('.'!B455,Recipes!$A:$D,4,FALSE)="",""," ["&amp;VLOOKUP('.'!B455,Recipes!$A:$D,4,FALSE)&amp;"]"))</f>
        <v>Potent Alertness Herbmix [39]</v>
      </c>
      <c r="C455" s="46" t="str">
        <f t="array" ref="C455">IF('.'!C455="","",'.'!C455&amp;IF(VLOOKUP('.'!C455,Recipes!$A:$D,4,FALSE)="",""," ["&amp;VLOOKUP('.'!C455,Recipes!$A:$D,4,FALSE)&amp;"]"))</f>
        <v/>
      </c>
      <c r="D455" s="46" t="str">
        <f t="array" ref="D455">IF('.'!D455="","",'.'!D455&amp;IF(VLOOKUP('.'!D455,Recipes!$A:$D,4,FALSE)="",""," ["&amp;VLOOKUP('.'!D455,Recipes!$A:$D,4,FALSE)&amp;"]"))</f>
        <v/>
      </c>
      <c r="E455" s="46" t="str">
        <f t="array" ref="E455">IF('.'!E455="","",'.'!E455&amp;IF(VLOOKUP('.'!E455,Recipes!$A:$D,4,FALSE)="",""," ["&amp;VLOOKUP('.'!E455,Recipes!$A:$D,4,FALSE)&amp;"]"))</f>
        <v/>
      </c>
      <c r="F455" s="46" t="str">
        <f t="array" ref="F455">IF('.'!F455="","",'.'!F455&amp;IF(VLOOKUP('.'!F455,Recipes!$A:$D,4,FALSE)="",""," ["&amp;VLOOKUP('.'!F455,Recipes!$A:$D,4,FALSE)&amp;"]"))</f>
        <v/>
      </c>
      <c r="G455" s="46" t="str">
        <f t="array" ref="G455">IF('.'!G455="","",'.'!G455&amp;IF(VLOOKUP('.'!G455,Recipes!$A:$D,4,FALSE)="",""," ["&amp;VLOOKUP('.'!G455,Recipes!$A:$D,4,FALSE)&amp;"]"))</f>
        <v/>
      </c>
      <c r="H455" s="46" t="str">
        <f t="array" ref="H455">IF('.'!H455="","",'.'!H455&amp;IF(VLOOKUP('.'!H455,Recipes!$A:$D,4,FALSE)="",""," ["&amp;VLOOKUP('.'!H455,Recipes!$A:$D,4,FALSE)&amp;"]"))</f>
        <v/>
      </c>
      <c r="I455" s="46" t="str">
        <f t="array" ref="I455">IF('.'!I455="","",'.'!I455&amp;IF(VLOOKUP('.'!I455,Recipes!$A:$D,4,FALSE)="",""," ["&amp;VLOOKUP('.'!I455,Recipes!$A:$D,4,FALSE)&amp;"]"))</f>
        <v/>
      </c>
      <c r="J455" s="46" t="str">
        <f t="array" ref="J455">IF('.'!J455="","",'.'!J455&amp;IF(VLOOKUP('.'!J455,Recipes!$A:$D,4,FALSE)="",""," ["&amp;VLOOKUP('.'!J455,Recipes!$A:$D,4,FALSE)&amp;"]"))</f>
        <v/>
      </c>
      <c r="K455" s="46" t="str">
        <f t="array" ref="K455">IF('.'!K455="","",'.'!K455&amp;IF(VLOOKUP('.'!K455,Recipes!$A:$D,4,FALSE)="",""," ["&amp;VLOOKUP('.'!K455,Recipes!$A:$D,4,FALSE)&amp;"]"))</f>
        <v/>
      </c>
      <c r="L455" s="46" t="str">
        <f t="array" ref="L455">IF('.'!L455="","",'.'!L455&amp;IF(VLOOKUP('.'!L455,Recipes!$A:$D,4,FALSE)="",""," ["&amp;VLOOKUP('.'!L455,Recipes!$A:$D,4,FALSE)&amp;"]"))</f>
        <v/>
      </c>
      <c r="M455" s="46" t="str">
        <f t="array" ref="M455">IF('.'!M455="","",'.'!M455&amp;IF(VLOOKUP('.'!M455,Recipes!$A:$D,4,FALSE)="",""," ["&amp;VLOOKUP('.'!M455,Recipes!$A:$D,4,FALSE)&amp;"]"))</f>
        <v/>
      </c>
      <c r="N455" s="46" t="str">
        <f t="array" ref="N455">IF('.'!N455="","",'.'!N455&amp;IF(VLOOKUP('.'!N455,Recipes!$A:$D,4,FALSE)="",""," ["&amp;VLOOKUP('.'!N455,Recipes!$A:$D,4,FALSE)&amp;"]"))</f>
        <v/>
      </c>
      <c r="O455" s="46" t="str">
        <f t="array" ref="O455">IF('.'!O455="","",'.'!O455&amp;IF(VLOOKUP('.'!O455,Recipes!$A:$D,4,FALSE)="",""," ["&amp;VLOOKUP('.'!O455,Recipes!$A:$D,4,FALSE)&amp;"]"))</f>
        <v/>
      </c>
      <c r="P455" s="46" t="str">
        <f t="array" ref="P455">IF('.'!P455="","",'.'!P455&amp;IF(VLOOKUP('.'!P455,Recipes!$A:$D,4,FALSE)="",""," ["&amp;VLOOKUP('.'!P455,Recipes!$A:$D,4,FALSE)&amp;"]"))</f>
        <v/>
      </c>
      <c r="Q455" s="46" t="str">
        <f t="array" ref="Q455">IF('.'!Q455="","",'.'!Q455&amp;IF(VLOOKUP('.'!Q455,Recipes!$A:$D,4,FALSE)="",""," ["&amp;VLOOKUP('.'!Q455,Recipes!$A:$D,4,FALSE)&amp;"]"))</f>
        <v/>
      </c>
      <c r="R455" s="46" t="str">
        <f t="array" ref="R455">IF('.'!R455="","",'.'!R455&amp;IF(VLOOKUP('.'!R455,Recipes!$A:$D,4,FALSE)="",""," ["&amp;VLOOKUP('.'!R455,Recipes!$A:$D,4,FALSE)&amp;"]"))</f>
        <v/>
      </c>
      <c r="S455" s="46" t="str">
        <f t="array" ref="S455">IF('.'!S455="","",'.'!S455&amp;IF(VLOOKUP('.'!S455,Recipes!$A:$D,4,FALSE)="",""," ["&amp;VLOOKUP('.'!S455,Recipes!$A:$D,4,FALSE)&amp;"]"))</f>
        <v/>
      </c>
      <c r="T455" s="46" t="str">
        <f t="array" ref="T455">IF('.'!T455="","",'.'!T455&amp;IF(VLOOKUP('.'!T455,Recipes!$A:$D,4,FALSE)="",""," ["&amp;VLOOKUP('.'!T455,Recipes!$A:$D,4,FALSE)&amp;"]"))</f>
        <v/>
      </c>
      <c r="U455" s="46" t="str">
        <f t="array" ref="U455">IF('.'!U455="","",'.'!U455&amp;IF(VLOOKUP('.'!U455,Recipes!$A:$D,4,FALSE)="",""," ["&amp;VLOOKUP('.'!U455,Recipes!$A:$D,4,FALSE)&amp;"]"))</f>
        <v/>
      </c>
      <c r="V455" s="46" t="str">
        <f t="array" ref="V455">IF('.'!V455="","",'.'!V455&amp;IF(VLOOKUP('.'!V455,Recipes!$A:$D,4,FALSE)="",""," ["&amp;VLOOKUP('.'!V455,Recipes!$A:$D,4,FALSE)&amp;"]"))</f>
        <v/>
      </c>
      <c r="W455" s="46" t="str">
        <f t="array" ref="W455">IF('.'!W455="","",'.'!W455&amp;IF(VLOOKUP('.'!W455,Recipes!$A:$D,4,FALSE)="",""," ["&amp;VLOOKUP('.'!W455,Recipes!$A:$D,4,FALSE)&amp;"]"))</f>
        <v/>
      </c>
      <c r="X455" s="46" t="str">
        <f t="array" ref="X455">IF('.'!X455="","",'.'!X455&amp;IF(VLOOKUP('.'!X455,Recipes!$A:$D,4,FALSE)="",""," ["&amp;VLOOKUP('.'!X455,Recipes!$A:$D,4,FALSE)&amp;"]"))</f>
        <v/>
      </c>
      <c r="Y455" s="46" t="str">
        <f t="array" ref="Y455">IF('.'!Y455="","",'.'!Y455&amp;IF(VLOOKUP('.'!Y455,Recipes!$A:$D,4,FALSE)="",""," ["&amp;VLOOKUP('.'!Y455,Recipes!$A:$D,4,FALSE)&amp;"]"))</f>
        <v/>
      </c>
      <c r="Z455" s="46" t="str">
        <f t="array" ref="Z455">IF('.'!Z455="","",'.'!Z455&amp;IF(VLOOKUP('.'!Z455,Recipes!$A:$D,4,FALSE)="",""," ["&amp;VLOOKUP('.'!Z455,Recipes!$A:$D,4,FALSE)&amp;"]"))</f>
        <v/>
      </c>
      <c r="AA455" s="46" t="str">
        <f t="array" ref="AA455">IF('.'!AA455="","",'.'!AA455&amp;IF(VLOOKUP('.'!AA455,Recipes!$A:$D,4,FALSE)="",""," ["&amp;VLOOKUP('.'!AA455,Recipes!$A:$D,4,FALSE)&amp;"]"))</f>
        <v/>
      </c>
      <c r="AB455" s="46" t="str">
        <f t="array" ref="AB455">IF('.'!AB455="","",'.'!AB455&amp;IF(VLOOKUP('.'!AB455,Recipes!$A:$D,4,FALSE)="",""," ["&amp;VLOOKUP('.'!AB455,Recipes!$A:$D,4,FALSE)&amp;"]"))</f>
        <v/>
      </c>
      <c r="AC455" s="46" t="str">
        <f t="array" ref="AC455">IF('.'!AC455="","",'.'!AC455&amp;IF(VLOOKUP('.'!AC455,Recipes!$A:$D,4,FALSE)="",""," ["&amp;VLOOKUP('.'!AC455,Recipes!$A:$D,4,FALSE)&amp;"]"))</f>
        <v/>
      </c>
      <c r="AD455" s="46" t="str">
        <f t="array" ref="AD455">IF('.'!AD455="","",'.'!AD455&amp;IF(VLOOKUP('.'!AD455,Recipes!$A:$D,4,FALSE)="",""," ["&amp;VLOOKUP('.'!AD455,Recipes!$A:$D,4,FALSE)&amp;"]"))</f>
        <v/>
      </c>
      <c r="AE455" s="47" t="str">
        <f t="array" ref="AE455">IF('.'!AE455="","",'.'!AE455&amp;IF(VLOOKUP('.'!AE455,Recipes!$A:$D,4,FALSE)="",""," ["&amp;VLOOKUP('.'!AE455,Recipes!$A:$D,4,FALSE)&amp;"]"))</f>
        <v/>
      </c>
      <c r="AF455" s="47"/>
      <c r="AG455" s="47"/>
      <c r="AH455" s="47"/>
      <c r="AI455" s="47"/>
      <c r="AJ455" s="47"/>
      <c r="AK455" s="47"/>
      <c r="AL455" s="47"/>
      <c r="AM455" s="47"/>
      <c r="AN455" s="47"/>
      <c r="AO455" s="47"/>
      <c r="AP455" s="47"/>
      <c r="AQ455" s="47"/>
      <c r="AR455" s="47"/>
      <c r="AS455" s="47"/>
      <c r="AT455" s="47"/>
      <c r="AU455" s="47"/>
      <c r="AV455" s="47"/>
      <c r="AW455" s="47"/>
      <c r="AX455" s="47"/>
      <c r="AY455" s="47"/>
      <c r="AZ455" s="47"/>
      <c r="BA455" s="47"/>
      <c r="BB455" s="47"/>
      <c r="BC455" s="47"/>
      <c r="BD455" s="47"/>
      <c r="BE455" s="47"/>
      <c r="BF455" s="47"/>
      <c r="BG455" s="47"/>
      <c r="BH455" s="47"/>
      <c r="BI455" s="47"/>
      <c r="BJ455" s="47"/>
      <c r="BK455" s="47"/>
      <c r="BL455" s="47"/>
      <c r="BM455" s="47"/>
      <c r="BN455" s="47"/>
      <c r="BO455" s="47"/>
      <c r="BP455" s="47"/>
      <c r="BQ455" s="47"/>
      <c r="BR455" s="47"/>
      <c r="BS455" s="47"/>
      <c r="BT455" s="47"/>
      <c r="BU455" s="47"/>
      <c r="BV455" s="47"/>
      <c r="BW455" s="47"/>
      <c r="BX455" s="47"/>
      <c r="BY455" s="47"/>
      <c r="BZ455" s="47"/>
    </row>
    <row r="456" spans="1:78" ht="13">
      <c r="A456" s="48" t="str">
        <f ca="1">'.'!A456</f>
        <v>Void-Touched Livewood Fragments</v>
      </c>
      <c r="B456" s="46" t="str">
        <f t="array" aca="1" ref="B456" ca="1">IF('.'!B456="","",'.'!B456&amp;IF(VLOOKUP('.'!B456,Recipes!$A:$D,4,FALSE)="",""," ["&amp;VLOOKUP('.'!B456,Recipes!$A:$D,4,FALSE)&amp;"]"))</f>
        <v>Void-Enhanced Poison [155]</v>
      </c>
      <c r="C456" s="46" t="str">
        <f t="array" ref="C456">IF('.'!C456="","",'.'!C456&amp;IF(VLOOKUP('.'!C456,Recipes!$A:$D,4,FALSE)="",""," ["&amp;VLOOKUP('.'!C456,Recipes!$A:$D,4,FALSE)&amp;"]"))</f>
        <v/>
      </c>
      <c r="D456" s="46" t="str">
        <f t="array" ref="D456">IF('.'!D456="","",'.'!D456&amp;IF(VLOOKUP('.'!D456,Recipes!$A:$D,4,FALSE)="",""," ["&amp;VLOOKUP('.'!D456,Recipes!$A:$D,4,FALSE)&amp;"]"))</f>
        <v/>
      </c>
      <c r="E456" s="46" t="str">
        <f t="array" ref="E456">IF('.'!E456="","",'.'!E456&amp;IF(VLOOKUP('.'!E456,Recipes!$A:$D,4,FALSE)="",""," ["&amp;VLOOKUP('.'!E456,Recipes!$A:$D,4,FALSE)&amp;"]"))</f>
        <v/>
      </c>
      <c r="F456" s="46" t="str">
        <f t="array" ref="F456">IF('.'!F456="","",'.'!F456&amp;IF(VLOOKUP('.'!F456,Recipes!$A:$D,4,FALSE)="",""," ["&amp;VLOOKUP('.'!F456,Recipes!$A:$D,4,FALSE)&amp;"]"))</f>
        <v/>
      </c>
      <c r="G456" s="46" t="str">
        <f t="array" ref="G456">IF('.'!G456="","",'.'!G456&amp;IF(VLOOKUP('.'!G456,Recipes!$A:$D,4,FALSE)="",""," ["&amp;VLOOKUP('.'!G456,Recipes!$A:$D,4,FALSE)&amp;"]"))</f>
        <v/>
      </c>
      <c r="H456" s="46" t="str">
        <f t="array" ref="H456">IF('.'!H456="","",'.'!H456&amp;IF(VLOOKUP('.'!H456,Recipes!$A:$D,4,FALSE)="",""," ["&amp;VLOOKUP('.'!H456,Recipes!$A:$D,4,FALSE)&amp;"]"))</f>
        <v/>
      </c>
      <c r="I456" s="46" t="str">
        <f t="array" ref="I456">IF('.'!I456="","",'.'!I456&amp;IF(VLOOKUP('.'!I456,Recipes!$A:$D,4,FALSE)="",""," ["&amp;VLOOKUP('.'!I456,Recipes!$A:$D,4,FALSE)&amp;"]"))</f>
        <v/>
      </c>
      <c r="J456" s="46" t="str">
        <f t="array" ref="J456">IF('.'!J456="","",'.'!J456&amp;IF(VLOOKUP('.'!J456,Recipes!$A:$D,4,FALSE)="",""," ["&amp;VLOOKUP('.'!J456,Recipes!$A:$D,4,FALSE)&amp;"]"))</f>
        <v/>
      </c>
      <c r="K456" s="46" t="str">
        <f t="array" ref="K456">IF('.'!K456="","",'.'!K456&amp;IF(VLOOKUP('.'!K456,Recipes!$A:$D,4,FALSE)="",""," ["&amp;VLOOKUP('.'!K456,Recipes!$A:$D,4,FALSE)&amp;"]"))</f>
        <v/>
      </c>
      <c r="L456" s="46" t="str">
        <f t="array" ref="L456">IF('.'!L456="","",'.'!L456&amp;IF(VLOOKUP('.'!L456,Recipes!$A:$D,4,FALSE)="",""," ["&amp;VLOOKUP('.'!L456,Recipes!$A:$D,4,FALSE)&amp;"]"))</f>
        <v/>
      </c>
      <c r="M456" s="46" t="str">
        <f t="array" ref="M456">IF('.'!M456="","",'.'!M456&amp;IF(VLOOKUP('.'!M456,Recipes!$A:$D,4,FALSE)="",""," ["&amp;VLOOKUP('.'!M456,Recipes!$A:$D,4,FALSE)&amp;"]"))</f>
        <v/>
      </c>
      <c r="N456" s="46" t="str">
        <f t="array" ref="N456">IF('.'!N456="","",'.'!N456&amp;IF(VLOOKUP('.'!N456,Recipes!$A:$D,4,FALSE)="",""," ["&amp;VLOOKUP('.'!N456,Recipes!$A:$D,4,FALSE)&amp;"]"))</f>
        <v/>
      </c>
      <c r="O456" s="46" t="str">
        <f t="array" ref="O456">IF('.'!O456="","",'.'!O456&amp;IF(VLOOKUP('.'!O456,Recipes!$A:$D,4,FALSE)="",""," ["&amp;VLOOKUP('.'!O456,Recipes!$A:$D,4,FALSE)&amp;"]"))</f>
        <v/>
      </c>
      <c r="P456" s="46" t="str">
        <f t="array" ref="P456">IF('.'!P456="","",'.'!P456&amp;IF(VLOOKUP('.'!P456,Recipes!$A:$D,4,FALSE)="",""," ["&amp;VLOOKUP('.'!P456,Recipes!$A:$D,4,FALSE)&amp;"]"))</f>
        <v/>
      </c>
      <c r="Q456" s="46" t="str">
        <f t="array" ref="Q456">IF('.'!Q456="","",'.'!Q456&amp;IF(VLOOKUP('.'!Q456,Recipes!$A:$D,4,FALSE)="",""," ["&amp;VLOOKUP('.'!Q456,Recipes!$A:$D,4,FALSE)&amp;"]"))</f>
        <v/>
      </c>
      <c r="R456" s="46" t="str">
        <f t="array" ref="R456">IF('.'!R456="","",'.'!R456&amp;IF(VLOOKUP('.'!R456,Recipes!$A:$D,4,FALSE)="",""," ["&amp;VLOOKUP('.'!R456,Recipes!$A:$D,4,FALSE)&amp;"]"))</f>
        <v/>
      </c>
      <c r="S456" s="46" t="str">
        <f t="array" ref="S456">IF('.'!S456="","",'.'!S456&amp;IF(VLOOKUP('.'!S456,Recipes!$A:$D,4,FALSE)="",""," ["&amp;VLOOKUP('.'!S456,Recipes!$A:$D,4,FALSE)&amp;"]"))</f>
        <v/>
      </c>
      <c r="T456" s="46" t="str">
        <f t="array" ref="T456">IF('.'!T456="","",'.'!T456&amp;IF(VLOOKUP('.'!T456,Recipes!$A:$D,4,FALSE)="",""," ["&amp;VLOOKUP('.'!T456,Recipes!$A:$D,4,FALSE)&amp;"]"))</f>
        <v/>
      </c>
      <c r="U456" s="46" t="str">
        <f t="array" ref="U456">IF('.'!U456="","",'.'!U456&amp;IF(VLOOKUP('.'!U456,Recipes!$A:$D,4,FALSE)="",""," ["&amp;VLOOKUP('.'!U456,Recipes!$A:$D,4,FALSE)&amp;"]"))</f>
        <v/>
      </c>
      <c r="V456" s="46" t="str">
        <f t="array" ref="V456">IF('.'!V456="","",'.'!V456&amp;IF(VLOOKUP('.'!V456,Recipes!$A:$D,4,FALSE)="",""," ["&amp;VLOOKUP('.'!V456,Recipes!$A:$D,4,FALSE)&amp;"]"))</f>
        <v/>
      </c>
      <c r="W456" s="46" t="str">
        <f t="array" ref="W456">IF('.'!W456="","",'.'!W456&amp;IF(VLOOKUP('.'!W456,Recipes!$A:$D,4,FALSE)="",""," ["&amp;VLOOKUP('.'!W456,Recipes!$A:$D,4,FALSE)&amp;"]"))</f>
        <v/>
      </c>
      <c r="X456" s="46" t="str">
        <f t="array" ref="X456">IF('.'!X456="","",'.'!X456&amp;IF(VLOOKUP('.'!X456,Recipes!$A:$D,4,FALSE)="",""," ["&amp;VLOOKUP('.'!X456,Recipes!$A:$D,4,FALSE)&amp;"]"))</f>
        <v/>
      </c>
      <c r="Y456" s="46" t="str">
        <f t="array" ref="Y456">IF('.'!Y456="","",'.'!Y456&amp;IF(VLOOKUP('.'!Y456,Recipes!$A:$D,4,FALSE)="",""," ["&amp;VLOOKUP('.'!Y456,Recipes!$A:$D,4,FALSE)&amp;"]"))</f>
        <v/>
      </c>
      <c r="Z456" s="46" t="str">
        <f t="array" ref="Z456">IF('.'!Z456="","",'.'!Z456&amp;IF(VLOOKUP('.'!Z456,Recipes!$A:$D,4,FALSE)="",""," ["&amp;VLOOKUP('.'!Z456,Recipes!$A:$D,4,FALSE)&amp;"]"))</f>
        <v/>
      </c>
      <c r="AA456" s="46" t="str">
        <f t="array" ref="AA456">IF('.'!AA456="","",'.'!AA456&amp;IF(VLOOKUP('.'!AA456,Recipes!$A:$D,4,FALSE)="",""," ["&amp;VLOOKUP('.'!AA456,Recipes!$A:$D,4,FALSE)&amp;"]"))</f>
        <v/>
      </c>
      <c r="AB456" s="46" t="str">
        <f t="array" ref="AB456">IF('.'!AB456="","",'.'!AB456&amp;IF(VLOOKUP('.'!AB456,Recipes!$A:$D,4,FALSE)="",""," ["&amp;VLOOKUP('.'!AB456,Recipes!$A:$D,4,FALSE)&amp;"]"))</f>
        <v/>
      </c>
      <c r="AC456" s="46" t="str">
        <f t="array" ref="AC456">IF('.'!AC456="","",'.'!AC456&amp;IF(VLOOKUP('.'!AC456,Recipes!$A:$D,4,FALSE)="",""," ["&amp;VLOOKUP('.'!AC456,Recipes!$A:$D,4,FALSE)&amp;"]"))</f>
        <v/>
      </c>
      <c r="AD456" s="46" t="str">
        <f t="array" ref="AD456">IF('.'!AD456="","",'.'!AD456&amp;IF(VLOOKUP('.'!AD456,Recipes!$A:$D,4,FALSE)="",""," ["&amp;VLOOKUP('.'!AD456,Recipes!$A:$D,4,FALSE)&amp;"]"))</f>
        <v/>
      </c>
      <c r="AE456" s="47" t="str">
        <f t="array" ref="AE456">IF('.'!AE456="","",'.'!AE456&amp;IF(VLOOKUP('.'!AE456,Recipes!$A:$D,4,FALSE)="",""," ["&amp;VLOOKUP('.'!AE456,Recipes!$A:$D,4,FALSE)&amp;"]"))</f>
        <v/>
      </c>
      <c r="AF456" s="47"/>
      <c r="AG456" s="47"/>
      <c r="AH456" s="47"/>
      <c r="AI456" s="47"/>
      <c r="AJ456" s="47"/>
      <c r="AK456" s="47"/>
      <c r="AL456" s="47"/>
      <c r="AM456" s="47"/>
      <c r="AN456" s="47"/>
      <c r="AO456" s="47"/>
      <c r="AP456" s="47"/>
      <c r="AQ456" s="47"/>
      <c r="AR456" s="47"/>
      <c r="AS456" s="47"/>
      <c r="AT456" s="47"/>
      <c r="AU456" s="47"/>
      <c r="AV456" s="47"/>
      <c r="AW456" s="47"/>
      <c r="AX456" s="47"/>
      <c r="AY456" s="47"/>
      <c r="AZ456" s="47"/>
      <c r="BA456" s="47"/>
      <c r="BB456" s="47"/>
      <c r="BC456" s="47"/>
      <c r="BD456" s="47"/>
      <c r="BE456" s="47"/>
      <c r="BF456" s="47"/>
      <c r="BG456" s="47"/>
      <c r="BH456" s="47"/>
      <c r="BI456" s="47"/>
      <c r="BJ456" s="47"/>
      <c r="BK456" s="47"/>
      <c r="BL456" s="47"/>
      <c r="BM456" s="47"/>
      <c r="BN456" s="47"/>
      <c r="BO456" s="47"/>
      <c r="BP456" s="47"/>
      <c r="BQ456" s="47"/>
      <c r="BR456" s="47"/>
      <c r="BS456" s="47"/>
      <c r="BT456" s="47"/>
      <c r="BU456" s="47"/>
      <c r="BV456" s="47"/>
      <c r="BW456" s="47"/>
      <c r="BX456" s="47"/>
      <c r="BY456" s="47"/>
      <c r="BZ456" s="47"/>
    </row>
    <row r="457" spans="1:78" ht="13">
      <c r="A457" s="48" t="str">
        <f ca="1">'.'!A457</f>
        <v>Voidwoken Spike</v>
      </c>
      <c r="B457" s="46" t="str">
        <f t="array" aca="1" ref="B457" ca="1">IF('.'!B457="","",'.'!B457&amp;IF(VLOOKUP('.'!B457,Recipes!$A:$D,4,FALSE)="",""," ["&amp;VLOOKUP('.'!B457,Recipes!$A:$D,4,FALSE)&amp;"]"))</f>
        <v>Fire Whip Scroll [90]</v>
      </c>
      <c r="C457" s="46" t="str">
        <f t="array" ref="C457">IF('.'!C457="","",'.'!C457&amp;IF(VLOOKUP('.'!C457,Recipes!$A:$D,4,FALSE)="",""," ["&amp;VLOOKUP('.'!C457,Recipes!$A:$D,4,FALSE)&amp;"]"))</f>
        <v/>
      </c>
      <c r="D457" s="46" t="str">
        <f t="array" ref="D457">IF('.'!D457="","",'.'!D457&amp;IF(VLOOKUP('.'!D457,Recipes!$A:$D,4,FALSE)="",""," ["&amp;VLOOKUP('.'!D457,Recipes!$A:$D,4,FALSE)&amp;"]"))</f>
        <v/>
      </c>
      <c r="E457" s="46" t="str">
        <f t="array" ref="E457">IF('.'!E457="","",'.'!E457&amp;IF(VLOOKUP('.'!E457,Recipes!$A:$D,4,FALSE)="",""," ["&amp;VLOOKUP('.'!E457,Recipes!$A:$D,4,FALSE)&amp;"]"))</f>
        <v/>
      </c>
      <c r="F457" s="46" t="str">
        <f t="array" ref="F457">IF('.'!F457="","",'.'!F457&amp;IF(VLOOKUP('.'!F457,Recipes!$A:$D,4,FALSE)="",""," ["&amp;VLOOKUP('.'!F457,Recipes!$A:$D,4,FALSE)&amp;"]"))</f>
        <v/>
      </c>
      <c r="G457" s="46" t="str">
        <f t="array" ref="G457">IF('.'!G457="","",'.'!G457&amp;IF(VLOOKUP('.'!G457,Recipes!$A:$D,4,FALSE)="",""," ["&amp;VLOOKUP('.'!G457,Recipes!$A:$D,4,FALSE)&amp;"]"))</f>
        <v/>
      </c>
      <c r="H457" s="46" t="str">
        <f t="array" ref="H457">IF('.'!H457="","",'.'!H457&amp;IF(VLOOKUP('.'!H457,Recipes!$A:$D,4,FALSE)="",""," ["&amp;VLOOKUP('.'!H457,Recipes!$A:$D,4,FALSE)&amp;"]"))</f>
        <v/>
      </c>
      <c r="I457" s="46" t="str">
        <f t="array" ref="I457">IF('.'!I457="","",'.'!I457&amp;IF(VLOOKUP('.'!I457,Recipes!$A:$D,4,FALSE)="",""," ["&amp;VLOOKUP('.'!I457,Recipes!$A:$D,4,FALSE)&amp;"]"))</f>
        <v/>
      </c>
      <c r="J457" s="46" t="str">
        <f t="array" ref="J457">IF('.'!J457="","",'.'!J457&amp;IF(VLOOKUP('.'!J457,Recipes!$A:$D,4,FALSE)="",""," ["&amp;VLOOKUP('.'!J457,Recipes!$A:$D,4,FALSE)&amp;"]"))</f>
        <v/>
      </c>
      <c r="K457" s="46" t="str">
        <f t="array" ref="K457">IF('.'!K457="","",'.'!K457&amp;IF(VLOOKUP('.'!K457,Recipes!$A:$D,4,FALSE)="",""," ["&amp;VLOOKUP('.'!K457,Recipes!$A:$D,4,FALSE)&amp;"]"))</f>
        <v/>
      </c>
      <c r="L457" s="46" t="str">
        <f t="array" ref="L457">IF('.'!L457="","",'.'!L457&amp;IF(VLOOKUP('.'!L457,Recipes!$A:$D,4,FALSE)="",""," ["&amp;VLOOKUP('.'!L457,Recipes!$A:$D,4,FALSE)&amp;"]"))</f>
        <v/>
      </c>
      <c r="M457" s="46" t="str">
        <f t="array" ref="M457">IF('.'!M457="","",'.'!M457&amp;IF(VLOOKUP('.'!M457,Recipes!$A:$D,4,FALSE)="",""," ["&amp;VLOOKUP('.'!M457,Recipes!$A:$D,4,FALSE)&amp;"]"))</f>
        <v/>
      </c>
      <c r="N457" s="46" t="str">
        <f t="array" ref="N457">IF('.'!N457="","",'.'!N457&amp;IF(VLOOKUP('.'!N457,Recipes!$A:$D,4,FALSE)="",""," ["&amp;VLOOKUP('.'!N457,Recipes!$A:$D,4,FALSE)&amp;"]"))</f>
        <v/>
      </c>
      <c r="O457" s="46" t="str">
        <f t="array" ref="O457">IF('.'!O457="","",'.'!O457&amp;IF(VLOOKUP('.'!O457,Recipes!$A:$D,4,FALSE)="",""," ["&amp;VLOOKUP('.'!O457,Recipes!$A:$D,4,FALSE)&amp;"]"))</f>
        <v/>
      </c>
      <c r="P457" s="46" t="str">
        <f t="array" ref="P457">IF('.'!P457="","",'.'!P457&amp;IF(VLOOKUP('.'!P457,Recipes!$A:$D,4,FALSE)="",""," ["&amp;VLOOKUP('.'!P457,Recipes!$A:$D,4,FALSE)&amp;"]"))</f>
        <v/>
      </c>
      <c r="Q457" s="46" t="str">
        <f t="array" ref="Q457">IF('.'!Q457="","",'.'!Q457&amp;IF(VLOOKUP('.'!Q457,Recipes!$A:$D,4,FALSE)="",""," ["&amp;VLOOKUP('.'!Q457,Recipes!$A:$D,4,FALSE)&amp;"]"))</f>
        <v/>
      </c>
      <c r="R457" s="46" t="str">
        <f t="array" ref="R457">IF('.'!R457="","",'.'!R457&amp;IF(VLOOKUP('.'!R457,Recipes!$A:$D,4,FALSE)="",""," ["&amp;VLOOKUP('.'!R457,Recipes!$A:$D,4,FALSE)&amp;"]"))</f>
        <v/>
      </c>
      <c r="S457" s="46" t="str">
        <f t="array" ref="S457">IF('.'!S457="","",'.'!S457&amp;IF(VLOOKUP('.'!S457,Recipes!$A:$D,4,FALSE)="",""," ["&amp;VLOOKUP('.'!S457,Recipes!$A:$D,4,FALSE)&amp;"]"))</f>
        <v/>
      </c>
      <c r="T457" s="46" t="str">
        <f t="array" ref="T457">IF('.'!T457="","",'.'!T457&amp;IF(VLOOKUP('.'!T457,Recipes!$A:$D,4,FALSE)="",""," ["&amp;VLOOKUP('.'!T457,Recipes!$A:$D,4,FALSE)&amp;"]"))</f>
        <v/>
      </c>
      <c r="U457" s="46" t="str">
        <f t="array" ref="U457">IF('.'!U457="","",'.'!U457&amp;IF(VLOOKUP('.'!U457,Recipes!$A:$D,4,FALSE)="",""," ["&amp;VLOOKUP('.'!U457,Recipes!$A:$D,4,FALSE)&amp;"]"))</f>
        <v/>
      </c>
      <c r="V457" s="46" t="str">
        <f t="array" ref="V457">IF('.'!V457="","",'.'!V457&amp;IF(VLOOKUP('.'!V457,Recipes!$A:$D,4,FALSE)="",""," ["&amp;VLOOKUP('.'!V457,Recipes!$A:$D,4,FALSE)&amp;"]"))</f>
        <v/>
      </c>
      <c r="W457" s="46" t="str">
        <f t="array" ref="W457">IF('.'!W457="","",'.'!W457&amp;IF(VLOOKUP('.'!W457,Recipes!$A:$D,4,FALSE)="",""," ["&amp;VLOOKUP('.'!W457,Recipes!$A:$D,4,FALSE)&amp;"]"))</f>
        <v/>
      </c>
      <c r="X457" s="46" t="str">
        <f t="array" ref="X457">IF('.'!X457="","",'.'!X457&amp;IF(VLOOKUP('.'!X457,Recipes!$A:$D,4,FALSE)="",""," ["&amp;VLOOKUP('.'!X457,Recipes!$A:$D,4,FALSE)&amp;"]"))</f>
        <v/>
      </c>
      <c r="Y457" s="46" t="str">
        <f t="array" ref="Y457">IF('.'!Y457="","",'.'!Y457&amp;IF(VLOOKUP('.'!Y457,Recipes!$A:$D,4,FALSE)="",""," ["&amp;VLOOKUP('.'!Y457,Recipes!$A:$D,4,FALSE)&amp;"]"))</f>
        <v/>
      </c>
      <c r="Z457" s="46" t="str">
        <f t="array" ref="Z457">IF('.'!Z457="","",'.'!Z457&amp;IF(VLOOKUP('.'!Z457,Recipes!$A:$D,4,FALSE)="",""," ["&amp;VLOOKUP('.'!Z457,Recipes!$A:$D,4,FALSE)&amp;"]"))</f>
        <v/>
      </c>
      <c r="AA457" s="46" t="str">
        <f t="array" ref="AA457">IF('.'!AA457="","",'.'!AA457&amp;IF(VLOOKUP('.'!AA457,Recipes!$A:$D,4,FALSE)="",""," ["&amp;VLOOKUP('.'!AA457,Recipes!$A:$D,4,FALSE)&amp;"]"))</f>
        <v/>
      </c>
      <c r="AB457" s="46" t="str">
        <f t="array" ref="AB457">IF('.'!AB457="","",'.'!AB457&amp;IF(VLOOKUP('.'!AB457,Recipes!$A:$D,4,FALSE)="",""," ["&amp;VLOOKUP('.'!AB457,Recipes!$A:$D,4,FALSE)&amp;"]"))</f>
        <v/>
      </c>
      <c r="AC457" s="46" t="str">
        <f t="array" ref="AC457">IF('.'!AC457="","",'.'!AC457&amp;IF(VLOOKUP('.'!AC457,Recipes!$A:$D,4,FALSE)="",""," ["&amp;VLOOKUP('.'!AC457,Recipes!$A:$D,4,FALSE)&amp;"]"))</f>
        <v/>
      </c>
      <c r="AD457" s="46" t="str">
        <f t="array" ref="AD457">IF('.'!AD457="","",'.'!AD457&amp;IF(VLOOKUP('.'!AD457,Recipes!$A:$D,4,FALSE)="",""," ["&amp;VLOOKUP('.'!AD457,Recipes!$A:$D,4,FALSE)&amp;"]"))</f>
        <v/>
      </c>
      <c r="AE457" s="47" t="str">
        <f t="array" ref="AE457">IF('.'!AE457="","",'.'!AE457&amp;IF(VLOOKUP('.'!AE457,Recipes!$A:$D,4,FALSE)="",""," ["&amp;VLOOKUP('.'!AE457,Recipes!$A:$D,4,FALSE)&amp;"]"))</f>
        <v/>
      </c>
      <c r="AF457" s="47"/>
      <c r="AG457" s="47"/>
      <c r="AH457" s="47"/>
      <c r="AI457" s="47"/>
      <c r="AJ457" s="47"/>
      <c r="AK457" s="47"/>
      <c r="AL457" s="47"/>
      <c r="AM457" s="47"/>
      <c r="AN457" s="47"/>
      <c r="AO457" s="47"/>
      <c r="AP457" s="47"/>
      <c r="AQ457" s="47"/>
      <c r="AR457" s="47"/>
      <c r="AS457" s="47"/>
      <c r="AT457" s="47"/>
      <c r="AU457" s="47"/>
      <c r="AV457" s="47"/>
      <c r="AW457" s="47"/>
      <c r="AX457" s="47"/>
      <c r="AY457" s="47"/>
      <c r="AZ457" s="47"/>
      <c r="BA457" s="47"/>
      <c r="BB457" s="47"/>
      <c r="BC457" s="47"/>
      <c r="BD457" s="47"/>
      <c r="BE457" s="47"/>
      <c r="BF457" s="47"/>
      <c r="BG457" s="47"/>
      <c r="BH457" s="47"/>
      <c r="BI457" s="47"/>
      <c r="BJ457" s="47"/>
      <c r="BK457" s="47"/>
      <c r="BL457" s="47"/>
      <c r="BM457" s="47"/>
      <c r="BN457" s="47"/>
      <c r="BO457" s="47"/>
      <c r="BP457" s="47"/>
      <c r="BQ457" s="47"/>
      <c r="BR457" s="47"/>
      <c r="BS457" s="47"/>
      <c r="BT457" s="47"/>
      <c r="BU457" s="47"/>
      <c r="BV457" s="47"/>
      <c r="BW457" s="47"/>
      <c r="BX457" s="47"/>
      <c r="BY457" s="47"/>
      <c r="BZ457" s="47"/>
    </row>
    <row r="458" spans="1:78" ht="13">
      <c r="A458" s="48" t="str">
        <f ca="1">'.'!A458</f>
        <v>Warp Infusion Scroll</v>
      </c>
      <c r="B458" s="46" t="str">
        <f t="array" aca="1" ref="B458" ca="1">IF('.'!B458="","",'.'!B458&amp;IF(VLOOKUP('.'!B458,Recipes!$A:$D,4,FALSE)="",""," ["&amp;VLOOKUP('.'!B458,Recipes!$A:$D,4,FALSE)&amp;"]"))</f>
        <v>Warp Infusion Skillbook [1000]</v>
      </c>
      <c r="C458" s="46" t="str">
        <f t="array" ref="C458">IF('.'!C458="","",'.'!C458&amp;IF(VLOOKUP('.'!C458,Recipes!$A:$D,4,FALSE)="",""," ["&amp;VLOOKUP('.'!C458,Recipes!$A:$D,4,FALSE)&amp;"]"))</f>
        <v/>
      </c>
      <c r="D458" s="46" t="str">
        <f t="array" ref="D458">IF('.'!D458="","",'.'!D458&amp;IF(VLOOKUP('.'!D458,Recipes!$A:$D,4,FALSE)="",""," ["&amp;VLOOKUP('.'!D458,Recipes!$A:$D,4,FALSE)&amp;"]"))</f>
        <v/>
      </c>
      <c r="E458" s="46" t="str">
        <f t="array" ref="E458">IF('.'!E458="","",'.'!E458&amp;IF(VLOOKUP('.'!E458,Recipes!$A:$D,4,FALSE)="",""," ["&amp;VLOOKUP('.'!E458,Recipes!$A:$D,4,FALSE)&amp;"]"))</f>
        <v/>
      </c>
      <c r="F458" s="46" t="str">
        <f t="array" ref="F458">IF('.'!F458="","",'.'!F458&amp;IF(VLOOKUP('.'!F458,Recipes!$A:$D,4,FALSE)="",""," ["&amp;VLOOKUP('.'!F458,Recipes!$A:$D,4,FALSE)&amp;"]"))</f>
        <v/>
      </c>
      <c r="G458" s="46" t="str">
        <f t="array" ref="G458">IF('.'!G458="","",'.'!G458&amp;IF(VLOOKUP('.'!G458,Recipes!$A:$D,4,FALSE)="",""," ["&amp;VLOOKUP('.'!G458,Recipes!$A:$D,4,FALSE)&amp;"]"))</f>
        <v/>
      </c>
      <c r="H458" s="46" t="str">
        <f t="array" ref="H458">IF('.'!H458="","",'.'!H458&amp;IF(VLOOKUP('.'!H458,Recipes!$A:$D,4,FALSE)="",""," ["&amp;VLOOKUP('.'!H458,Recipes!$A:$D,4,FALSE)&amp;"]"))</f>
        <v/>
      </c>
      <c r="I458" s="46" t="str">
        <f t="array" ref="I458">IF('.'!I458="","",'.'!I458&amp;IF(VLOOKUP('.'!I458,Recipes!$A:$D,4,FALSE)="",""," ["&amp;VLOOKUP('.'!I458,Recipes!$A:$D,4,FALSE)&amp;"]"))</f>
        <v/>
      </c>
      <c r="J458" s="46" t="str">
        <f t="array" ref="J458">IF('.'!J458="","",'.'!J458&amp;IF(VLOOKUP('.'!J458,Recipes!$A:$D,4,FALSE)="",""," ["&amp;VLOOKUP('.'!J458,Recipes!$A:$D,4,FALSE)&amp;"]"))</f>
        <v/>
      </c>
      <c r="K458" s="46" t="str">
        <f t="array" ref="K458">IF('.'!K458="","",'.'!K458&amp;IF(VLOOKUP('.'!K458,Recipes!$A:$D,4,FALSE)="",""," ["&amp;VLOOKUP('.'!K458,Recipes!$A:$D,4,FALSE)&amp;"]"))</f>
        <v/>
      </c>
      <c r="L458" s="46" t="str">
        <f t="array" ref="L458">IF('.'!L458="","",'.'!L458&amp;IF(VLOOKUP('.'!L458,Recipes!$A:$D,4,FALSE)="",""," ["&amp;VLOOKUP('.'!L458,Recipes!$A:$D,4,FALSE)&amp;"]"))</f>
        <v/>
      </c>
      <c r="M458" s="46" t="str">
        <f t="array" ref="M458">IF('.'!M458="","",'.'!M458&amp;IF(VLOOKUP('.'!M458,Recipes!$A:$D,4,FALSE)="",""," ["&amp;VLOOKUP('.'!M458,Recipes!$A:$D,4,FALSE)&amp;"]"))</f>
        <v/>
      </c>
      <c r="N458" s="46" t="str">
        <f t="array" ref="N458">IF('.'!N458="","",'.'!N458&amp;IF(VLOOKUP('.'!N458,Recipes!$A:$D,4,FALSE)="",""," ["&amp;VLOOKUP('.'!N458,Recipes!$A:$D,4,FALSE)&amp;"]"))</f>
        <v/>
      </c>
      <c r="O458" s="46" t="str">
        <f t="array" ref="O458">IF('.'!O458="","",'.'!O458&amp;IF(VLOOKUP('.'!O458,Recipes!$A:$D,4,FALSE)="",""," ["&amp;VLOOKUP('.'!O458,Recipes!$A:$D,4,FALSE)&amp;"]"))</f>
        <v/>
      </c>
      <c r="P458" s="46" t="str">
        <f t="array" ref="P458">IF('.'!P458="","",'.'!P458&amp;IF(VLOOKUP('.'!P458,Recipes!$A:$D,4,FALSE)="",""," ["&amp;VLOOKUP('.'!P458,Recipes!$A:$D,4,FALSE)&amp;"]"))</f>
        <v/>
      </c>
      <c r="Q458" s="46" t="str">
        <f t="array" ref="Q458">IF('.'!Q458="","",'.'!Q458&amp;IF(VLOOKUP('.'!Q458,Recipes!$A:$D,4,FALSE)="",""," ["&amp;VLOOKUP('.'!Q458,Recipes!$A:$D,4,FALSE)&amp;"]"))</f>
        <v/>
      </c>
      <c r="R458" s="46" t="str">
        <f t="array" ref="R458">IF('.'!R458="","",'.'!R458&amp;IF(VLOOKUP('.'!R458,Recipes!$A:$D,4,FALSE)="",""," ["&amp;VLOOKUP('.'!R458,Recipes!$A:$D,4,FALSE)&amp;"]"))</f>
        <v/>
      </c>
      <c r="S458" s="46" t="str">
        <f t="array" ref="S458">IF('.'!S458="","",'.'!S458&amp;IF(VLOOKUP('.'!S458,Recipes!$A:$D,4,FALSE)="",""," ["&amp;VLOOKUP('.'!S458,Recipes!$A:$D,4,FALSE)&amp;"]"))</f>
        <v/>
      </c>
      <c r="T458" s="46" t="str">
        <f t="array" ref="T458">IF('.'!T458="","",'.'!T458&amp;IF(VLOOKUP('.'!T458,Recipes!$A:$D,4,FALSE)="",""," ["&amp;VLOOKUP('.'!T458,Recipes!$A:$D,4,FALSE)&amp;"]"))</f>
        <v/>
      </c>
      <c r="U458" s="46" t="str">
        <f t="array" ref="U458">IF('.'!U458="","",'.'!U458&amp;IF(VLOOKUP('.'!U458,Recipes!$A:$D,4,FALSE)="",""," ["&amp;VLOOKUP('.'!U458,Recipes!$A:$D,4,FALSE)&amp;"]"))</f>
        <v/>
      </c>
      <c r="V458" s="46" t="str">
        <f t="array" ref="V458">IF('.'!V458="","",'.'!V458&amp;IF(VLOOKUP('.'!V458,Recipes!$A:$D,4,FALSE)="",""," ["&amp;VLOOKUP('.'!V458,Recipes!$A:$D,4,FALSE)&amp;"]"))</f>
        <v/>
      </c>
      <c r="W458" s="46" t="str">
        <f t="array" ref="W458">IF('.'!W458="","",'.'!W458&amp;IF(VLOOKUP('.'!W458,Recipes!$A:$D,4,FALSE)="",""," ["&amp;VLOOKUP('.'!W458,Recipes!$A:$D,4,FALSE)&amp;"]"))</f>
        <v/>
      </c>
      <c r="X458" s="46" t="str">
        <f t="array" ref="X458">IF('.'!X458="","",'.'!X458&amp;IF(VLOOKUP('.'!X458,Recipes!$A:$D,4,FALSE)="",""," ["&amp;VLOOKUP('.'!X458,Recipes!$A:$D,4,FALSE)&amp;"]"))</f>
        <v/>
      </c>
      <c r="Y458" s="46" t="str">
        <f t="array" ref="Y458">IF('.'!Y458="","",'.'!Y458&amp;IF(VLOOKUP('.'!Y458,Recipes!$A:$D,4,FALSE)="",""," ["&amp;VLOOKUP('.'!Y458,Recipes!$A:$D,4,FALSE)&amp;"]"))</f>
        <v/>
      </c>
      <c r="Z458" s="46" t="str">
        <f t="array" ref="Z458">IF('.'!Z458="","",'.'!Z458&amp;IF(VLOOKUP('.'!Z458,Recipes!$A:$D,4,FALSE)="",""," ["&amp;VLOOKUP('.'!Z458,Recipes!$A:$D,4,FALSE)&amp;"]"))</f>
        <v/>
      </c>
      <c r="AA458" s="46" t="str">
        <f t="array" ref="AA458">IF('.'!AA458="","",'.'!AA458&amp;IF(VLOOKUP('.'!AA458,Recipes!$A:$D,4,FALSE)="",""," ["&amp;VLOOKUP('.'!AA458,Recipes!$A:$D,4,FALSE)&amp;"]"))</f>
        <v/>
      </c>
      <c r="AB458" s="46" t="str">
        <f t="array" ref="AB458">IF('.'!AB458="","",'.'!AB458&amp;IF(VLOOKUP('.'!AB458,Recipes!$A:$D,4,FALSE)="",""," ["&amp;VLOOKUP('.'!AB458,Recipes!$A:$D,4,FALSE)&amp;"]"))</f>
        <v/>
      </c>
      <c r="AC458" s="46" t="str">
        <f t="array" ref="AC458">IF('.'!AC458="","",'.'!AC458&amp;IF(VLOOKUP('.'!AC458,Recipes!$A:$D,4,FALSE)="",""," ["&amp;VLOOKUP('.'!AC458,Recipes!$A:$D,4,FALSE)&amp;"]"))</f>
        <v/>
      </c>
      <c r="AD458" s="46" t="str">
        <f t="array" ref="AD458">IF('.'!AD458="","",'.'!AD458&amp;IF(VLOOKUP('.'!AD458,Recipes!$A:$D,4,FALSE)="",""," ["&amp;VLOOKUP('.'!AD458,Recipes!$A:$D,4,FALSE)&amp;"]"))</f>
        <v/>
      </c>
      <c r="AE458" s="47" t="str">
        <f t="array" ref="AE458">IF('.'!AE458="","",'.'!AE458&amp;IF(VLOOKUP('.'!AE458,Recipes!$A:$D,4,FALSE)="",""," ["&amp;VLOOKUP('.'!AE458,Recipes!$A:$D,4,FALSE)&amp;"]"))</f>
        <v/>
      </c>
      <c r="AF458" s="47"/>
      <c r="AG458" s="47"/>
      <c r="AH458" s="47"/>
      <c r="AI458" s="47"/>
      <c r="AJ458" s="47"/>
      <c r="AK458" s="47"/>
      <c r="AL458" s="47"/>
      <c r="AM458" s="47"/>
      <c r="AN458" s="47"/>
      <c r="AO458" s="47"/>
      <c r="AP458" s="47"/>
      <c r="AQ458" s="47"/>
      <c r="AR458" s="47"/>
      <c r="AS458" s="47"/>
      <c r="AT458" s="47"/>
      <c r="AU458" s="47"/>
      <c r="AV458" s="47"/>
      <c r="AW458" s="47"/>
      <c r="AX458" s="47"/>
      <c r="AY458" s="47"/>
      <c r="AZ458" s="47"/>
      <c r="BA458" s="47"/>
      <c r="BB458" s="47"/>
      <c r="BC458" s="47"/>
      <c r="BD458" s="47"/>
      <c r="BE458" s="47"/>
      <c r="BF458" s="47"/>
      <c r="BG458" s="47"/>
      <c r="BH458" s="47"/>
      <c r="BI458" s="47"/>
      <c r="BJ458" s="47"/>
      <c r="BK458" s="47"/>
      <c r="BL458" s="47"/>
      <c r="BM458" s="47"/>
      <c r="BN458" s="47"/>
      <c r="BO458" s="47"/>
      <c r="BP458" s="47"/>
      <c r="BQ458" s="47"/>
      <c r="BR458" s="47"/>
      <c r="BS458" s="47"/>
      <c r="BT458" s="47"/>
      <c r="BU458" s="47"/>
      <c r="BV458" s="47"/>
      <c r="BW458" s="47"/>
      <c r="BX458" s="47"/>
      <c r="BY458" s="47"/>
      <c r="BZ458" s="47"/>
    </row>
    <row r="459" spans="1:78" ht="13">
      <c r="A459" s="48" t="str">
        <f ca="1">'.'!A459</f>
        <v>Water</v>
      </c>
      <c r="B459" s="46" t="str">
        <f t="array" aca="1" ref="B459" ca="1">IF('.'!B459="","",'.'!B459&amp;IF(VLOOKUP('.'!B459,Recipes!$A:$D,4,FALSE)="",""," ["&amp;VLOOKUP('.'!B459,Recipes!$A:$D,4,FALSE)&amp;"]"))</f>
        <v>Water Arrow [4]</v>
      </c>
      <c r="C459" s="46" t="str">
        <f t="array" aca="1" ref="C459" ca="1">IF('.'!C459="","",'.'!C459&amp;IF(VLOOKUP('.'!C459,Recipes!$A:$D,4,FALSE)="",""," ["&amp;VLOOKUP('.'!C459,Recipes!$A:$D,4,FALSE)&amp;"]"))</f>
        <v>Steamcloud Arrowhead [55]</v>
      </c>
      <c r="D459" s="46" t="str">
        <f t="array" aca="1" ref="D459" ca="1">IF('.'!D459="","",'.'!D459&amp;IF(VLOOKUP('.'!D459,Recipes!$A:$D,4,FALSE)="",""," ["&amp;VLOOKUP('.'!D459,Recipes!$A:$D,4,FALSE)&amp;"]"))</f>
        <v>Water Arrowhead [23]</v>
      </c>
      <c r="E459" s="46" t="str">
        <f t="array" aca="1" ref="E459" ca="1">IF('.'!E459="","",'.'!E459&amp;IF(VLOOKUP('.'!E459,Recipes!$A:$D,4,FALSE)="",""," ["&amp;VLOOKUP('.'!E459,Recipes!$A:$D,4,FALSE)&amp;"]"))</f>
        <v>Bottle of Water [0]</v>
      </c>
      <c r="F459" s="46" t="str">
        <f t="array" aca="1" ref="F459" ca="1">IF('.'!F459="","",'.'!F459&amp;IF(VLOOKUP('.'!F459,Recipes!$A:$D,4,FALSE)="",""," ["&amp;VLOOKUP('.'!F459,Recipes!$A:$D,4,FALSE)&amp;"]"))</f>
        <v>Cup of Water [0]</v>
      </c>
      <c r="G459" s="46" t="str">
        <f t="array" aca="1" ref="G459" ca="1">IF('.'!G459="","",'.'!G459&amp;IF(VLOOKUP('.'!G459,Recipes!$A:$D,4,FALSE)="",""," ["&amp;VLOOKUP('.'!G459,Recipes!$A:$D,4,FALSE)&amp;"]"))</f>
        <v>Mug of Water [0]</v>
      </c>
      <c r="H459" s="46" t="e">
        <f t="array" aca="1" ref="H459" ca="1">IF('.'!H459="","",'.'!H459&amp;IF(VLOOKUP('.'!H459,Recipes!$A:$D,4,FALSE)="",""," ["&amp;VLOOKUP('.'!H459,Recipes!$A:$D,4,FALSE)&amp;"]"))</f>
        <v>#VALUE!</v>
      </c>
      <c r="I459" s="46" t="str">
        <f t="array" aca="1" ref="I459" ca="1">IF('.'!I459="","",'.'!I459&amp;IF(VLOOKUP('.'!I459,Recipes!$A:$D,4,FALSE)="",""," ["&amp;VLOOKUP('.'!I459,Recipes!$A:$D,4,FALSE)&amp;"]"))</f>
        <v>Water Balloon [9]</v>
      </c>
      <c r="J459" s="46" t="str">
        <f t="array" aca="1" ref="J459" ca="1">IF('.'!J459="","",'.'!J459&amp;IF(VLOOKUP('.'!J459,Recipes!$A:$D,4,FALSE)="",""," ["&amp;VLOOKUP('.'!J459,Recipes!$A:$D,4,FALSE)&amp;"]"))</f>
        <v>Bucket of Water [-1]</v>
      </c>
      <c r="K459" s="46" t="str">
        <f t="array" aca="1" ref="K459" ca="1">IF('.'!K459="","",'.'!K459&amp;IF(VLOOKUP('.'!K459,Recipes!$A:$D,4,FALSE)="",""," ["&amp;VLOOKUP('.'!K459,Recipes!$A:$D,4,FALSE)&amp;"]"))</f>
        <v>Wood Pulp [-1]</v>
      </c>
      <c r="L459" s="46" t="e">
        <f t="array" aca="1" ref="L459" ca="1">IF('.'!L459="","",'.'!L459&amp;IF(VLOOKUP('.'!L459,Recipes!$A:$D,4,FALSE)="",""," ["&amp;VLOOKUP('.'!L459,Recipes!$A:$D,4,FALSE)&amp;"]"))</f>
        <v>#VALUE!</v>
      </c>
      <c r="M459" s="46" t="e">
        <f t="array" aca="1" ref="M459" ca="1">IF('.'!M459="","",'.'!M459&amp;IF(VLOOKUP('.'!M459,Recipes!$A:$D,4,FALSE)="",""," ["&amp;VLOOKUP('.'!M459,Recipes!$A:$D,4,FALSE)&amp;"]"))</f>
        <v>#VALUE!</v>
      </c>
      <c r="N459" s="46" t="str">
        <f t="array" ref="N459">IF('.'!N459="","",'.'!N459&amp;IF(VLOOKUP('.'!N459,Recipes!$A:$D,4,FALSE)="",""," ["&amp;VLOOKUP('.'!N459,Recipes!$A:$D,4,FALSE)&amp;"]"))</f>
        <v/>
      </c>
      <c r="O459" s="46" t="str">
        <f t="array" ref="O459">IF('.'!O459="","",'.'!O459&amp;IF(VLOOKUP('.'!O459,Recipes!$A:$D,4,FALSE)="",""," ["&amp;VLOOKUP('.'!O459,Recipes!$A:$D,4,FALSE)&amp;"]"))</f>
        <v/>
      </c>
      <c r="P459" s="46" t="str">
        <f t="array" ref="P459">IF('.'!P459="","",'.'!P459&amp;IF(VLOOKUP('.'!P459,Recipes!$A:$D,4,FALSE)="",""," ["&amp;VLOOKUP('.'!P459,Recipes!$A:$D,4,FALSE)&amp;"]"))</f>
        <v/>
      </c>
      <c r="Q459" s="46" t="str">
        <f t="array" ref="Q459">IF('.'!Q459="","",'.'!Q459&amp;IF(VLOOKUP('.'!Q459,Recipes!$A:$D,4,FALSE)="",""," ["&amp;VLOOKUP('.'!Q459,Recipes!$A:$D,4,FALSE)&amp;"]"))</f>
        <v/>
      </c>
      <c r="R459" s="46" t="str">
        <f t="array" ref="R459">IF('.'!R459="","",'.'!R459&amp;IF(VLOOKUP('.'!R459,Recipes!$A:$D,4,FALSE)="",""," ["&amp;VLOOKUP('.'!R459,Recipes!$A:$D,4,FALSE)&amp;"]"))</f>
        <v/>
      </c>
      <c r="S459" s="46" t="str">
        <f t="array" ref="S459">IF('.'!S459="","",'.'!S459&amp;IF(VLOOKUP('.'!S459,Recipes!$A:$D,4,FALSE)="",""," ["&amp;VLOOKUP('.'!S459,Recipes!$A:$D,4,FALSE)&amp;"]"))</f>
        <v/>
      </c>
      <c r="T459" s="46" t="str">
        <f t="array" ref="T459">IF('.'!T459="","",'.'!T459&amp;IF(VLOOKUP('.'!T459,Recipes!$A:$D,4,FALSE)="",""," ["&amp;VLOOKUP('.'!T459,Recipes!$A:$D,4,FALSE)&amp;"]"))</f>
        <v/>
      </c>
      <c r="U459" s="46" t="str">
        <f t="array" ref="U459">IF('.'!U459="","",'.'!U459&amp;IF(VLOOKUP('.'!U459,Recipes!$A:$D,4,FALSE)="",""," ["&amp;VLOOKUP('.'!U459,Recipes!$A:$D,4,FALSE)&amp;"]"))</f>
        <v/>
      </c>
      <c r="V459" s="46" t="str">
        <f t="array" ref="V459">IF('.'!V459="","",'.'!V459&amp;IF(VLOOKUP('.'!V459,Recipes!$A:$D,4,FALSE)="",""," ["&amp;VLOOKUP('.'!V459,Recipes!$A:$D,4,FALSE)&amp;"]"))</f>
        <v/>
      </c>
      <c r="W459" s="46" t="str">
        <f t="array" ref="W459">IF('.'!W459="","",'.'!W459&amp;IF(VLOOKUP('.'!W459,Recipes!$A:$D,4,FALSE)="",""," ["&amp;VLOOKUP('.'!W459,Recipes!$A:$D,4,FALSE)&amp;"]"))</f>
        <v/>
      </c>
      <c r="X459" s="46" t="str">
        <f t="array" ref="X459">IF('.'!X459="","",'.'!X459&amp;IF(VLOOKUP('.'!X459,Recipes!$A:$D,4,FALSE)="",""," ["&amp;VLOOKUP('.'!X459,Recipes!$A:$D,4,FALSE)&amp;"]"))</f>
        <v/>
      </c>
      <c r="Y459" s="46" t="str">
        <f t="array" ref="Y459">IF('.'!Y459="","",'.'!Y459&amp;IF(VLOOKUP('.'!Y459,Recipes!$A:$D,4,FALSE)="",""," ["&amp;VLOOKUP('.'!Y459,Recipes!$A:$D,4,FALSE)&amp;"]"))</f>
        <v/>
      </c>
      <c r="Z459" s="46" t="str">
        <f t="array" ref="Z459">IF('.'!Z459="","",'.'!Z459&amp;IF(VLOOKUP('.'!Z459,Recipes!$A:$D,4,FALSE)="",""," ["&amp;VLOOKUP('.'!Z459,Recipes!$A:$D,4,FALSE)&amp;"]"))</f>
        <v/>
      </c>
      <c r="AA459" s="46" t="str">
        <f t="array" ref="AA459">IF('.'!AA459="","",'.'!AA459&amp;IF(VLOOKUP('.'!AA459,Recipes!$A:$D,4,FALSE)="",""," ["&amp;VLOOKUP('.'!AA459,Recipes!$A:$D,4,FALSE)&amp;"]"))</f>
        <v/>
      </c>
      <c r="AB459" s="46" t="str">
        <f t="array" ref="AB459">IF('.'!AB459="","",'.'!AB459&amp;IF(VLOOKUP('.'!AB459,Recipes!$A:$D,4,FALSE)="",""," ["&amp;VLOOKUP('.'!AB459,Recipes!$A:$D,4,FALSE)&amp;"]"))</f>
        <v/>
      </c>
      <c r="AC459" s="46" t="str">
        <f t="array" ref="AC459">IF('.'!AC459="","",'.'!AC459&amp;IF(VLOOKUP('.'!AC459,Recipes!$A:$D,4,FALSE)="",""," ["&amp;VLOOKUP('.'!AC459,Recipes!$A:$D,4,FALSE)&amp;"]"))</f>
        <v/>
      </c>
      <c r="AD459" s="46" t="str">
        <f t="array" ref="AD459">IF('.'!AD459="","",'.'!AD459&amp;IF(VLOOKUP('.'!AD459,Recipes!$A:$D,4,FALSE)="",""," ["&amp;VLOOKUP('.'!AD459,Recipes!$A:$D,4,FALSE)&amp;"]"))</f>
        <v/>
      </c>
      <c r="AE459" s="47" t="str">
        <f t="array" ref="AE459">IF('.'!AE459="","",'.'!AE459&amp;IF(VLOOKUP('.'!AE459,Recipes!$A:$D,4,FALSE)="",""," ["&amp;VLOOKUP('.'!AE459,Recipes!$A:$D,4,FALSE)&amp;"]"))</f>
        <v/>
      </c>
      <c r="AF459" s="47"/>
      <c r="AG459" s="47"/>
      <c r="AH459" s="47"/>
      <c r="AI459" s="47"/>
      <c r="AJ459" s="47"/>
      <c r="AK459" s="47"/>
      <c r="AL459" s="47"/>
      <c r="AM459" s="47"/>
      <c r="AN459" s="47"/>
      <c r="AO459" s="47"/>
      <c r="AP459" s="47"/>
      <c r="AQ459" s="47"/>
      <c r="AR459" s="47"/>
      <c r="AS459" s="47"/>
      <c r="AT459" s="47"/>
      <c r="AU459" s="47"/>
      <c r="AV459" s="47"/>
      <c r="AW459" s="47"/>
      <c r="AX459" s="47"/>
      <c r="AY459" s="47"/>
      <c r="AZ459" s="47"/>
      <c r="BA459" s="47"/>
      <c r="BB459" s="47"/>
      <c r="BC459" s="47"/>
      <c r="BD459" s="47"/>
      <c r="BE459" s="47"/>
      <c r="BF459" s="47"/>
      <c r="BG459" s="47"/>
      <c r="BH459" s="47"/>
      <c r="BI459" s="47"/>
      <c r="BJ459" s="47"/>
      <c r="BK459" s="47"/>
      <c r="BL459" s="47"/>
      <c r="BM459" s="47"/>
      <c r="BN459" s="47"/>
      <c r="BO459" s="47"/>
      <c r="BP459" s="47"/>
      <c r="BQ459" s="47"/>
      <c r="BR459" s="47"/>
      <c r="BS459" s="47"/>
      <c r="BT459" s="47"/>
      <c r="BU459" s="47"/>
      <c r="BV459" s="47"/>
      <c r="BW459" s="47"/>
      <c r="BX459" s="47"/>
      <c r="BY459" s="47"/>
      <c r="BZ459" s="47"/>
    </row>
    <row r="460" spans="1:78" ht="13">
      <c r="A460" s="48" t="str">
        <f ca="1">'.'!A460</f>
        <v>Water Arrow</v>
      </c>
      <c r="B460" s="46" t="str">
        <f t="array" aca="1" ref="B460" ca="1">IF('.'!B460="","",'.'!B460&amp;IF(VLOOKUP('.'!B460,Recipes!$A:$D,4,FALSE)="",""," ["&amp;VLOOKUP('.'!B460,Recipes!$A:$D,4,FALSE)&amp;"]"))</f>
        <v>Blessed Water Arrow [-1060]</v>
      </c>
      <c r="C460" s="46" t="str">
        <f t="array" ref="C460">IF('.'!C460="","",'.'!C460&amp;IF(VLOOKUP('.'!C460,Recipes!$A:$D,4,FALSE)="",""," ["&amp;VLOOKUP('.'!C460,Recipes!$A:$D,4,FALSE)&amp;"]"))</f>
        <v/>
      </c>
      <c r="D460" s="46" t="str">
        <f t="array" ref="D460">IF('.'!D460="","",'.'!D460&amp;IF(VLOOKUP('.'!D460,Recipes!$A:$D,4,FALSE)="",""," ["&amp;VLOOKUP('.'!D460,Recipes!$A:$D,4,FALSE)&amp;"]"))</f>
        <v/>
      </c>
      <c r="E460" s="46" t="str">
        <f t="array" ref="E460">IF('.'!E460="","",'.'!E460&amp;IF(VLOOKUP('.'!E460,Recipes!$A:$D,4,FALSE)="",""," ["&amp;VLOOKUP('.'!E460,Recipes!$A:$D,4,FALSE)&amp;"]"))</f>
        <v/>
      </c>
      <c r="F460" s="46" t="str">
        <f t="array" ref="F460">IF('.'!F460="","",'.'!F460&amp;IF(VLOOKUP('.'!F460,Recipes!$A:$D,4,FALSE)="",""," ["&amp;VLOOKUP('.'!F460,Recipes!$A:$D,4,FALSE)&amp;"]"))</f>
        <v/>
      </c>
      <c r="G460" s="46" t="str">
        <f t="array" ref="G460">IF('.'!G460="","",'.'!G460&amp;IF(VLOOKUP('.'!G460,Recipes!$A:$D,4,FALSE)="",""," ["&amp;VLOOKUP('.'!G460,Recipes!$A:$D,4,FALSE)&amp;"]"))</f>
        <v/>
      </c>
      <c r="H460" s="46" t="str">
        <f t="array" ref="H460">IF('.'!H460="","",'.'!H460&amp;IF(VLOOKUP('.'!H460,Recipes!$A:$D,4,FALSE)="",""," ["&amp;VLOOKUP('.'!H460,Recipes!$A:$D,4,FALSE)&amp;"]"))</f>
        <v/>
      </c>
      <c r="I460" s="46" t="str">
        <f t="array" ref="I460">IF('.'!I460="","",'.'!I460&amp;IF(VLOOKUP('.'!I460,Recipes!$A:$D,4,FALSE)="",""," ["&amp;VLOOKUP('.'!I460,Recipes!$A:$D,4,FALSE)&amp;"]"))</f>
        <v/>
      </c>
      <c r="J460" s="46" t="str">
        <f t="array" ref="J460">IF('.'!J460="","",'.'!J460&amp;IF(VLOOKUP('.'!J460,Recipes!$A:$D,4,FALSE)="",""," ["&amp;VLOOKUP('.'!J460,Recipes!$A:$D,4,FALSE)&amp;"]"))</f>
        <v/>
      </c>
      <c r="K460" s="46" t="str">
        <f t="array" ref="K460">IF('.'!K460="","",'.'!K460&amp;IF(VLOOKUP('.'!K460,Recipes!$A:$D,4,FALSE)="",""," ["&amp;VLOOKUP('.'!K460,Recipes!$A:$D,4,FALSE)&amp;"]"))</f>
        <v/>
      </c>
      <c r="L460" s="46" t="str">
        <f t="array" ref="L460">IF('.'!L460="","",'.'!L460&amp;IF(VLOOKUP('.'!L460,Recipes!$A:$D,4,FALSE)="",""," ["&amp;VLOOKUP('.'!L460,Recipes!$A:$D,4,FALSE)&amp;"]"))</f>
        <v/>
      </c>
      <c r="M460" s="46" t="str">
        <f t="array" ref="M460">IF('.'!M460="","",'.'!M460&amp;IF(VLOOKUP('.'!M460,Recipes!$A:$D,4,FALSE)="",""," ["&amp;VLOOKUP('.'!M460,Recipes!$A:$D,4,FALSE)&amp;"]"))</f>
        <v/>
      </c>
      <c r="N460" s="46" t="str">
        <f t="array" ref="N460">IF('.'!N460="","",'.'!N460&amp;IF(VLOOKUP('.'!N460,Recipes!$A:$D,4,FALSE)="",""," ["&amp;VLOOKUP('.'!N460,Recipes!$A:$D,4,FALSE)&amp;"]"))</f>
        <v/>
      </c>
      <c r="O460" s="46" t="str">
        <f t="array" ref="O460">IF('.'!O460="","",'.'!O460&amp;IF(VLOOKUP('.'!O460,Recipes!$A:$D,4,FALSE)="",""," ["&amp;VLOOKUP('.'!O460,Recipes!$A:$D,4,FALSE)&amp;"]"))</f>
        <v/>
      </c>
      <c r="P460" s="46" t="str">
        <f t="array" ref="P460">IF('.'!P460="","",'.'!P460&amp;IF(VLOOKUP('.'!P460,Recipes!$A:$D,4,FALSE)="",""," ["&amp;VLOOKUP('.'!P460,Recipes!$A:$D,4,FALSE)&amp;"]"))</f>
        <v/>
      </c>
      <c r="Q460" s="46" t="str">
        <f t="array" ref="Q460">IF('.'!Q460="","",'.'!Q460&amp;IF(VLOOKUP('.'!Q460,Recipes!$A:$D,4,FALSE)="",""," ["&amp;VLOOKUP('.'!Q460,Recipes!$A:$D,4,FALSE)&amp;"]"))</f>
        <v/>
      </c>
      <c r="R460" s="46" t="str">
        <f t="array" ref="R460">IF('.'!R460="","",'.'!R460&amp;IF(VLOOKUP('.'!R460,Recipes!$A:$D,4,FALSE)="",""," ["&amp;VLOOKUP('.'!R460,Recipes!$A:$D,4,FALSE)&amp;"]"))</f>
        <v/>
      </c>
      <c r="S460" s="46" t="str">
        <f t="array" ref="S460">IF('.'!S460="","",'.'!S460&amp;IF(VLOOKUP('.'!S460,Recipes!$A:$D,4,FALSE)="",""," ["&amp;VLOOKUP('.'!S460,Recipes!$A:$D,4,FALSE)&amp;"]"))</f>
        <v/>
      </c>
      <c r="T460" s="46" t="str">
        <f t="array" ref="T460">IF('.'!T460="","",'.'!T460&amp;IF(VLOOKUP('.'!T460,Recipes!$A:$D,4,FALSE)="",""," ["&amp;VLOOKUP('.'!T460,Recipes!$A:$D,4,FALSE)&amp;"]"))</f>
        <v/>
      </c>
      <c r="U460" s="46" t="str">
        <f t="array" ref="U460">IF('.'!U460="","",'.'!U460&amp;IF(VLOOKUP('.'!U460,Recipes!$A:$D,4,FALSE)="",""," ["&amp;VLOOKUP('.'!U460,Recipes!$A:$D,4,FALSE)&amp;"]"))</f>
        <v/>
      </c>
      <c r="V460" s="46" t="str">
        <f t="array" ref="V460">IF('.'!V460="","",'.'!V460&amp;IF(VLOOKUP('.'!V460,Recipes!$A:$D,4,FALSE)="",""," ["&amp;VLOOKUP('.'!V460,Recipes!$A:$D,4,FALSE)&amp;"]"))</f>
        <v/>
      </c>
      <c r="W460" s="46" t="str">
        <f t="array" ref="W460">IF('.'!W460="","",'.'!W460&amp;IF(VLOOKUP('.'!W460,Recipes!$A:$D,4,FALSE)="",""," ["&amp;VLOOKUP('.'!W460,Recipes!$A:$D,4,FALSE)&amp;"]"))</f>
        <v/>
      </c>
      <c r="X460" s="46" t="str">
        <f t="array" ref="X460">IF('.'!X460="","",'.'!X460&amp;IF(VLOOKUP('.'!X460,Recipes!$A:$D,4,FALSE)="",""," ["&amp;VLOOKUP('.'!X460,Recipes!$A:$D,4,FALSE)&amp;"]"))</f>
        <v/>
      </c>
      <c r="Y460" s="46" t="str">
        <f t="array" ref="Y460">IF('.'!Y460="","",'.'!Y460&amp;IF(VLOOKUP('.'!Y460,Recipes!$A:$D,4,FALSE)="",""," ["&amp;VLOOKUP('.'!Y460,Recipes!$A:$D,4,FALSE)&amp;"]"))</f>
        <v/>
      </c>
      <c r="Z460" s="46" t="str">
        <f t="array" ref="Z460">IF('.'!Z460="","",'.'!Z460&amp;IF(VLOOKUP('.'!Z460,Recipes!$A:$D,4,FALSE)="",""," ["&amp;VLOOKUP('.'!Z460,Recipes!$A:$D,4,FALSE)&amp;"]"))</f>
        <v/>
      </c>
      <c r="AA460" s="46" t="str">
        <f t="array" ref="AA460">IF('.'!AA460="","",'.'!AA460&amp;IF(VLOOKUP('.'!AA460,Recipes!$A:$D,4,FALSE)="",""," ["&amp;VLOOKUP('.'!AA460,Recipes!$A:$D,4,FALSE)&amp;"]"))</f>
        <v/>
      </c>
      <c r="AB460" s="46" t="str">
        <f t="array" ref="AB460">IF('.'!AB460="","",'.'!AB460&amp;IF(VLOOKUP('.'!AB460,Recipes!$A:$D,4,FALSE)="",""," ["&amp;VLOOKUP('.'!AB460,Recipes!$A:$D,4,FALSE)&amp;"]"))</f>
        <v/>
      </c>
      <c r="AC460" s="46" t="str">
        <f t="array" ref="AC460">IF('.'!AC460="","",'.'!AC460&amp;IF(VLOOKUP('.'!AC460,Recipes!$A:$D,4,FALSE)="",""," ["&amp;VLOOKUP('.'!AC460,Recipes!$A:$D,4,FALSE)&amp;"]"))</f>
        <v/>
      </c>
      <c r="AD460" s="46" t="str">
        <f t="array" ref="AD460">IF('.'!AD460="","",'.'!AD460&amp;IF(VLOOKUP('.'!AD460,Recipes!$A:$D,4,FALSE)="",""," ["&amp;VLOOKUP('.'!AD460,Recipes!$A:$D,4,FALSE)&amp;"]"))</f>
        <v/>
      </c>
      <c r="AE460" s="47" t="str">
        <f t="array" ref="AE460">IF('.'!AE460="","",'.'!AE460&amp;IF(VLOOKUP('.'!AE460,Recipes!$A:$D,4,FALSE)="",""," ["&amp;VLOOKUP('.'!AE460,Recipes!$A:$D,4,FALSE)&amp;"]"))</f>
        <v/>
      </c>
      <c r="AF460" s="47"/>
      <c r="AG460" s="47"/>
      <c r="AH460" s="47"/>
      <c r="AI460" s="47"/>
      <c r="AJ460" s="47"/>
      <c r="AK460" s="47"/>
      <c r="AL460" s="47"/>
      <c r="AM460" s="47"/>
      <c r="AN460" s="47"/>
      <c r="AO460" s="47"/>
      <c r="AP460" s="47"/>
      <c r="AQ460" s="47"/>
      <c r="AR460" s="47"/>
      <c r="AS460" s="47"/>
      <c r="AT460" s="47"/>
      <c r="AU460" s="47"/>
      <c r="AV460" s="47"/>
      <c r="AW460" s="47"/>
      <c r="AX460" s="47"/>
      <c r="AY460" s="47"/>
      <c r="AZ460" s="47"/>
      <c r="BA460" s="47"/>
      <c r="BB460" s="47"/>
      <c r="BC460" s="47"/>
      <c r="BD460" s="47"/>
      <c r="BE460" s="47"/>
      <c r="BF460" s="47"/>
      <c r="BG460" s="47"/>
      <c r="BH460" s="47"/>
      <c r="BI460" s="47"/>
      <c r="BJ460" s="47"/>
      <c r="BK460" s="47"/>
      <c r="BL460" s="47"/>
      <c r="BM460" s="47"/>
      <c r="BN460" s="47"/>
      <c r="BO460" s="47"/>
      <c r="BP460" s="47"/>
      <c r="BQ460" s="47"/>
      <c r="BR460" s="47"/>
      <c r="BS460" s="47"/>
      <c r="BT460" s="47"/>
      <c r="BU460" s="47"/>
      <c r="BV460" s="47"/>
      <c r="BW460" s="47"/>
      <c r="BX460" s="47"/>
      <c r="BY460" s="47"/>
      <c r="BZ460" s="47"/>
    </row>
    <row r="461" spans="1:78" ht="13">
      <c r="A461" s="48" t="str">
        <f ca="1">'.'!A461</f>
        <v>Water Arrowhead</v>
      </c>
      <c r="B461" s="46" t="str">
        <f t="array" aca="1" ref="B461" ca="1">IF('.'!B461="","",'.'!B461&amp;IF(VLOOKUP('.'!B461,Recipes!$A:$D,4,FALSE)="",""," ["&amp;VLOOKUP('.'!B461,Recipes!$A:$D,4,FALSE)&amp;"]"))</f>
        <v>Water Arrow [4]</v>
      </c>
      <c r="C461" s="46" t="str">
        <f t="array" aca="1" ref="C461" ca="1">IF('.'!C461="","",'.'!C461&amp;IF(VLOOKUP('.'!C461,Recipes!$A:$D,4,FALSE)="",""," ["&amp;VLOOKUP('.'!C461,Recipes!$A:$D,4,FALSE)&amp;"]"))</f>
        <v>Blessed Water Arrowhead [-1135]</v>
      </c>
      <c r="D461" s="46" t="str">
        <f t="array" ref="D461">IF('.'!D461="","",'.'!D461&amp;IF(VLOOKUP('.'!D461,Recipes!$A:$D,4,FALSE)="",""," ["&amp;VLOOKUP('.'!D461,Recipes!$A:$D,4,FALSE)&amp;"]"))</f>
        <v/>
      </c>
      <c r="E461" s="46" t="str">
        <f t="array" ref="E461">IF('.'!E461="","",'.'!E461&amp;IF(VLOOKUP('.'!E461,Recipes!$A:$D,4,FALSE)="",""," ["&amp;VLOOKUP('.'!E461,Recipes!$A:$D,4,FALSE)&amp;"]"))</f>
        <v/>
      </c>
      <c r="F461" s="46" t="str">
        <f t="array" ref="F461">IF('.'!F461="","",'.'!F461&amp;IF(VLOOKUP('.'!F461,Recipes!$A:$D,4,FALSE)="",""," ["&amp;VLOOKUP('.'!F461,Recipes!$A:$D,4,FALSE)&amp;"]"))</f>
        <v/>
      </c>
      <c r="G461" s="46" t="str">
        <f t="array" ref="G461">IF('.'!G461="","",'.'!G461&amp;IF(VLOOKUP('.'!G461,Recipes!$A:$D,4,FALSE)="",""," ["&amp;VLOOKUP('.'!G461,Recipes!$A:$D,4,FALSE)&amp;"]"))</f>
        <v/>
      </c>
      <c r="H461" s="46" t="str">
        <f t="array" ref="H461">IF('.'!H461="","",'.'!H461&amp;IF(VLOOKUP('.'!H461,Recipes!$A:$D,4,FALSE)="",""," ["&amp;VLOOKUP('.'!H461,Recipes!$A:$D,4,FALSE)&amp;"]"))</f>
        <v/>
      </c>
      <c r="I461" s="46" t="str">
        <f t="array" ref="I461">IF('.'!I461="","",'.'!I461&amp;IF(VLOOKUP('.'!I461,Recipes!$A:$D,4,FALSE)="",""," ["&amp;VLOOKUP('.'!I461,Recipes!$A:$D,4,FALSE)&amp;"]"))</f>
        <v/>
      </c>
      <c r="J461" s="46" t="str">
        <f t="array" ref="J461">IF('.'!J461="","",'.'!J461&amp;IF(VLOOKUP('.'!J461,Recipes!$A:$D,4,FALSE)="",""," ["&amp;VLOOKUP('.'!J461,Recipes!$A:$D,4,FALSE)&amp;"]"))</f>
        <v/>
      </c>
      <c r="K461" s="46" t="str">
        <f t="array" ref="K461">IF('.'!K461="","",'.'!K461&amp;IF(VLOOKUP('.'!K461,Recipes!$A:$D,4,FALSE)="",""," ["&amp;VLOOKUP('.'!K461,Recipes!$A:$D,4,FALSE)&amp;"]"))</f>
        <v/>
      </c>
      <c r="L461" s="46" t="str">
        <f t="array" ref="L461">IF('.'!L461="","",'.'!L461&amp;IF(VLOOKUP('.'!L461,Recipes!$A:$D,4,FALSE)="",""," ["&amp;VLOOKUP('.'!L461,Recipes!$A:$D,4,FALSE)&amp;"]"))</f>
        <v/>
      </c>
      <c r="M461" s="46" t="str">
        <f t="array" ref="M461">IF('.'!M461="","",'.'!M461&amp;IF(VLOOKUP('.'!M461,Recipes!$A:$D,4,FALSE)="",""," ["&amp;VLOOKUP('.'!M461,Recipes!$A:$D,4,FALSE)&amp;"]"))</f>
        <v/>
      </c>
      <c r="N461" s="46" t="str">
        <f t="array" ref="N461">IF('.'!N461="","",'.'!N461&amp;IF(VLOOKUP('.'!N461,Recipes!$A:$D,4,FALSE)="",""," ["&amp;VLOOKUP('.'!N461,Recipes!$A:$D,4,FALSE)&amp;"]"))</f>
        <v/>
      </c>
      <c r="O461" s="46" t="str">
        <f t="array" ref="O461">IF('.'!O461="","",'.'!O461&amp;IF(VLOOKUP('.'!O461,Recipes!$A:$D,4,FALSE)="",""," ["&amp;VLOOKUP('.'!O461,Recipes!$A:$D,4,FALSE)&amp;"]"))</f>
        <v/>
      </c>
      <c r="P461" s="46" t="str">
        <f t="array" ref="P461">IF('.'!P461="","",'.'!P461&amp;IF(VLOOKUP('.'!P461,Recipes!$A:$D,4,FALSE)="",""," ["&amp;VLOOKUP('.'!P461,Recipes!$A:$D,4,FALSE)&amp;"]"))</f>
        <v/>
      </c>
      <c r="Q461" s="46" t="str">
        <f t="array" ref="Q461">IF('.'!Q461="","",'.'!Q461&amp;IF(VLOOKUP('.'!Q461,Recipes!$A:$D,4,FALSE)="",""," ["&amp;VLOOKUP('.'!Q461,Recipes!$A:$D,4,FALSE)&amp;"]"))</f>
        <v/>
      </c>
      <c r="R461" s="46" t="str">
        <f t="array" ref="R461">IF('.'!R461="","",'.'!R461&amp;IF(VLOOKUP('.'!R461,Recipes!$A:$D,4,FALSE)="",""," ["&amp;VLOOKUP('.'!R461,Recipes!$A:$D,4,FALSE)&amp;"]"))</f>
        <v/>
      </c>
      <c r="S461" s="46" t="str">
        <f t="array" ref="S461">IF('.'!S461="","",'.'!S461&amp;IF(VLOOKUP('.'!S461,Recipes!$A:$D,4,FALSE)="",""," ["&amp;VLOOKUP('.'!S461,Recipes!$A:$D,4,FALSE)&amp;"]"))</f>
        <v/>
      </c>
      <c r="T461" s="46" t="str">
        <f t="array" ref="T461">IF('.'!T461="","",'.'!T461&amp;IF(VLOOKUP('.'!T461,Recipes!$A:$D,4,FALSE)="",""," ["&amp;VLOOKUP('.'!T461,Recipes!$A:$D,4,FALSE)&amp;"]"))</f>
        <v/>
      </c>
      <c r="U461" s="46" t="str">
        <f t="array" ref="U461">IF('.'!U461="","",'.'!U461&amp;IF(VLOOKUP('.'!U461,Recipes!$A:$D,4,FALSE)="",""," ["&amp;VLOOKUP('.'!U461,Recipes!$A:$D,4,FALSE)&amp;"]"))</f>
        <v/>
      </c>
      <c r="V461" s="46" t="str">
        <f t="array" ref="V461">IF('.'!V461="","",'.'!V461&amp;IF(VLOOKUP('.'!V461,Recipes!$A:$D,4,FALSE)="",""," ["&amp;VLOOKUP('.'!V461,Recipes!$A:$D,4,FALSE)&amp;"]"))</f>
        <v/>
      </c>
      <c r="W461" s="46" t="str">
        <f t="array" ref="W461">IF('.'!W461="","",'.'!W461&amp;IF(VLOOKUP('.'!W461,Recipes!$A:$D,4,FALSE)="",""," ["&amp;VLOOKUP('.'!W461,Recipes!$A:$D,4,FALSE)&amp;"]"))</f>
        <v/>
      </c>
      <c r="X461" s="46" t="str">
        <f t="array" ref="X461">IF('.'!X461="","",'.'!X461&amp;IF(VLOOKUP('.'!X461,Recipes!$A:$D,4,FALSE)="",""," ["&amp;VLOOKUP('.'!X461,Recipes!$A:$D,4,FALSE)&amp;"]"))</f>
        <v/>
      </c>
      <c r="Y461" s="46" t="str">
        <f t="array" ref="Y461">IF('.'!Y461="","",'.'!Y461&amp;IF(VLOOKUP('.'!Y461,Recipes!$A:$D,4,FALSE)="",""," ["&amp;VLOOKUP('.'!Y461,Recipes!$A:$D,4,FALSE)&amp;"]"))</f>
        <v/>
      </c>
      <c r="Z461" s="46" t="str">
        <f t="array" ref="Z461">IF('.'!Z461="","",'.'!Z461&amp;IF(VLOOKUP('.'!Z461,Recipes!$A:$D,4,FALSE)="",""," ["&amp;VLOOKUP('.'!Z461,Recipes!$A:$D,4,FALSE)&amp;"]"))</f>
        <v/>
      </c>
      <c r="AA461" s="46" t="str">
        <f t="array" ref="AA461">IF('.'!AA461="","",'.'!AA461&amp;IF(VLOOKUP('.'!AA461,Recipes!$A:$D,4,FALSE)="",""," ["&amp;VLOOKUP('.'!AA461,Recipes!$A:$D,4,FALSE)&amp;"]"))</f>
        <v/>
      </c>
      <c r="AB461" s="46" t="str">
        <f t="array" ref="AB461">IF('.'!AB461="","",'.'!AB461&amp;IF(VLOOKUP('.'!AB461,Recipes!$A:$D,4,FALSE)="",""," ["&amp;VLOOKUP('.'!AB461,Recipes!$A:$D,4,FALSE)&amp;"]"))</f>
        <v/>
      </c>
      <c r="AC461" s="46" t="str">
        <f t="array" ref="AC461">IF('.'!AC461="","",'.'!AC461&amp;IF(VLOOKUP('.'!AC461,Recipes!$A:$D,4,FALSE)="",""," ["&amp;VLOOKUP('.'!AC461,Recipes!$A:$D,4,FALSE)&amp;"]"))</f>
        <v/>
      </c>
      <c r="AD461" s="46" t="str">
        <f t="array" ref="AD461">IF('.'!AD461="","",'.'!AD461&amp;IF(VLOOKUP('.'!AD461,Recipes!$A:$D,4,FALSE)="",""," ["&amp;VLOOKUP('.'!AD461,Recipes!$A:$D,4,FALSE)&amp;"]"))</f>
        <v/>
      </c>
      <c r="AE461" s="47" t="str">
        <f t="array" ref="AE461">IF('.'!AE461="","",'.'!AE461&amp;IF(VLOOKUP('.'!AE461,Recipes!$A:$D,4,FALSE)="",""," ["&amp;VLOOKUP('.'!AE461,Recipes!$A:$D,4,FALSE)&amp;"]"))</f>
        <v/>
      </c>
      <c r="AF461" s="47"/>
      <c r="AG461" s="47"/>
      <c r="AH461" s="47"/>
      <c r="AI461" s="47"/>
      <c r="AJ461" s="47"/>
      <c r="AK461" s="47"/>
      <c r="AL461" s="47"/>
      <c r="AM461" s="47"/>
      <c r="AN461" s="47"/>
      <c r="AO461" s="47"/>
      <c r="AP461" s="47"/>
      <c r="AQ461" s="47"/>
      <c r="AR461" s="47"/>
      <c r="AS461" s="47"/>
      <c r="AT461" s="47"/>
      <c r="AU461" s="47"/>
      <c r="AV461" s="47"/>
      <c r="AW461" s="47"/>
      <c r="AX461" s="47"/>
      <c r="AY461" s="47"/>
      <c r="AZ461" s="47"/>
      <c r="BA461" s="47"/>
      <c r="BB461" s="47"/>
      <c r="BC461" s="47"/>
      <c r="BD461" s="47"/>
      <c r="BE461" s="47"/>
      <c r="BF461" s="47"/>
      <c r="BG461" s="47"/>
      <c r="BH461" s="47"/>
      <c r="BI461" s="47"/>
      <c r="BJ461" s="47"/>
      <c r="BK461" s="47"/>
      <c r="BL461" s="47"/>
      <c r="BM461" s="47"/>
      <c r="BN461" s="47"/>
      <c r="BO461" s="47"/>
      <c r="BP461" s="47"/>
      <c r="BQ461" s="47"/>
      <c r="BR461" s="47"/>
      <c r="BS461" s="47"/>
      <c r="BT461" s="47"/>
      <c r="BU461" s="47"/>
      <c r="BV461" s="47"/>
      <c r="BW461" s="47"/>
      <c r="BX461" s="47"/>
      <c r="BY461" s="47"/>
      <c r="BZ461" s="47"/>
    </row>
    <row r="462" spans="1:78" ht="13">
      <c r="A462" s="48" t="str">
        <f ca="1">'.'!A462</f>
        <v>Water Balloon</v>
      </c>
      <c r="B462" s="46" t="str">
        <f t="array" aca="1" ref="B462" ca="1">IF('.'!B462="","",'.'!B462&amp;IF(VLOOKUP('.'!B462,Recipes!$A:$D,4,FALSE)="",""," ["&amp;VLOOKUP('.'!B462,Recipes!$A:$D,4,FALSE)&amp;"]"))</f>
        <v>Blessed Water Balloon [-610]</v>
      </c>
      <c r="C462" s="46" t="str">
        <f t="array" ref="C462">IF('.'!C462="","",'.'!C462&amp;IF(VLOOKUP('.'!C462,Recipes!$A:$D,4,FALSE)="",""," ["&amp;VLOOKUP('.'!C462,Recipes!$A:$D,4,FALSE)&amp;"]"))</f>
        <v/>
      </c>
      <c r="D462" s="46" t="str">
        <f t="array" ref="D462">IF('.'!D462="","",'.'!D462&amp;IF(VLOOKUP('.'!D462,Recipes!$A:$D,4,FALSE)="",""," ["&amp;VLOOKUP('.'!D462,Recipes!$A:$D,4,FALSE)&amp;"]"))</f>
        <v/>
      </c>
      <c r="E462" s="46" t="str">
        <f t="array" ref="E462">IF('.'!E462="","",'.'!E462&amp;IF(VLOOKUP('.'!E462,Recipes!$A:$D,4,FALSE)="",""," ["&amp;VLOOKUP('.'!E462,Recipes!$A:$D,4,FALSE)&amp;"]"))</f>
        <v/>
      </c>
      <c r="F462" s="46" t="str">
        <f t="array" ref="F462">IF('.'!F462="","",'.'!F462&amp;IF(VLOOKUP('.'!F462,Recipes!$A:$D,4,FALSE)="",""," ["&amp;VLOOKUP('.'!F462,Recipes!$A:$D,4,FALSE)&amp;"]"))</f>
        <v/>
      </c>
      <c r="G462" s="46" t="str">
        <f t="array" ref="G462">IF('.'!G462="","",'.'!G462&amp;IF(VLOOKUP('.'!G462,Recipes!$A:$D,4,FALSE)="",""," ["&amp;VLOOKUP('.'!G462,Recipes!$A:$D,4,FALSE)&amp;"]"))</f>
        <v/>
      </c>
      <c r="H462" s="46" t="str">
        <f t="array" ref="H462">IF('.'!H462="","",'.'!H462&amp;IF(VLOOKUP('.'!H462,Recipes!$A:$D,4,FALSE)="",""," ["&amp;VLOOKUP('.'!H462,Recipes!$A:$D,4,FALSE)&amp;"]"))</f>
        <v/>
      </c>
      <c r="I462" s="46" t="str">
        <f t="array" ref="I462">IF('.'!I462="","",'.'!I462&amp;IF(VLOOKUP('.'!I462,Recipes!$A:$D,4,FALSE)="",""," ["&amp;VLOOKUP('.'!I462,Recipes!$A:$D,4,FALSE)&amp;"]"))</f>
        <v/>
      </c>
      <c r="J462" s="46" t="str">
        <f t="array" ref="J462">IF('.'!J462="","",'.'!J462&amp;IF(VLOOKUP('.'!J462,Recipes!$A:$D,4,FALSE)="",""," ["&amp;VLOOKUP('.'!J462,Recipes!$A:$D,4,FALSE)&amp;"]"))</f>
        <v/>
      </c>
      <c r="K462" s="46" t="str">
        <f t="array" ref="K462">IF('.'!K462="","",'.'!K462&amp;IF(VLOOKUP('.'!K462,Recipes!$A:$D,4,FALSE)="",""," ["&amp;VLOOKUP('.'!K462,Recipes!$A:$D,4,FALSE)&amp;"]"))</f>
        <v/>
      </c>
      <c r="L462" s="46" t="str">
        <f t="array" ref="L462">IF('.'!L462="","",'.'!L462&amp;IF(VLOOKUP('.'!L462,Recipes!$A:$D,4,FALSE)="",""," ["&amp;VLOOKUP('.'!L462,Recipes!$A:$D,4,FALSE)&amp;"]"))</f>
        <v/>
      </c>
      <c r="M462" s="46" t="str">
        <f t="array" ref="M462">IF('.'!M462="","",'.'!M462&amp;IF(VLOOKUP('.'!M462,Recipes!$A:$D,4,FALSE)="",""," ["&amp;VLOOKUP('.'!M462,Recipes!$A:$D,4,FALSE)&amp;"]"))</f>
        <v/>
      </c>
      <c r="N462" s="46" t="str">
        <f t="array" ref="N462">IF('.'!N462="","",'.'!N462&amp;IF(VLOOKUP('.'!N462,Recipes!$A:$D,4,FALSE)="",""," ["&amp;VLOOKUP('.'!N462,Recipes!$A:$D,4,FALSE)&amp;"]"))</f>
        <v/>
      </c>
      <c r="O462" s="46" t="str">
        <f t="array" ref="O462">IF('.'!O462="","",'.'!O462&amp;IF(VLOOKUP('.'!O462,Recipes!$A:$D,4,FALSE)="",""," ["&amp;VLOOKUP('.'!O462,Recipes!$A:$D,4,FALSE)&amp;"]"))</f>
        <v/>
      </c>
      <c r="P462" s="46" t="str">
        <f t="array" ref="P462">IF('.'!P462="","",'.'!P462&amp;IF(VLOOKUP('.'!P462,Recipes!$A:$D,4,FALSE)="",""," ["&amp;VLOOKUP('.'!P462,Recipes!$A:$D,4,FALSE)&amp;"]"))</f>
        <v/>
      </c>
      <c r="Q462" s="46" t="str">
        <f t="array" ref="Q462">IF('.'!Q462="","",'.'!Q462&amp;IF(VLOOKUP('.'!Q462,Recipes!$A:$D,4,FALSE)="",""," ["&amp;VLOOKUP('.'!Q462,Recipes!$A:$D,4,FALSE)&amp;"]"))</f>
        <v/>
      </c>
      <c r="R462" s="46" t="str">
        <f t="array" ref="R462">IF('.'!R462="","",'.'!R462&amp;IF(VLOOKUP('.'!R462,Recipes!$A:$D,4,FALSE)="",""," ["&amp;VLOOKUP('.'!R462,Recipes!$A:$D,4,FALSE)&amp;"]"))</f>
        <v/>
      </c>
      <c r="S462" s="46" t="str">
        <f t="array" ref="S462">IF('.'!S462="","",'.'!S462&amp;IF(VLOOKUP('.'!S462,Recipes!$A:$D,4,FALSE)="",""," ["&amp;VLOOKUP('.'!S462,Recipes!$A:$D,4,FALSE)&amp;"]"))</f>
        <v/>
      </c>
      <c r="T462" s="46" t="str">
        <f t="array" ref="T462">IF('.'!T462="","",'.'!T462&amp;IF(VLOOKUP('.'!T462,Recipes!$A:$D,4,FALSE)="",""," ["&amp;VLOOKUP('.'!T462,Recipes!$A:$D,4,FALSE)&amp;"]"))</f>
        <v/>
      </c>
      <c r="U462" s="46" t="str">
        <f t="array" ref="U462">IF('.'!U462="","",'.'!U462&amp;IF(VLOOKUP('.'!U462,Recipes!$A:$D,4,FALSE)="",""," ["&amp;VLOOKUP('.'!U462,Recipes!$A:$D,4,FALSE)&amp;"]"))</f>
        <v/>
      </c>
      <c r="V462" s="46" t="str">
        <f t="array" ref="V462">IF('.'!V462="","",'.'!V462&amp;IF(VLOOKUP('.'!V462,Recipes!$A:$D,4,FALSE)="",""," ["&amp;VLOOKUP('.'!V462,Recipes!$A:$D,4,FALSE)&amp;"]"))</f>
        <v/>
      </c>
      <c r="W462" s="46" t="str">
        <f t="array" ref="W462">IF('.'!W462="","",'.'!W462&amp;IF(VLOOKUP('.'!W462,Recipes!$A:$D,4,FALSE)="",""," ["&amp;VLOOKUP('.'!W462,Recipes!$A:$D,4,FALSE)&amp;"]"))</f>
        <v/>
      </c>
      <c r="X462" s="46" t="str">
        <f t="array" ref="X462">IF('.'!X462="","",'.'!X462&amp;IF(VLOOKUP('.'!X462,Recipes!$A:$D,4,FALSE)="",""," ["&amp;VLOOKUP('.'!X462,Recipes!$A:$D,4,FALSE)&amp;"]"))</f>
        <v/>
      </c>
      <c r="Y462" s="46" t="str">
        <f t="array" ref="Y462">IF('.'!Y462="","",'.'!Y462&amp;IF(VLOOKUP('.'!Y462,Recipes!$A:$D,4,FALSE)="",""," ["&amp;VLOOKUP('.'!Y462,Recipes!$A:$D,4,FALSE)&amp;"]"))</f>
        <v/>
      </c>
      <c r="Z462" s="46" t="str">
        <f t="array" ref="Z462">IF('.'!Z462="","",'.'!Z462&amp;IF(VLOOKUP('.'!Z462,Recipes!$A:$D,4,FALSE)="",""," ["&amp;VLOOKUP('.'!Z462,Recipes!$A:$D,4,FALSE)&amp;"]"))</f>
        <v/>
      </c>
      <c r="AA462" s="46" t="str">
        <f t="array" ref="AA462">IF('.'!AA462="","",'.'!AA462&amp;IF(VLOOKUP('.'!AA462,Recipes!$A:$D,4,FALSE)="",""," ["&amp;VLOOKUP('.'!AA462,Recipes!$A:$D,4,FALSE)&amp;"]"))</f>
        <v/>
      </c>
      <c r="AB462" s="46" t="str">
        <f t="array" ref="AB462">IF('.'!AB462="","",'.'!AB462&amp;IF(VLOOKUP('.'!AB462,Recipes!$A:$D,4,FALSE)="",""," ["&amp;VLOOKUP('.'!AB462,Recipes!$A:$D,4,FALSE)&amp;"]"))</f>
        <v/>
      </c>
      <c r="AC462" s="46" t="str">
        <f t="array" ref="AC462">IF('.'!AC462="","",'.'!AC462&amp;IF(VLOOKUP('.'!AC462,Recipes!$A:$D,4,FALSE)="",""," ["&amp;VLOOKUP('.'!AC462,Recipes!$A:$D,4,FALSE)&amp;"]"))</f>
        <v/>
      </c>
      <c r="AD462" s="46" t="str">
        <f t="array" ref="AD462">IF('.'!AD462="","",'.'!AD462&amp;IF(VLOOKUP('.'!AD462,Recipes!$A:$D,4,FALSE)="",""," ["&amp;VLOOKUP('.'!AD462,Recipes!$A:$D,4,FALSE)&amp;"]"))</f>
        <v/>
      </c>
      <c r="AE462" s="47" t="str">
        <f t="array" ref="AE462">IF('.'!AE462="","",'.'!AE462&amp;IF(VLOOKUP('.'!AE462,Recipes!$A:$D,4,FALSE)="",""," ["&amp;VLOOKUP('.'!AE462,Recipes!$A:$D,4,FALSE)&amp;"]"))</f>
        <v/>
      </c>
      <c r="AF462" s="47"/>
      <c r="AG462" s="47"/>
      <c r="AH462" s="47"/>
      <c r="AI462" s="47"/>
      <c r="AJ462" s="47"/>
      <c r="AK462" s="47"/>
      <c r="AL462" s="47"/>
      <c r="AM462" s="47"/>
      <c r="AN462" s="47"/>
      <c r="AO462" s="47"/>
      <c r="AP462" s="47"/>
      <c r="AQ462" s="47"/>
      <c r="AR462" s="47"/>
      <c r="AS462" s="47"/>
      <c r="AT462" s="47"/>
      <c r="AU462" s="47"/>
      <c r="AV462" s="47"/>
      <c r="AW462" s="47"/>
      <c r="AX462" s="47"/>
      <c r="AY462" s="47"/>
      <c r="AZ462" s="47"/>
      <c r="BA462" s="47"/>
      <c r="BB462" s="47"/>
      <c r="BC462" s="47"/>
      <c r="BD462" s="47"/>
      <c r="BE462" s="47"/>
      <c r="BF462" s="47"/>
      <c r="BG462" s="47"/>
      <c r="BH462" s="47"/>
      <c r="BI462" s="47"/>
      <c r="BJ462" s="47"/>
      <c r="BK462" s="47"/>
      <c r="BL462" s="47"/>
      <c r="BM462" s="47"/>
      <c r="BN462" s="47"/>
      <c r="BO462" s="47"/>
      <c r="BP462" s="47"/>
      <c r="BQ462" s="47"/>
      <c r="BR462" s="47"/>
      <c r="BS462" s="47"/>
      <c r="BT462" s="47"/>
      <c r="BU462" s="47"/>
      <c r="BV462" s="47"/>
      <c r="BW462" s="47"/>
      <c r="BX462" s="47"/>
      <c r="BY462" s="47"/>
      <c r="BZ462" s="47"/>
    </row>
    <row r="463" spans="1:78" ht="13">
      <c r="A463" s="48" t="str">
        <f ca="1">'.'!A463</f>
        <v>Water Essence</v>
      </c>
      <c r="B463" s="46" t="str">
        <f t="array" aca="1" ref="B463" ca="1">IF('.'!B463="","",'.'!B463&amp;IF(VLOOKUP('.'!B463,Recipes!$A:$D,4,FALSE)="",""," ["&amp;VLOOKUP('.'!B463,Recipes!$A:$D,4,FALSE)&amp;"]"))</f>
        <v>Freezing Arrow [19]</v>
      </c>
      <c r="C463" s="46" t="str">
        <f t="array" aca="1" ref="C463" ca="1">IF('.'!C463="","",'.'!C463&amp;IF(VLOOKUP('.'!C463,Recipes!$A:$D,4,FALSE)="",""," ["&amp;VLOOKUP('.'!C463,Recipes!$A:$D,4,FALSE)&amp;"]"))</f>
        <v>Freezing Arrowhead [88]</v>
      </c>
      <c r="D463" s="46" t="str">
        <f t="array" aca="1" ref="D463" ca="1">IF('.'!D463="","",'.'!D463&amp;IF(VLOOKUP('.'!D463,Recipes!$A:$D,4,FALSE)="",""," ["&amp;VLOOKUP('.'!D463,Recipes!$A:$D,4,FALSE)&amp;"]"))</f>
        <v>Frost Grenade [270]</v>
      </c>
      <c r="E463" s="46" t="str">
        <f t="array" aca="1" ref="E463" ca="1">IF('.'!E463="","",'.'!E463&amp;IF(VLOOKUP('.'!E463,Recipes!$A:$D,4,FALSE)="",""," ["&amp;VLOOKUP('.'!E463,Recipes!$A:$D,4,FALSE)&amp;"]"))</f>
        <v>Armour of Frost Scroll [-75]</v>
      </c>
      <c r="F463" s="46" t="str">
        <f t="array" aca="1" ref="F463" ca="1">IF('.'!F463="","",'.'!F463&amp;IF(VLOOKUP('.'!F463,Recipes!$A:$D,4,FALSE)="",""," ["&amp;VLOOKUP('.'!F463,Recipes!$A:$D,4,FALSE)&amp;"]"))</f>
        <v>Rain Scroll [-6]</v>
      </c>
      <c r="G463" s="46" t="str">
        <f t="array" aca="1" ref="G463" ca="1">IF('.'!G463="","",'.'!G463&amp;IF(VLOOKUP('.'!G463,Recipes!$A:$D,4,FALSE)="",""," ["&amp;VLOOKUP('.'!G463,Recipes!$A:$D,4,FALSE)&amp;"]"))</f>
        <v>Restoration Scroll [-25]</v>
      </c>
      <c r="H463" s="46" t="str">
        <f t="array" aca="1" ref="H463" ca="1">IF('.'!H463="","",'.'!H463&amp;IF(VLOOKUP('.'!H463,Recipes!$A:$D,4,FALSE)="",""," ["&amp;VLOOKUP('.'!H463,Recipes!$A:$D,4,FALSE)&amp;"]"))</f>
        <v>Resurrection Scroll [45]</v>
      </c>
      <c r="I463" s="46" t="str">
        <f t="array" aca="1" ref="I463" ca="1">IF('.'!I463="","",'.'!I463&amp;IF(VLOOKUP('.'!I463,Recipes!$A:$D,4,FALSE)="",""," ["&amp;VLOOKUP('.'!I463,Recipes!$A:$D,4,FALSE)&amp;"]"))</f>
        <v>Soothing Cold Scroll [47]</v>
      </c>
      <c r="J463" s="46" t="str">
        <f t="array" aca="1" ref="J463" ca="1">IF('.'!J463="","",'.'!J463&amp;IF(VLOOKUP('.'!J463,Recipes!$A:$D,4,FALSE)="",""," ["&amp;VLOOKUP('.'!J463,Recipes!$A:$D,4,FALSE)&amp;"]"))</f>
        <v>Winter Blast Scroll [46]</v>
      </c>
      <c r="K463" s="46" t="str">
        <f t="array" aca="1" ref="K463" ca="1">IF('.'!K463="","",'.'!K463&amp;IF(VLOOKUP('.'!K463,Recipes!$A:$D,4,FALSE)="",""," ["&amp;VLOOKUP('.'!K463,Recipes!$A:$D,4,FALSE)&amp;"]"))</f>
        <v>Potion of Nimble Tumble [310]</v>
      </c>
      <c r="L463" s="46" t="str">
        <f t="array" ref="L463">IF('.'!L463="","",'.'!L463&amp;IF(VLOOKUP('.'!L463,Recipes!$A:$D,4,FALSE)="",""," ["&amp;VLOOKUP('.'!L463,Recipes!$A:$D,4,FALSE)&amp;"]"))</f>
        <v/>
      </c>
      <c r="M463" s="46" t="str">
        <f t="array" ref="M463">IF('.'!M463="","",'.'!M463&amp;IF(VLOOKUP('.'!M463,Recipes!$A:$D,4,FALSE)="",""," ["&amp;VLOOKUP('.'!M463,Recipes!$A:$D,4,FALSE)&amp;"]"))</f>
        <v/>
      </c>
      <c r="N463" s="46" t="str">
        <f t="array" ref="N463">IF('.'!N463="","",'.'!N463&amp;IF(VLOOKUP('.'!N463,Recipes!$A:$D,4,FALSE)="",""," ["&amp;VLOOKUP('.'!N463,Recipes!$A:$D,4,FALSE)&amp;"]"))</f>
        <v/>
      </c>
      <c r="O463" s="46" t="str">
        <f t="array" ref="O463">IF('.'!O463="","",'.'!O463&amp;IF(VLOOKUP('.'!O463,Recipes!$A:$D,4,FALSE)="",""," ["&amp;VLOOKUP('.'!O463,Recipes!$A:$D,4,FALSE)&amp;"]"))</f>
        <v/>
      </c>
      <c r="P463" s="46" t="str">
        <f t="array" ref="P463">IF('.'!P463="","",'.'!P463&amp;IF(VLOOKUP('.'!P463,Recipes!$A:$D,4,FALSE)="",""," ["&amp;VLOOKUP('.'!P463,Recipes!$A:$D,4,FALSE)&amp;"]"))</f>
        <v/>
      </c>
      <c r="Q463" s="46" t="str">
        <f t="array" ref="Q463">IF('.'!Q463="","",'.'!Q463&amp;IF(VLOOKUP('.'!Q463,Recipes!$A:$D,4,FALSE)="",""," ["&amp;VLOOKUP('.'!Q463,Recipes!$A:$D,4,FALSE)&amp;"]"))</f>
        <v/>
      </c>
      <c r="R463" s="46" t="str">
        <f t="array" ref="R463">IF('.'!R463="","",'.'!R463&amp;IF(VLOOKUP('.'!R463,Recipes!$A:$D,4,FALSE)="",""," ["&amp;VLOOKUP('.'!R463,Recipes!$A:$D,4,FALSE)&amp;"]"))</f>
        <v/>
      </c>
      <c r="S463" s="46" t="str">
        <f t="array" ref="S463">IF('.'!S463="","",'.'!S463&amp;IF(VLOOKUP('.'!S463,Recipes!$A:$D,4,FALSE)="",""," ["&amp;VLOOKUP('.'!S463,Recipes!$A:$D,4,FALSE)&amp;"]"))</f>
        <v/>
      </c>
      <c r="T463" s="46" t="str">
        <f t="array" ref="T463">IF('.'!T463="","",'.'!T463&amp;IF(VLOOKUP('.'!T463,Recipes!$A:$D,4,FALSE)="",""," ["&amp;VLOOKUP('.'!T463,Recipes!$A:$D,4,FALSE)&amp;"]"))</f>
        <v/>
      </c>
      <c r="U463" s="46" t="str">
        <f t="array" ref="U463">IF('.'!U463="","",'.'!U463&amp;IF(VLOOKUP('.'!U463,Recipes!$A:$D,4,FALSE)="",""," ["&amp;VLOOKUP('.'!U463,Recipes!$A:$D,4,FALSE)&amp;"]"))</f>
        <v/>
      </c>
      <c r="V463" s="46" t="str">
        <f t="array" ref="V463">IF('.'!V463="","",'.'!V463&amp;IF(VLOOKUP('.'!V463,Recipes!$A:$D,4,FALSE)="",""," ["&amp;VLOOKUP('.'!V463,Recipes!$A:$D,4,FALSE)&amp;"]"))</f>
        <v/>
      </c>
      <c r="W463" s="46" t="str">
        <f t="array" ref="W463">IF('.'!W463="","",'.'!W463&amp;IF(VLOOKUP('.'!W463,Recipes!$A:$D,4,FALSE)="",""," ["&amp;VLOOKUP('.'!W463,Recipes!$A:$D,4,FALSE)&amp;"]"))</f>
        <v/>
      </c>
      <c r="X463" s="46" t="str">
        <f t="array" ref="X463">IF('.'!X463="","",'.'!X463&amp;IF(VLOOKUP('.'!X463,Recipes!$A:$D,4,FALSE)="",""," ["&amp;VLOOKUP('.'!X463,Recipes!$A:$D,4,FALSE)&amp;"]"))</f>
        <v/>
      </c>
      <c r="Y463" s="46" t="str">
        <f t="array" ref="Y463">IF('.'!Y463="","",'.'!Y463&amp;IF(VLOOKUP('.'!Y463,Recipes!$A:$D,4,FALSE)="",""," ["&amp;VLOOKUP('.'!Y463,Recipes!$A:$D,4,FALSE)&amp;"]"))</f>
        <v/>
      </c>
      <c r="Z463" s="46" t="str">
        <f t="array" ref="Z463">IF('.'!Z463="","",'.'!Z463&amp;IF(VLOOKUP('.'!Z463,Recipes!$A:$D,4,FALSE)="",""," ["&amp;VLOOKUP('.'!Z463,Recipes!$A:$D,4,FALSE)&amp;"]"))</f>
        <v/>
      </c>
      <c r="AA463" s="46" t="str">
        <f t="array" ref="AA463">IF('.'!AA463="","",'.'!AA463&amp;IF(VLOOKUP('.'!AA463,Recipes!$A:$D,4,FALSE)="",""," ["&amp;VLOOKUP('.'!AA463,Recipes!$A:$D,4,FALSE)&amp;"]"))</f>
        <v/>
      </c>
      <c r="AB463" s="46" t="str">
        <f t="array" ref="AB463">IF('.'!AB463="","",'.'!AB463&amp;IF(VLOOKUP('.'!AB463,Recipes!$A:$D,4,FALSE)="",""," ["&amp;VLOOKUP('.'!AB463,Recipes!$A:$D,4,FALSE)&amp;"]"))</f>
        <v/>
      </c>
      <c r="AC463" s="46" t="str">
        <f t="array" ref="AC463">IF('.'!AC463="","",'.'!AC463&amp;IF(VLOOKUP('.'!AC463,Recipes!$A:$D,4,FALSE)="",""," ["&amp;VLOOKUP('.'!AC463,Recipes!$A:$D,4,FALSE)&amp;"]"))</f>
        <v/>
      </c>
      <c r="AD463" s="46" t="str">
        <f t="array" ref="AD463">IF('.'!AD463="","",'.'!AD463&amp;IF(VLOOKUP('.'!AD463,Recipes!$A:$D,4,FALSE)="",""," ["&amp;VLOOKUP('.'!AD463,Recipes!$A:$D,4,FALSE)&amp;"]"))</f>
        <v/>
      </c>
      <c r="AE463" s="47" t="str">
        <f t="array" ref="AE463">IF('.'!AE463="","",'.'!AE463&amp;IF(VLOOKUP('.'!AE463,Recipes!$A:$D,4,FALSE)="",""," ["&amp;VLOOKUP('.'!AE463,Recipes!$A:$D,4,FALSE)&amp;"]"))</f>
        <v/>
      </c>
      <c r="AF463" s="47"/>
      <c r="AG463" s="47"/>
      <c r="AH463" s="47"/>
      <c r="AI463" s="47"/>
      <c r="AJ463" s="47"/>
      <c r="AK463" s="47"/>
      <c r="AL463" s="47"/>
      <c r="AM463" s="47"/>
      <c r="AN463" s="47"/>
      <c r="AO463" s="47"/>
      <c r="AP463" s="47"/>
      <c r="AQ463" s="47"/>
      <c r="AR463" s="47"/>
      <c r="AS463" s="47"/>
      <c r="AT463" s="47"/>
      <c r="AU463" s="47"/>
      <c r="AV463" s="47"/>
      <c r="AW463" s="47"/>
      <c r="AX463" s="47"/>
      <c r="AY463" s="47"/>
      <c r="AZ463" s="47"/>
      <c r="BA463" s="47"/>
      <c r="BB463" s="47"/>
      <c r="BC463" s="47"/>
      <c r="BD463" s="47"/>
      <c r="BE463" s="47"/>
      <c r="BF463" s="47"/>
      <c r="BG463" s="47"/>
      <c r="BH463" s="47"/>
      <c r="BI463" s="47"/>
      <c r="BJ463" s="47"/>
      <c r="BK463" s="47"/>
      <c r="BL463" s="47"/>
      <c r="BM463" s="47"/>
      <c r="BN463" s="47"/>
      <c r="BO463" s="47"/>
      <c r="BP463" s="47"/>
      <c r="BQ463" s="47"/>
      <c r="BR463" s="47"/>
      <c r="BS463" s="47"/>
      <c r="BT463" s="47"/>
      <c r="BU463" s="47"/>
      <c r="BV463" s="47"/>
      <c r="BW463" s="47"/>
      <c r="BX463" s="47"/>
      <c r="BY463" s="47"/>
      <c r="BZ463" s="47"/>
    </row>
    <row r="464" spans="1:78" ht="13">
      <c r="A464" s="48" t="str">
        <f ca="1">'.'!A464</f>
        <v>Water Resistance Potion</v>
      </c>
      <c r="B464" s="46" t="str">
        <f t="array" aca="1" ref="B464" ca="1">IF('.'!B464="","",'.'!B464&amp;IF(VLOOKUP('.'!B464,Recipes!$A:$D,4,FALSE)="",""," ["&amp;VLOOKUP('.'!B464,Recipes!$A:$D,4,FALSE)&amp;"]"))</f>
        <v>Medium Water Resistance Potion [-35]</v>
      </c>
      <c r="C464" s="46" t="str">
        <f t="array" ref="C464">IF('.'!C464="","",'.'!C464&amp;IF(VLOOKUP('.'!C464,Recipes!$A:$D,4,FALSE)="",""," ["&amp;VLOOKUP('.'!C464,Recipes!$A:$D,4,FALSE)&amp;"]"))</f>
        <v/>
      </c>
      <c r="D464" s="46" t="str">
        <f t="array" ref="D464">IF('.'!D464="","",'.'!D464&amp;IF(VLOOKUP('.'!D464,Recipes!$A:$D,4,FALSE)="",""," ["&amp;VLOOKUP('.'!D464,Recipes!$A:$D,4,FALSE)&amp;"]"))</f>
        <v/>
      </c>
      <c r="E464" s="46" t="str">
        <f t="array" ref="E464">IF('.'!E464="","",'.'!E464&amp;IF(VLOOKUP('.'!E464,Recipes!$A:$D,4,FALSE)="",""," ["&amp;VLOOKUP('.'!E464,Recipes!$A:$D,4,FALSE)&amp;"]"))</f>
        <v/>
      </c>
      <c r="F464" s="46" t="str">
        <f t="array" ref="F464">IF('.'!F464="","",'.'!F464&amp;IF(VLOOKUP('.'!F464,Recipes!$A:$D,4,FALSE)="",""," ["&amp;VLOOKUP('.'!F464,Recipes!$A:$D,4,FALSE)&amp;"]"))</f>
        <v/>
      </c>
      <c r="G464" s="46" t="str">
        <f t="array" ref="G464">IF('.'!G464="","",'.'!G464&amp;IF(VLOOKUP('.'!G464,Recipes!$A:$D,4,FALSE)="",""," ["&amp;VLOOKUP('.'!G464,Recipes!$A:$D,4,FALSE)&amp;"]"))</f>
        <v/>
      </c>
      <c r="H464" s="46" t="str">
        <f t="array" ref="H464">IF('.'!H464="","",'.'!H464&amp;IF(VLOOKUP('.'!H464,Recipes!$A:$D,4,FALSE)="",""," ["&amp;VLOOKUP('.'!H464,Recipes!$A:$D,4,FALSE)&amp;"]"))</f>
        <v/>
      </c>
      <c r="I464" s="46" t="str">
        <f t="array" ref="I464">IF('.'!I464="","",'.'!I464&amp;IF(VLOOKUP('.'!I464,Recipes!$A:$D,4,FALSE)="",""," ["&amp;VLOOKUP('.'!I464,Recipes!$A:$D,4,FALSE)&amp;"]"))</f>
        <v/>
      </c>
      <c r="J464" s="46" t="str">
        <f t="array" ref="J464">IF('.'!J464="","",'.'!J464&amp;IF(VLOOKUP('.'!J464,Recipes!$A:$D,4,FALSE)="",""," ["&amp;VLOOKUP('.'!J464,Recipes!$A:$D,4,FALSE)&amp;"]"))</f>
        <v/>
      </c>
      <c r="K464" s="46" t="str">
        <f t="array" ref="K464">IF('.'!K464="","",'.'!K464&amp;IF(VLOOKUP('.'!K464,Recipes!$A:$D,4,FALSE)="",""," ["&amp;VLOOKUP('.'!K464,Recipes!$A:$D,4,FALSE)&amp;"]"))</f>
        <v/>
      </c>
      <c r="L464" s="46" t="str">
        <f t="array" ref="L464">IF('.'!L464="","",'.'!L464&amp;IF(VLOOKUP('.'!L464,Recipes!$A:$D,4,FALSE)="",""," ["&amp;VLOOKUP('.'!L464,Recipes!$A:$D,4,FALSE)&amp;"]"))</f>
        <v/>
      </c>
      <c r="M464" s="46" t="str">
        <f t="array" ref="M464">IF('.'!M464="","",'.'!M464&amp;IF(VLOOKUP('.'!M464,Recipes!$A:$D,4,FALSE)="",""," ["&amp;VLOOKUP('.'!M464,Recipes!$A:$D,4,FALSE)&amp;"]"))</f>
        <v/>
      </c>
      <c r="N464" s="46" t="str">
        <f t="array" ref="N464">IF('.'!N464="","",'.'!N464&amp;IF(VLOOKUP('.'!N464,Recipes!$A:$D,4,FALSE)="",""," ["&amp;VLOOKUP('.'!N464,Recipes!$A:$D,4,FALSE)&amp;"]"))</f>
        <v/>
      </c>
      <c r="O464" s="46" t="str">
        <f t="array" ref="O464">IF('.'!O464="","",'.'!O464&amp;IF(VLOOKUP('.'!O464,Recipes!$A:$D,4,FALSE)="",""," ["&amp;VLOOKUP('.'!O464,Recipes!$A:$D,4,FALSE)&amp;"]"))</f>
        <v/>
      </c>
      <c r="P464" s="46" t="str">
        <f t="array" ref="P464">IF('.'!P464="","",'.'!P464&amp;IF(VLOOKUP('.'!P464,Recipes!$A:$D,4,FALSE)="",""," ["&amp;VLOOKUP('.'!P464,Recipes!$A:$D,4,FALSE)&amp;"]"))</f>
        <v/>
      </c>
      <c r="Q464" s="46" t="str">
        <f t="array" ref="Q464">IF('.'!Q464="","",'.'!Q464&amp;IF(VLOOKUP('.'!Q464,Recipes!$A:$D,4,FALSE)="",""," ["&amp;VLOOKUP('.'!Q464,Recipes!$A:$D,4,FALSE)&amp;"]"))</f>
        <v/>
      </c>
      <c r="R464" s="46" t="str">
        <f t="array" ref="R464">IF('.'!R464="","",'.'!R464&amp;IF(VLOOKUP('.'!R464,Recipes!$A:$D,4,FALSE)="",""," ["&amp;VLOOKUP('.'!R464,Recipes!$A:$D,4,FALSE)&amp;"]"))</f>
        <v/>
      </c>
      <c r="S464" s="46" t="str">
        <f t="array" ref="S464">IF('.'!S464="","",'.'!S464&amp;IF(VLOOKUP('.'!S464,Recipes!$A:$D,4,FALSE)="",""," ["&amp;VLOOKUP('.'!S464,Recipes!$A:$D,4,FALSE)&amp;"]"))</f>
        <v/>
      </c>
      <c r="T464" s="46" t="str">
        <f t="array" ref="T464">IF('.'!T464="","",'.'!T464&amp;IF(VLOOKUP('.'!T464,Recipes!$A:$D,4,FALSE)="",""," ["&amp;VLOOKUP('.'!T464,Recipes!$A:$D,4,FALSE)&amp;"]"))</f>
        <v/>
      </c>
      <c r="U464" s="46" t="str">
        <f t="array" ref="U464">IF('.'!U464="","",'.'!U464&amp;IF(VLOOKUP('.'!U464,Recipes!$A:$D,4,FALSE)="",""," ["&amp;VLOOKUP('.'!U464,Recipes!$A:$D,4,FALSE)&amp;"]"))</f>
        <v/>
      </c>
      <c r="V464" s="46" t="str">
        <f t="array" ref="V464">IF('.'!V464="","",'.'!V464&amp;IF(VLOOKUP('.'!V464,Recipes!$A:$D,4,FALSE)="",""," ["&amp;VLOOKUP('.'!V464,Recipes!$A:$D,4,FALSE)&amp;"]"))</f>
        <v/>
      </c>
      <c r="W464" s="46" t="str">
        <f t="array" ref="W464">IF('.'!W464="","",'.'!W464&amp;IF(VLOOKUP('.'!W464,Recipes!$A:$D,4,FALSE)="",""," ["&amp;VLOOKUP('.'!W464,Recipes!$A:$D,4,FALSE)&amp;"]"))</f>
        <v/>
      </c>
      <c r="X464" s="46" t="str">
        <f t="array" ref="X464">IF('.'!X464="","",'.'!X464&amp;IF(VLOOKUP('.'!X464,Recipes!$A:$D,4,FALSE)="",""," ["&amp;VLOOKUP('.'!X464,Recipes!$A:$D,4,FALSE)&amp;"]"))</f>
        <v/>
      </c>
      <c r="Y464" s="46" t="str">
        <f t="array" ref="Y464">IF('.'!Y464="","",'.'!Y464&amp;IF(VLOOKUP('.'!Y464,Recipes!$A:$D,4,FALSE)="",""," ["&amp;VLOOKUP('.'!Y464,Recipes!$A:$D,4,FALSE)&amp;"]"))</f>
        <v/>
      </c>
      <c r="Z464" s="46" t="str">
        <f t="array" ref="Z464">IF('.'!Z464="","",'.'!Z464&amp;IF(VLOOKUP('.'!Z464,Recipes!$A:$D,4,FALSE)="",""," ["&amp;VLOOKUP('.'!Z464,Recipes!$A:$D,4,FALSE)&amp;"]"))</f>
        <v/>
      </c>
      <c r="AA464" s="46" t="str">
        <f t="array" ref="AA464">IF('.'!AA464="","",'.'!AA464&amp;IF(VLOOKUP('.'!AA464,Recipes!$A:$D,4,FALSE)="",""," ["&amp;VLOOKUP('.'!AA464,Recipes!$A:$D,4,FALSE)&amp;"]"))</f>
        <v/>
      </c>
      <c r="AB464" s="46" t="str">
        <f t="array" ref="AB464">IF('.'!AB464="","",'.'!AB464&amp;IF(VLOOKUP('.'!AB464,Recipes!$A:$D,4,FALSE)="",""," ["&amp;VLOOKUP('.'!AB464,Recipes!$A:$D,4,FALSE)&amp;"]"))</f>
        <v/>
      </c>
      <c r="AC464" s="46" t="str">
        <f t="array" ref="AC464">IF('.'!AC464="","",'.'!AC464&amp;IF(VLOOKUP('.'!AC464,Recipes!$A:$D,4,FALSE)="",""," ["&amp;VLOOKUP('.'!AC464,Recipes!$A:$D,4,FALSE)&amp;"]"))</f>
        <v/>
      </c>
      <c r="AD464" s="46" t="str">
        <f t="array" ref="AD464">IF('.'!AD464="","",'.'!AD464&amp;IF(VLOOKUP('.'!AD464,Recipes!$A:$D,4,FALSE)="",""," ["&amp;VLOOKUP('.'!AD464,Recipes!$A:$D,4,FALSE)&amp;"]"))</f>
        <v/>
      </c>
      <c r="AE464" s="47" t="str">
        <f t="array" ref="AE464">IF('.'!AE464="","",'.'!AE464&amp;IF(VLOOKUP('.'!AE464,Recipes!$A:$D,4,FALSE)="",""," ["&amp;VLOOKUP('.'!AE464,Recipes!$A:$D,4,FALSE)&amp;"]"))</f>
        <v/>
      </c>
      <c r="AF464" s="47"/>
      <c r="AG464" s="47"/>
      <c r="AH464" s="47"/>
      <c r="AI464" s="47"/>
      <c r="AJ464" s="47"/>
      <c r="AK464" s="47"/>
      <c r="AL464" s="47"/>
      <c r="AM464" s="47"/>
      <c r="AN464" s="47"/>
      <c r="AO464" s="47"/>
      <c r="AP464" s="47"/>
      <c r="AQ464" s="47"/>
      <c r="AR464" s="47"/>
      <c r="AS464" s="47"/>
      <c r="AT464" s="47"/>
      <c r="AU464" s="47"/>
      <c r="AV464" s="47"/>
      <c r="AW464" s="47"/>
      <c r="AX464" s="47"/>
      <c r="AY464" s="47"/>
      <c r="AZ464" s="47"/>
      <c r="BA464" s="47"/>
      <c r="BB464" s="47"/>
      <c r="BC464" s="47"/>
      <c r="BD464" s="47"/>
      <c r="BE464" s="47"/>
      <c r="BF464" s="47"/>
      <c r="BG464" s="47"/>
      <c r="BH464" s="47"/>
      <c r="BI464" s="47"/>
      <c r="BJ464" s="47"/>
      <c r="BK464" s="47"/>
      <c r="BL464" s="47"/>
      <c r="BM464" s="47"/>
      <c r="BN464" s="47"/>
      <c r="BO464" s="47"/>
      <c r="BP464" s="47"/>
      <c r="BQ464" s="47"/>
      <c r="BR464" s="47"/>
      <c r="BS464" s="47"/>
      <c r="BT464" s="47"/>
      <c r="BU464" s="47"/>
      <c r="BV464" s="47"/>
      <c r="BW464" s="47"/>
      <c r="BX464" s="47"/>
      <c r="BY464" s="47"/>
      <c r="BZ464" s="47"/>
    </row>
    <row r="465" spans="1:78" ht="13">
      <c r="A465" s="48" t="str">
        <f ca="1">'.'!A465</f>
        <v>Weapon (not staff or wand)</v>
      </c>
      <c r="B465" s="46" t="str">
        <f t="array" aca="1" ref="B465" ca="1">IF('.'!B465="","",'.'!B465&amp;IF(VLOOKUP('.'!B465,Recipes!$A:$D,4,FALSE)="",""," ["&amp;VLOOKUP('.'!B465,Recipes!$A:$D,4,FALSE)&amp;"]"))</f>
        <v>Add Air Damage [-350]</v>
      </c>
      <c r="C465" s="46" t="str">
        <f t="array" ref="C465">IF('.'!C465="","",'.'!C465&amp;IF(VLOOKUP('.'!C465,Recipes!$A:$D,4,FALSE)="",""," ["&amp;VLOOKUP('.'!C465,Recipes!$A:$D,4,FALSE)&amp;"]"))</f>
        <v/>
      </c>
      <c r="D465" s="46" t="str">
        <f t="array" ref="D465">IF('.'!D465="","",'.'!D465&amp;IF(VLOOKUP('.'!D465,Recipes!$A:$D,4,FALSE)="",""," ["&amp;VLOOKUP('.'!D465,Recipes!$A:$D,4,FALSE)&amp;"]"))</f>
        <v/>
      </c>
      <c r="E465" s="46" t="str">
        <f t="array" ref="E465">IF('.'!E465="","",'.'!E465&amp;IF(VLOOKUP('.'!E465,Recipes!$A:$D,4,FALSE)="",""," ["&amp;VLOOKUP('.'!E465,Recipes!$A:$D,4,FALSE)&amp;"]"))</f>
        <v/>
      </c>
      <c r="F465" s="46" t="str">
        <f t="array" ref="F465">IF('.'!F465="","",'.'!F465&amp;IF(VLOOKUP('.'!F465,Recipes!$A:$D,4,FALSE)="",""," ["&amp;VLOOKUP('.'!F465,Recipes!$A:$D,4,FALSE)&amp;"]"))</f>
        <v/>
      </c>
      <c r="G465" s="46" t="str">
        <f t="array" ref="G465">IF('.'!G465="","",'.'!G465&amp;IF(VLOOKUP('.'!G465,Recipes!$A:$D,4,FALSE)="",""," ["&amp;VLOOKUP('.'!G465,Recipes!$A:$D,4,FALSE)&amp;"]"))</f>
        <v/>
      </c>
      <c r="H465" s="46" t="str">
        <f t="array" ref="H465">IF('.'!H465="","",'.'!H465&amp;IF(VLOOKUP('.'!H465,Recipes!$A:$D,4,FALSE)="",""," ["&amp;VLOOKUP('.'!H465,Recipes!$A:$D,4,FALSE)&amp;"]"))</f>
        <v/>
      </c>
      <c r="I465" s="46" t="str">
        <f t="array" ref="I465">IF('.'!I465="","",'.'!I465&amp;IF(VLOOKUP('.'!I465,Recipes!$A:$D,4,FALSE)="",""," ["&amp;VLOOKUP('.'!I465,Recipes!$A:$D,4,FALSE)&amp;"]"))</f>
        <v/>
      </c>
      <c r="J465" s="46" t="str">
        <f t="array" ref="J465">IF('.'!J465="","",'.'!J465&amp;IF(VLOOKUP('.'!J465,Recipes!$A:$D,4,FALSE)="",""," ["&amp;VLOOKUP('.'!J465,Recipes!$A:$D,4,FALSE)&amp;"]"))</f>
        <v/>
      </c>
      <c r="K465" s="46" t="str">
        <f t="array" ref="K465">IF('.'!K465="","",'.'!K465&amp;IF(VLOOKUP('.'!K465,Recipes!$A:$D,4,FALSE)="",""," ["&amp;VLOOKUP('.'!K465,Recipes!$A:$D,4,FALSE)&amp;"]"))</f>
        <v/>
      </c>
      <c r="L465" s="46" t="str">
        <f t="array" ref="L465">IF('.'!L465="","",'.'!L465&amp;IF(VLOOKUP('.'!L465,Recipes!$A:$D,4,FALSE)="",""," ["&amp;VLOOKUP('.'!L465,Recipes!$A:$D,4,FALSE)&amp;"]"))</f>
        <v/>
      </c>
      <c r="M465" s="46" t="str">
        <f t="array" ref="M465">IF('.'!M465="","",'.'!M465&amp;IF(VLOOKUP('.'!M465,Recipes!$A:$D,4,FALSE)="",""," ["&amp;VLOOKUP('.'!M465,Recipes!$A:$D,4,FALSE)&amp;"]"))</f>
        <v/>
      </c>
      <c r="N465" s="46" t="str">
        <f t="array" ref="N465">IF('.'!N465="","",'.'!N465&amp;IF(VLOOKUP('.'!N465,Recipes!$A:$D,4,FALSE)="",""," ["&amp;VLOOKUP('.'!N465,Recipes!$A:$D,4,FALSE)&amp;"]"))</f>
        <v/>
      </c>
      <c r="O465" s="46" t="str">
        <f t="array" ref="O465">IF('.'!O465="","",'.'!O465&amp;IF(VLOOKUP('.'!O465,Recipes!$A:$D,4,FALSE)="",""," ["&amp;VLOOKUP('.'!O465,Recipes!$A:$D,4,FALSE)&amp;"]"))</f>
        <v/>
      </c>
      <c r="P465" s="46" t="str">
        <f t="array" ref="P465">IF('.'!P465="","",'.'!P465&amp;IF(VLOOKUP('.'!P465,Recipes!$A:$D,4,FALSE)="",""," ["&amp;VLOOKUP('.'!P465,Recipes!$A:$D,4,FALSE)&amp;"]"))</f>
        <v/>
      </c>
      <c r="Q465" s="46" t="str">
        <f t="array" ref="Q465">IF('.'!Q465="","",'.'!Q465&amp;IF(VLOOKUP('.'!Q465,Recipes!$A:$D,4,FALSE)="",""," ["&amp;VLOOKUP('.'!Q465,Recipes!$A:$D,4,FALSE)&amp;"]"))</f>
        <v/>
      </c>
      <c r="R465" s="46" t="str">
        <f t="array" ref="R465">IF('.'!R465="","",'.'!R465&amp;IF(VLOOKUP('.'!R465,Recipes!$A:$D,4,FALSE)="",""," ["&amp;VLOOKUP('.'!R465,Recipes!$A:$D,4,FALSE)&amp;"]"))</f>
        <v/>
      </c>
      <c r="S465" s="46" t="str">
        <f t="array" ref="S465">IF('.'!S465="","",'.'!S465&amp;IF(VLOOKUP('.'!S465,Recipes!$A:$D,4,FALSE)="",""," ["&amp;VLOOKUP('.'!S465,Recipes!$A:$D,4,FALSE)&amp;"]"))</f>
        <v/>
      </c>
      <c r="T465" s="46" t="str">
        <f t="array" ref="T465">IF('.'!T465="","",'.'!T465&amp;IF(VLOOKUP('.'!T465,Recipes!$A:$D,4,FALSE)="",""," ["&amp;VLOOKUP('.'!T465,Recipes!$A:$D,4,FALSE)&amp;"]"))</f>
        <v/>
      </c>
      <c r="U465" s="46" t="str">
        <f t="array" ref="U465">IF('.'!U465="","",'.'!U465&amp;IF(VLOOKUP('.'!U465,Recipes!$A:$D,4,FALSE)="",""," ["&amp;VLOOKUP('.'!U465,Recipes!$A:$D,4,FALSE)&amp;"]"))</f>
        <v/>
      </c>
      <c r="V465" s="46" t="str">
        <f t="array" ref="V465">IF('.'!V465="","",'.'!V465&amp;IF(VLOOKUP('.'!V465,Recipes!$A:$D,4,FALSE)="",""," ["&amp;VLOOKUP('.'!V465,Recipes!$A:$D,4,FALSE)&amp;"]"))</f>
        <v/>
      </c>
      <c r="W465" s="46" t="str">
        <f t="array" ref="W465">IF('.'!W465="","",'.'!W465&amp;IF(VLOOKUP('.'!W465,Recipes!$A:$D,4,FALSE)="",""," ["&amp;VLOOKUP('.'!W465,Recipes!$A:$D,4,FALSE)&amp;"]"))</f>
        <v/>
      </c>
      <c r="X465" s="46" t="str">
        <f t="array" ref="X465">IF('.'!X465="","",'.'!X465&amp;IF(VLOOKUP('.'!X465,Recipes!$A:$D,4,FALSE)="",""," ["&amp;VLOOKUP('.'!X465,Recipes!$A:$D,4,FALSE)&amp;"]"))</f>
        <v/>
      </c>
      <c r="Y465" s="46" t="str">
        <f t="array" ref="Y465">IF('.'!Y465="","",'.'!Y465&amp;IF(VLOOKUP('.'!Y465,Recipes!$A:$D,4,FALSE)="",""," ["&amp;VLOOKUP('.'!Y465,Recipes!$A:$D,4,FALSE)&amp;"]"))</f>
        <v/>
      </c>
      <c r="Z465" s="46" t="str">
        <f t="array" ref="Z465">IF('.'!Z465="","",'.'!Z465&amp;IF(VLOOKUP('.'!Z465,Recipes!$A:$D,4,FALSE)="",""," ["&amp;VLOOKUP('.'!Z465,Recipes!$A:$D,4,FALSE)&amp;"]"))</f>
        <v/>
      </c>
      <c r="AA465" s="46" t="str">
        <f t="array" ref="AA465">IF('.'!AA465="","",'.'!AA465&amp;IF(VLOOKUP('.'!AA465,Recipes!$A:$D,4,FALSE)="",""," ["&amp;VLOOKUP('.'!AA465,Recipes!$A:$D,4,FALSE)&amp;"]"))</f>
        <v/>
      </c>
      <c r="AB465" s="46" t="str">
        <f t="array" ref="AB465">IF('.'!AB465="","",'.'!AB465&amp;IF(VLOOKUP('.'!AB465,Recipes!$A:$D,4,FALSE)="",""," ["&amp;VLOOKUP('.'!AB465,Recipes!$A:$D,4,FALSE)&amp;"]"))</f>
        <v/>
      </c>
      <c r="AC465" s="46" t="str">
        <f t="array" ref="AC465">IF('.'!AC465="","",'.'!AC465&amp;IF(VLOOKUP('.'!AC465,Recipes!$A:$D,4,FALSE)="",""," ["&amp;VLOOKUP('.'!AC465,Recipes!$A:$D,4,FALSE)&amp;"]"))</f>
        <v/>
      </c>
      <c r="AD465" s="46" t="str">
        <f t="array" ref="AD465">IF('.'!AD465="","",'.'!AD465&amp;IF(VLOOKUP('.'!AD465,Recipes!$A:$D,4,FALSE)="",""," ["&amp;VLOOKUP('.'!AD465,Recipes!$A:$D,4,FALSE)&amp;"]"))</f>
        <v/>
      </c>
      <c r="AE465" s="47" t="str">
        <f t="array" ref="AE465">IF('.'!AE465="","",'.'!AE465&amp;IF(VLOOKUP('.'!AE465,Recipes!$A:$D,4,FALSE)="",""," ["&amp;VLOOKUP('.'!AE465,Recipes!$A:$D,4,FALSE)&amp;"]"))</f>
        <v/>
      </c>
      <c r="AF465" s="47"/>
      <c r="AG465" s="47"/>
      <c r="AH465" s="47"/>
      <c r="AI465" s="47"/>
      <c r="AJ465" s="47"/>
      <c r="AK465" s="47"/>
      <c r="AL465" s="47"/>
      <c r="AM465" s="47"/>
      <c r="AN465" s="47"/>
      <c r="AO465" s="47"/>
      <c r="AP465" s="47"/>
      <c r="AQ465" s="47"/>
      <c r="AR465" s="47"/>
      <c r="AS465" s="47"/>
      <c r="AT465" s="47"/>
      <c r="AU465" s="47"/>
      <c r="AV465" s="47"/>
      <c r="AW465" s="47"/>
      <c r="AX465" s="47"/>
      <c r="AY465" s="47"/>
      <c r="AZ465" s="47"/>
      <c r="BA465" s="47"/>
      <c r="BB465" s="47"/>
      <c r="BC465" s="47"/>
      <c r="BD465" s="47"/>
      <c r="BE465" s="47"/>
      <c r="BF465" s="47"/>
      <c r="BG465" s="47"/>
      <c r="BH465" s="47"/>
      <c r="BI465" s="47"/>
      <c r="BJ465" s="47"/>
      <c r="BK465" s="47"/>
      <c r="BL465" s="47"/>
      <c r="BM465" s="47"/>
      <c r="BN465" s="47"/>
      <c r="BO465" s="47"/>
      <c r="BP465" s="47"/>
      <c r="BQ465" s="47"/>
      <c r="BR465" s="47"/>
      <c r="BS465" s="47"/>
      <c r="BT465" s="47"/>
      <c r="BU465" s="47"/>
      <c r="BV465" s="47"/>
      <c r="BW465" s="47"/>
      <c r="BX465" s="47"/>
      <c r="BY465" s="47"/>
      <c r="BZ465" s="47"/>
    </row>
    <row r="466" spans="1:78" ht="13">
      <c r="A466" s="48" t="str">
        <f ca="1">'.'!A466</f>
        <v>Weapon (not wand)</v>
      </c>
      <c r="B466" s="46" t="str">
        <f t="array" aca="1" ref="B466" ca="1">IF('.'!B466="","",'.'!B466&amp;IF(VLOOKUP('.'!B466,Recipes!$A:$D,4,FALSE)="",""," ["&amp;VLOOKUP('.'!B466,Recipes!$A:$D,4,FALSE)&amp;"]"))</f>
        <v>Add Poison Damage [0]</v>
      </c>
      <c r="C466" s="46" t="str">
        <f t="array" ref="C466">IF('.'!C466="","",'.'!C466&amp;IF(VLOOKUP('.'!C466,Recipes!$A:$D,4,FALSE)="",""," ["&amp;VLOOKUP('.'!C466,Recipes!$A:$D,4,FALSE)&amp;"]"))</f>
        <v/>
      </c>
      <c r="D466" s="46" t="str">
        <f t="array" ref="D466">IF('.'!D466="","",'.'!D466&amp;IF(VLOOKUP('.'!D466,Recipes!$A:$D,4,FALSE)="",""," ["&amp;VLOOKUP('.'!D466,Recipes!$A:$D,4,FALSE)&amp;"]"))</f>
        <v/>
      </c>
      <c r="E466" s="46" t="str">
        <f t="array" ref="E466">IF('.'!E466="","",'.'!E466&amp;IF(VLOOKUP('.'!E466,Recipes!$A:$D,4,FALSE)="",""," ["&amp;VLOOKUP('.'!E466,Recipes!$A:$D,4,FALSE)&amp;"]"))</f>
        <v/>
      </c>
      <c r="F466" s="46" t="str">
        <f t="array" ref="F466">IF('.'!F466="","",'.'!F466&amp;IF(VLOOKUP('.'!F466,Recipes!$A:$D,4,FALSE)="",""," ["&amp;VLOOKUP('.'!F466,Recipes!$A:$D,4,FALSE)&amp;"]"))</f>
        <v/>
      </c>
      <c r="G466" s="46" t="str">
        <f t="array" ref="G466">IF('.'!G466="","",'.'!G466&amp;IF(VLOOKUP('.'!G466,Recipes!$A:$D,4,FALSE)="",""," ["&amp;VLOOKUP('.'!G466,Recipes!$A:$D,4,FALSE)&amp;"]"))</f>
        <v/>
      </c>
      <c r="H466" s="46" t="str">
        <f t="array" ref="H466">IF('.'!H466="","",'.'!H466&amp;IF(VLOOKUP('.'!H466,Recipes!$A:$D,4,FALSE)="",""," ["&amp;VLOOKUP('.'!H466,Recipes!$A:$D,4,FALSE)&amp;"]"))</f>
        <v/>
      </c>
      <c r="I466" s="46" t="str">
        <f t="array" ref="I466">IF('.'!I466="","",'.'!I466&amp;IF(VLOOKUP('.'!I466,Recipes!$A:$D,4,FALSE)="",""," ["&amp;VLOOKUP('.'!I466,Recipes!$A:$D,4,FALSE)&amp;"]"))</f>
        <v/>
      </c>
      <c r="J466" s="46" t="str">
        <f t="array" ref="J466">IF('.'!J466="","",'.'!J466&amp;IF(VLOOKUP('.'!J466,Recipes!$A:$D,4,FALSE)="",""," ["&amp;VLOOKUP('.'!J466,Recipes!$A:$D,4,FALSE)&amp;"]"))</f>
        <v/>
      </c>
      <c r="K466" s="46" t="str">
        <f t="array" ref="K466">IF('.'!K466="","",'.'!K466&amp;IF(VLOOKUP('.'!K466,Recipes!$A:$D,4,FALSE)="",""," ["&amp;VLOOKUP('.'!K466,Recipes!$A:$D,4,FALSE)&amp;"]"))</f>
        <v/>
      </c>
      <c r="L466" s="46" t="str">
        <f t="array" ref="L466">IF('.'!L466="","",'.'!L466&amp;IF(VLOOKUP('.'!L466,Recipes!$A:$D,4,FALSE)="",""," ["&amp;VLOOKUP('.'!L466,Recipes!$A:$D,4,FALSE)&amp;"]"))</f>
        <v/>
      </c>
      <c r="M466" s="46" t="str">
        <f t="array" ref="M466">IF('.'!M466="","",'.'!M466&amp;IF(VLOOKUP('.'!M466,Recipes!$A:$D,4,FALSE)="",""," ["&amp;VLOOKUP('.'!M466,Recipes!$A:$D,4,FALSE)&amp;"]"))</f>
        <v/>
      </c>
      <c r="N466" s="46" t="str">
        <f t="array" ref="N466">IF('.'!N466="","",'.'!N466&amp;IF(VLOOKUP('.'!N466,Recipes!$A:$D,4,FALSE)="",""," ["&amp;VLOOKUP('.'!N466,Recipes!$A:$D,4,FALSE)&amp;"]"))</f>
        <v/>
      </c>
      <c r="O466" s="46" t="str">
        <f t="array" ref="O466">IF('.'!O466="","",'.'!O466&amp;IF(VLOOKUP('.'!O466,Recipes!$A:$D,4,FALSE)="",""," ["&amp;VLOOKUP('.'!O466,Recipes!$A:$D,4,FALSE)&amp;"]"))</f>
        <v/>
      </c>
      <c r="P466" s="46" t="str">
        <f t="array" ref="P466">IF('.'!P466="","",'.'!P466&amp;IF(VLOOKUP('.'!P466,Recipes!$A:$D,4,FALSE)="",""," ["&amp;VLOOKUP('.'!P466,Recipes!$A:$D,4,FALSE)&amp;"]"))</f>
        <v/>
      </c>
      <c r="Q466" s="46" t="str">
        <f t="array" ref="Q466">IF('.'!Q466="","",'.'!Q466&amp;IF(VLOOKUP('.'!Q466,Recipes!$A:$D,4,FALSE)="",""," ["&amp;VLOOKUP('.'!Q466,Recipes!$A:$D,4,FALSE)&amp;"]"))</f>
        <v/>
      </c>
      <c r="R466" s="46" t="str">
        <f t="array" ref="R466">IF('.'!R466="","",'.'!R466&amp;IF(VLOOKUP('.'!R466,Recipes!$A:$D,4,FALSE)="",""," ["&amp;VLOOKUP('.'!R466,Recipes!$A:$D,4,FALSE)&amp;"]"))</f>
        <v/>
      </c>
      <c r="S466" s="46" t="str">
        <f t="array" ref="S466">IF('.'!S466="","",'.'!S466&amp;IF(VLOOKUP('.'!S466,Recipes!$A:$D,4,FALSE)="",""," ["&amp;VLOOKUP('.'!S466,Recipes!$A:$D,4,FALSE)&amp;"]"))</f>
        <v/>
      </c>
      <c r="T466" s="46" t="str">
        <f t="array" ref="T466">IF('.'!T466="","",'.'!T466&amp;IF(VLOOKUP('.'!T466,Recipes!$A:$D,4,FALSE)="",""," ["&amp;VLOOKUP('.'!T466,Recipes!$A:$D,4,FALSE)&amp;"]"))</f>
        <v/>
      </c>
      <c r="U466" s="46" t="str">
        <f t="array" ref="U466">IF('.'!U466="","",'.'!U466&amp;IF(VLOOKUP('.'!U466,Recipes!$A:$D,4,FALSE)="",""," ["&amp;VLOOKUP('.'!U466,Recipes!$A:$D,4,FALSE)&amp;"]"))</f>
        <v/>
      </c>
      <c r="V466" s="46" t="str">
        <f t="array" ref="V466">IF('.'!V466="","",'.'!V466&amp;IF(VLOOKUP('.'!V466,Recipes!$A:$D,4,FALSE)="",""," ["&amp;VLOOKUP('.'!V466,Recipes!$A:$D,4,FALSE)&amp;"]"))</f>
        <v/>
      </c>
      <c r="W466" s="46" t="str">
        <f t="array" ref="W466">IF('.'!W466="","",'.'!W466&amp;IF(VLOOKUP('.'!W466,Recipes!$A:$D,4,FALSE)="",""," ["&amp;VLOOKUP('.'!W466,Recipes!$A:$D,4,FALSE)&amp;"]"))</f>
        <v/>
      </c>
      <c r="X466" s="46" t="str">
        <f t="array" ref="X466">IF('.'!X466="","",'.'!X466&amp;IF(VLOOKUP('.'!X466,Recipes!$A:$D,4,FALSE)="",""," ["&amp;VLOOKUP('.'!X466,Recipes!$A:$D,4,FALSE)&amp;"]"))</f>
        <v/>
      </c>
      <c r="Y466" s="46" t="str">
        <f t="array" ref="Y466">IF('.'!Y466="","",'.'!Y466&amp;IF(VLOOKUP('.'!Y466,Recipes!$A:$D,4,FALSE)="",""," ["&amp;VLOOKUP('.'!Y466,Recipes!$A:$D,4,FALSE)&amp;"]"))</f>
        <v/>
      </c>
      <c r="Z466" s="46" t="str">
        <f t="array" ref="Z466">IF('.'!Z466="","",'.'!Z466&amp;IF(VLOOKUP('.'!Z466,Recipes!$A:$D,4,FALSE)="",""," ["&amp;VLOOKUP('.'!Z466,Recipes!$A:$D,4,FALSE)&amp;"]"))</f>
        <v/>
      </c>
      <c r="AA466" s="46" t="str">
        <f t="array" ref="AA466">IF('.'!AA466="","",'.'!AA466&amp;IF(VLOOKUP('.'!AA466,Recipes!$A:$D,4,FALSE)="",""," ["&amp;VLOOKUP('.'!AA466,Recipes!$A:$D,4,FALSE)&amp;"]"))</f>
        <v/>
      </c>
      <c r="AB466" s="46" t="str">
        <f t="array" ref="AB466">IF('.'!AB466="","",'.'!AB466&amp;IF(VLOOKUP('.'!AB466,Recipes!$A:$D,4,FALSE)="",""," ["&amp;VLOOKUP('.'!AB466,Recipes!$A:$D,4,FALSE)&amp;"]"))</f>
        <v/>
      </c>
      <c r="AC466" s="46" t="str">
        <f t="array" ref="AC466">IF('.'!AC466="","",'.'!AC466&amp;IF(VLOOKUP('.'!AC466,Recipes!$A:$D,4,FALSE)="",""," ["&amp;VLOOKUP('.'!AC466,Recipes!$A:$D,4,FALSE)&amp;"]"))</f>
        <v/>
      </c>
      <c r="AD466" s="46" t="str">
        <f t="array" ref="AD466">IF('.'!AD466="","",'.'!AD466&amp;IF(VLOOKUP('.'!AD466,Recipes!$A:$D,4,FALSE)="",""," ["&amp;VLOOKUP('.'!AD466,Recipes!$A:$D,4,FALSE)&amp;"]"))</f>
        <v/>
      </c>
      <c r="AE466" s="47" t="str">
        <f t="array" ref="AE466">IF('.'!AE466="","",'.'!AE466&amp;IF(VLOOKUP('.'!AE466,Recipes!$A:$D,4,FALSE)="",""," ["&amp;VLOOKUP('.'!AE466,Recipes!$A:$D,4,FALSE)&amp;"]"))</f>
        <v/>
      </c>
      <c r="AF466" s="47"/>
      <c r="AG466" s="47"/>
      <c r="AH466" s="47"/>
      <c r="AI466" s="47"/>
      <c r="AJ466" s="47"/>
      <c r="AK466" s="47"/>
      <c r="AL466" s="47"/>
      <c r="AM466" s="47"/>
      <c r="AN466" s="47"/>
      <c r="AO466" s="47"/>
      <c r="AP466" s="47"/>
      <c r="AQ466" s="47"/>
      <c r="AR466" s="47"/>
      <c r="AS466" s="47"/>
      <c r="AT466" s="47"/>
      <c r="AU466" s="47"/>
      <c r="AV466" s="47"/>
      <c r="AW466" s="47"/>
      <c r="AX466" s="47"/>
      <c r="AY466" s="47"/>
      <c r="AZ466" s="47"/>
      <c r="BA466" s="47"/>
      <c r="BB466" s="47"/>
      <c r="BC466" s="47"/>
      <c r="BD466" s="47"/>
      <c r="BE466" s="47"/>
      <c r="BF466" s="47"/>
      <c r="BG466" s="47"/>
      <c r="BH466" s="47"/>
      <c r="BI466" s="47"/>
      <c r="BJ466" s="47"/>
      <c r="BK466" s="47"/>
      <c r="BL466" s="47"/>
      <c r="BM466" s="47"/>
      <c r="BN466" s="47"/>
      <c r="BO466" s="47"/>
      <c r="BP466" s="47"/>
      <c r="BQ466" s="47"/>
      <c r="BR466" s="47"/>
      <c r="BS466" s="47"/>
      <c r="BT466" s="47"/>
      <c r="BU466" s="47"/>
      <c r="BV466" s="47"/>
      <c r="BW466" s="47"/>
      <c r="BX466" s="47"/>
      <c r="BY466" s="47"/>
      <c r="BZ466" s="47"/>
    </row>
    <row r="467" spans="1:78" ht="13">
      <c r="A467" s="48" t="str">
        <f ca="1">'.'!A467</f>
        <v>Wheat</v>
      </c>
      <c r="B467" s="46" t="e">
        <f t="array" aca="1" ref="B467" ca="1">IF('.'!B467="","",'.'!B467&amp;IF(VLOOKUP('.'!B467,Recipes!$A:$D,4,FALSE)="",""," ["&amp;VLOOKUP('.'!B467,Recipes!$A:$D,4,FALSE)&amp;"]"))</f>
        <v>#VALUE!</v>
      </c>
      <c r="C467" s="46" t="str">
        <f t="array" aca="1" ref="C467" ca="1">IF('.'!C467="","",'.'!C467&amp;IF(VLOOKUP('.'!C467,Recipes!$A:$D,4,FALSE)="",""," ["&amp;VLOOKUP('.'!C467,Recipes!$A:$D,4,FALSE)&amp;"]"))</f>
        <v>Flour [-2]</v>
      </c>
      <c r="D467" s="46" t="str">
        <f t="array" aca="1" ref="D467" ca="1">IF('.'!D467="","",'.'!D467&amp;IF(VLOOKUP('.'!D467,Recipes!$A:$D,4,FALSE)="",""," ["&amp;VLOOKUP('.'!D467,Recipes!$A:$D,4,FALSE)&amp;"]"))</f>
        <v>Soul Mate Scroll [137]</v>
      </c>
      <c r="E467" s="46" t="str">
        <f t="array" ref="E467">IF('.'!E467="","",'.'!E467&amp;IF(VLOOKUP('.'!E467,Recipes!$A:$D,4,FALSE)="",""," ["&amp;VLOOKUP('.'!E467,Recipes!$A:$D,4,FALSE)&amp;"]"))</f>
        <v/>
      </c>
      <c r="F467" s="46" t="str">
        <f t="array" ref="F467">IF('.'!F467="","",'.'!F467&amp;IF(VLOOKUP('.'!F467,Recipes!$A:$D,4,FALSE)="",""," ["&amp;VLOOKUP('.'!F467,Recipes!$A:$D,4,FALSE)&amp;"]"))</f>
        <v/>
      </c>
      <c r="G467" s="46" t="str">
        <f t="array" ref="G467">IF('.'!G467="","",'.'!G467&amp;IF(VLOOKUP('.'!G467,Recipes!$A:$D,4,FALSE)="",""," ["&amp;VLOOKUP('.'!G467,Recipes!$A:$D,4,FALSE)&amp;"]"))</f>
        <v/>
      </c>
      <c r="H467" s="46" t="str">
        <f t="array" ref="H467">IF('.'!H467="","",'.'!H467&amp;IF(VLOOKUP('.'!H467,Recipes!$A:$D,4,FALSE)="",""," ["&amp;VLOOKUP('.'!H467,Recipes!$A:$D,4,FALSE)&amp;"]"))</f>
        <v/>
      </c>
      <c r="I467" s="46" t="str">
        <f t="array" ref="I467">IF('.'!I467="","",'.'!I467&amp;IF(VLOOKUP('.'!I467,Recipes!$A:$D,4,FALSE)="",""," ["&amp;VLOOKUP('.'!I467,Recipes!$A:$D,4,FALSE)&amp;"]"))</f>
        <v/>
      </c>
      <c r="J467" s="46" t="str">
        <f t="array" ref="J467">IF('.'!J467="","",'.'!J467&amp;IF(VLOOKUP('.'!J467,Recipes!$A:$D,4,FALSE)="",""," ["&amp;VLOOKUP('.'!J467,Recipes!$A:$D,4,FALSE)&amp;"]"))</f>
        <v/>
      </c>
      <c r="K467" s="46" t="str">
        <f t="array" ref="K467">IF('.'!K467="","",'.'!K467&amp;IF(VLOOKUP('.'!K467,Recipes!$A:$D,4,FALSE)="",""," ["&amp;VLOOKUP('.'!K467,Recipes!$A:$D,4,FALSE)&amp;"]"))</f>
        <v/>
      </c>
      <c r="L467" s="46" t="str">
        <f t="array" ref="L467">IF('.'!L467="","",'.'!L467&amp;IF(VLOOKUP('.'!L467,Recipes!$A:$D,4,FALSE)="",""," ["&amp;VLOOKUP('.'!L467,Recipes!$A:$D,4,FALSE)&amp;"]"))</f>
        <v/>
      </c>
      <c r="M467" s="46" t="str">
        <f t="array" ref="M467">IF('.'!M467="","",'.'!M467&amp;IF(VLOOKUP('.'!M467,Recipes!$A:$D,4,FALSE)="",""," ["&amp;VLOOKUP('.'!M467,Recipes!$A:$D,4,FALSE)&amp;"]"))</f>
        <v/>
      </c>
      <c r="N467" s="46" t="str">
        <f t="array" ref="N467">IF('.'!N467="","",'.'!N467&amp;IF(VLOOKUP('.'!N467,Recipes!$A:$D,4,FALSE)="",""," ["&amp;VLOOKUP('.'!N467,Recipes!$A:$D,4,FALSE)&amp;"]"))</f>
        <v/>
      </c>
      <c r="O467" s="46" t="str">
        <f t="array" ref="O467">IF('.'!O467="","",'.'!O467&amp;IF(VLOOKUP('.'!O467,Recipes!$A:$D,4,FALSE)="",""," ["&amp;VLOOKUP('.'!O467,Recipes!$A:$D,4,FALSE)&amp;"]"))</f>
        <v/>
      </c>
      <c r="P467" s="46" t="str">
        <f t="array" ref="P467">IF('.'!P467="","",'.'!P467&amp;IF(VLOOKUP('.'!P467,Recipes!$A:$D,4,FALSE)="",""," ["&amp;VLOOKUP('.'!P467,Recipes!$A:$D,4,FALSE)&amp;"]"))</f>
        <v/>
      </c>
      <c r="Q467" s="46" t="str">
        <f t="array" ref="Q467">IF('.'!Q467="","",'.'!Q467&amp;IF(VLOOKUP('.'!Q467,Recipes!$A:$D,4,FALSE)="",""," ["&amp;VLOOKUP('.'!Q467,Recipes!$A:$D,4,FALSE)&amp;"]"))</f>
        <v/>
      </c>
      <c r="R467" s="46" t="str">
        <f t="array" ref="R467">IF('.'!R467="","",'.'!R467&amp;IF(VLOOKUP('.'!R467,Recipes!$A:$D,4,FALSE)="",""," ["&amp;VLOOKUP('.'!R467,Recipes!$A:$D,4,FALSE)&amp;"]"))</f>
        <v/>
      </c>
      <c r="S467" s="46" t="str">
        <f t="array" ref="S467">IF('.'!S467="","",'.'!S467&amp;IF(VLOOKUP('.'!S467,Recipes!$A:$D,4,FALSE)="",""," ["&amp;VLOOKUP('.'!S467,Recipes!$A:$D,4,FALSE)&amp;"]"))</f>
        <v/>
      </c>
      <c r="T467" s="46" t="str">
        <f t="array" ref="T467">IF('.'!T467="","",'.'!T467&amp;IF(VLOOKUP('.'!T467,Recipes!$A:$D,4,FALSE)="",""," ["&amp;VLOOKUP('.'!T467,Recipes!$A:$D,4,FALSE)&amp;"]"))</f>
        <v/>
      </c>
      <c r="U467" s="46" t="str">
        <f t="array" ref="U467">IF('.'!U467="","",'.'!U467&amp;IF(VLOOKUP('.'!U467,Recipes!$A:$D,4,FALSE)="",""," ["&amp;VLOOKUP('.'!U467,Recipes!$A:$D,4,FALSE)&amp;"]"))</f>
        <v/>
      </c>
      <c r="V467" s="46" t="str">
        <f t="array" ref="V467">IF('.'!V467="","",'.'!V467&amp;IF(VLOOKUP('.'!V467,Recipes!$A:$D,4,FALSE)="",""," ["&amp;VLOOKUP('.'!V467,Recipes!$A:$D,4,FALSE)&amp;"]"))</f>
        <v/>
      </c>
      <c r="W467" s="46" t="str">
        <f t="array" ref="W467">IF('.'!W467="","",'.'!W467&amp;IF(VLOOKUP('.'!W467,Recipes!$A:$D,4,FALSE)="",""," ["&amp;VLOOKUP('.'!W467,Recipes!$A:$D,4,FALSE)&amp;"]"))</f>
        <v/>
      </c>
      <c r="X467" s="46" t="str">
        <f t="array" ref="X467">IF('.'!X467="","",'.'!X467&amp;IF(VLOOKUP('.'!X467,Recipes!$A:$D,4,FALSE)="",""," ["&amp;VLOOKUP('.'!X467,Recipes!$A:$D,4,FALSE)&amp;"]"))</f>
        <v/>
      </c>
      <c r="Y467" s="46" t="str">
        <f t="array" ref="Y467">IF('.'!Y467="","",'.'!Y467&amp;IF(VLOOKUP('.'!Y467,Recipes!$A:$D,4,FALSE)="",""," ["&amp;VLOOKUP('.'!Y467,Recipes!$A:$D,4,FALSE)&amp;"]"))</f>
        <v/>
      </c>
      <c r="Z467" s="46" t="str">
        <f t="array" ref="Z467">IF('.'!Z467="","",'.'!Z467&amp;IF(VLOOKUP('.'!Z467,Recipes!$A:$D,4,FALSE)="",""," ["&amp;VLOOKUP('.'!Z467,Recipes!$A:$D,4,FALSE)&amp;"]"))</f>
        <v/>
      </c>
      <c r="AA467" s="46" t="str">
        <f t="array" ref="AA467">IF('.'!AA467="","",'.'!AA467&amp;IF(VLOOKUP('.'!AA467,Recipes!$A:$D,4,FALSE)="",""," ["&amp;VLOOKUP('.'!AA467,Recipes!$A:$D,4,FALSE)&amp;"]"))</f>
        <v/>
      </c>
      <c r="AB467" s="46" t="str">
        <f t="array" ref="AB467">IF('.'!AB467="","",'.'!AB467&amp;IF(VLOOKUP('.'!AB467,Recipes!$A:$D,4,FALSE)="",""," ["&amp;VLOOKUP('.'!AB467,Recipes!$A:$D,4,FALSE)&amp;"]"))</f>
        <v/>
      </c>
      <c r="AC467" s="46" t="str">
        <f t="array" ref="AC467">IF('.'!AC467="","",'.'!AC467&amp;IF(VLOOKUP('.'!AC467,Recipes!$A:$D,4,FALSE)="",""," ["&amp;VLOOKUP('.'!AC467,Recipes!$A:$D,4,FALSE)&amp;"]"))</f>
        <v/>
      </c>
      <c r="AD467" s="46" t="str">
        <f t="array" ref="AD467">IF('.'!AD467="","",'.'!AD467&amp;IF(VLOOKUP('.'!AD467,Recipes!$A:$D,4,FALSE)="",""," ["&amp;VLOOKUP('.'!AD467,Recipes!$A:$D,4,FALSE)&amp;"]"))</f>
        <v/>
      </c>
      <c r="AE467" s="47" t="str">
        <f t="array" ref="AE467">IF('.'!AE467="","",'.'!AE467&amp;IF(VLOOKUP('.'!AE467,Recipes!$A:$D,4,FALSE)="",""," ["&amp;VLOOKUP('.'!AE467,Recipes!$A:$D,4,FALSE)&amp;"]"))</f>
        <v/>
      </c>
      <c r="AF467" s="47"/>
      <c r="AG467" s="47"/>
      <c r="AH467" s="47"/>
      <c r="AI467" s="47"/>
      <c r="AJ467" s="47"/>
      <c r="AK467" s="47"/>
      <c r="AL467" s="47"/>
      <c r="AM467" s="47"/>
      <c r="AN467" s="47"/>
      <c r="AO467" s="47"/>
      <c r="AP467" s="47"/>
      <c r="AQ467" s="47"/>
      <c r="AR467" s="47"/>
      <c r="AS467" s="47"/>
      <c r="AT467" s="47"/>
      <c r="AU467" s="47"/>
      <c r="AV467" s="47"/>
      <c r="AW467" s="47"/>
      <c r="AX467" s="47"/>
      <c r="AY467" s="47"/>
      <c r="AZ467" s="47"/>
      <c r="BA467" s="47"/>
      <c r="BB467" s="47"/>
      <c r="BC467" s="47"/>
      <c r="BD467" s="47"/>
      <c r="BE467" s="47"/>
      <c r="BF467" s="47"/>
      <c r="BG467" s="47"/>
      <c r="BH467" s="47"/>
      <c r="BI467" s="47"/>
      <c r="BJ467" s="47"/>
      <c r="BK467" s="47"/>
      <c r="BL467" s="47"/>
      <c r="BM467" s="47"/>
      <c r="BN467" s="47"/>
      <c r="BO467" s="47"/>
      <c r="BP467" s="47"/>
      <c r="BQ467" s="47"/>
      <c r="BR467" s="47"/>
      <c r="BS467" s="47"/>
      <c r="BT467" s="47"/>
      <c r="BU467" s="47"/>
      <c r="BV467" s="47"/>
      <c r="BW467" s="47"/>
      <c r="BX467" s="47"/>
      <c r="BY467" s="47"/>
      <c r="BZ467" s="47"/>
    </row>
    <row r="468" spans="1:78" ht="13">
      <c r="A468" s="48" t="str">
        <f ca="1">'.'!A468</f>
        <v>Whisperwood</v>
      </c>
      <c r="B468" s="46" t="str">
        <f t="array" aca="1" ref="B468" ca="1">IF('.'!B468="","",'.'!B468&amp;IF(VLOOKUP('.'!B468,Recipes!$A:$D,4,FALSE)="",""," ["&amp;VLOOKUP('.'!B468,Recipes!$A:$D,4,FALSE)&amp;"]"))</f>
        <v>Fortify Scroll [-7]</v>
      </c>
      <c r="C468" s="46" t="str">
        <f t="array" aca="1" ref="C468" ca="1">IF('.'!C468="","",'.'!C468&amp;IF(VLOOKUP('.'!C468,Recipes!$A:$D,4,FALSE)="",""," ["&amp;VLOOKUP('.'!C468,Recipes!$A:$D,4,FALSE)&amp;"]"))</f>
        <v>Small Magic Armor Potion [-7]</v>
      </c>
      <c r="D468" s="46" t="str">
        <f t="array" ref="D468">IF('.'!D468="","",'.'!D468&amp;IF(VLOOKUP('.'!D468,Recipes!$A:$D,4,FALSE)="",""," ["&amp;VLOOKUP('.'!D468,Recipes!$A:$D,4,FALSE)&amp;"]"))</f>
        <v/>
      </c>
      <c r="E468" s="46" t="str">
        <f t="array" ref="E468">IF('.'!E468="","",'.'!E468&amp;IF(VLOOKUP('.'!E468,Recipes!$A:$D,4,FALSE)="",""," ["&amp;VLOOKUP('.'!E468,Recipes!$A:$D,4,FALSE)&amp;"]"))</f>
        <v/>
      </c>
      <c r="F468" s="46" t="str">
        <f t="array" ref="F468">IF('.'!F468="","",'.'!F468&amp;IF(VLOOKUP('.'!F468,Recipes!$A:$D,4,FALSE)="",""," ["&amp;VLOOKUP('.'!F468,Recipes!$A:$D,4,FALSE)&amp;"]"))</f>
        <v/>
      </c>
      <c r="G468" s="46" t="str">
        <f t="array" ref="G468">IF('.'!G468="","",'.'!G468&amp;IF(VLOOKUP('.'!G468,Recipes!$A:$D,4,FALSE)="",""," ["&amp;VLOOKUP('.'!G468,Recipes!$A:$D,4,FALSE)&amp;"]"))</f>
        <v/>
      </c>
      <c r="H468" s="46" t="str">
        <f t="array" ref="H468">IF('.'!H468="","",'.'!H468&amp;IF(VLOOKUP('.'!H468,Recipes!$A:$D,4,FALSE)="",""," ["&amp;VLOOKUP('.'!H468,Recipes!$A:$D,4,FALSE)&amp;"]"))</f>
        <v/>
      </c>
      <c r="I468" s="46" t="str">
        <f t="array" ref="I468">IF('.'!I468="","",'.'!I468&amp;IF(VLOOKUP('.'!I468,Recipes!$A:$D,4,FALSE)="",""," ["&amp;VLOOKUP('.'!I468,Recipes!$A:$D,4,FALSE)&amp;"]"))</f>
        <v/>
      </c>
      <c r="J468" s="46" t="str">
        <f t="array" ref="J468">IF('.'!J468="","",'.'!J468&amp;IF(VLOOKUP('.'!J468,Recipes!$A:$D,4,FALSE)="",""," ["&amp;VLOOKUP('.'!J468,Recipes!$A:$D,4,FALSE)&amp;"]"))</f>
        <v/>
      </c>
      <c r="K468" s="46" t="str">
        <f t="array" ref="K468">IF('.'!K468="","",'.'!K468&amp;IF(VLOOKUP('.'!K468,Recipes!$A:$D,4,FALSE)="",""," ["&amp;VLOOKUP('.'!K468,Recipes!$A:$D,4,FALSE)&amp;"]"))</f>
        <v/>
      </c>
      <c r="L468" s="46" t="str">
        <f t="array" ref="L468">IF('.'!L468="","",'.'!L468&amp;IF(VLOOKUP('.'!L468,Recipes!$A:$D,4,FALSE)="",""," ["&amp;VLOOKUP('.'!L468,Recipes!$A:$D,4,FALSE)&amp;"]"))</f>
        <v/>
      </c>
      <c r="M468" s="46" t="str">
        <f t="array" ref="M468">IF('.'!M468="","",'.'!M468&amp;IF(VLOOKUP('.'!M468,Recipes!$A:$D,4,FALSE)="",""," ["&amp;VLOOKUP('.'!M468,Recipes!$A:$D,4,FALSE)&amp;"]"))</f>
        <v/>
      </c>
      <c r="N468" s="46" t="str">
        <f t="array" ref="N468">IF('.'!N468="","",'.'!N468&amp;IF(VLOOKUP('.'!N468,Recipes!$A:$D,4,FALSE)="",""," ["&amp;VLOOKUP('.'!N468,Recipes!$A:$D,4,FALSE)&amp;"]"))</f>
        <v/>
      </c>
      <c r="O468" s="46" t="str">
        <f t="array" ref="O468">IF('.'!O468="","",'.'!O468&amp;IF(VLOOKUP('.'!O468,Recipes!$A:$D,4,FALSE)="",""," ["&amp;VLOOKUP('.'!O468,Recipes!$A:$D,4,FALSE)&amp;"]"))</f>
        <v/>
      </c>
      <c r="P468" s="46" t="str">
        <f t="array" ref="P468">IF('.'!P468="","",'.'!P468&amp;IF(VLOOKUP('.'!P468,Recipes!$A:$D,4,FALSE)="",""," ["&amp;VLOOKUP('.'!P468,Recipes!$A:$D,4,FALSE)&amp;"]"))</f>
        <v/>
      </c>
      <c r="Q468" s="46" t="str">
        <f t="array" ref="Q468">IF('.'!Q468="","",'.'!Q468&amp;IF(VLOOKUP('.'!Q468,Recipes!$A:$D,4,FALSE)="",""," ["&amp;VLOOKUP('.'!Q468,Recipes!$A:$D,4,FALSE)&amp;"]"))</f>
        <v/>
      </c>
      <c r="R468" s="46" t="str">
        <f t="array" ref="R468">IF('.'!R468="","",'.'!R468&amp;IF(VLOOKUP('.'!R468,Recipes!$A:$D,4,FALSE)="",""," ["&amp;VLOOKUP('.'!R468,Recipes!$A:$D,4,FALSE)&amp;"]"))</f>
        <v/>
      </c>
      <c r="S468" s="46" t="str">
        <f t="array" ref="S468">IF('.'!S468="","",'.'!S468&amp;IF(VLOOKUP('.'!S468,Recipes!$A:$D,4,FALSE)="",""," ["&amp;VLOOKUP('.'!S468,Recipes!$A:$D,4,FALSE)&amp;"]"))</f>
        <v/>
      </c>
      <c r="T468" s="46" t="str">
        <f t="array" ref="T468">IF('.'!T468="","",'.'!T468&amp;IF(VLOOKUP('.'!T468,Recipes!$A:$D,4,FALSE)="",""," ["&amp;VLOOKUP('.'!T468,Recipes!$A:$D,4,FALSE)&amp;"]"))</f>
        <v/>
      </c>
      <c r="U468" s="46" t="str">
        <f t="array" ref="U468">IF('.'!U468="","",'.'!U468&amp;IF(VLOOKUP('.'!U468,Recipes!$A:$D,4,FALSE)="",""," ["&amp;VLOOKUP('.'!U468,Recipes!$A:$D,4,FALSE)&amp;"]"))</f>
        <v/>
      </c>
      <c r="V468" s="46" t="str">
        <f t="array" ref="V468">IF('.'!V468="","",'.'!V468&amp;IF(VLOOKUP('.'!V468,Recipes!$A:$D,4,FALSE)="",""," ["&amp;VLOOKUP('.'!V468,Recipes!$A:$D,4,FALSE)&amp;"]"))</f>
        <v/>
      </c>
      <c r="W468" s="46" t="str">
        <f t="array" ref="W468">IF('.'!W468="","",'.'!W468&amp;IF(VLOOKUP('.'!W468,Recipes!$A:$D,4,FALSE)="",""," ["&amp;VLOOKUP('.'!W468,Recipes!$A:$D,4,FALSE)&amp;"]"))</f>
        <v/>
      </c>
      <c r="X468" s="46" t="str">
        <f t="array" ref="X468">IF('.'!X468="","",'.'!X468&amp;IF(VLOOKUP('.'!X468,Recipes!$A:$D,4,FALSE)="",""," ["&amp;VLOOKUP('.'!X468,Recipes!$A:$D,4,FALSE)&amp;"]"))</f>
        <v/>
      </c>
      <c r="Y468" s="46" t="str">
        <f t="array" ref="Y468">IF('.'!Y468="","",'.'!Y468&amp;IF(VLOOKUP('.'!Y468,Recipes!$A:$D,4,FALSE)="",""," ["&amp;VLOOKUP('.'!Y468,Recipes!$A:$D,4,FALSE)&amp;"]"))</f>
        <v/>
      </c>
      <c r="Z468" s="46" t="str">
        <f t="array" ref="Z468">IF('.'!Z468="","",'.'!Z468&amp;IF(VLOOKUP('.'!Z468,Recipes!$A:$D,4,FALSE)="",""," ["&amp;VLOOKUP('.'!Z468,Recipes!$A:$D,4,FALSE)&amp;"]"))</f>
        <v/>
      </c>
      <c r="AA468" s="46" t="str">
        <f t="array" ref="AA468">IF('.'!AA468="","",'.'!AA468&amp;IF(VLOOKUP('.'!AA468,Recipes!$A:$D,4,FALSE)="",""," ["&amp;VLOOKUP('.'!AA468,Recipes!$A:$D,4,FALSE)&amp;"]"))</f>
        <v/>
      </c>
      <c r="AB468" s="46" t="str">
        <f t="array" ref="AB468">IF('.'!AB468="","",'.'!AB468&amp;IF(VLOOKUP('.'!AB468,Recipes!$A:$D,4,FALSE)="",""," ["&amp;VLOOKUP('.'!AB468,Recipes!$A:$D,4,FALSE)&amp;"]"))</f>
        <v/>
      </c>
      <c r="AC468" s="46" t="str">
        <f t="array" ref="AC468">IF('.'!AC468="","",'.'!AC468&amp;IF(VLOOKUP('.'!AC468,Recipes!$A:$D,4,FALSE)="",""," ["&amp;VLOOKUP('.'!AC468,Recipes!$A:$D,4,FALSE)&amp;"]"))</f>
        <v/>
      </c>
      <c r="AD468" s="46" t="str">
        <f t="array" ref="AD468">IF('.'!AD468="","",'.'!AD468&amp;IF(VLOOKUP('.'!AD468,Recipes!$A:$D,4,FALSE)="",""," ["&amp;VLOOKUP('.'!AD468,Recipes!$A:$D,4,FALSE)&amp;"]"))</f>
        <v/>
      </c>
      <c r="AE468" s="47" t="str">
        <f t="array" ref="AE468">IF('.'!AE468="","",'.'!AE468&amp;IF(VLOOKUP('.'!AE468,Recipes!$A:$D,4,FALSE)="",""," ["&amp;VLOOKUP('.'!AE468,Recipes!$A:$D,4,FALSE)&amp;"]"))</f>
        <v/>
      </c>
      <c r="AF468" s="47"/>
      <c r="AG468" s="47"/>
      <c r="AH468" s="47"/>
      <c r="AI468" s="47"/>
      <c r="AJ468" s="47"/>
      <c r="AK468" s="47"/>
      <c r="AL468" s="47"/>
      <c r="AM468" s="47"/>
      <c r="AN468" s="47"/>
      <c r="AO468" s="47"/>
      <c r="AP468" s="47"/>
      <c r="AQ468" s="47"/>
      <c r="AR468" s="47"/>
      <c r="AS468" s="47"/>
      <c r="AT468" s="47"/>
      <c r="AU468" s="47"/>
      <c r="AV468" s="47"/>
      <c r="AW468" s="47"/>
      <c r="AX468" s="47"/>
      <c r="AY468" s="47"/>
      <c r="AZ468" s="47"/>
      <c r="BA468" s="47"/>
      <c r="BB468" s="47"/>
      <c r="BC468" s="47"/>
      <c r="BD468" s="47"/>
      <c r="BE468" s="47"/>
      <c r="BF468" s="47"/>
      <c r="BG468" s="47"/>
      <c r="BH468" s="47"/>
      <c r="BI468" s="47"/>
      <c r="BJ468" s="47"/>
      <c r="BK468" s="47"/>
      <c r="BL468" s="47"/>
      <c r="BM468" s="47"/>
      <c r="BN468" s="47"/>
      <c r="BO468" s="47"/>
      <c r="BP468" s="47"/>
      <c r="BQ468" s="47"/>
      <c r="BR468" s="47"/>
      <c r="BS468" s="47"/>
      <c r="BT468" s="47"/>
      <c r="BU468" s="47"/>
      <c r="BV468" s="47"/>
      <c r="BW468" s="47"/>
      <c r="BX468" s="47"/>
      <c r="BY468" s="47"/>
      <c r="BZ468" s="47"/>
    </row>
    <row r="469" spans="1:78" ht="13">
      <c r="A469" s="48" t="str">
        <f ca="1">'.'!A469</f>
        <v>White Tea Leaves</v>
      </c>
      <c r="B469" s="46" t="str">
        <f t="array" aca="1" ref="B469" ca="1">IF('.'!B469="","",'.'!B469&amp;IF(VLOOKUP('.'!B469,Recipes!$A:$D,4,FALSE)="",""," ["&amp;VLOOKUP('.'!B469,Recipes!$A:$D,4,FALSE)&amp;"]"))</f>
        <v>White Tea</v>
      </c>
      <c r="C469" s="46" t="str">
        <f t="array" ref="C469">IF('.'!C469="","",'.'!C469&amp;IF(VLOOKUP('.'!C469,Recipes!$A:$D,4,FALSE)="",""," ["&amp;VLOOKUP('.'!C469,Recipes!$A:$D,4,FALSE)&amp;"]"))</f>
        <v/>
      </c>
      <c r="D469" s="46" t="str">
        <f t="array" ref="D469">IF('.'!D469="","",'.'!D469&amp;IF(VLOOKUP('.'!D469,Recipes!$A:$D,4,FALSE)="",""," ["&amp;VLOOKUP('.'!D469,Recipes!$A:$D,4,FALSE)&amp;"]"))</f>
        <v/>
      </c>
      <c r="E469" s="46" t="str">
        <f t="array" ref="E469">IF('.'!E469="","",'.'!E469&amp;IF(VLOOKUP('.'!E469,Recipes!$A:$D,4,FALSE)="",""," ["&amp;VLOOKUP('.'!E469,Recipes!$A:$D,4,FALSE)&amp;"]"))</f>
        <v/>
      </c>
      <c r="F469" s="46" t="str">
        <f t="array" ref="F469">IF('.'!F469="","",'.'!F469&amp;IF(VLOOKUP('.'!F469,Recipes!$A:$D,4,FALSE)="",""," ["&amp;VLOOKUP('.'!F469,Recipes!$A:$D,4,FALSE)&amp;"]"))</f>
        <v/>
      </c>
      <c r="G469" s="46" t="str">
        <f t="array" ref="G469">IF('.'!G469="","",'.'!G469&amp;IF(VLOOKUP('.'!G469,Recipes!$A:$D,4,FALSE)="",""," ["&amp;VLOOKUP('.'!G469,Recipes!$A:$D,4,FALSE)&amp;"]"))</f>
        <v/>
      </c>
      <c r="H469" s="46" t="str">
        <f t="array" ref="H469">IF('.'!H469="","",'.'!H469&amp;IF(VLOOKUP('.'!H469,Recipes!$A:$D,4,FALSE)="",""," ["&amp;VLOOKUP('.'!H469,Recipes!$A:$D,4,FALSE)&amp;"]"))</f>
        <v/>
      </c>
      <c r="I469" s="46" t="str">
        <f t="array" ref="I469">IF('.'!I469="","",'.'!I469&amp;IF(VLOOKUP('.'!I469,Recipes!$A:$D,4,FALSE)="",""," ["&amp;VLOOKUP('.'!I469,Recipes!$A:$D,4,FALSE)&amp;"]"))</f>
        <v/>
      </c>
      <c r="J469" s="46" t="str">
        <f t="array" ref="J469">IF('.'!J469="","",'.'!J469&amp;IF(VLOOKUP('.'!J469,Recipes!$A:$D,4,FALSE)="",""," ["&amp;VLOOKUP('.'!J469,Recipes!$A:$D,4,FALSE)&amp;"]"))</f>
        <v/>
      </c>
      <c r="K469" s="46" t="str">
        <f t="array" ref="K469">IF('.'!K469="","",'.'!K469&amp;IF(VLOOKUP('.'!K469,Recipes!$A:$D,4,FALSE)="",""," ["&amp;VLOOKUP('.'!K469,Recipes!$A:$D,4,FALSE)&amp;"]"))</f>
        <v/>
      </c>
      <c r="L469" s="46" t="str">
        <f t="array" ref="L469">IF('.'!L469="","",'.'!L469&amp;IF(VLOOKUP('.'!L469,Recipes!$A:$D,4,FALSE)="",""," ["&amp;VLOOKUP('.'!L469,Recipes!$A:$D,4,FALSE)&amp;"]"))</f>
        <v/>
      </c>
      <c r="M469" s="46" t="str">
        <f t="array" ref="M469">IF('.'!M469="","",'.'!M469&amp;IF(VLOOKUP('.'!M469,Recipes!$A:$D,4,FALSE)="",""," ["&amp;VLOOKUP('.'!M469,Recipes!$A:$D,4,FALSE)&amp;"]"))</f>
        <v/>
      </c>
      <c r="N469" s="46" t="str">
        <f t="array" ref="N469">IF('.'!N469="","",'.'!N469&amp;IF(VLOOKUP('.'!N469,Recipes!$A:$D,4,FALSE)="",""," ["&amp;VLOOKUP('.'!N469,Recipes!$A:$D,4,FALSE)&amp;"]"))</f>
        <v/>
      </c>
      <c r="O469" s="46" t="str">
        <f t="array" ref="O469">IF('.'!O469="","",'.'!O469&amp;IF(VLOOKUP('.'!O469,Recipes!$A:$D,4,FALSE)="",""," ["&amp;VLOOKUP('.'!O469,Recipes!$A:$D,4,FALSE)&amp;"]"))</f>
        <v/>
      </c>
      <c r="P469" s="46" t="str">
        <f t="array" ref="P469">IF('.'!P469="","",'.'!P469&amp;IF(VLOOKUP('.'!P469,Recipes!$A:$D,4,FALSE)="",""," ["&amp;VLOOKUP('.'!P469,Recipes!$A:$D,4,FALSE)&amp;"]"))</f>
        <v/>
      </c>
      <c r="Q469" s="46" t="str">
        <f t="array" ref="Q469">IF('.'!Q469="","",'.'!Q469&amp;IF(VLOOKUP('.'!Q469,Recipes!$A:$D,4,FALSE)="",""," ["&amp;VLOOKUP('.'!Q469,Recipes!$A:$D,4,FALSE)&amp;"]"))</f>
        <v/>
      </c>
      <c r="R469" s="46" t="str">
        <f t="array" ref="R469">IF('.'!R469="","",'.'!R469&amp;IF(VLOOKUP('.'!R469,Recipes!$A:$D,4,FALSE)="",""," ["&amp;VLOOKUP('.'!R469,Recipes!$A:$D,4,FALSE)&amp;"]"))</f>
        <v/>
      </c>
      <c r="S469" s="46" t="str">
        <f t="array" ref="S469">IF('.'!S469="","",'.'!S469&amp;IF(VLOOKUP('.'!S469,Recipes!$A:$D,4,FALSE)="",""," ["&amp;VLOOKUP('.'!S469,Recipes!$A:$D,4,FALSE)&amp;"]"))</f>
        <v/>
      </c>
      <c r="T469" s="46" t="str">
        <f t="array" ref="T469">IF('.'!T469="","",'.'!T469&amp;IF(VLOOKUP('.'!T469,Recipes!$A:$D,4,FALSE)="",""," ["&amp;VLOOKUP('.'!T469,Recipes!$A:$D,4,FALSE)&amp;"]"))</f>
        <v/>
      </c>
      <c r="U469" s="46" t="str">
        <f t="array" ref="U469">IF('.'!U469="","",'.'!U469&amp;IF(VLOOKUP('.'!U469,Recipes!$A:$D,4,FALSE)="",""," ["&amp;VLOOKUP('.'!U469,Recipes!$A:$D,4,FALSE)&amp;"]"))</f>
        <v/>
      </c>
      <c r="V469" s="46" t="str">
        <f t="array" ref="V469">IF('.'!V469="","",'.'!V469&amp;IF(VLOOKUP('.'!V469,Recipes!$A:$D,4,FALSE)="",""," ["&amp;VLOOKUP('.'!V469,Recipes!$A:$D,4,FALSE)&amp;"]"))</f>
        <v/>
      </c>
      <c r="W469" s="46" t="str">
        <f t="array" ref="W469">IF('.'!W469="","",'.'!W469&amp;IF(VLOOKUP('.'!W469,Recipes!$A:$D,4,FALSE)="",""," ["&amp;VLOOKUP('.'!W469,Recipes!$A:$D,4,FALSE)&amp;"]"))</f>
        <v/>
      </c>
      <c r="X469" s="46" t="str">
        <f t="array" ref="X469">IF('.'!X469="","",'.'!X469&amp;IF(VLOOKUP('.'!X469,Recipes!$A:$D,4,FALSE)="",""," ["&amp;VLOOKUP('.'!X469,Recipes!$A:$D,4,FALSE)&amp;"]"))</f>
        <v/>
      </c>
      <c r="Y469" s="46" t="str">
        <f t="array" ref="Y469">IF('.'!Y469="","",'.'!Y469&amp;IF(VLOOKUP('.'!Y469,Recipes!$A:$D,4,FALSE)="",""," ["&amp;VLOOKUP('.'!Y469,Recipes!$A:$D,4,FALSE)&amp;"]"))</f>
        <v/>
      </c>
      <c r="Z469" s="46" t="str">
        <f t="array" ref="Z469">IF('.'!Z469="","",'.'!Z469&amp;IF(VLOOKUP('.'!Z469,Recipes!$A:$D,4,FALSE)="",""," ["&amp;VLOOKUP('.'!Z469,Recipes!$A:$D,4,FALSE)&amp;"]"))</f>
        <v/>
      </c>
      <c r="AA469" s="46" t="str">
        <f t="array" ref="AA469">IF('.'!AA469="","",'.'!AA469&amp;IF(VLOOKUP('.'!AA469,Recipes!$A:$D,4,FALSE)="",""," ["&amp;VLOOKUP('.'!AA469,Recipes!$A:$D,4,FALSE)&amp;"]"))</f>
        <v/>
      </c>
      <c r="AB469" s="46" t="str">
        <f t="array" ref="AB469">IF('.'!AB469="","",'.'!AB469&amp;IF(VLOOKUP('.'!AB469,Recipes!$A:$D,4,FALSE)="",""," ["&amp;VLOOKUP('.'!AB469,Recipes!$A:$D,4,FALSE)&amp;"]"))</f>
        <v/>
      </c>
      <c r="AC469" s="46" t="str">
        <f t="array" ref="AC469">IF('.'!AC469="","",'.'!AC469&amp;IF(VLOOKUP('.'!AC469,Recipes!$A:$D,4,FALSE)="",""," ["&amp;VLOOKUP('.'!AC469,Recipes!$A:$D,4,FALSE)&amp;"]"))</f>
        <v/>
      </c>
      <c r="AD469" s="46" t="str">
        <f t="array" ref="AD469">IF('.'!AD469="","",'.'!AD469&amp;IF(VLOOKUP('.'!AD469,Recipes!$A:$D,4,FALSE)="",""," ["&amp;VLOOKUP('.'!AD469,Recipes!$A:$D,4,FALSE)&amp;"]"))</f>
        <v/>
      </c>
      <c r="AE469" s="47" t="str">
        <f t="array" ref="AE469">IF('.'!AE469="","",'.'!AE469&amp;IF(VLOOKUP('.'!AE469,Recipes!$A:$D,4,FALSE)="",""," ["&amp;VLOOKUP('.'!AE469,Recipes!$A:$D,4,FALSE)&amp;"]"))</f>
        <v/>
      </c>
      <c r="AF469" s="47"/>
      <c r="AG469" s="47"/>
      <c r="AH469" s="47"/>
      <c r="AI469" s="47"/>
      <c r="AJ469" s="47"/>
      <c r="AK469" s="47"/>
      <c r="AL469" s="47"/>
      <c r="AM469" s="47"/>
      <c r="AN469" s="47"/>
      <c r="AO469" s="47"/>
      <c r="AP469" s="47"/>
      <c r="AQ469" s="47"/>
      <c r="AR469" s="47"/>
      <c r="AS469" s="47"/>
      <c r="AT469" s="47"/>
      <c r="AU469" s="47"/>
      <c r="AV469" s="47"/>
      <c r="AW469" s="47"/>
      <c r="AX469" s="47"/>
      <c r="AY469" s="47"/>
      <c r="AZ469" s="47"/>
      <c r="BA469" s="47"/>
      <c r="BB469" s="47"/>
      <c r="BC469" s="47"/>
      <c r="BD469" s="47"/>
      <c r="BE469" s="47"/>
      <c r="BF469" s="47"/>
      <c r="BG469" s="47"/>
      <c r="BH469" s="47"/>
      <c r="BI469" s="47"/>
      <c r="BJ469" s="47"/>
      <c r="BK469" s="47"/>
      <c r="BL469" s="47"/>
      <c r="BM469" s="47"/>
      <c r="BN469" s="47"/>
      <c r="BO469" s="47"/>
      <c r="BP469" s="47"/>
      <c r="BQ469" s="47"/>
      <c r="BR469" s="47"/>
      <c r="BS469" s="47"/>
      <c r="BT469" s="47"/>
      <c r="BU469" s="47"/>
      <c r="BV469" s="47"/>
      <c r="BW469" s="47"/>
      <c r="BX469" s="47"/>
      <c r="BY469" s="47"/>
      <c r="BZ469" s="47"/>
    </row>
    <row r="470" spans="1:78" ht="13">
      <c r="A470" s="48" t="str">
        <f ca="1">'.'!A470</f>
        <v>Wine</v>
      </c>
      <c r="B470" s="46" t="str">
        <f t="array" aca="1" ref="B470" ca="1">IF('.'!B470="","",'.'!B470&amp;IF(VLOOKUP('.'!B470,Recipes!$A:$D,4,FALSE)="",""," ["&amp;VLOOKUP('.'!B470,Recipes!$A:$D,4,FALSE)&amp;"]"))</f>
        <v>Small Masterwork Rune [-1050]</v>
      </c>
      <c r="C470" s="46" t="str">
        <f t="array" ref="C470">IF('.'!C470="","",'.'!C470&amp;IF(VLOOKUP('.'!C470,Recipes!$A:$D,4,FALSE)="",""," ["&amp;VLOOKUP('.'!C470,Recipes!$A:$D,4,FALSE)&amp;"]"))</f>
        <v/>
      </c>
      <c r="D470" s="46" t="str">
        <f t="array" ref="D470">IF('.'!D470="","",'.'!D470&amp;IF(VLOOKUP('.'!D470,Recipes!$A:$D,4,FALSE)="",""," ["&amp;VLOOKUP('.'!D470,Recipes!$A:$D,4,FALSE)&amp;"]"))</f>
        <v/>
      </c>
      <c r="E470" s="46" t="str">
        <f t="array" ref="E470">IF('.'!E470="","",'.'!E470&amp;IF(VLOOKUP('.'!E470,Recipes!$A:$D,4,FALSE)="",""," ["&amp;VLOOKUP('.'!E470,Recipes!$A:$D,4,FALSE)&amp;"]"))</f>
        <v/>
      </c>
      <c r="F470" s="46" t="str">
        <f t="array" ref="F470">IF('.'!F470="","",'.'!F470&amp;IF(VLOOKUP('.'!F470,Recipes!$A:$D,4,FALSE)="",""," ["&amp;VLOOKUP('.'!F470,Recipes!$A:$D,4,FALSE)&amp;"]"))</f>
        <v/>
      </c>
      <c r="G470" s="46" t="str">
        <f t="array" ref="G470">IF('.'!G470="","",'.'!G470&amp;IF(VLOOKUP('.'!G470,Recipes!$A:$D,4,FALSE)="",""," ["&amp;VLOOKUP('.'!G470,Recipes!$A:$D,4,FALSE)&amp;"]"))</f>
        <v/>
      </c>
      <c r="H470" s="46" t="str">
        <f t="array" ref="H470">IF('.'!H470="","",'.'!H470&amp;IF(VLOOKUP('.'!H470,Recipes!$A:$D,4,FALSE)="",""," ["&amp;VLOOKUP('.'!H470,Recipes!$A:$D,4,FALSE)&amp;"]"))</f>
        <v/>
      </c>
      <c r="I470" s="46" t="str">
        <f t="array" ref="I470">IF('.'!I470="","",'.'!I470&amp;IF(VLOOKUP('.'!I470,Recipes!$A:$D,4,FALSE)="",""," ["&amp;VLOOKUP('.'!I470,Recipes!$A:$D,4,FALSE)&amp;"]"))</f>
        <v/>
      </c>
      <c r="J470" s="46" t="str">
        <f t="array" ref="J470">IF('.'!J470="","",'.'!J470&amp;IF(VLOOKUP('.'!J470,Recipes!$A:$D,4,FALSE)="",""," ["&amp;VLOOKUP('.'!J470,Recipes!$A:$D,4,FALSE)&amp;"]"))</f>
        <v/>
      </c>
      <c r="K470" s="46" t="str">
        <f t="array" ref="K470">IF('.'!K470="","",'.'!K470&amp;IF(VLOOKUP('.'!K470,Recipes!$A:$D,4,FALSE)="",""," ["&amp;VLOOKUP('.'!K470,Recipes!$A:$D,4,FALSE)&amp;"]"))</f>
        <v/>
      </c>
      <c r="L470" s="46" t="str">
        <f t="array" ref="L470">IF('.'!L470="","",'.'!L470&amp;IF(VLOOKUP('.'!L470,Recipes!$A:$D,4,FALSE)="",""," ["&amp;VLOOKUP('.'!L470,Recipes!$A:$D,4,FALSE)&amp;"]"))</f>
        <v/>
      </c>
      <c r="M470" s="46" t="str">
        <f t="array" ref="M470">IF('.'!M470="","",'.'!M470&amp;IF(VLOOKUP('.'!M470,Recipes!$A:$D,4,FALSE)="",""," ["&amp;VLOOKUP('.'!M470,Recipes!$A:$D,4,FALSE)&amp;"]"))</f>
        <v/>
      </c>
      <c r="N470" s="46" t="str">
        <f t="array" ref="N470">IF('.'!N470="","",'.'!N470&amp;IF(VLOOKUP('.'!N470,Recipes!$A:$D,4,FALSE)="",""," ["&amp;VLOOKUP('.'!N470,Recipes!$A:$D,4,FALSE)&amp;"]"))</f>
        <v/>
      </c>
      <c r="O470" s="46" t="str">
        <f t="array" ref="O470">IF('.'!O470="","",'.'!O470&amp;IF(VLOOKUP('.'!O470,Recipes!$A:$D,4,FALSE)="",""," ["&amp;VLOOKUP('.'!O470,Recipes!$A:$D,4,FALSE)&amp;"]"))</f>
        <v/>
      </c>
      <c r="P470" s="46" t="str">
        <f t="array" ref="P470">IF('.'!P470="","",'.'!P470&amp;IF(VLOOKUP('.'!P470,Recipes!$A:$D,4,FALSE)="",""," ["&amp;VLOOKUP('.'!P470,Recipes!$A:$D,4,FALSE)&amp;"]"))</f>
        <v/>
      </c>
      <c r="Q470" s="46" t="str">
        <f t="array" ref="Q470">IF('.'!Q470="","",'.'!Q470&amp;IF(VLOOKUP('.'!Q470,Recipes!$A:$D,4,FALSE)="",""," ["&amp;VLOOKUP('.'!Q470,Recipes!$A:$D,4,FALSE)&amp;"]"))</f>
        <v/>
      </c>
      <c r="R470" s="46" t="str">
        <f t="array" ref="R470">IF('.'!R470="","",'.'!R470&amp;IF(VLOOKUP('.'!R470,Recipes!$A:$D,4,FALSE)="",""," ["&amp;VLOOKUP('.'!R470,Recipes!$A:$D,4,FALSE)&amp;"]"))</f>
        <v/>
      </c>
      <c r="S470" s="46" t="str">
        <f t="array" ref="S470">IF('.'!S470="","",'.'!S470&amp;IF(VLOOKUP('.'!S470,Recipes!$A:$D,4,FALSE)="",""," ["&amp;VLOOKUP('.'!S470,Recipes!$A:$D,4,FALSE)&amp;"]"))</f>
        <v/>
      </c>
      <c r="T470" s="46" t="str">
        <f t="array" ref="T470">IF('.'!T470="","",'.'!T470&amp;IF(VLOOKUP('.'!T470,Recipes!$A:$D,4,FALSE)="",""," ["&amp;VLOOKUP('.'!T470,Recipes!$A:$D,4,FALSE)&amp;"]"))</f>
        <v/>
      </c>
      <c r="U470" s="46" t="str">
        <f t="array" ref="U470">IF('.'!U470="","",'.'!U470&amp;IF(VLOOKUP('.'!U470,Recipes!$A:$D,4,FALSE)="",""," ["&amp;VLOOKUP('.'!U470,Recipes!$A:$D,4,FALSE)&amp;"]"))</f>
        <v/>
      </c>
      <c r="V470" s="46" t="str">
        <f t="array" ref="V470">IF('.'!V470="","",'.'!V470&amp;IF(VLOOKUP('.'!V470,Recipes!$A:$D,4,FALSE)="",""," ["&amp;VLOOKUP('.'!V470,Recipes!$A:$D,4,FALSE)&amp;"]"))</f>
        <v/>
      </c>
      <c r="W470" s="46" t="str">
        <f t="array" ref="W470">IF('.'!W470="","",'.'!W470&amp;IF(VLOOKUP('.'!W470,Recipes!$A:$D,4,FALSE)="",""," ["&amp;VLOOKUP('.'!W470,Recipes!$A:$D,4,FALSE)&amp;"]"))</f>
        <v/>
      </c>
      <c r="X470" s="46" t="str">
        <f t="array" ref="X470">IF('.'!X470="","",'.'!X470&amp;IF(VLOOKUP('.'!X470,Recipes!$A:$D,4,FALSE)="",""," ["&amp;VLOOKUP('.'!X470,Recipes!$A:$D,4,FALSE)&amp;"]"))</f>
        <v/>
      </c>
      <c r="Y470" s="46" t="str">
        <f t="array" ref="Y470">IF('.'!Y470="","",'.'!Y470&amp;IF(VLOOKUP('.'!Y470,Recipes!$A:$D,4,FALSE)="",""," ["&amp;VLOOKUP('.'!Y470,Recipes!$A:$D,4,FALSE)&amp;"]"))</f>
        <v/>
      </c>
      <c r="Z470" s="46" t="str">
        <f t="array" ref="Z470">IF('.'!Z470="","",'.'!Z470&amp;IF(VLOOKUP('.'!Z470,Recipes!$A:$D,4,FALSE)="",""," ["&amp;VLOOKUP('.'!Z470,Recipes!$A:$D,4,FALSE)&amp;"]"))</f>
        <v/>
      </c>
      <c r="AA470" s="46" t="str">
        <f t="array" ref="AA470">IF('.'!AA470="","",'.'!AA470&amp;IF(VLOOKUP('.'!AA470,Recipes!$A:$D,4,FALSE)="",""," ["&amp;VLOOKUP('.'!AA470,Recipes!$A:$D,4,FALSE)&amp;"]"))</f>
        <v/>
      </c>
      <c r="AB470" s="46" t="str">
        <f t="array" ref="AB470">IF('.'!AB470="","",'.'!AB470&amp;IF(VLOOKUP('.'!AB470,Recipes!$A:$D,4,FALSE)="",""," ["&amp;VLOOKUP('.'!AB470,Recipes!$A:$D,4,FALSE)&amp;"]"))</f>
        <v/>
      </c>
      <c r="AC470" s="46" t="str">
        <f t="array" ref="AC470">IF('.'!AC470="","",'.'!AC470&amp;IF(VLOOKUP('.'!AC470,Recipes!$A:$D,4,FALSE)="",""," ["&amp;VLOOKUP('.'!AC470,Recipes!$A:$D,4,FALSE)&amp;"]"))</f>
        <v/>
      </c>
      <c r="AD470" s="46" t="str">
        <f t="array" ref="AD470">IF('.'!AD470="","",'.'!AD470&amp;IF(VLOOKUP('.'!AD470,Recipes!$A:$D,4,FALSE)="",""," ["&amp;VLOOKUP('.'!AD470,Recipes!$A:$D,4,FALSE)&amp;"]"))</f>
        <v/>
      </c>
      <c r="AE470" s="47" t="str">
        <f t="array" ref="AE470">IF('.'!AE470="","",'.'!AE470&amp;IF(VLOOKUP('.'!AE470,Recipes!$A:$D,4,FALSE)="",""," ["&amp;VLOOKUP('.'!AE470,Recipes!$A:$D,4,FALSE)&amp;"]"))</f>
        <v/>
      </c>
      <c r="AF470" s="47"/>
      <c r="AG470" s="47"/>
      <c r="AH470" s="47"/>
      <c r="AI470" s="47"/>
      <c r="AJ470" s="47"/>
      <c r="AK470" s="47"/>
      <c r="AL470" s="47"/>
      <c r="AM470" s="47"/>
      <c r="AN470" s="47"/>
      <c r="AO470" s="47"/>
      <c r="AP470" s="47"/>
      <c r="AQ470" s="47"/>
      <c r="AR470" s="47"/>
      <c r="AS470" s="47"/>
      <c r="AT470" s="47"/>
      <c r="AU470" s="47"/>
      <c r="AV470" s="47"/>
      <c r="AW470" s="47"/>
      <c r="AX470" s="47"/>
      <c r="AY470" s="47"/>
      <c r="AZ470" s="47"/>
      <c r="BA470" s="47"/>
      <c r="BB470" s="47"/>
      <c r="BC470" s="47"/>
      <c r="BD470" s="47"/>
      <c r="BE470" s="47"/>
      <c r="BF470" s="47"/>
      <c r="BG470" s="47"/>
      <c r="BH470" s="47"/>
      <c r="BI470" s="47"/>
      <c r="BJ470" s="47"/>
      <c r="BK470" s="47"/>
      <c r="BL470" s="47"/>
      <c r="BM470" s="47"/>
      <c r="BN470" s="47"/>
      <c r="BO470" s="47"/>
      <c r="BP470" s="47"/>
      <c r="BQ470" s="47"/>
      <c r="BR470" s="47"/>
      <c r="BS470" s="47"/>
      <c r="BT470" s="47"/>
      <c r="BU470" s="47"/>
      <c r="BV470" s="47"/>
      <c r="BW470" s="47"/>
      <c r="BX470" s="47"/>
      <c r="BY470" s="47"/>
      <c r="BZ470" s="47"/>
    </row>
    <row r="471" spans="1:78" ht="13">
      <c r="A471" s="48" t="str">
        <f ca="1">'.'!A471</f>
        <v>Wine Barrel</v>
      </c>
      <c r="B471" s="46" t="str">
        <f t="array" aca="1" ref="B471" ca="1">IF('.'!B471="","",'.'!B471&amp;IF(VLOOKUP('.'!B471,Recipes!$A:$D,4,FALSE)="",""," ["&amp;VLOOKUP('.'!B471,Recipes!$A:$D,4,FALSE)&amp;"]"))</f>
        <v>Bottle of Wine [19]</v>
      </c>
      <c r="C471" s="46" t="str">
        <f t="array" aca="1" ref="C471" ca="1">IF('.'!C471="","",'.'!C471&amp;IF(VLOOKUP('.'!C471,Recipes!$A:$D,4,FALSE)="",""," ["&amp;VLOOKUP('.'!C471,Recipes!$A:$D,4,FALSE)&amp;"]"))</f>
        <v>Glass of Wine [-15]</v>
      </c>
      <c r="D471" s="46" t="str">
        <f t="array" aca="1" ref="D471" ca="1">IF('.'!D471="","",'.'!D471&amp;IF(VLOOKUP('.'!D471,Recipes!$A:$D,4,FALSE)="",""," ["&amp;VLOOKUP('.'!D471,Recipes!$A:$D,4,FALSE)&amp;"]"))</f>
        <v>Mug of Wine [-15]</v>
      </c>
      <c r="E471" s="46" t="str">
        <f t="array" ref="E471">IF('.'!E471="","",'.'!E471&amp;IF(VLOOKUP('.'!E471,Recipes!$A:$D,4,FALSE)="",""," ["&amp;VLOOKUP('.'!E471,Recipes!$A:$D,4,FALSE)&amp;"]"))</f>
        <v/>
      </c>
      <c r="F471" s="46" t="str">
        <f t="array" ref="F471">IF('.'!F471="","",'.'!F471&amp;IF(VLOOKUP('.'!F471,Recipes!$A:$D,4,FALSE)="",""," ["&amp;VLOOKUP('.'!F471,Recipes!$A:$D,4,FALSE)&amp;"]"))</f>
        <v/>
      </c>
      <c r="G471" s="46" t="str">
        <f t="array" ref="G471">IF('.'!G471="","",'.'!G471&amp;IF(VLOOKUP('.'!G471,Recipes!$A:$D,4,FALSE)="",""," ["&amp;VLOOKUP('.'!G471,Recipes!$A:$D,4,FALSE)&amp;"]"))</f>
        <v/>
      </c>
      <c r="H471" s="46" t="str">
        <f t="array" ref="H471">IF('.'!H471="","",'.'!H471&amp;IF(VLOOKUP('.'!H471,Recipes!$A:$D,4,FALSE)="",""," ["&amp;VLOOKUP('.'!H471,Recipes!$A:$D,4,FALSE)&amp;"]"))</f>
        <v/>
      </c>
      <c r="I471" s="46" t="str">
        <f t="array" ref="I471">IF('.'!I471="","",'.'!I471&amp;IF(VLOOKUP('.'!I471,Recipes!$A:$D,4,FALSE)="",""," ["&amp;VLOOKUP('.'!I471,Recipes!$A:$D,4,FALSE)&amp;"]"))</f>
        <v/>
      </c>
      <c r="J471" s="46" t="str">
        <f t="array" ref="J471">IF('.'!J471="","",'.'!J471&amp;IF(VLOOKUP('.'!J471,Recipes!$A:$D,4,FALSE)="",""," ["&amp;VLOOKUP('.'!J471,Recipes!$A:$D,4,FALSE)&amp;"]"))</f>
        <v/>
      </c>
      <c r="K471" s="46" t="str">
        <f t="array" ref="K471">IF('.'!K471="","",'.'!K471&amp;IF(VLOOKUP('.'!K471,Recipes!$A:$D,4,FALSE)="",""," ["&amp;VLOOKUP('.'!K471,Recipes!$A:$D,4,FALSE)&amp;"]"))</f>
        <v/>
      </c>
      <c r="L471" s="46" t="str">
        <f t="array" ref="L471">IF('.'!L471="","",'.'!L471&amp;IF(VLOOKUP('.'!L471,Recipes!$A:$D,4,FALSE)="",""," ["&amp;VLOOKUP('.'!L471,Recipes!$A:$D,4,FALSE)&amp;"]"))</f>
        <v/>
      </c>
      <c r="M471" s="46" t="str">
        <f t="array" ref="M471">IF('.'!M471="","",'.'!M471&amp;IF(VLOOKUP('.'!M471,Recipes!$A:$D,4,FALSE)="",""," ["&amp;VLOOKUP('.'!M471,Recipes!$A:$D,4,FALSE)&amp;"]"))</f>
        <v/>
      </c>
      <c r="N471" s="46" t="str">
        <f t="array" ref="N471">IF('.'!N471="","",'.'!N471&amp;IF(VLOOKUP('.'!N471,Recipes!$A:$D,4,FALSE)="",""," ["&amp;VLOOKUP('.'!N471,Recipes!$A:$D,4,FALSE)&amp;"]"))</f>
        <v/>
      </c>
      <c r="O471" s="46" t="str">
        <f t="array" ref="O471">IF('.'!O471="","",'.'!O471&amp;IF(VLOOKUP('.'!O471,Recipes!$A:$D,4,FALSE)="",""," ["&amp;VLOOKUP('.'!O471,Recipes!$A:$D,4,FALSE)&amp;"]"))</f>
        <v/>
      </c>
      <c r="P471" s="46" t="str">
        <f t="array" ref="P471">IF('.'!P471="","",'.'!P471&amp;IF(VLOOKUP('.'!P471,Recipes!$A:$D,4,FALSE)="",""," ["&amp;VLOOKUP('.'!P471,Recipes!$A:$D,4,FALSE)&amp;"]"))</f>
        <v/>
      </c>
      <c r="Q471" s="46" t="str">
        <f t="array" ref="Q471">IF('.'!Q471="","",'.'!Q471&amp;IF(VLOOKUP('.'!Q471,Recipes!$A:$D,4,FALSE)="",""," ["&amp;VLOOKUP('.'!Q471,Recipes!$A:$D,4,FALSE)&amp;"]"))</f>
        <v/>
      </c>
      <c r="R471" s="46" t="str">
        <f t="array" ref="R471">IF('.'!R471="","",'.'!R471&amp;IF(VLOOKUP('.'!R471,Recipes!$A:$D,4,FALSE)="",""," ["&amp;VLOOKUP('.'!R471,Recipes!$A:$D,4,FALSE)&amp;"]"))</f>
        <v/>
      </c>
      <c r="S471" s="46" t="str">
        <f t="array" ref="S471">IF('.'!S471="","",'.'!S471&amp;IF(VLOOKUP('.'!S471,Recipes!$A:$D,4,FALSE)="",""," ["&amp;VLOOKUP('.'!S471,Recipes!$A:$D,4,FALSE)&amp;"]"))</f>
        <v/>
      </c>
      <c r="T471" s="46" t="str">
        <f t="array" ref="T471">IF('.'!T471="","",'.'!T471&amp;IF(VLOOKUP('.'!T471,Recipes!$A:$D,4,FALSE)="",""," ["&amp;VLOOKUP('.'!T471,Recipes!$A:$D,4,FALSE)&amp;"]"))</f>
        <v/>
      </c>
      <c r="U471" s="46" t="str">
        <f t="array" ref="U471">IF('.'!U471="","",'.'!U471&amp;IF(VLOOKUP('.'!U471,Recipes!$A:$D,4,FALSE)="",""," ["&amp;VLOOKUP('.'!U471,Recipes!$A:$D,4,FALSE)&amp;"]"))</f>
        <v/>
      </c>
      <c r="V471" s="46" t="str">
        <f t="array" ref="V471">IF('.'!V471="","",'.'!V471&amp;IF(VLOOKUP('.'!V471,Recipes!$A:$D,4,FALSE)="",""," ["&amp;VLOOKUP('.'!V471,Recipes!$A:$D,4,FALSE)&amp;"]"))</f>
        <v/>
      </c>
      <c r="W471" s="46" t="str">
        <f t="array" ref="W471">IF('.'!W471="","",'.'!W471&amp;IF(VLOOKUP('.'!W471,Recipes!$A:$D,4,FALSE)="",""," ["&amp;VLOOKUP('.'!W471,Recipes!$A:$D,4,FALSE)&amp;"]"))</f>
        <v/>
      </c>
      <c r="X471" s="46" t="str">
        <f t="array" ref="X471">IF('.'!X471="","",'.'!X471&amp;IF(VLOOKUP('.'!X471,Recipes!$A:$D,4,FALSE)="",""," ["&amp;VLOOKUP('.'!X471,Recipes!$A:$D,4,FALSE)&amp;"]"))</f>
        <v/>
      </c>
      <c r="Y471" s="46" t="str">
        <f t="array" ref="Y471">IF('.'!Y471="","",'.'!Y471&amp;IF(VLOOKUP('.'!Y471,Recipes!$A:$D,4,FALSE)="",""," ["&amp;VLOOKUP('.'!Y471,Recipes!$A:$D,4,FALSE)&amp;"]"))</f>
        <v/>
      </c>
      <c r="Z471" s="46" t="str">
        <f t="array" ref="Z471">IF('.'!Z471="","",'.'!Z471&amp;IF(VLOOKUP('.'!Z471,Recipes!$A:$D,4,FALSE)="",""," ["&amp;VLOOKUP('.'!Z471,Recipes!$A:$D,4,FALSE)&amp;"]"))</f>
        <v/>
      </c>
      <c r="AA471" s="46" t="str">
        <f t="array" ref="AA471">IF('.'!AA471="","",'.'!AA471&amp;IF(VLOOKUP('.'!AA471,Recipes!$A:$D,4,FALSE)="",""," ["&amp;VLOOKUP('.'!AA471,Recipes!$A:$D,4,FALSE)&amp;"]"))</f>
        <v/>
      </c>
      <c r="AB471" s="46" t="str">
        <f t="array" ref="AB471">IF('.'!AB471="","",'.'!AB471&amp;IF(VLOOKUP('.'!AB471,Recipes!$A:$D,4,FALSE)="",""," ["&amp;VLOOKUP('.'!AB471,Recipes!$A:$D,4,FALSE)&amp;"]"))</f>
        <v/>
      </c>
      <c r="AC471" s="46" t="str">
        <f t="array" ref="AC471">IF('.'!AC471="","",'.'!AC471&amp;IF(VLOOKUP('.'!AC471,Recipes!$A:$D,4,FALSE)="",""," ["&amp;VLOOKUP('.'!AC471,Recipes!$A:$D,4,FALSE)&amp;"]"))</f>
        <v/>
      </c>
      <c r="AD471" s="46" t="str">
        <f t="array" ref="AD471">IF('.'!AD471="","",'.'!AD471&amp;IF(VLOOKUP('.'!AD471,Recipes!$A:$D,4,FALSE)="",""," ["&amp;VLOOKUP('.'!AD471,Recipes!$A:$D,4,FALSE)&amp;"]"))</f>
        <v/>
      </c>
      <c r="AE471" s="47" t="str">
        <f t="array" ref="AE471">IF('.'!AE471="","",'.'!AE471&amp;IF(VLOOKUP('.'!AE471,Recipes!$A:$D,4,FALSE)="",""," ["&amp;VLOOKUP('.'!AE471,Recipes!$A:$D,4,FALSE)&amp;"]"))</f>
        <v/>
      </c>
      <c r="AF471" s="47"/>
      <c r="AG471" s="47"/>
      <c r="AH471" s="47"/>
      <c r="AI471" s="47"/>
      <c r="AJ471" s="47"/>
      <c r="AK471" s="47"/>
      <c r="AL471" s="47"/>
      <c r="AM471" s="47"/>
      <c r="AN471" s="47"/>
      <c r="AO471" s="47"/>
      <c r="AP471" s="47"/>
      <c r="AQ471" s="47"/>
      <c r="AR471" s="47"/>
      <c r="AS471" s="47"/>
      <c r="AT471" s="47"/>
      <c r="AU471" s="47"/>
      <c r="AV471" s="47"/>
      <c r="AW471" s="47"/>
      <c r="AX471" s="47"/>
      <c r="AY471" s="47"/>
      <c r="AZ471" s="47"/>
      <c r="BA471" s="47"/>
      <c r="BB471" s="47"/>
      <c r="BC471" s="47"/>
      <c r="BD471" s="47"/>
      <c r="BE471" s="47"/>
      <c r="BF471" s="47"/>
      <c r="BG471" s="47"/>
      <c r="BH471" s="47"/>
      <c r="BI471" s="47"/>
      <c r="BJ471" s="47"/>
      <c r="BK471" s="47"/>
      <c r="BL471" s="47"/>
      <c r="BM471" s="47"/>
      <c r="BN471" s="47"/>
      <c r="BO471" s="47"/>
      <c r="BP471" s="47"/>
      <c r="BQ471" s="47"/>
      <c r="BR471" s="47"/>
      <c r="BS471" s="47"/>
      <c r="BT471" s="47"/>
      <c r="BU471" s="47"/>
      <c r="BV471" s="47"/>
      <c r="BW471" s="47"/>
      <c r="BX471" s="47"/>
      <c r="BY471" s="47"/>
      <c r="BZ471" s="47"/>
    </row>
    <row r="472" spans="1:78" ht="13">
      <c r="A472" s="48" t="str">
        <f ca="1">'.'!A472</f>
        <v>Winter Blast Scroll</v>
      </c>
      <c r="B472" s="46" t="str">
        <f t="array" aca="1" ref="B472" ca="1">IF('.'!B472="","",'.'!B472&amp;IF(VLOOKUP('.'!B472,Recipes!$A:$D,4,FALSE)="",""," ["&amp;VLOOKUP('.'!B472,Recipes!$A:$D,4,FALSE)&amp;"]"))</f>
        <v>Winter Blast Skillbook [-160]</v>
      </c>
      <c r="C472" s="46" t="str">
        <f t="array" ref="C472">IF('.'!C472="","",'.'!C472&amp;IF(VLOOKUP('.'!C472,Recipes!$A:$D,4,FALSE)="",""," ["&amp;VLOOKUP('.'!C472,Recipes!$A:$D,4,FALSE)&amp;"]"))</f>
        <v/>
      </c>
      <c r="D472" s="46" t="str">
        <f t="array" ref="D472">IF('.'!D472="","",'.'!D472&amp;IF(VLOOKUP('.'!D472,Recipes!$A:$D,4,FALSE)="",""," ["&amp;VLOOKUP('.'!D472,Recipes!$A:$D,4,FALSE)&amp;"]"))</f>
        <v/>
      </c>
      <c r="E472" s="46" t="str">
        <f t="array" ref="E472">IF('.'!E472="","",'.'!E472&amp;IF(VLOOKUP('.'!E472,Recipes!$A:$D,4,FALSE)="",""," ["&amp;VLOOKUP('.'!E472,Recipes!$A:$D,4,FALSE)&amp;"]"))</f>
        <v/>
      </c>
      <c r="F472" s="46" t="str">
        <f t="array" ref="F472">IF('.'!F472="","",'.'!F472&amp;IF(VLOOKUP('.'!F472,Recipes!$A:$D,4,FALSE)="",""," ["&amp;VLOOKUP('.'!F472,Recipes!$A:$D,4,FALSE)&amp;"]"))</f>
        <v/>
      </c>
      <c r="G472" s="46" t="str">
        <f t="array" ref="G472">IF('.'!G472="","",'.'!G472&amp;IF(VLOOKUP('.'!G472,Recipes!$A:$D,4,FALSE)="",""," ["&amp;VLOOKUP('.'!G472,Recipes!$A:$D,4,FALSE)&amp;"]"))</f>
        <v/>
      </c>
      <c r="H472" s="46" t="str">
        <f t="array" ref="H472">IF('.'!H472="","",'.'!H472&amp;IF(VLOOKUP('.'!H472,Recipes!$A:$D,4,FALSE)="",""," ["&amp;VLOOKUP('.'!H472,Recipes!$A:$D,4,FALSE)&amp;"]"))</f>
        <v/>
      </c>
      <c r="I472" s="46" t="str">
        <f t="array" ref="I472">IF('.'!I472="","",'.'!I472&amp;IF(VLOOKUP('.'!I472,Recipes!$A:$D,4,FALSE)="",""," ["&amp;VLOOKUP('.'!I472,Recipes!$A:$D,4,FALSE)&amp;"]"))</f>
        <v/>
      </c>
      <c r="J472" s="46" t="str">
        <f t="array" ref="J472">IF('.'!J472="","",'.'!J472&amp;IF(VLOOKUP('.'!J472,Recipes!$A:$D,4,FALSE)="",""," ["&amp;VLOOKUP('.'!J472,Recipes!$A:$D,4,FALSE)&amp;"]"))</f>
        <v/>
      </c>
      <c r="K472" s="46" t="str">
        <f t="array" ref="K472">IF('.'!K472="","",'.'!K472&amp;IF(VLOOKUP('.'!K472,Recipes!$A:$D,4,FALSE)="",""," ["&amp;VLOOKUP('.'!K472,Recipes!$A:$D,4,FALSE)&amp;"]"))</f>
        <v/>
      </c>
      <c r="L472" s="46"/>
      <c r="M472" s="46"/>
      <c r="N472" s="46"/>
      <c r="O472" s="46"/>
      <c r="P472" s="46"/>
      <c r="Q472" s="46"/>
      <c r="R472" s="46"/>
      <c r="S472" s="46"/>
      <c r="T472" s="46"/>
      <c r="U472" s="46"/>
      <c r="V472" s="46"/>
      <c r="W472" s="46"/>
      <c r="X472" s="46"/>
      <c r="Y472" s="46"/>
      <c r="Z472" s="46"/>
      <c r="AA472" s="46"/>
      <c r="AB472" s="46"/>
      <c r="AC472" s="46"/>
      <c r="AD472" s="46"/>
      <c r="AE472" s="47"/>
      <c r="AF472" s="47"/>
      <c r="AG472" s="47"/>
      <c r="AH472" s="47"/>
      <c r="AI472" s="47"/>
      <c r="AJ472" s="47"/>
      <c r="AK472" s="47"/>
      <c r="AL472" s="47"/>
      <c r="AM472" s="47"/>
      <c r="AN472" s="47"/>
      <c r="AO472" s="47"/>
      <c r="AP472" s="47"/>
      <c r="AQ472" s="47"/>
      <c r="AR472" s="47"/>
      <c r="AS472" s="47"/>
      <c r="AT472" s="47"/>
      <c r="AU472" s="47"/>
      <c r="AV472" s="47"/>
      <c r="AW472" s="47"/>
      <c r="AX472" s="47"/>
      <c r="AY472" s="47"/>
      <c r="AZ472" s="47"/>
      <c r="BA472" s="47"/>
      <c r="BB472" s="47"/>
      <c r="BC472" s="47"/>
      <c r="BD472" s="47"/>
      <c r="BE472" s="47"/>
      <c r="BF472" s="47"/>
      <c r="BG472" s="47"/>
      <c r="BH472" s="47"/>
      <c r="BI472" s="47"/>
      <c r="BJ472" s="47"/>
      <c r="BK472" s="47"/>
      <c r="BL472" s="47"/>
      <c r="BM472" s="47"/>
      <c r="BN472" s="47"/>
      <c r="BO472" s="47"/>
      <c r="BP472" s="47"/>
      <c r="BQ472" s="47"/>
      <c r="BR472" s="47"/>
      <c r="BS472" s="47"/>
      <c r="BT472" s="47"/>
      <c r="BU472" s="47"/>
      <c r="BV472" s="47"/>
      <c r="BW472" s="47"/>
      <c r="BX472" s="47"/>
      <c r="BY472" s="47"/>
      <c r="BZ472" s="47"/>
    </row>
    <row r="473" spans="1:78" ht="13">
      <c r="A473" s="48" t="str">
        <f ca="1">'.'!A473</f>
        <v>Witch Potion</v>
      </c>
      <c r="B473" s="46" t="str">
        <f t="array" aca="1" ref="B473" ca="1">IF('.'!B473="","",'.'!B473&amp;IF(VLOOKUP('.'!B473,Recipes!$A:$D,4,FALSE)="",""," ["&amp;VLOOKUP('.'!B473,Recipes!$A:$D,4,FALSE)&amp;"]"))</f>
        <v>Huge Healing Potion [Masked | Witch]</v>
      </c>
      <c r="C473" s="46" t="str">
        <f t="array" ref="C473">IF('.'!C473="","",'.'!C473&amp;IF(VLOOKUP('.'!C473,Recipes!$A:$D,4,FALSE)="",""," ["&amp;VLOOKUP('.'!C473,Recipes!$A:$D,4,FALSE)&amp;"]"))</f>
        <v/>
      </c>
      <c r="D473" s="46" t="str">
        <f t="array" ref="D473">IF('.'!D473="","",'.'!D473&amp;IF(VLOOKUP('.'!D473,Recipes!$A:$D,4,FALSE)="",""," ["&amp;VLOOKUP('.'!D473,Recipes!$A:$D,4,FALSE)&amp;"]"))</f>
        <v/>
      </c>
      <c r="E473" s="46" t="str">
        <f t="array" ref="E473">IF('.'!E473="","",'.'!E473&amp;IF(VLOOKUP('.'!E473,Recipes!$A:$D,4,FALSE)="",""," ["&amp;VLOOKUP('.'!E473,Recipes!$A:$D,4,FALSE)&amp;"]"))</f>
        <v/>
      </c>
      <c r="F473" s="46" t="str">
        <f t="array" ref="F473">IF('.'!F473="","",'.'!F473&amp;IF(VLOOKUP('.'!F473,Recipes!$A:$D,4,FALSE)="",""," ["&amp;VLOOKUP('.'!F473,Recipes!$A:$D,4,FALSE)&amp;"]"))</f>
        <v/>
      </c>
      <c r="G473" s="46" t="str">
        <f t="array" ref="G473">IF('.'!G473="","",'.'!G473&amp;IF(VLOOKUP('.'!G473,Recipes!$A:$D,4,FALSE)="",""," ["&amp;VLOOKUP('.'!G473,Recipes!$A:$D,4,FALSE)&amp;"]"))</f>
        <v/>
      </c>
      <c r="H473" s="46" t="str">
        <f t="array" ref="H473">IF('.'!H473="","",'.'!H473&amp;IF(VLOOKUP('.'!H473,Recipes!$A:$D,4,FALSE)="",""," ["&amp;VLOOKUP('.'!H473,Recipes!$A:$D,4,FALSE)&amp;"]"))</f>
        <v/>
      </c>
      <c r="I473" s="46" t="str">
        <f t="array" ref="I473">IF('.'!I473="","",'.'!I473&amp;IF(VLOOKUP('.'!I473,Recipes!$A:$D,4,FALSE)="",""," ["&amp;VLOOKUP('.'!I473,Recipes!$A:$D,4,FALSE)&amp;"]"))</f>
        <v/>
      </c>
      <c r="J473" s="46" t="str">
        <f t="array" ref="J473">IF('.'!J473="","",'.'!J473&amp;IF(VLOOKUP('.'!J473,Recipes!$A:$D,4,FALSE)="",""," ["&amp;VLOOKUP('.'!J473,Recipes!$A:$D,4,FALSE)&amp;"]"))</f>
        <v/>
      </c>
      <c r="K473" s="46" t="str">
        <f t="array" ref="K473">IF('.'!K473="","",'.'!K473&amp;IF(VLOOKUP('.'!K473,Recipes!$A:$D,4,FALSE)="",""," ["&amp;VLOOKUP('.'!K473,Recipes!$A:$D,4,FALSE)&amp;"]"))</f>
        <v/>
      </c>
      <c r="L473" s="46"/>
      <c r="M473" s="46"/>
      <c r="N473" s="46"/>
      <c r="O473" s="46"/>
      <c r="P473" s="46"/>
      <c r="Q473" s="46"/>
      <c r="R473" s="46"/>
      <c r="S473" s="46"/>
      <c r="T473" s="46"/>
      <c r="U473" s="46"/>
      <c r="V473" s="46"/>
      <c r="W473" s="46"/>
      <c r="X473" s="46"/>
      <c r="Y473" s="46"/>
      <c r="Z473" s="46"/>
      <c r="AA473" s="46"/>
      <c r="AB473" s="46"/>
      <c r="AC473" s="46"/>
      <c r="AD473" s="46"/>
      <c r="AE473" s="47"/>
      <c r="AF473" s="47"/>
      <c r="AG473" s="47"/>
      <c r="AH473" s="47"/>
      <c r="AI473" s="47"/>
      <c r="AJ473" s="47"/>
      <c r="AK473" s="47"/>
      <c r="AL473" s="47"/>
      <c r="AM473" s="47"/>
      <c r="AN473" s="47"/>
      <c r="AO473" s="47"/>
      <c r="AP473" s="47"/>
      <c r="AQ473" s="47"/>
      <c r="AR473" s="47"/>
      <c r="AS473" s="47"/>
      <c r="AT473" s="47"/>
      <c r="AU473" s="47"/>
      <c r="AV473" s="47"/>
      <c r="AW473" s="47"/>
      <c r="AX473" s="47"/>
      <c r="AY473" s="47"/>
      <c r="AZ473" s="47"/>
      <c r="BA473" s="47"/>
      <c r="BB473" s="47"/>
      <c r="BC473" s="47"/>
      <c r="BD473" s="47"/>
      <c r="BE473" s="47"/>
      <c r="BF473" s="47"/>
      <c r="BG473" s="47"/>
      <c r="BH473" s="47"/>
      <c r="BI473" s="47"/>
      <c r="BJ473" s="47"/>
      <c r="BK473" s="47"/>
      <c r="BL473" s="47"/>
      <c r="BM473" s="47"/>
      <c r="BN473" s="47"/>
      <c r="BO473" s="47"/>
      <c r="BP473" s="47"/>
      <c r="BQ473" s="47"/>
      <c r="BR473" s="47"/>
      <c r="BS473" s="47"/>
      <c r="BT473" s="47"/>
      <c r="BU473" s="47"/>
      <c r="BV473" s="47"/>
      <c r="BW473" s="47"/>
      <c r="BX473" s="47"/>
      <c r="BY473" s="47"/>
      <c r="BZ473" s="47"/>
    </row>
    <row r="474" spans="1:78" ht="13">
      <c r="A474" s="48" t="str">
        <f ca="1">'.'!A474</f>
        <v>Witch's Eye</v>
      </c>
      <c r="B474" s="46" t="str">
        <f t="array" aca="1" ref="B474" ca="1">IF('.'!B474="","",'.'!B474&amp;IF(VLOOKUP('.'!B474,Recipes!$A:$D,4,FALSE)="",""," ["&amp;VLOOKUP('.'!B474,Recipes!$A:$D,4,FALSE)&amp;"]"))</f>
        <v>Witch Potion [850]</v>
      </c>
      <c r="C474" s="46" t="str">
        <f t="array" ref="C474">IF('.'!C474="","",'.'!C474&amp;IF(VLOOKUP('.'!C474,Recipes!$A:$D,4,FALSE)="",""," ["&amp;VLOOKUP('.'!C474,Recipes!$A:$D,4,FALSE)&amp;"]"))</f>
        <v/>
      </c>
      <c r="D474" s="46" t="str">
        <f t="array" ref="D474">IF('.'!D474="","",'.'!D474&amp;IF(VLOOKUP('.'!D474,Recipes!$A:$D,4,FALSE)="",""," ["&amp;VLOOKUP('.'!D474,Recipes!$A:$D,4,FALSE)&amp;"]"))</f>
        <v/>
      </c>
      <c r="E474" s="46" t="str">
        <f t="array" ref="E474">IF('.'!E474="","",'.'!E474&amp;IF(VLOOKUP('.'!E474,Recipes!$A:$D,4,FALSE)="",""," ["&amp;VLOOKUP('.'!E474,Recipes!$A:$D,4,FALSE)&amp;"]"))</f>
        <v/>
      </c>
      <c r="F474" s="46" t="str">
        <f t="array" ref="F474">IF('.'!F474="","",'.'!F474&amp;IF(VLOOKUP('.'!F474,Recipes!$A:$D,4,FALSE)="",""," ["&amp;VLOOKUP('.'!F474,Recipes!$A:$D,4,FALSE)&amp;"]"))</f>
        <v/>
      </c>
      <c r="G474" s="46" t="str">
        <f t="array" ref="G474">IF('.'!G474="","",'.'!G474&amp;IF(VLOOKUP('.'!G474,Recipes!$A:$D,4,FALSE)="",""," ["&amp;VLOOKUP('.'!G474,Recipes!$A:$D,4,FALSE)&amp;"]"))</f>
        <v/>
      </c>
      <c r="H474" s="46" t="str">
        <f t="array" ref="H474">IF('.'!H474="","",'.'!H474&amp;IF(VLOOKUP('.'!H474,Recipes!$A:$D,4,FALSE)="",""," ["&amp;VLOOKUP('.'!H474,Recipes!$A:$D,4,FALSE)&amp;"]"))</f>
        <v/>
      </c>
      <c r="I474" s="46" t="str">
        <f t="array" ref="I474">IF('.'!I474="","",'.'!I474&amp;IF(VLOOKUP('.'!I474,Recipes!$A:$D,4,FALSE)="",""," ["&amp;VLOOKUP('.'!I474,Recipes!$A:$D,4,FALSE)&amp;"]"))</f>
        <v/>
      </c>
      <c r="J474" s="46" t="str">
        <f t="array" ref="J474">IF('.'!J474="","",'.'!J474&amp;IF(VLOOKUP('.'!J474,Recipes!$A:$D,4,FALSE)="",""," ["&amp;VLOOKUP('.'!J474,Recipes!$A:$D,4,FALSE)&amp;"]"))</f>
        <v/>
      </c>
      <c r="K474" s="46" t="str">
        <f t="array" ref="K474">IF('.'!K474="","",'.'!K474&amp;IF(VLOOKUP('.'!K474,Recipes!$A:$D,4,FALSE)="",""," ["&amp;VLOOKUP('.'!K474,Recipes!$A:$D,4,FALSE)&amp;"]"))</f>
        <v/>
      </c>
      <c r="L474" s="46"/>
      <c r="M474" s="46"/>
      <c r="N474" s="46"/>
      <c r="O474" s="46"/>
      <c r="P474" s="46"/>
      <c r="Q474" s="46"/>
      <c r="R474" s="46"/>
      <c r="S474" s="46"/>
      <c r="T474" s="46"/>
      <c r="U474" s="46"/>
      <c r="V474" s="46"/>
      <c r="W474" s="46"/>
      <c r="X474" s="46"/>
      <c r="Y474" s="46"/>
      <c r="Z474" s="46"/>
      <c r="AA474" s="46"/>
      <c r="AB474" s="46"/>
      <c r="AC474" s="46"/>
      <c r="AD474" s="46"/>
      <c r="AE474" s="47"/>
      <c r="AF474" s="47"/>
      <c r="AG474" s="47"/>
      <c r="AH474" s="47"/>
      <c r="AI474" s="47"/>
      <c r="AJ474" s="47"/>
      <c r="AK474" s="47"/>
      <c r="AL474" s="47"/>
      <c r="AM474" s="47"/>
      <c r="AN474" s="47"/>
      <c r="AO474" s="47"/>
      <c r="AP474" s="47"/>
      <c r="AQ474" s="47"/>
      <c r="AR474" s="47"/>
      <c r="AS474" s="47"/>
      <c r="AT474" s="47"/>
      <c r="AU474" s="47"/>
      <c r="AV474" s="47"/>
      <c r="AW474" s="47"/>
      <c r="AX474" s="47"/>
      <c r="AY474" s="47"/>
      <c r="AZ474" s="47"/>
      <c r="BA474" s="47"/>
      <c r="BB474" s="47"/>
      <c r="BC474" s="47"/>
      <c r="BD474" s="47"/>
      <c r="BE474" s="47"/>
      <c r="BF474" s="47"/>
      <c r="BG474" s="47"/>
      <c r="BH474" s="47"/>
      <c r="BI474" s="47"/>
      <c r="BJ474" s="47"/>
      <c r="BK474" s="47"/>
      <c r="BL474" s="47"/>
      <c r="BM474" s="47"/>
      <c r="BN474" s="47"/>
      <c r="BO474" s="47"/>
      <c r="BP474" s="47"/>
      <c r="BQ474" s="47"/>
      <c r="BR474" s="47"/>
      <c r="BS474" s="47"/>
      <c r="BT474" s="47"/>
      <c r="BU474" s="47"/>
      <c r="BV474" s="47"/>
      <c r="BW474" s="47"/>
      <c r="BX474" s="47"/>
      <c r="BY474" s="47"/>
      <c r="BZ474" s="47"/>
    </row>
    <row r="475" spans="1:78" ht="13">
      <c r="A475" s="48" t="str">
        <f ca="1">'.'!A475</f>
        <v>Wood</v>
      </c>
      <c r="B475" s="46" t="e">
        <f t="array" aca="1" ref="B475" ca="1">IF('.'!B475="","",'.'!B475&amp;IF(VLOOKUP('.'!B475,Recipes!$A:$D,4,FALSE)="",""," ["&amp;VLOOKUP('.'!B475,Recipes!$A:$D,4,FALSE)&amp;"]"))</f>
        <v>#VALUE!</v>
      </c>
      <c r="C475" s="46" t="str">
        <f t="array" ref="C475">IF('.'!C475="","",'.'!C475&amp;IF(VLOOKUP('.'!C475,Recipes!$A:$D,4,FALSE)="",""," ["&amp;VLOOKUP('.'!C475,Recipes!$A:$D,4,FALSE)&amp;"]"))</f>
        <v/>
      </c>
      <c r="D475" s="46" t="str">
        <f t="array" ref="D475">IF('.'!D475="","",'.'!D475&amp;IF(VLOOKUP('.'!D475,Recipes!$A:$D,4,FALSE)="",""," ["&amp;VLOOKUP('.'!D475,Recipes!$A:$D,4,FALSE)&amp;"]"))</f>
        <v/>
      </c>
      <c r="E475" s="46" t="str">
        <f t="array" ref="E475">IF('.'!E475="","",'.'!E475&amp;IF(VLOOKUP('.'!E475,Recipes!$A:$D,4,FALSE)="",""," ["&amp;VLOOKUP('.'!E475,Recipes!$A:$D,4,FALSE)&amp;"]"))</f>
        <v/>
      </c>
      <c r="F475" s="46" t="str">
        <f t="array" ref="F475">IF('.'!F475="","",'.'!F475&amp;IF(VLOOKUP('.'!F475,Recipes!$A:$D,4,FALSE)="",""," ["&amp;VLOOKUP('.'!F475,Recipes!$A:$D,4,FALSE)&amp;"]"))</f>
        <v/>
      </c>
      <c r="G475" s="46" t="str">
        <f t="array" ref="G475">IF('.'!G475="","",'.'!G475&amp;IF(VLOOKUP('.'!G475,Recipes!$A:$D,4,FALSE)="",""," ["&amp;VLOOKUP('.'!G475,Recipes!$A:$D,4,FALSE)&amp;"]"))</f>
        <v/>
      </c>
      <c r="H475" s="46" t="str">
        <f t="array" ref="H475">IF('.'!H475="","",'.'!H475&amp;IF(VLOOKUP('.'!H475,Recipes!$A:$D,4,FALSE)="",""," ["&amp;VLOOKUP('.'!H475,Recipes!$A:$D,4,FALSE)&amp;"]"))</f>
        <v/>
      </c>
      <c r="I475" s="46" t="str">
        <f t="array" ref="I475">IF('.'!I475="","",'.'!I475&amp;IF(VLOOKUP('.'!I475,Recipes!$A:$D,4,FALSE)="",""," ["&amp;VLOOKUP('.'!I475,Recipes!$A:$D,4,FALSE)&amp;"]"))</f>
        <v/>
      </c>
      <c r="J475" s="46" t="str">
        <f t="array" ref="J475">IF('.'!J475="","",'.'!J475&amp;IF(VLOOKUP('.'!J475,Recipes!$A:$D,4,FALSE)="",""," ["&amp;VLOOKUP('.'!J475,Recipes!$A:$D,4,FALSE)&amp;"]"))</f>
        <v/>
      </c>
      <c r="K475" s="46" t="str">
        <f t="array" ref="K475">IF('.'!K475="","",'.'!K475&amp;IF(VLOOKUP('.'!K475,Recipes!$A:$D,4,FALSE)="",""," ["&amp;VLOOKUP('.'!K475,Recipes!$A:$D,4,FALSE)&amp;"]"))</f>
        <v/>
      </c>
      <c r="L475" s="46"/>
      <c r="M475" s="46"/>
      <c r="N475" s="46"/>
      <c r="O475" s="46"/>
      <c r="P475" s="46"/>
      <c r="Q475" s="46"/>
      <c r="R475" s="46"/>
      <c r="S475" s="46"/>
      <c r="T475" s="46"/>
      <c r="U475" s="46"/>
      <c r="V475" s="46"/>
      <c r="W475" s="46"/>
      <c r="X475" s="46"/>
      <c r="Y475" s="46"/>
      <c r="Z475" s="46"/>
      <c r="AA475" s="46"/>
      <c r="AB475" s="46"/>
      <c r="AC475" s="46"/>
      <c r="AD475" s="46"/>
      <c r="AE475" s="47"/>
      <c r="AF475" s="47"/>
      <c r="AG475" s="47"/>
      <c r="AH475" s="47"/>
      <c r="AI475" s="47"/>
      <c r="AJ475" s="47"/>
      <c r="AK475" s="47"/>
      <c r="AL475" s="47"/>
      <c r="AM475" s="47"/>
      <c r="AN475" s="47"/>
      <c r="AO475" s="47"/>
      <c r="AP475" s="47"/>
      <c r="AQ475" s="47"/>
      <c r="AR475" s="47"/>
      <c r="AS475" s="47"/>
      <c r="AT475" s="47"/>
      <c r="AU475" s="47"/>
      <c r="AV475" s="47"/>
      <c r="AW475" s="47"/>
      <c r="AX475" s="47"/>
      <c r="AY475" s="47"/>
      <c r="AZ475" s="47"/>
      <c r="BA475" s="47"/>
      <c r="BB475" s="47"/>
      <c r="BC475" s="47"/>
      <c r="BD475" s="47"/>
      <c r="BE475" s="47"/>
      <c r="BF475" s="47"/>
      <c r="BG475" s="47"/>
      <c r="BH475" s="47"/>
      <c r="BI475" s="47"/>
      <c r="BJ475" s="47"/>
      <c r="BK475" s="47"/>
      <c r="BL475" s="47"/>
      <c r="BM475" s="47"/>
      <c r="BN475" s="47"/>
      <c r="BO475" s="47"/>
      <c r="BP475" s="47"/>
      <c r="BQ475" s="47"/>
      <c r="BR475" s="47"/>
      <c r="BS475" s="47"/>
      <c r="BT475" s="47"/>
      <c r="BU475" s="47"/>
      <c r="BV475" s="47"/>
      <c r="BW475" s="47"/>
      <c r="BX475" s="47"/>
      <c r="BY475" s="47"/>
      <c r="BZ475" s="47"/>
    </row>
    <row r="476" spans="1:78" ht="13">
      <c r="A476" s="48" t="str">
        <f ca="1">'.'!A476</f>
        <v>Wood Chips</v>
      </c>
      <c r="B476" s="46" t="str">
        <f t="array" aca="1" ref="B476" ca="1">IF('.'!B476="","",'.'!B476&amp;IF(VLOOKUP('.'!B476,Recipes!$A:$D,4,FALSE)="",""," ["&amp;VLOOKUP('.'!B476,Recipes!$A:$D,4,FALSE)&amp;"]"))</f>
        <v>Makeshift Shield [V]</v>
      </c>
      <c r="C476" s="46" t="str">
        <f t="array" aca="1" ref="C476" ca="1">IF('.'!C476="","",'.'!C476&amp;IF(VLOOKUP('.'!C476,Recipes!$A:$D,4,FALSE)="",""," ["&amp;VLOOKUP('.'!C476,Recipes!$A:$D,4,FALSE)&amp;"]"))</f>
        <v>Wood Pulp [-1]</v>
      </c>
      <c r="D476" s="46" t="str">
        <f t="array" ref="D476">IF('.'!D476="","",'.'!D476&amp;IF(VLOOKUP('.'!D476,Recipes!$A:$D,4,FALSE)="",""," ["&amp;VLOOKUP('.'!D476,Recipes!$A:$D,4,FALSE)&amp;"]"))</f>
        <v/>
      </c>
      <c r="E476" s="46" t="str">
        <f t="array" ref="E476">IF('.'!E476="","",'.'!E476&amp;IF(VLOOKUP('.'!E476,Recipes!$A:$D,4,FALSE)="",""," ["&amp;VLOOKUP('.'!E476,Recipes!$A:$D,4,FALSE)&amp;"]"))</f>
        <v/>
      </c>
      <c r="F476" s="46" t="str">
        <f t="array" ref="F476">IF('.'!F476="","",'.'!F476&amp;IF(VLOOKUP('.'!F476,Recipes!$A:$D,4,FALSE)="",""," ["&amp;VLOOKUP('.'!F476,Recipes!$A:$D,4,FALSE)&amp;"]"))</f>
        <v/>
      </c>
      <c r="G476" s="46" t="str">
        <f t="array" ref="G476">IF('.'!G476="","",'.'!G476&amp;IF(VLOOKUP('.'!G476,Recipes!$A:$D,4,FALSE)="",""," ["&amp;VLOOKUP('.'!G476,Recipes!$A:$D,4,FALSE)&amp;"]"))</f>
        <v/>
      </c>
      <c r="H476" s="46" t="str">
        <f t="array" ref="H476">IF('.'!H476="","",'.'!H476&amp;IF(VLOOKUP('.'!H476,Recipes!$A:$D,4,FALSE)="",""," ["&amp;VLOOKUP('.'!H476,Recipes!$A:$D,4,FALSE)&amp;"]"))</f>
        <v/>
      </c>
      <c r="I476" s="46" t="str">
        <f t="array" ref="I476">IF('.'!I476="","",'.'!I476&amp;IF(VLOOKUP('.'!I476,Recipes!$A:$D,4,FALSE)="",""," ["&amp;VLOOKUP('.'!I476,Recipes!$A:$D,4,FALSE)&amp;"]"))</f>
        <v/>
      </c>
      <c r="J476" s="46" t="str">
        <f t="array" ref="J476">IF('.'!J476="","",'.'!J476&amp;IF(VLOOKUP('.'!J476,Recipes!$A:$D,4,FALSE)="",""," ["&amp;VLOOKUP('.'!J476,Recipes!$A:$D,4,FALSE)&amp;"]"))</f>
        <v/>
      </c>
      <c r="K476" s="46" t="str">
        <f t="array" ref="K476">IF('.'!K476="","",'.'!K476&amp;IF(VLOOKUP('.'!K476,Recipes!$A:$D,4,FALSE)="",""," ["&amp;VLOOKUP('.'!K476,Recipes!$A:$D,4,FALSE)&amp;"]"))</f>
        <v/>
      </c>
      <c r="L476" s="46"/>
      <c r="M476" s="46"/>
      <c r="N476" s="46"/>
      <c r="O476" s="46"/>
      <c r="P476" s="46"/>
      <c r="Q476" s="46"/>
      <c r="R476" s="46"/>
      <c r="S476" s="46"/>
      <c r="T476" s="46"/>
      <c r="U476" s="46"/>
      <c r="V476" s="46"/>
      <c r="W476" s="46"/>
      <c r="X476" s="46"/>
      <c r="Y476" s="46"/>
      <c r="Z476" s="46"/>
      <c r="AA476" s="46"/>
      <c r="AB476" s="46"/>
      <c r="AC476" s="46"/>
      <c r="AD476" s="46"/>
      <c r="AE476" s="47"/>
      <c r="AF476" s="47"/>
      <c r="AG476" s="47"/>
      <c r="AH476" s="47"/>
      <c r="AI476" s="47"/>
      <c r="AJ476" s="47"/>
      <c r="AK476" s="47"/>
      <c r="AL476" s="47"/>
      <c r="AM476" s="47"/>
      <c r="AN476" s="47"/>
      <c r="AO476" s="47"/>
      <c r="AP476" s="47"/>
      <c r="AQ476" s="47"/>
      <c r="AR476" s="47"/>
      <c r="AS476" s="47"/>
      <c r="AT476" s="47"/>
      <c r="AU476" s="47"/>
      <c r="AV476" s="47"/>
      <c r="AW476" s="47"/>
      <c r="AX476" s="47"/>
      <c r="AY476" s="47"/>
      <c r="AZ476" s="47"/>
      <c r="BA476" s="47"/>
      <c r="BB476" s="47"/>
      <c r="BC476" s="47"/>
      <c r="BD476" s="47"/>
      <c r="BE476" s="47"/>
      <c r="BF476" s="47"/>
      <c r="BG476" s="47"/>
      <c r="BH476" s="47"/>
      <c r="BI476" s="47"/>
      <c r="BJ476" s="47"/>
      <c r="BK476" s="47"/>
      <c r="BL476" s="47"/>
      <c r="BM476" s="47"/>
      <c r="BN476" s="47"/>
      <c r="BO476" s="47"/>
      <c r="BP476" s="47"/>
      <c r="BQ476" s="47"/>
      <c r="BR476" s="47"/>
      <c r="BS476" s="47"/>
      <c r="BT476" s="47"/>
      <c r="BU476" s="47"/>
      <c r="BV476" s="47"/>
      <c r="BW476" s="47"/>
      <c r="BX476" s="47"/>
      <c r="BY476" s="47"/>
      <c r="BZ476" s="47"/>
    </row>
    <row r="477" spans="1:78" ht="13">
      <c r="A477" s="48" t="str">
        <f ca="1">'.'!A477</f>
        <v>Wood Pulp</v>
      </c>
      <c r="B477" s="46" t="str">
        <f t="array" aca="1" ref="B477" ca="1">IF('.'!B477="","",'.'!B477&amp;IF(VLOOKUP('.'!B477,Recipes!$A:$D,4,FALSE)="",""," ["&amp;VLOOKUP('.'!B477,Recipes!$A:$D,4,FALSE)&amp;"]"))</f>
        <v>Sheet of Paper [15]</v>
      </c>
      <c r="C477" s="46" t="str">
        <f t="array" ref="C477">IF('.'!C477="","",'.'!C477&amp;IF(VLOOKUP('.'!C477,Recipes!$A:$D,4,FALSE)="",""," ["&amp;VLOOKUP('.'!C477,Recipes!$A:$D,4,FALSE)&amp;"]"))</f>
        <v/>
      </c>
      <c r="D477" s="46" t="str">
        <f t="array" ref="D477">IF('.'!D477="","",'.'!D477&amp;IF(VLOOKUP('.'!D477,Recipes!$A:$D,4,FALSE)="",""," ["&amp;VLOOKUP('.'!D477,Recipes!$A:$D,4,FALSE)&amp;"]"))</f>
        <v/>
      </c>
      <c r="E477" s="46" t="str">
        <f t="array" ref="E477">IF('.'!E477="","",'.'!E477&amp;IF(VLOOKUP('.'!E477,Recipes!$A:$D,4,FALSE)="",""," ["&amp;VLOOKUP('.'!E477,Recipes!$A:$D,4,FALSE)&amp;"]"))</f>
        <v/>
      </c>
      <c r="F477" s="46" t="str">
        <f t="array" ref="F477">IF('.'!F477="","",'.'!F477&amp;IF(VLOOKUP('.'!F477,Recipes!$A:$D,4,FALSE)="",""," ["&amp;VLOOKUP('.'!F477,Recipes!$A:$D,4,FALSE)&amp;"]"))</f>
        <v/>
      </c>
      <c r="G477" s="46" t="str">
        <f t="array" ref="G477">IF('.'!G477="","",'.'!G477&amp;IF(VLOOKUP('.'!G477,Recipes!$A:$D,4,FALSE)="",""," ["&amp;VLOOKUP('.'!G477,Recipes!$A:$D,4,FALSE)&amp;"]"))</f>
        <v/>
      </c>
      <c r="H477" s="46" t="str">
        <f t="array" ref="H477">IF('.'!H477="","",'.'!H477&amp;IF(VLOOKUP('.'!H477,Recipes!$A:$D,4,FALSE)="",""," ["&amp;VLOOKUP('.'!H477,Recipes!$A:$D,4,FALSE)&amp;"]"))</f>
        <v/>
      </c>
      <c r="I477" s="46" t="str">
        <f t="array" ref="I477">IF('.'!I477="","",'.'!I477&amp;IF(VLOOKUP('.'!I477,Recipes!$A:$D,4,FALSE)="",""," ["&amp;VLOOKUP('.'!I477,Recipes!$A:$D,4,FALSE)&amp;"]"))</f>
        <v/>
      </c>
      <c r="J477" s="46" t="str">
        <f t="array" ref="J477">IF('.'!J477="","",'.'!J477&amp;IF(VLOOKUP('.'!J477,Recipes!$A:$D,4,FALSE)="",""," ["&amp;VLOOKUP('.'!J477,Recipes!$A:$D,4,FALSE)&amp;"]"))</f>
        <v/>
      </c>
      <c r="K477" s="46" t="str">
        <f t="array" ref="K477">IF('.'!K477="","",'.'!K477&amp;IF(VLOOKUP('.'!K477,Recipes!$A:$D,4,FALSE)="",""," ["&amp;VLOOKUP('.'!K477,Recipes!$A:$D,4,FALSE)&amp;"]"))</f>
        <v/>
      </c>
      <c r="L477" s="46"/>
      <c r="M477" s="46"/>
      <c r="N477" s="46"/>
      <c r="O477" s="46"/>
      <c r="P477" s="46"/>
      <c r="Q477" s="46"/>
      <c r="R477" s="46"/>
      <c r="S477" s="46"/>
      <c r="T477" s="46"/>
      <c r="U477" s="46"/>
      <c r="V477" s="46"/>
      <c r="W477" s="46"/>
      <c r="X477" s="46"/>
      <c r="Y477" s="46"/>
      <c r="Z477" s="46"/>
      <c r="AA477" s="46"/>
      <c r="AB477" s="46"/>
      <c r="AC477" s="46"/>
      <c r="AD477" s="46"/>
      <c r="AE477" s="47"/>
      <c r="AF477" s="47"/>
      <c r="AG477" s="47"/>
      <c r="AH477" s="47"/>
      <c r="AI477" s="47"/>
      <c r="AJ477" s="47"/>
      <c r="AK477" s="47"/>
      <c r="AL477" s="47"/>
      <c r="AM477" s="47"/>
      <c r="AN477" s="47"/>
      <c r="AO477" s="47"/>
      <c r="AP477" s="47"/>
      <c r="AQ477" s="47"/>
      <c r="AR477" s="47"/>
      <c r="AS477" s="47"/>
      <c r="AT477" s="47"/>
      <c r="AU477" s="47"/>
      <c r="AV477" s="47"/>
      <c r="AW477" s="47"/>
      <c r="AX477" s="47"/>
      <c r="AY477" s="47"/>
      <c r="AZ477" s="47"/>
      <c r="BA477" s="47"/>
      <c r="BB477" s="47"/>
      <c r="BC477" s="47"/>
      <c r="BD477" s="47"/>
      <c r="BE477" s="47"/>
      <c r="BF477" s="47"/>
      <c r="BG477" s="47"/>
      <c r="BH477" s="47"/>
      <c r="BI477" s="47"/>
      <c r="BJ477" s="47"/>
      <c r="BK477" s="47"/>
      <c r="BL477" s="47"/>
      <c r="BM477" s="47"/>
      <c r="BN477" s="47"/>
      <c r="BO477" s="47"/>
      <c r="BP477" s="47"/>
      <c r="BQ477" s="47"/>
      <c r="BR477" s="47"/>
      <c r="BS477" s="47"/>
      <c r="BT477" s="47"/>
      <c r="BU477" s="47"/>
      <c r="BV477" s="47"/>
      <c r="BW477" s="47"/>
      <c r="BX477" s="47"/>
      <c r="BY477" s="47"/>
      <c r="BZ477" s="47"/>
    </row>
    <row r="478" spans="1:78" ht="13">
      <c r="A478" s="48" t="str">
        <f ca="1">'.'!A478</f>
        <v>Wooden Doll</v>
      </c>
      <c r="B478" s="46" t="str">
        <f t="array" aca="1" ref="B478" ca="1">IF('.'!B478="","",'.'!B478&amp;IF(VLOOKUP('.'!B478,Recipes!$A:$D,4,FALSE)="",""," ["&amp;VLOOKUP('.'!B478,Recipes!$A:$D,4,FALSE)&amp;"]"))</f>
        <v>Elemental Totem Scroll [-105]</v>
      </c>
      <c r="C478" s="46" t="str">
        <f t="array" ref="C478">IF('.'!C478="","",'.'!C478&amp;IF(VLOOKUP('.'!C478,Recipes!$A:$D,4,FALSE)="",""," ["&amp;VLOOKUP('.'!C478,Recipes!$A:$D,4,FALSE)&amp;"]"))</f>
        <v/>
      </c>
      <c r="D478" s="46" t="str">
        <f t="array" ref="D478">IF('.'!D478="","",'.'!D478&amp;IF(VLOOKUP('.'!D478,Recipes!$A:$D,4,FALSE)="",""," ["&amp;VLOOKUP('.'!D478,Recipes!$A:$D,4,FALSE)&amp;"]"))</f>
        <v/>
      </c>
      <c r="E478" s="46" t="str">
        <f t="array" ref="E478">IF('.'!E478="","",'.'!E478&amp;IF(VLOOKUP('.'!E478,Recipes!$A:$D,4,FALSE)="",""," ["&amp;VLOOKUP('.'!E478,Recipes!$A:$D,4,FALSE)&amp;"]"))</f>
        <v/>
      </c>
      <c r="F478" s="46" t="str">
        <f t="array" ref="F478">IF('.'!F478="","",'.'!F478&amp;IF(VLOOKUP('.'!F478,Recipes!$A:$D,4,FALSE)="",""," ["&amp;VLOOKUP('.'!F478,Recipes!$A:$D,4,FALSE)&amp;"]"))</f>
        <v/>
      </c>
      <c r="G478" s="46" t="str">
        <f t="array" ref="G478">IF('.'!G478="","",'.'!G478&amp;IF(VLOOKUP('.'!G478,Recipes!$A:$D,4,FALSE)="",""," ["&amp;VLOOKUP('.'!G478,Recipes!$A:$D,4,FALSE)&amp;"]"))</f>
        <v/>
      </c>
      <c r="H478" s="46" t="str">
        <f t="array" ref="H478">IF('.'!H478="","",'.'!H478&amp;IF(VLOOKUP('.'!H478,Recipes!$A:$D,4,FALSE)="",""," ["&amp;VLOOKUP('.'!H478,Recipes!$A:$D,4,FALSE)&amp;"]"))</f>
        <v/>
      </c>
      <c r="I478" s="46" t="str">
        <f t="array" ref="I478">IF('.'!I478="","",'.'!I478&amp;IF(VLOOKUP('.'!I478,Recipes!$A:$D,4,FALSE)="",""," ["&amp;VLOOKUP('.'!I478,Recipes!$A:$D,4,FALSE)&amp;"]"))</f>
        <v/>
      </c>
      <c r="J478" s="46" t="str">
        <f t="array" ref="J478">IF('.'!J478="","",'.'!J478&amp;IF(VLOOKUP('.'!J478,Recipes!$A:$D,4,FALSE)="",""," ["&amp;VLOOKUP('.'!J478,Recipes!$A:$D,4,FALSE)&amp;"]"))</f>
        <v/>
      </c>
      <c r="K478" s="46" t="str">
        <f t="array" ref="K478">IF('.'!K478="","",'.'!K478&amp;IF(VLOOKUP('.'!K478,Recipes!$A:$D,4,FALSE)="",""," ["&amp;VLOOKUP('.'!K478,Recipes!$A:$D,4,FALSE)&amp;"]"))</f>
        <v/>
      </c>
      <c r="L478" s="46"/>
      <c r="M478" s="46"/>
      <c r="N478" s="46"/>
      <c r="O478" s="46"/>
      <c r="P478" s="46"/>
      <c r="Q478" s="46"/>
      <c r="R478" s="46"/>
      <c r="S478" s="46"/>
      <c r="T478" s="46"/>
      <c r="U478" s="46"/>
      <c r="V478" s="46"/>
      <c r="W478" s="46"/>
      <c r="X478" s="46"/>
      <c r="Y478" s="46"/>
      <c r="Z478" s="46"/>
      <c r="AA478" s="46"/>
      <c r="AB478" s="46"/>
      <c r="AC478" s="46"/>
      <c r="AD478" s="46"/>
      <c r="AE478" s="47"/>
      <c r="AF478" s="47"/>
      <c r="AG478" s="47"/>
      <c r="AH478" s="47"/>
      <c r="AI478" s="47"/>
      <c r="AJ478" s="47"/>
      <c r="AK478" s="47"/>
      <c r="AL478" s="47"/>
      <c r="AM478" s="47"/>
      <c r="AN478" s="47"/>
      <c r="AO478" s="47"/>
      <c r="AP478" s="47"/>
      <c r="AQ478" s="47"/>
      <c r="AR478" s="47"/>
      <c r="AS478" s="47"/>
      <c r="AT478" s="47"/>
      <c r="AU478" s="47"/>
      <c r="AV478" s="47"/>
      <c r="AW478" s="47"/>
      <c r="AX478" s="47"/>
      <c r="AY478" s="47"/>
      <c r="AZ478" s="47"/>
      <c r="BA478" s="47"/>
      <c r="BB478" s="47"/>
      <c r="BC478" s="47"/>
      <c r="BD478" s="47"/>
      <c r="BE478" s="47"/>
      <c r="BF478" s="47"/>
      <c r="BG478" s="47"/>
      <c r="BH478" s="47"/>
      <c r="BI478" s="47"/>
      <c r="BJ478" s="47"/>
      <c r="BK478" s="47"/>
      <c r="BL478" s="47"/>
      <c r="BM478" s="47"/>
      <c r="BN478" s="47"/>
      <c r="BO478" s="47"/>
      <c r="BP478" s="47"/>
      <c r="BQ478" s="47"/>
      <c r="BR478" s="47"/>
      <c r="BS478" s="47"/>
      <c r="BT478" s="47"/>
      <c r="BU478" s="47"/>
      <c r="BV478" s="47"/>
      <c r="BW478" s="47"/>
      <c r="BX478" s="47"/>
      <c r="BY478" s="47"/>
      <c r="BZ478" s="47"/>
    </row>
    <row r="479" spans="1:78" ht="13">
      <c r="A479" s="48" t="str">
        <f ca="1">'.'!A479</f>
        <v>Wooden Figurine</v>
      </c>
      <c r="B479" s="46" t="str">
        <f t="array" aca="1" ref="B479" ca="1">IF('.'!B479="","",'.'!B479&amp;IF(VLOOKUP('.'!B479,Recipes!$A:$D,4,FALSE)="",""," ["&amp;VLOOKUP('.'!B479,Recipes!$A:$D,4,FALSE)&amp;"]"))</f>
        <v>Elemental Totem Scroll [-105]</v>
      </c>
      <c r="C479" s="46" t="str">
        <f t="array" ref="C479">IF('.'!C479="","",'.'!C479&amp;IF(VLOOKUP('.'!C479,Recipes!$A:$D,4,FALSE)="",""," ["&amp;VLOOKUP('.'!C479,Recipes!$A:$D,4,FALSE)&amp;"]"))</f>
        <v/>
      </c>
      <c r="D479" s="46" t="str">
        <f t="array" ref="D479">IF('.'!D479="","",'.'!D479&amp;IF(VLOOKUP('.'!D479,Recipes!$A:$D,4,FALSE)="",""," ["&amp;VLOOKUP('.'!D479,Recipes!$A:$D,4,FALSE)&amp;"]"))</f>
        <v/>
      </c>
      <c r="E479" s="46" t="str">
        <f t="array" ref="E479">IF('.'!E479="","",'.'!E479&amp;IF(VLOOKUP('.'!E479,Recipes!$A:$D,4,FALSE)="",""," ["&amp;VLOOKUP('.'!E479,Recipes!$A:$D,4,FALSE)&amp;"]"))</f>
        <v/>
      </c>
      <c r="F479" s="46" t="str">
        <f t="array" ref="F479">IF('.'!F479="","",'.'!F479&amp;IF(VLOOKUP('.'!F479,Recipes!$A:$D,4,FALSE)="",""," ["&amp;VLOOKUP('.'!F479,Recipes!$A:$D,4,FALSE)&amp;"]"))</f>
        <v/>
      </c>
      <c r="G479" s="46" t="str">
        <f t="array" ref="G479">IF('.'!G479="","",'.'!G479&amp;IF(VLOOKUP('.'!G479,Recipes!$A:$D,4,FALSE)="",""," ["&amp;VLOOKUP('.'!G479,Recipes!$A:$D,4,FALSE)&amp;"]"))</f>
        <v/>
      </c>
      <c r="H479" s="46" t="str">
        <f t="array" ref="H479">IF('.'!H479="","",'.'!H479&amp;IF(VLOOKUP('.'!H479,Recipes!$A:$D,4,FALSE)="",""," ["&amp;VLOOKUP('.'!H479,Recipes!$A:$D,4,FALSE)&amp;"]"))</f>
        <v/>
      </c>
      <c r="I479" s="46" t="str">
        <f t="array" ref="I479">IF('.'!I479="","",'.'!I479&amp;IF(VLOOKUP('.'!I479,Recipes!$A:$D,4,FALSE)="",""," ["&amp;VLOOKUP('.'!I479,Recipes!$A:$D,4,FALSE)&amp;"]"))</f>
        <v/>
      </c>
      <c r="J479" s="46" t="str">
        <f t="array" ref="J479">IF('.'!J479="","",'.'!J479&amp;IF(VLOOKUP('.'!J479,Recipes!$A:$D,4,FALSE)="",""," ["&amp;VLOOKUP('.'!J479,Recipes!$A:$D,4,FALSE)&amp;"]"))</f>
        <v/>
      </c>
      <c r="K479" s="46" t="str">
        <f t="array" ref="K479">IF('.'!K479="","",'.'!K479&amp;IF(VLOOKUP('.'!K479,Recipes!$A:$D,4,FALSE)="",""," ["&amp;VLOOKUP('.'!K479,Recipes!$A:$D,4,FALSE)&amp;"]"))</f>
        <v/>
      </c>
      <c r="L479" s="46"/>
      <c r="M479" s="46"/>
      <c r="N479" s="46"/>
      <c r="O479" s="46"/>
      <c r="P479" s="46"/>
      <c r="Q479" s="46"/>
      <c r="R479" s="46"/>
      <c r="S479" s="46"/>
      <c r="T479" s="46"/>
      <c r="U479" s="46"/>
      <c r="V479" s="46"/>
      <c r="W479" s="46"/>
      <c r="X479" s="46"/>
      <c r="Y479" s="46"/>
      <c r="Z479" s="46"/>
      <c r="AA479" s="46"/>
      <c r="AB479" s="46"/>
      <c r="AC479" s="46"/>
      <c r="AD479" s="46"/>
      <c r="AE479" s="47"/>
      <c r="AF479" s="47"/>
      <c r="AG479" s="47"/>
      <c r="AH479" s="47"/>
      <c r="AI479" s="47"/>
      <c r="AJ479" s="47"/>
      <c r="AK479" s="47"/>
      <c r="AL479" s="47"/>
      <c r="AM479" s="47"/>
      <c r="AN479" s="47"/>
      <c r="AO479" s="47"/>
      <c r="AP479" s="47"/>
      <c r="AQ479" s="47"/>
      <c r="AR479" s="47"/>
      <c r="AS479" s="47"/>
      <c r="AT479" s="47"/>
      <c r="AU479" s="47"/>
      <c r="AV479" s="47"/>
      <c r="AW479" s="47"/>
      <c r="AX479" s="47"/>
      <c r="AY479" s="47"/>
      <c r="AZ479" s="47"/>
      <c r="BA479" s="47"/>
      <c r="BB479" s="47"/>
      <c r="BC479" s="47"/>
      <c r="BD479" s="47"/>
      <c r="BE479" s="47"/>
      <c r="BF479" s="47"/>
      <c r="BG479" s="47"/>
      <c r="BH479" s="47"/>
      <c r="BI479" s="47"/>
      <c r="BJ479" s="47"/>
      <c r="BK479" s="47"/>
      <c r="BL479" s="47"/>
      <c r="BM479" s="47"/>
      <c r="BN479" s="47"/>
      <c r="BO479" s="47"/>
      <c r="BP479" s="47"/>
      <c r="BQ479" s="47"/>
      <c r="BR479" s="47"/>
      <c r="BS479" s="47"/>
      <c r="BT479" s="47"/>
      <c r="BU479" s="47"/>
      <c r="BV479" s="47"/>
      <c r="BW479" s="47"/>
      <c r="BX479" s="47"/>
      <c r="BY479" s="47"/>
      <c r="BZ479" s="47"/>
    </row>
    <row r="480" spans="1:78" ht="13">
      <c r="A480" s="48" t="str">
        <f ca="1">'.'!A480</f>
        <v>Wool</v>
      </c>
      <c r="B480" s="46" t="str">
        <f t="array" aca="1" ref="B480" ca="1">IF('.'!B480="","",'.'!B480&amp;IF(VLOOKUP('.'!B480,Recipes!$A:$D,4,FALSE)="",""," ["&amp;VLOOKUP('.'!B480,Recipes!$A:$D,4,FALSE)&amp;"]"))</f>
        <v>Chain Lightning Scroll [-1156]</v>
      </c>
      <c r="C480" s="46" t="str">
        <f t="array" aca="1" ref="C480" ca="1">IF('.'!C480="","",'.'!C480&amp;IF(VLOOKUP('.'!C480,Recipes!$A:$D,4,FALSE)="",""," ["&amp;VLOOKUP('.'!C480,Recipes!$A:$D,4,FALSE)&amp;"]"))</f>
        <v>Yarn [2]</v>
      </c>
      <c r="D480" s="46" t="str">
        <f t="array" ref="D480">IF('.'!D480="","",'.'!D480&amp;IF(VLOOKUP('.'!D480,Recipes!$A:$D,4,FALSE)="",""," ["&amp;VLOOKUP('.'!D480,Recipes!$A:$D,4,FALSE)&amp;"]"))</f>
        <v/>
      </c>
      <c r="E480" s="46" t="str">
        <f t="array" ref="E480">IF('.'!E480="","",'.'!E480&amp;IF(VLOOKUP('.'!E480,Recipes!$A:$D,4,FALSE)="",""," ["&amp;VLOOKUP('.'!E480,Recipes!$A:$D,4,FALSE)&amp;"]"))</f>
        <v/>
      </c>
      <c r="F480" s="46" t="str">
        <f t="array" ref="F480">IF('.'!F480="","",'.'!F480&amp;IF(VLOOKUP('.'!F480,Recipes!$A:$D,4,FALSE)="",""," ["&amp;VLOOKUP('.'!F480,Recipes!$A:$D,4,FALSE)&amp;"]"))</f>
        <v/>
      </c>
      <c r="G480" s="46" t="str">
        <f t="array" ref="G480">IF('.'!G480="","",'.'!G480&amp;IF(VLOOKUP('.'!G480,Recipes!$A:$D,4,FALSE)="",""," ["&amp;VLOOKUP('.'!G480,Recipes!$A:$D,4,FALSE)&amp;"]"))</f>
        <v/>
      </c>
      <c r="H480" s="46" t="str">
        <f t="array" ref="H480">IF('.'!H480="","",'.'!H480&amp;IF(VLOOKUP('.'!H480,Recipes!$A:$D,4,FALSE)="",""," ["&amp;VLOOKUP('.'!H480,Recipes!$A:$D,4,FALSE)&amp;"]"))</f>
        <v/>
      </c>
      <c r="I480" s="46" t="str">
        <f t="array" ref="I480">IF('.'!I480="","",'.'!I480&amp;IF(VLOOKUP('.'!I480,Recipes!$A:$D,4,FALSE)="",""," ["&amp;VLOOKUP('.'!I480,Recipes!$A:$D,4,FALSE)&amp;"]"))</f>
        <v/>
      </c>
      <c r="J480" s="46" t="str">
        <f t="array" ref="J480">IF('.'!J480="","",'.'!J480&amp;IF(VLOOKUP('.'!J480,Recipes!$A:$D,4,FALSE)="",""," ["&amp;VLOOKUP('.'!J480,Recipes!$A:$D,4,FALSE)&amp;"]"))</f>
        <v/>
      </c>
      <c r="K480" s="46" t="str">
        <f t="array" ref="K480">IF('.'!K480="","",'.'!K480&amp;IF(VLOOKUP('.'!K480,Recipes!$A:$D,4,FALSE)="",""," ["&amp;VLOOKUP('.'!K480,Recipes!$A:$D,4,FALSE)&amp;"]"))</f>
        <v/>
      </c>
      <c r="L480" s="46"/>
      <c r="M480" s="46"/>
      <c r="N480" s="46"/>
      <c r="O480" s="46"/>
      <c r="P480" s="46"/>
      <c r="Q480" s="46"/>
      <c r="R480" s="46"/>
      <c r="S480" s="46"/>
      <c r="T480" s="46"/>
      <c r="U480" s="46"/>
      <c r="V480" s="46"/>
      <c r="W480" s="46"/>
      <c r="X480" s="46"/>
      <c r="Y480" s="46"/>
      <c r="Z480" s="46"/>
      <c r="AA480" s="46"/>
      <c r="AB480" s="46"/>
      <c r="AC480" s="46"/>
      <c r="AD480" s="46"/>
      <c r="AE480" s="47"/>
      <c r="AF480" s="47"/>
      <c r="AG480" s="47"/>
      <c r="AH480" s="47"/>
      <c r="AI480" s="47"/>
      <c r="AJ480" s="47"/>
      <c r="AK480" s="47"/>
      <c r="AL480" s="47"/>
      <c r="AM480" s="47"/>
      <c r="AN480" s="47"/>
      <c r="AO480" s="47"/>
      <c r="AP480" s="47"/>
      <c r="AQ480" s="47"/>
      <c r="AR480" s="47"/>
      <c r="AS480" s="47"/>
      <c r="AT480" s="47"/>
      <c r="AU480" s="47"/>
      <c r="AV480" s="47"/>
      <c r="AW480" s="47"/>
      <c r="AX480" s="47"/>
      <c r="AY480" s="47"/>
      <c r="AZ480" s="47"/>
      <c r="BA480" s="47"/>
      <c r="BB480" s="47"/>
      <c r="BC480" s="47"/>
      <c r="BD480" s="47"/>
      <c r="BE480" s="47"/>
      <c r="BF480" s="47"/>
      <c r="BG480" s="47"/>
      <c r="BH480" s="47"/>
      <c r="BI480" s="47"/>
      <c r="BJ480" s="47"/>
      <c r="BK480" s="47"/>
      <c r="BL480" s="47"/>
      <c r="BM480" s="47"/>
      <c r="BN480" s="47"/>
      <c r="BO480" s="47"/>
      <c r="BP480" s="47"/>
      <c r="BQ480" s="47"/>
      <c r="BR480" s="47"/>
      <c r="BS480" s="47"/>
      <c r="BT480" s="47"/>
      <c r="BU480" s="47"/>
      <c r="BV480" s="47"/>
      <c r="BW480" s="47"/>
      <c r="BX480" s="47"/>
      <c r="BY480" s="47"/>
      <c r="BZ480" s="47"/>
    </row>
    <row r="481" spans="1:78" ht="13">
      <c r="A481" s="48" t="str">
        <f ca="1">'.'!A481</f>
        <v>Worm Tremor Scroll</v>
      </c>
      <c r="B481" s="46" t="str">
        <f t="array" aca="1" ref="B481" ca="1">IF('.'!B481="","",'.'!B481&amp;IF(VLOOKUP('.'!B481,Recipes!$A:$D,4,FALSE)="",""," ["&amp;VLOOKUP('.'!B481,Recipes!$A:$D,4,FALSE)&amp;"]"))</f>
        <v>Worm Tremor Skillbook [-60]</v>
      </c>
      <c r="C481" s="46" t="str">
        <f t="array" ref="C481">IF('.'!C481="","",'.'!C481&amp;IF(VLOOKUP('.'!C481,Recipes!$A:$D,4,FALSE)="",""," ["&amp;VLOOKUP('.'!C481,Recipes!$A:$D,4,FALSE)&amp;"]"))</f>
        <v/>
      </c>
      <c r="D481" s="46" t="str">
        <f t="array" ref="D481">IF('.'!D481="","",'.'!D481&amp;IF(VLOOKUP('.'!D481,Recipes!$A:$D,4,FALSE)="",""," ["&amp;VLOOKUP('.'!D481,Recipes!$A:$D,4,FALSE)&amp;"]"))</f>
        <v/>
      </c>
      <c r="E481" s="46" t="str">
        <f t="array" ref="E481">IF('.'!E481="","",'.'!E481&amp;IF(VLOOKUP('.'!E481,Recipes!$A:$D,4,FALSE)="",""," ["&amp;VLOOKUP('.'!E481,Recipes!$A:$D,4,FALSE)&amp;"]"))</f>
        <v/>
      </c>
      <c r="F481" s="46" t="str">
        <f t="array" ref="F481">IF('.'!F481="","",'.'!F481&amp;IF(VLOOKUP('.'!F481,Recipes!$A:$D,4,FALSE)="",""," ["&amp;VLOOKUP('.'!F481,Recipes!$A:$D,4,FALSE)&amp;"]"))</f>
        <v/>
      </c>
      <c r="G481" s="46" t="str">
        <f t="array" ref="G481">IF('.'!G481="","",'.'!G481&amp;IF(VLOOKUP('.'!G481,Recipes!$A:$D,4,FALSE)="",""," ["&amp;VLOOKUP('.'!G481,Recipes!$A:$D,4,FALSE)&amp;"]"))</f>
        <v/>
      </c>
      <c r="H481" s="46" t="str">
        <f t="array" ref="H481">IF('.'!H481="","",'.'!H481&amp;IF(VLOOKUP('.'!H481,Recipes!$A:$D,4,FALSE)="",""," ["&amp;VLOOKUP('.'!H481,Recipes!$A:$D,4,FALSE)&amp;"]"))</f>
        <v/>
      </c>
      <c r="I481" s="46" t="str">
        <f t="array" ref="I481">IF('.'!I481="","",'.'!I481&amp;IF(VLOOKUP('.'!I481,Recipes!$A:$D,4,FALSE)="",""," ["&amp;VLOOKUP('.'!I481,Recipes!$A:$D,4,FALSE)&amp;"]"))</f>
        <v/>
      </c>
      <c r="J481" s="46" t="str">
        <f t="array" ref="J481">IF('.'!J481="","",'.'!J481&amp;IF(VLOOKUP('.'!J481,Recipes!$A:$D,4,FALSE)="",""," ["&amp;VLOOKUP('.'!J481,Recipes!$A:$D,4,FALSE)&amp;"]"))</f>
        <v/>
      </c>
      <c r="K481" s="46" t="str">
        <f t="array" ref="K481">IF('.'!K481="","",'.'!K481&amp;IF(VLOOKUP('.'!K481,Recipes!$A:$D,4,FALSE)="",""," ["&amp;VLOOKUP('.'!K481,Recipes!$A:$D,4,FALSE)&amp;"]"))</f>
        <v/>
      </c>
      <c r="L481" s="46"/>
      <c r="M481" s="46"/>
      <c r="N481" s="46"/>
      <c r="O481" s="46"/>
      <c r="P481" s="46"/>
      <c r="Q481" s="46"/>
      <c r="R481" s="46"/>
      <c r="S481" s="46"/>
      <c r="T481" s="46"/>
      <c r="U481" s="46"/>
      <c r="V481" s="46"/>
      <c r="W481" s="46"/>
      <c r="X481" s="46"/>
      <c r="Y481" s="46"/>
      <c r="Z481" s="46"/>
      <c r="AA481" s="46"/>
      <c r="AB481" s="46"/>
      <c r="AC481" s="46"/>
      <c r="AD481" s="46"/>
      <c r="AE481" s="47"/>
      <c r="AF481" s="47"/>
      <c r="AG481" s="47"/>
      <c r="AH481" s="47"/>
      <c r="AI481" s="47"/>
      <c r="AJ481" s="47"/>
      <c r="AK481" s="47"/>
      <c r="AL481" s="47"/>
      <c r="AM481" s="47"/>
      <c r="AN481" s="47"/>
      <c r="AO481" s="47"/>
      <c r="AP481" s="47"/>
      <c r="AQ481" s="47"/>
      <c r="AR481" s="47"/>
      <c r="AS481" s="47"/>
      <c r="AT481" s="47"/>
      <c r="AU481" s="47"/>
      <c r="AV481" s="47"/>
      <c r="AW481" s="47"/>
      <c r="AX481" s="47"/>
      <c r="AY481" s="47"/>
      <c r="AZ481" s="47"/>
      <c r="BA481" s="47"/>
      <c r="BB481" s="47"/>
      <c r="BC481" s="47"/>
      <c r="BD481" s="47"/>
      <c r="BE481" s="47"/>
      <c r="BF481" s="47"/>
      <c r="BG481" s="47"/>
      <c r="BH481" s="47"/>
      <c r="BI481" s="47"/>
      <c r="BJ481" s="47"/>
      <c r="BK481" s="47"/>
      <c r="BL481" s="47"/>
      <c r="BM481" s="47"/>
      <c r="BN481" s="47"/>
      <c r="BO481" s="47"/>
      <c r="BP481" s="47"/>
      <c r="BQ481" s="47"/>
      <c r="BR481" s="47"/>
      <c r="BS481" s="47"/>
      <c r="BT481" s="47"/>
      <c r="BU481" s="47"/>
      <c r="BV481" s="47"/>
      <c r="BW481" s="47"/>
      <c r="BX481" s="47"/>
      <c r="BY481" s="47"/>
      <c r="BZ481" s="47"/>
    </row>
    <row r="482" spans="1:78" ht="13">
      <c r="A482" s="48" t="str">
        <f ca="1">'.'!A482</f>
        <v>Yarn</v>
      </c>
      <c r="B482" s="46" t="str">
        <f t="array" aca="1" ref="B482" ca="1">IF('.'!B482="","",'.'!B482&amp;IF(VLOOKUP('.'!B482,Recipes!$A:$D,4,FALSE)="",""," ["&amp;VLOOKUP('.'!B482,Recipes!$A:$D,4,FALSE)&amp;"]"))</f>
        <v>Chain Lightning Scroll [-1156]</v>
      </c>
      <c r="C482" s="46" t="str">
        <f t="array" aca="1" ref="C482" ca="1">IF('.'!C482="","",'.'!C482&amp;IF(VLOOKUP('.'!C482,Recipes!$A:$D,4,FALSE)="",""," ["&amp;VLOOKUP('.'!C482,Recipes!$A:$D,4,FALSE)&amp;"]"))</f>
        <v>Rope [-7]</v>
      </c>
      <c r="D482" s="46" t="str">
        <f t="array" ref="D482">IF('.'!D482="","",'.'!D482&amp;IF(VLOOKUP('.'!D482,Recipes!$A:$D,4,FALSE)="",""," ["&amp;VLOOKUP('.'!D482,Recipes!$A:$D,4,FALSE)&amp;"]"))</f>
        <v/>
      </c>
      <c r="E482" s="46" t="str">
        <f t="array" ref="E482">IF('.'!E482="","",'.'!E482&amp;IF(VLOOKUP('.'!E482,Recipes!$A:$D,4,FALSE)="",""," ["&amp;VLOOKUP('.'!E482,Recipes!$A:$D,4,FALSE)&amp;"]"))</f>
        <v/>
      </c>
      <c r="F482" s="46" t="str">
        <f t="array" ref="F482">IF('.'!F482="","",'.'!F482&amp;IF(VLOOKUP('.'!F482,Recipes!$A:$D,4,FALSE)="",""," ["&amp;VLOOKUP('.'!F482,Recipes!$A:$D,4,FALSE)&amp;"]"))</f>
        <v/>
      </c>
      <c r="G482" s="46" t="str">
        <f t="array" ref="G482">IF('.'!G482="","",'.'!G482&amp;IF(VLOOKUP('.'!G482,Recipes!$A:$D,4,FALSE)="",""," ["&amp;VLOOKUP('.'!G482,Recipes!$A:$D,4,FALSE)&amp;"]"))</f>
        <v/>
      </c>
      <c r="H482" s="46" t="str">
        <f t="array" ref="H482">IF('.'!H482="","",'.'!H482&amp;IF(VLOOKUP('.'!H482,Recipes!$A:$D,4,FALSE)="",""," ["&amp;VLOOKUP('.'!H482,Recipes!$A:$D,4,FALSE)&amp;"]"))</f>
        <v/>
      </c>
      <c r="I482" s="46" t="str">
        <f t="array" ref="I482">IF('.'!I482="","",'.'!I482&amp;IF(VLOOKUP('.'!I482,Recipes!$A:$D,4,FALSE)="",""," ["&amp;VLOOKUP('.'!I482,Recipes!$A:$D,4,FALSE)&amp;"]"))</f>
        <v/>
      </c>
      <c r="J482" s="46" t="str">
        <f t="array" ref="J482">IF('.'!J482="","",'.'!J482&amp;IF(VLOOKUP('.'!J482,Recipes!$A:$D,4,FALSE)="",""," ["&amp;VLOOKUP('.'!J482,Recipes!$A:$D,4,FALSE)&amp;"]"))</f>
        <v/>
      </c>
      <c r="K482" s="46" t="str">
        <f t="array" ref="K482">IF('.'!K482="","",'.'!K482&amp;IF(VLOOKUP('.'!K482,Recipes!$A:$D,4,FALSE)="",""," ["&amp;VLOOKUP('.'!K482,Recipes!$A:$D,4,FALSE)&amp;"]"))</f>
        <v/>
      </c>
      <c r="L482" s="46"/>
      <c r="M482" s="46"/>
      <c r="N482" s="46"/>
      <c r="O482" s="46"/>
      <c r="P482" s="46"/>
      <c r="Q482" s="46"/>
      <c r="R482" s="46"/>
      <c r="S482" s="46"/>
      <c r="T482" s="46"/>
      <c r="U482" s="46"/>
      <c r="V482" s="46"/>
      <c r="W482" s="46"/>
      <c r="X482" s="46"/>
      <c r="Y482" s="46"/>
      <c r="Z482" s="46"/>
      <c r="AA482" s="46"/>
      <c r="AB482" s="46"/>
      <c r="AC482" s="46"/>
      <c r="AD482" s="46"/>
      <c r="AE482" s="47"/>
      <c r="AF482" s="47"/>
      <c r="AG482" s="47"/>
      <c r="AH482" s="47"/>
      <c r="AI482" s="47"/>
      <c r="AJ482" s="47"/>
      <c r="AK482" s="47"/>
      <c r="AL482" s="47"/>
      <c r="AM482" s="47"/>
      <c r="AN482" s="47"/>
      <c r="AO482" s="47"/>
      <c r="AP482" s="47"/>
      <c r="AQ482" s="47"/>
      <c r="AR482" s="47"/>
      <c r="AS482" s="47"/>
      <c r="AT482" s="47"/>
      <c r="AU482" s="47"/>
      <c r="AV482" s="47"/>
      <c r="AW482" s="47"/>
      <c r="AX482" s="47"/>
      <c r="AY482" s="47"/>
      <c r="AZ482" s="47"/>
      <c r="BA482" s="47"/>
      <c r="BB482" s="47"/>
      <c r="BC482" s="47"/>
      <c r="BD482" s="47"/>
      <c r="BE482" s="47"/>
      <c r="BF482" s="47"/>
      <c r="BG482" s="47"/>
      <c r="BH482" s="47"/>
      <c r="BI482" s="47"/>
      <c r="BJ482" s="47"/>
      <c r="BK482" s="47"/>
      <c r="BL482" s="47"/>
      <c r="BM482" s="47"/>
      <c r="BN482" s="47"/>
      <c r="BO482" s="47"/>
      <c r="BP482" s="47"/>
      <c r="BQ482" s="47"/>
      <c r="BR482" s="47"/>
      <c r="BS482" s="47"/>
      <c r="BT482" s="47"/>
      <c r="BU482" s="47"/>
      <c r="BV482" s="47"/>
      <c r="BW482" s="47"/>
      <c r="BX482" s="47"/>
      <c r="BY482" s="47"/>
      <c r="BZ482" s="47"/>
    </row>
    <row r="483" spans="1:78" ht="13">
      <c r="A483" s="48" t="str">
        <f ca="1">'.'!A483</f>
        <v>Yarrow Flower</v>
      </c>
      <c r="B483" s="46" t="str">
        <f t="array" aca="1" ref="B483" ca="1">IF('.'!B483="","",'.'!B483&amp;IF(VLOOKUP('.'!B483,Recipes!$A:$D,4,FALSE)="",""," ["&amp;VLOOKUP('.'!B483,Recipes!$A:$D,4,FALSE)&amp;"]"))</f>
        <v>Healing Elixir [45]</v>
      </c>
      <c r="C483" s="46" t="str">
        <f t="array" ref="C483">IF('.'!C483="","",'.'!C483&amp;IF(VLOOKUP('.'!C483,Recipes!$A:$D,4,FALSE)="",""," ["&amp;VLOOKUP('.'!C483,Recipes!$A:$D,4,FALSE)&amp;"]"))</f>
        <v/>
      </c>
      <c r="D483" s="46" t="str">
        <f t="array" ref="D483">IF('.'!D483="","",'.'!D483&amp;IF(VLOOKUP('.'!D483,Recipes!$A:$D,4,FALSE)="",""," ["&amp;VLOOKUP('.'!D483,Recipes!$A:$D,4,FALSE)&amp;"]"))</f>
        <v/>
      </c>
      <c r="E483" s="46" t="str">
        <f t="array" ref="E483">IF('.'!E483="","",'.'!E483&amp;IF(VLOOKUP('.'!E483,Recipes!$A:$D,4,FALSE)="",""," ["&amp;VLOOKUP('.'!E483,Recipes!$A:$D,4,FALSE)&amp;"]"))</f>
        <v/>
      </c>
      <c r="F483" s="46" t="str">
        <f t="array" ref="F483">IF('.'!F483="","",'.'!F483&amp;IF(VLOOKUP('.'!F483,Recipes!$A:$D,4,FALSE)="",""," ["&amp;VLOOKUP('.'!F483,Recipes!$A:$D,4,FALSE)&amp;"]"))</f>
        <v/>
      </c>
      <c r="G483" s="46" t="str">
        <f t="array" ref="G483">IF('.'!G483="","",'.'!G483&amp;IF(VLOOKUP('.'!G483,Recipes!$A:$D,4,FALSE)="",""," ["&amp;VLOOKUP('.'!G483,Recipes!$A:$D,4,FALSE)&amp;"]"))</f>
        <v/>
      </c>
      <c r="H483" s="46" t="str">
        <f t="array" ref="H483">IF('.'!H483="","",'.'!H483&amp;IF(VLOOKUP('.'!H483,Recipes!$A:$D,4,FALSE)="",""," ["&amp;VLOOKUP('.'!H483,Recipes!$A:$D,4,FALSE)&amp;"]"))</f>
        <v/>
      </c>
      <c r="I483" s="46" t="str">
        <f t="array" ref="I483">IF('.'!I483="","",'.'!I483&amp;IF(VLOOKUP('.'!I483,Recipes!$A:$D,4,FALSE)="",""," ["&amp;VLOOKUP('.'!I483,Recipes!$A:$D,4,FALSE)&amp;"]"))</f>
        <v/>
      </c>
      <c r="J483" s="46" t="str">
        <f t="array" ref="J483">IF('.'!J483="","",'.'!J483&amp;IF(VLOOKUP('.'!J483,Recipes!$A:$D,4,FALSE)="",""," ["&amp;VLOOKUP('.'!J483,Recipes!$A:$D,4,FALSE)&amp;"]"))</f>
        <v/>
      </c>
      <c r="K483" s="46" t="str">
        <f t="array" ref="K483">IF('.'!K483="","",'.'!K483&amp;IF(VLOOKUP('.'!K483,Recipes!$A:$D,4,FALSE)="",""," ["&amp;VLOOKUP('.'!K483,Recipes!$A:$D,4,FALSE)&amp;"]"))</f>
        <v/>
      </c>
      <c r="L483" s="46"/>
      <c r="M483" s="46"/>
      <c r="N483" s="46"/>
      <c r="O483" s="46"/>
      <c r="P483" s="46"/>
      <c r="Q483" s="46"/>
      <c r="R483" s="46"/>
      <c r="S483" s="46"/>
      <c r="T483" s="46"/>
      <c r="U483" s="46"/>
      <c r="V483" s="46"/>
      <c r="W483" s="46"/>
      <c r="X483" s="46"/>
      <c r="Y483" s="46"/>
      <c r="Z483" s="46"/>
      <c r="AA483" s="46"/>
      <c r="AB483" s="46"/>
      <c r="AC483" s="46"/>
      <c r="AD483" s="46"/>
      <c r="AE483" s="47"/>
      <c r="AF483" s="47"/>
      <c r="AG483" s="47"/>
      <c r="AH483" s="47"/>
      <c r="AI483" s="47"/>
      <c r="AJ483" s="47"/>
      <c r="AK483" s="47"/>
      <c r="AL483" s="47"/>
      <c r="AM483" s="47"/>
      <c r="AN483" s="47"/>
      <c r="AO483" s="47"/>
      <c r="AP483" s="47"/>
      <c r="AQ483" s="47"/>
      <c r="AR483" s="47"/>
      <c r="AS483" s="47"/>
      <c r="AT483" s="47"/>
      <c r="AU483" s="47"/>
      <c r="AV483" s="47"/>
      <c r="AW483" s="47"/>
      <c r="AX483" s="47"/>
      <c r="AY483" s="47"/>
      <c r="AZ483" s="47"/>
      <c r="BA483" s="47"/>
      <c r="BB483" s="47"/>
      <c r="BC483" s="47"/>
      <c r="BD483" s="47"/>
      <c r="BE483" s="47"/>
      <c r="BF483" s="47"/>
      <c r="BG483" s="47"/>
      <c r="BH483" s="47"/>
      <c r="BI483" s="47"/>
      <c r="BJ483" s="47"/>
      <c r="BK483" s="47"/>
      <c r="BL483" s="47"/>
      <c r="BM483" s="47"/>
      <c r="BN483" s="47"/>
      <c r="BO483" s="47"/>
      <c r="BP483" s="47"/>
      <c r="BQ483" s="47"/>
      <c r="BR483" s="47"/>
      <c r="BS483" s="47"/>
      <c r="BT483" s="47"/>
      <c r="BU483" s="47"/>
      <c r="BV483" s="47"/>
      <c r="BW483" s="47"/>
      <c r="BX483" s="47"/>
      <c r="BY483" s="47"/>
      <c r="BZ483" s="47"/>
    </row>
    <row r="484" spans="1:78" ht="13">
      <c r="A484" s="48" t="str">
        <f ca="1">'.'!A484</f>
        <v>Zaikk's Talon</v>
      </c>
      <c r="B484" s="46" t="e">
        <f t="array" aca="1" ref="B484" ca="1">IF('.'!B484="","",'.'!B484&amp;IF(VLOOKUP('.'!B484,Recipes!$A:$D,4,FALSE)="",""," ["&amp;VLOOKUP('.'!B484,Recipes!$A:$D,4,FALSE)&amp;"]"))</f>
        <v>#VALUE!</v>
      </c>
      <c r="C484" s="46" t="e">
        <f t="array" aca="1" ref="C484" ca="1">IF('.'!C484="","",'.'!C484&amp;IF(VLOOKUP('.'!C484,Recipes!$A:$D,4,FALSE)="",""," ["&amp;VLOOKUP('.'!C484,Recipes!$A:$D,4,FALSE)&amp;"]"))</f>
        <v>#VALUE!</v>
      </c>
      <c r="D484" s="46" t="str">
        <f t="array" aca="1" ref="D484" ca="1">IF('.'!D484="","",'.'!D484&amp;IF(VLOOKUP('.'!D484,Recipes!$A:$D,4,FALSE)="",""," ["&amp;VLOOKUP('.'!D484,Recipes!$A:$D,4,FALSE)&amp;"]"))</f>
        <v>Giant Poison Bottle [-20]</v>
      </c>
      <c r="E484" s="46" t="str">
        <f t="array" aca="1" ref="E484" ca="1">IF('.'!E484="","",'.'!E484&amp;IF(VLOOKUP('.'!E484,Recipes!$A:$D,4,FALSE)="",""," ["&amp;VLOOKUP('.'!E484,Recipes!$A:$D,4,FALSE)&amp;"]"))</f>
        <v>Huge Poison Vial [-35]</v>
      </c>
      <c r="F484" s="46" t="str">
        <f t="array" aca="1" ref="F484" ca="1">IF('.'!F484="","",'.'!F484&amp;IF(VLOOKUP('.'!F484,Recipes!$A:$D,4,FALSE)="",""," ["&amp;VLOOKUP('.'!F484,Recipes!$A:$D,4,FALSE)&amp;"]"))</f>
        <v>Large Poison Bottle [0]</v>
      </c>
      <c r="G484" s="46" t="str">
        <f t="array" aca="1" ref="G484" ca="1">IF('.'!G484="","",'.'!G484&amp;IF(VLOOKUP('.'!G484,Recipes!$A:$D,4,FALSE)="",""," ["&amp;VLOOKUP('.'!G484,Recipes!$A:$D,4,FALSE)&amp;"]"))</f>
        <v>Medium Poison Bottle [-40]</v>
      </c>
      <c r="H484" s="46" t="str">
        <f t="array" aca="1" ref="H484" ca="1">IF('.'!H484="","",'.'!H484&amp;IF(VLOOKUP('.'!H484,Recipes!$A:$D,4,FALSE)="",""," ["&amp;VLOOKUP('.'!H484,Recipes!$A:$D,4,FALSE)&amp;"]"))</f>
        <v>Poison Elixir [0]</v>
      </c>
      <c r="I484" s="46" t="str">
        <f t="array" aca="1" ref="I484" ca="1">IF('.'!I484="","",'.'!I484&amp;IF(VLOOKUP('.'!I484,Recipes!$A:$D,4,FALSE)="",""," ["&amp;VLOOKUP('.'!I484,Recipes!$A:$D,4,FALSE)&amp;"]"))</f>
        <v>Small Poison Bottle [-10]</v>
      </c>
      <c r="J484" s="46" t="str">
        <f t="array" ref="J484">IF('.'!J484="","",'.'!J484&amp;IF(VLOOKUP('.'!J484,Recipes!$A:$D,4,FALSE)="",""," ["&amp;VLOOKUP('.'!J484,Recipes!$A:$D,4,FALSE)&amp;"]"))</f>
        <v/>
      </c>
      <c r="K484" s="46" t="str">
        <f t="array" ref="K484">IF('.'!K484="","",'.'!K484&amp;IF(VLOOKUP('.'!K484,Recipes!$A:$D,4,FALSE)="",""," ["&amp;VLOOKUP('.'!K484,Recipes!$A:$D,4,FALSE)&amp;"]"))</f>
        <v/>
      </c>
      <c r="L484" s="46"/>
      <c r="M484" s="46"/>
      <c r="N484" s="46"/>
      <c r="O484" s="46"/>
      <c r="P484" s="46"/>
      <c r="Q484" s="46"/>
      <c r="R484" s="46"/>
      <c r="S484" s="46"/>
      <c r="T484" s="46"/>
      <c r="U484" s="46"/>
      <c r="V484" s="46"/>
      <c r="W484" s="46"/>
      <c r="X484" s="46"/>
      <c r="Y484" s="46"/>
      <c r="Z484" s="46"/>
      <c r="AA484" s="46"/>
      <c r="AB484" s="46"/>
      <c r="AC484" s="46"/>
      <c r="AD484" s="46"/>
      <c r="AE484" s="47"/>
      <c r="AF484" s="47"/>
      <c r="AG484" s="47"/>
      <c r="AH484" s="47"/>
      <c r="AI484" s="47"/>
      <c r="AJ484" s="47"/>
      <c r="AK484" s="47"/>
      <c r="AL484" s="47"/>
      <c r="AM484" s="47"/>
      <c r="AN484" s="47"/>
      <c r="AO484" s="47"/>
      <c r="AP484" s="47"/>
      <c r="AQ484" s="47"/>
      <c r="AR484" s="47"/>
      <c r="AS484" s="47"/>
      <c r="AT484" s="47"/>
      <c r="AU484" s="47"/>
      <c r="AV484" s="47"/>
      <c r="AW484" s="47"/>
      <c r="AX484" s="47"/>
      <c r="AY484" s="47"/>
      <c r="AZ484" s="47"/>
      <c r="BA484" s="47"/>
      <c r="BB484" s="47"/>
      <c r="BC484" s="47"/>
      <c r="BD484" s="47"/>
      <c r="BE484" s="47"/>
      <c r="BF484" s="47"/>
      <c r="BG484" s="47"/>
      <c r="BH484" s="47"/>
      <c r="BI484" s="47"/>
      <c r="BJ484" s="47"/>
      <c r="BK484" s="47"/>
      <c r="BL484" s="47"/>
      <c r="BM484" s="47"/>
      <c r="BN484" s="47"/>
      <c r="BO484" s="47"/>
      <c r="BP484" s="47"/>
      <c r="BQ484" s="47"/>
      <c r="BR484" s="47"/>
      <c r="BS484" s="47"/>
      <c r="BT484" s="47"/>
      <c r="BU484" s="47"/>
      <c r="BV484" s="47"/>
      <c r="BW484" s="47"/>
      <c r="BX484" s="47"/>
      <c r="BY484" s="47"/>
      <c r="BZ484" s="47"/>
    </row>
    <row r="485" spans="1:78" ht="13">
      <c r="A485" s="48">
        <f>'.'!A485</f>
        <v>0</v>
      </c>
      <c r="B485" s="46" t="e">
        <f t="array" aca="1" ref="B485" ca="1">IF('.'!B485="","",'.'!B485&amp;IF(VLOOKUP('.'!B485,Recipes!$A:$D,4,FALSE)="",""," ["&amp;VLOOKUP('.'!B485,Recipes!$A:$D,4,FALSE)&amp;"]"))</f>
        <v>#N/A</v>
      </c>
      <c r="C485" s="46" t="str">
        <f t="array" ref="C485">IF('.'!C485="","",'.'!C485&amp;IF(VLOOKUP('.'!C485,Recipes!$A:$D,4,FALSE)="",""," ["&amp;VLOOKUP('.'!C485,Recipes!$A:$D,4,FALSE)&amp;"]"))</f>
        <v/>
      </c>
      <c r="D485" s="46" t="str">
        <f t="array" ref="D485">IF('.'!D485="","",'.'!D485&amp;IF(VLOOKUP('.'!D485,Recipes!$A:$D,4,FALSE)="",""," ["&amp;VLOOKUP('.'!D485,Recipes!$A:$D,4,FALSE)&amp;"]"))</f>
        <v/>
      </c>
      <c r="E485" s="46" t="str">
        <f t="array" ref="E485">IF('.'!E485="","",'.'!E485&amp;IF(VLOOKUP('.'!E485,Recipes!$A:$D,4,FALSE)="",""," ["&amp;VLOOKUP('.'!E485,Recipes!$A:$D,4,FALSE)&amp;"]"))</f>
        <v/>
      </c>
      <c r="F485" s="46" t="str">
        <f t="array" ref="F485">IF('.'!F485="","",'.'!F485&amp;IF(VLOOKUP('.'!F485,Recipes!$A:$D,4,FALSE)="",""," ["&amp;VLOOKUP('.'!F485,Recipes!$A:$D,4,FALSE)&amp;"]"))</f>
        <v/>
      </c>
      <c r="G485" s="46" t="str">
        <f t="array" ref="G485">IF('.'!G485="","",'.'!G485&amp;IF(VLOOKUP('.'!G485,Recipes!$A:$D,4,FALSE)="",""," ["&amp;VLOOKUP('.'!G485,Recipes!$A:$D,4,FALSE)&amp;"]"))</f>
        <v/>
      </c>
      <c r="H485" s="46" t="str">
        <f t="array" ref="H485">IF('.'!H485="","",'.'!H485&amp;IF(VLOOKUP('.'!H485,Recipes!$A:$D,4,FALSE)="",""," ["&amp;VLOOKUP('.'!H485,Recipes!$A:$D,4,FALSE)&amp;"]"))</f>
        <v/>
      </c>
      <c r="I485" s="46" t="str">
        <f t="array" ref="I485">IF('.'!I485="","",'.'!I485&amp;IF(VLOOKUP('.'!I485,Recipes!$A:$D,4,FALSE)="",""," ["&amp;VLOOKUP('.'!I485,Recipes!$A:$D,4,FALSE)&amp;"]"))</f>
        <v/>
      </c>
      <c r="J485" s="46" t="str">
        <f t="array" ref="J485">IF('.'!J485="","",'.'!J485&amp;IF(VLOOKUP('.'!J485,Recipes!$A:$D,4,FALSE)="",""," ["&amp;VLOOKUP('.'!J485,Recipes!$A:$D,4,FALSE)&amp;"]"))</f>
        <v/>
      </c>
      <c r="K485" s="46" t="str">
        <f t="array" ref="K485">IF('.'!K485="","",'.'!K485&amp;IF(VLOOKUP('.'!K485,Recipes!$A:$D,4,FALSE)="",""," ["&amp;VLOOKUP('.'!K485,Recipes!$A:$D,4,FALSE)&amp;"]"))</f>
        <v/>
      </c>
      <c r="L485" s="46"/>
      <c r="M485" s="46"/>
      <c r="N485" s="46"/>
      <c r="O485" s="46"/>
      <c r="P485" s="46"/>
      <c r="Q485" s="46"/>
      <c r="R485" s="46"/>
      <c r="S485" s="46"/>
      <c r="T485" s="46"/>
      <c r="U485" s="46"/>
      <c r="V485" s="46"/>
      <c r="W485" s="46"/>
      <c r="X485" s="46"/>
      <c r="Y485" s="46"/>
      <c r="Z485" s="46"/>
      <c r="AA485" s="46"/>
      <c r="AB485" s="46"/>
      <c r="AC485" s="46"/>
      <c r="AD485" s="46"/>
      <c r="AE485" s="47"/>
      <c r="AF485" s="47"/>
      <c r="AG485" s="47"/>
      <c r="AH485" s="47"/>
      <c r="AI485" s="47"/>
      <c r="AJ485" s="47"/>
      <c r="AK485" s="47"/>
      <c r="AL485" s="47"/>
      <c r="AM485" s="47"/>
      <c r="AN485" s="47"/>
      <c r="AO485" s="47"/>
      <c r="AP485" s="47"/>
      <c r="AQ485" s="47"/>
      <c r="AR485" s="47"/>
      <c r="AS485" s="47"/>
      <c r="AT485" s="47"/>
      <c r="AU485" s="47"/>
      <c r="AV485" s="47"/>
      <c r="AW485" s="47"/>
      <c r="AX485" s="47"/>
      <c r="AY485" s="47"/>
      <c r="AZ485" s="47"/>
      <c r="BA485" s="47"/>
      <c r="BB485" s="47"/>
      <c r="BC485" s="47"/>
      <c r="BD485" s="47"/>
      <c r="BE485" s="47"/>
      <c r="BF485" s="47"/>
      <c r="BG485" s="47"/>
      <c r="BH485" s="47"/>
      <c r="BI485" s="47"/>
      <c r="BJ485" s="47"/>
      <c r="BK485" s="47"/>
      <c r="BL485" s="47"/>
      <c r="BM485" s="47"/>
      <c r="BN485" s="47"/>
      <c r="BO485" s="47"/>
      <c r="BP485" s="47"/>
      <c r="BQ485" s="47"/>
      <c r="BR485" s="47"/>
      <c r="BS485" s="47"/>
      <c r="BT485" s="47"/>
      <c r="BU485" s="47"/>
      <c r="BV485" s="47"/>
      <c r="BW485" s="47"/>
      <c r="BX485" s="47"/>
      <c r="BY485" s="47"/>
      <c r="BZ485" s="47"/>
    </row>
    <row r="486" spans="1:78" ht="13">
      <c r="A486" s="48">
        <f>'.'!A486</f>
        <v>0</v>
      </c>
      <c r="B486" s="46" t="e">
        <f t="array" aca="1" ref="B486" ca="1">IF('.'!B486="","",'.'!B486&amp;IF(VLOOKUP('.'!B486,Recipes!$A:$D,4,FALSE)="",""," ["&amp;VLOOKUP('.'!B486,Recipes!$A:$D,4,FALSE)&amp;"]"))</f>
        <v>#N/A</v>
      </c>
      <c r="C486" s="46" t="str">
        <f t="array" ref="C486">IF('.'!C486="","",'.'!C486&amp;IF(VLOOKUP('.'!C486,Recipes!$A:$D,4,FALSE)="",""," ["&amp;VLOOKUP('.'!C486,Recipes!$A:$D,4,FALSE)&amp;"]"))</f>
        <v/>
      </c>
      <c r="D486" s="46" t="str">
        <f t="array" ref="D486">IF('.'!D486="","",'.'!D486&amp;IF(VLOOKUP('.'!D486,Recipes!$A:$D,4,FALSE)="",""," ["&amp;VLOOKUP('.'!D486,Recipes!$A:$D,4,FALSE)&amp;"]"))</f>
        <v/>
      </c>
      <c r="E486" s="46" t="str">
        <f t="array" ref="E486">IF('.'!E486="","",'.'!E486&amp;IF(VLOOKUP('.'!E486,Recipes!$A:$D,4,FALSE)="",""," ["&amp;VLOOKUP('.'!E486,Recipes!$A:$D,4,FALSE)&amp;"]"))</f>
        <v/>
      </c>
      <c r="F486" s="46" t="str">
        <f t="array" ref="F486">IF('.'!F486="","",'.'!F486&amp;IF(VLOOKUP('.'!F486,Recipes!$A:$D,4,FALSE)="",""," ["&amp;VLOOKUP('.'!F486,Recipes!$A:$D,4,FALSE)&amp;"]"))</f>
        <v/>
      </c>
      <c r="G486" s="46" t="str">
        <f t="array" ref="G486">IF('.'!G486="","",'.'!G486&amp;IF(VLOOKUP('.'!G486,Recipes!$A:$D,4,FALSE)="",""," ["&amp;VLOOKUP('.'!G486,Recipes!$A:$D,4,FALSE)&amp;"]"))</f>
        <v/>
      </c>
      <c r="H486" s="46" t="str">
        <f t="array" ref="H486">IF('.'!H486="","",'.'!H486&amp;IF(VLOOKUP('.'!H486,Recipes!$A:$D,4,FALSE)="",""," ["&amp;VLOOKUP('.'!H486,Recipes!$A:$D,4,FALSE)&amp;"]"))</f>
        <v/>
      </c>
      <c r="I486" s="46" t="str">
        <f t="array" ref="I486">IF('.'!I486="","",'.'!I486&amp;IF(VLOOKUP('.'!I486,Recipes!$A:$D,4,FALSE)="",""," ["&amp;VLOOKUP('.'!I486,Recipes!$A:$D,4,FALSE)&amp;"]"))</f>
        <v/>
      </c>
      <c r="J486" s="46" t="str">
        <f t="array" ref="J486">IF('.'!J486="","",'.'!J486&amp;IF(VLOOKUP('.'!J486,Recipes!$A:$D,4,FALSE)="",""," ["&amp;VLOOKUP('.'!J486,Recipes!$A:$D,4,FALSE)&amp;"]"))</f>
        <v/>
      </c>
      <c r="K486" s="46" t="str">
        <f t="array" ref="K486">IF('.'!K486="","",'.'!K486&amp;IF(VLOOKUP('.'!K486,Recipes!$A:$D,4,FALSE)="",""," ["&amp;VLOOKUP('.'!K486,Recipes!$A:$D,4,FALSE)&amp;"]"))</f>
        <v/>
      </c>
      <c r="L486" s="46"/>
      <c r="M486" s="46"/>
      <c r="N486" s="46"/>
      <c r="O486" s="46"/>
      <c r="P486" s="46"/>
      <c r="Q486" s="46"/>
      <c r="R486" s="46"/>
      <c r="S486" s="46"/>
      <c r="T486" s="46"/>
      <c r="U486" s="46"/>
      <c r="V486" s="46"/>
      <c r="W486" s="46"/>
      <c r="X486" s="46"/>
      <c r="Y486" s="46"/>
      <c r="Z486" s="46"/>
      <c r="AA486" s="46"/>
      <c r="AB486" s="46"/>
      <c r="AC486" s="46"/>
      <c r="AD486" s="46"/>
      <c r="AE486" s="47"/>
      <c r="AF486" s="47"/>
      <c r="AG486" s="47"/>
      <c r="AH486" s="47"/>
      <c r="AI486" s="47"/>
      <c r="AJ486" s="47"/>
      <c r="AK486" s="47"/>
      <c r="AL486" s="47"/>
      <c r="AM486" s="47"/>
      <c r="AN486" s="47"/>
      <c r="AO486" s="47"/>
      <c r="AP486" s="47"/>
      <c r="AQ486" s="47"/>
      <c r="AR486" s="47"/>
      <c r="AS486" s="47"/>
      <c r="AT486" s="47"/>
      <c r="AU486" s="47"/>
      <c r="AV486" s="47"/>
      <c r="AW486" s="47"/>
      <c r="AX486" s="47"/>
      <c r="AY486" s="47"/>
      <c r="AZ486" s="47"/>
      <c r="BA486" s="47"/>
      <c r="BB486" s="47"/>
      <c r="BC486" s="47"/>
      <c r="BD486" s="47"/>
      <c r="BE486" s="47"/>
      <c r="BF486" s="47"/>
      <c r="BG486" s="47"/>
      <c r="BH486" s="47"/>
      <c r="BI486" s="47"/>
      <c r="BJ486" s="47"/>
      <c r="BK486" s="47"/>
      <c r="BL486" s="47"/>
      <c r="BM486" s="47"/>
      <c r="BN486" s="47"/>
      <c r="BO486" s="47"/>
      <c r="BP486" s="47"/>
      <c r="BQ486" s="47"/>
      <c r="BR486" s="47"/>
      <c r="BS486" s="47"/>
      <c r="BT486" s="47"/>
      <c r="BU486" s="47"/>
      <c r="BV486" s="47"/>
      <c r="BW486" s="47"/>
      <c r="BX486" s="47"/>
      <c r="BY486" s="47"/>
      <c r="BZ486" s="47"/>
    </row>
    <row r="487" spans="1:78" ht="13">
      <c r="A487" s="48">
        <f>'.'!A487</f>
        <v>0</v>
      </c>
      <c r="B487" s="46"/>
      <c r="C487" s="46" t="str">
        <f t="array" ref="C487">IF('.'!C487="","",'.'!C487&amp;IF(VLOOKUP('.'!C487,Recipes!$A:$D,4,FALSE)="",""," ["&amp;VLOOKUP('.'!C487,Recipes!$A:$D,4,FALSE)&amp;"]"))</f>
        <v/>
      </c>
      <c r="D487" s="46" t="str">
        <f t="array" ref="D487">IF('.'!D487="","",'.'!D487&amp;IF(VLOOKUP('.'!D487,Recipes!$A:$D,4,FALSE)="",""," ["&amp;VLOOKUP('.'!D487,Recipes!$A:$D,4,FALSE)&amp;"]"))</f>
        <v/>
      </c>
      <c r="E487" s="46" t="str">
        <f t="array" ref="E487">IF('.'!E487="","",'.'!E487&amp;IF(VLOOKUP('.'!E487,Recipes!$A:$D,4,FALSE)="",""," ["&amp;VLOOKUP('.'!E487,Recipes!$A:$D,4,FALSE)&amp;"]"))</f>
        <v/>
      </c>
      <c r="F487" s="46" t="str">
        <f t="array" ref="F487">IF('.'!F487="","",'.'!F487&amp;IF(VLOOKUP('.'!F487,Recipes!$A:$D,4,FALSE)="",""," ["&amp;VLOOKUP('.'!F487,Recipes!$A:$D,4,FALSE)&amp;"]"))</f>
        <v/>
      </c>
      <c r="G487" s="46" t="str">
        <f t="array" ref="G487">IF('.'!G487="","",'.'!G487&amp;IF(VLOOKUP('.'!G487,Recipes!$A:$D,4,FALSE)="",""," ["&amp;VLOOKUP('.'!G487,Recipes!$A:$D,4,FALSE)&amp;"]"))</f>
        <v/>
      </c>
      <c r="H487" s="46" t="str">
        <f t="array" ref="H487">IF('.'!H487="","",'.'!H487&amp;IF(VLOOKUP('.'!H487,Recipes!$A:$D,4,FALSE)="",""," ["&amp;VLOOKUP('.'!H487,Recipes!$A:$D,4,FALSE)&amp;"]"))</f>
        <v/>
      </c>
      <c r="I487" s="46" t="str">
        <f t="array" ref="I487">IF('.'!I487="","",'.'!I487&amp;IF(VLOOKUP('.'!I487,Recipes!$A:$D,4,FALSE)="",""," ["&amp;VLOOKUP('.'!I487,Recipes!$A:$D,4,FALSE)&amp;"]"))</f>
        <v/>
      </c>
      <c r="J487" s="46" t="str">
        <f t="array" ref="J487">IF('.'!J487="","",'.'!J487&amp;IF(VLOOKUP('.'!J487,Recipes!$A:$D,4,FALSE)="",""," ["&amp;VLOOKUP('.'!J487,Recipes!$A:$D,4,FALSE)&amp;"]"))</f>
        <v/>
      </c>
      <c r="K487" s="46" t="str">
        <f t="array" ref="K487">IF('.'!K487="","",'.'!K487&amp;IF(VLOOKUP('.'!K487,Recipes!$A:$D,4,FALSE)="",""," ["&amp;VLOOKUP('.'!K487,Recipes!$A:$D,4,FALSE)&amp;"]"))</f>
        <v/>
      </c>
      <c r="L487" s="46"/>
      <c r="M487" s="46"/>
      <c r="N487" s="46"/>
      <c r="O487" s="46"/>
      <c r="P487" s="46"/>
      <c r="Q487" s="46"/>
      <c r="R487" s="46"/>
      <c r="S487" s="46"/>
      <c r="T487" s="46"/>
      <c r="U487" s="46"/>
      <c r="V487" s="46"/>
      <c r="W487" s="46"/>
      <c r="X487" s="46"/>
      <c r="Y487" s="46"/>
      <c r="Z487" s="46"/>
      <c r="AA487" s="46"/>
      <c r="AB487" s="46"/>
      <c r="AC487" s="46"/>
      <c r="AD487" s="46"/>
      <c r="AE487" s="47"/>
      <c r="AF487" s="47"/>
      <c r="AG487" s="47"/>
      <c r="AH487" s="47"/>
      <c r="AI487" s="47"/>
      <c r="AJ487" s="47"/>
      <c r="AK487" s="47"/>
      <c r="AL487" s="47"/>
      <c r="AM487" s="47"/>
      <c r="AN487" s="47"/>
      <c r="AO487" s="47"/>
      <c r="AP487" s="47"/>
      <c r="AQ487" s="47"/>
      <c r="AR487" s="47"/>
      <c r="AS487" s="47"/>
      <c r="AT487" s="47"/>
      <c r="AU487" s="47"/>
      <c r="AV487" s="47"/>
      <c r="AW487" s="47"/>
      <c r="AX487" s="47"/>
      <c r="AY487" s="47"/>
      <c r="AZ487" s="47"/>
      <c r="BA487" s="47"/>
      <c r="BB487" s="47"/>
      <c r="BC487" s="47"/>
      <c r="BD487" s="47"/>
      <c r="BE487" s="47"/>
      <c r="BF487" s="47"/>
      <c r="BG487" s="47"/>
      <c r="BH487" s="47"/>
      <c r="BI487" s="47"/>
      <c r="BJ487" s="47"/>
      <c r="BK487" s="47"/>
      <c r="BL487" s="47"/>
      <c r="BM487" s="47"/>
      <c r="BN487" s="47"/>
      <c r="BO487" s="47"/>
      <c r="BP487" s="47"/>
      <c r="BQ487" s="47"/>
      <c r="BR487" s="47"/>
      <c r="BS487" s="47"/>
      <c r="BT487" s="47"/>
      <c r="BU487" s="47"/>
      <c r="BV487" s="47"/>
      <c r="BW487" s="47"/>
      <c r="BX487" s="47"/>
      <c r="BY487" s="47"/>
      <c r="BZ487" s="47"/>
    </row>
    <row r="488" spans="1:78" ht="13">
      <c r="A488" s="48">
        <f>'.'!A488</f>
        <v>0</v>
      </c>
      <c r="B488" s="46"/>
      <c r="C488" s="46"/>
      <c r="D488" s="46"/>
      <c r="E488" s="46"/>
      <c r="F488" s="46" t="str">
        <f t="array" ref="F488">IF('.'!F488="","",'.'!F488&amp;IF(VLOOKUP('.'!F488,Recipes!$A:$D,4,FALSE)="",""," ["&amp;VLOOKUP('.'!F488,Recipes!$A:$D,4,FALSE)&amp;"]"))</f>
        <v/>
      </c>
      <c r="G488" s="46" t="str">
        <f t="array" ref="G488">IF('.'!G488="","",'.'!G488&amp;IF(VLOOKUP('.'!G488,Recipes!$A:$D,4,FALSE)="",""," ["&amp;VLOOKUP('.'!G488,Recipes!$A:$D,4,FALSE)&amp;"]"))</f>
        <v/>
      </c>
      <c r="H488" s="46" t="str">
        <f t="array" ref="H488">IF('.'!H488="","",'.'!H488&amp;IF(VLOOKUP('.'!H488,Recipes!$A:$D,4,FALSE)="",""," ["&amp;VLOOKUP('.'!H488,Recipes!$A:$D,4,FALSE)&amp;"]"))</f>
        <v/>
      </c>
      <c r="I488" s="46" t="str">
        <f t="array" ref="I488">IF('.'!I488="","",'.'!I488&amp;IF(VLOOKUP('.'!I488,Recipes!$A:$D,4,FALSE)="",""," ["&amp;VLOOKUP('.'!I488,Recipes!$A:$D,4,FALSE)&amp;"]"))</f>
        <v/>
      </c>
      <c r="J488" s="46" t="str">
        <f t="array" ref="J488">IF('.'!J488="","",'.'!J488&amp;IF(VLOOKUP('.'!J488,Recipes!$A:$D,4,FALSE)="",""," ["&amp;VLOOKUP('.'!J488,Recipes!$A:$D,4,FALSE)&amp;"]"))</f>
        <v/>
      </c>
      <c r="K488" s="46" t="str">
        <f t="array" ref="K488">IF('.'!K488="","",'.'!K488&amp;IF(VLOOKUP('.'!K488,Recipes!$A:$D,4,FALSE)="",""," ["&amp;VLOOKUP('.'!K488,Recipes!$A:$D,4,FALSE)&amp;"]"))</f>
        <v/>
      </c>
      <c r="L488" s="46"/>
      <c r="M488" s="46"/>
      <c r="N488" s="46"/>
      <c r="O488" s="46"/>
      <c r="P488" s="46"/>
      <c r="Q488" s="46"/>
      <c r="R488" s="46"/>
      <c r="S488" s="46"/>
      <c r="T488" s="46"/>
      <c r="U488" s="46"/>
      <c r="V488" s="46"/>
      <c r="W488" s="46"/>
      <c r="X488" s="46"/>
      <c r="Y488" s="46"/>
      <c r="Z488" s="46"/>
      <c r="AA488" s="46"/>
      <c r="AB488" s="46"/>
      <c r="AC488" s="46"/>
      <c r="AD488" s="46"/>
      <c r="AE488" s="47"/>
      <c r="AF488" s="47"/>
      <c r="AG488" s="47"/>
      <c r="AH488" s="47"/>
      <c r="AI488" s="47"/>
      <c r="AJ488" s="47"/>
      <c r="AK488" s="47"/>
      <c r="AL488" s="47"/>
      <c r="AM488" s="47"/>
      <c r="AN488" s="47"/>
      <c r="AO488" s="47"/>
      <c r="AP488" s="47"/>
      <c r="AQ488" s="47"/>
      <c r="AR488" s="47"/>
      <c r="AS488" s="47"/>
      <c r="AT488" s="47"/>
      <c r="AU488" s="47"/>
      <c r="AV488" s="47"/>
      <c r="AW488" s="47"/>
      <c r="AX488" s="47"/>
      <c r="AY488" s="47"/>
      <c r="AZ488" s="47"/>
      <c r="BA488" s="47"/>
      <c r="BB488" s="47"/>
      <c r="BC488" s="47"/>
      <c r="BD488" s="47"/>
      <c r="BE488" s="47"/>
      <c r="BF488" s="47"/>
      <c r="BG488" s="47"/>
      <c r="BH488" s="47"/>
      <c r="BI488" s="47"/>
      <c r="BJ488" s="47"/>
      <c r="BK488" s="47"/>
      <c r="BL488" s="47"/>
      <c r="BM488" s="47"/>
      <c r="BN488" s="47"/>
      <c r="BO488" s="47"/>
      <c r="BP488" s="47"/>
      <c r="BQ488" s="47"/>
      <c r="BR488" s="47"/>
      <c r="BS488" s="47"/>
      <c r="BT488" s="47"/>
      <c r="BU488" s="47"/>
      <c r="BV488" s="47"/>
      <c r="BW488" s="47"/>
      <c r="BX488" s="47"/>
      <c r="BY488" s="47"/>
      <c r="BZ488" s="47"/>
    </row>
    <row r="489" spans="1:78" ht="13">
      <c r="A489" s="50"/>
    </row>
    <row r="490" spans="1:78" ht="13">
      <c r="A490" s="50"/>
    </row>
  </sheetData>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439"/>
  <sheetViews>
    <sheetView workbookViewId="0">
      <pane ySplit="1" topLeftCell="A2" activePane="bottomLeft" state="frozen"/>
      <selection pane="bottomLeft" activeCell="B3" sqref="B3"/>
    </sheetView>
  </sheetViews>
  <sheetFormatPr baseColWidth="10" defaultColWidth="14.5" defaultRowHeight="15.75" customHeight="1"/>
  <cols>
    <col min="1" max="1" width="36.5" customWidth="1"/>
    <col min="2" max="3" width="11" customWidth="1"/>
    <col min="4" max="4" width="116.6640625" customWidth="1"/>
  </cols>
  <sheetData>
    <row r="1" spans="1:26" ht="14">
      <c r="A1" s="51" t="s">
        <v>1176</v>
      </c>
      <c r="B1" s="52" t="s">
        <v>1182</v>
      </c>
      <c r="C1" s="53" t="s">
        <v>1183</v>
      </c>
      <c r="D1" s="54" t="s">
        <v>1184</v>
      </c>
      <c r="E1" s="55"/>
      <c r="F1" s="50"/>
      <c r="G1" s="50"/>
      <c r="H1" s="50"/>
      <c r="I1" s="50"/>
      <c r="J1" s="50"/>
      <c r="K1" s="50"/>
      <c r="L1" s="50"/>
      <c r="M1" s="50"/>
      <c r="N1" s="50"/>
      <c r="O1" s="50"/>
      <c r="P1" s="50"/>
      <c r="Q1" s="50"/>
      <c r="R1" s="50"/>
      <c r="S1" s="50"/>
      <c r="T1" s="50"/>
      <c r="U1" s="50"/>
      <c r="V1" s="50"/>
      <c r="W1" s="50"/>
      <c r="X1" s="50"/>
      <c r="Y1" s="50"/>
      <c r="Z1" s="50"/>
    </row>
    <row r="2" spans="1:26" ht="14">
      <c r="A2" s="56" t="s">
        <v>138</v>
      </c>
      <c r="B2" s="57">
        <v>1</v>
      </c>
      <c r="C2" s="58" t="str">
        <f>IFERROR(VLOOKUP(A2,Recipes!A:H,8,FALSE),"")</f>
        <v>Arrows</v>
      </c>
      <c r="D2" s="59" t="s">
        <v>1185</v>
      </c>
      <c r="E2" s="60"/>
    </row>
    <row r="3" spans="1:26" ht="14">
      <c r="A3" s="56" t="s">
        <v>140</v>
      </c>
      <c r="B3" s="57">
        <v>1</v>
      </c>
      <c r="C3" s="58" t="str">
        <f>IFERROR(VLOOKUP(A3,Recipes!A:H,8,FALSE),"")</f>
        <v>Arrows</v>
      </c>
      <c r="D3" s="59" t="s">
        <v>1186</v>
      </c>
      <c r="E3" s="60"/>
    </row>
    <row r="4" spans="1:26" ht="14">
      <c r="A4" s="56" t="s">
        <v>190</v>
      </c>
      <c r="B4" s="57">
        <v>2</v>
      </c>
      <c r="C4" s="58" t="str">
        <f>IFERROR(VLOOKUP(A4,Recipes!A:H,8,FALSE),"")</f>
        <v>Arrows</v>
      </c>
      <c r="D4" s="59" t="s">
        <v>1187</v>
      </c>
      <c r="E4" s="60"/>
    </row>
    <row r="5" spans="1:26" ht="14">
      <c r="A5" s="56" t="s">
        <v>141</v>
      </c>
      <c r="B5" s="57">
        <v>290</v>
      </c>
      <c r="C5" s="58" t="str">
        <f>IFERROR(VLOOKUP(A5,Recipes!A:H,8,FALSE),"")</f>
        <v>Arrows</v>
      </c>
      <c r="D5" s="59" t="s">
        <v>1188</v>
      </c>
      <c r="E5" s="60"/>
    </row>
    <row r="6" spans="1:26" ht="14">
      <c r="A6" s="56" t="s">
        <v>144</v>
      </c>
      <c r="B6" s="57">
        <v>125</v>
      </c>
      <c r="C6" s="58" t="str">
        <f>IFERROR(VLOOKUP(A6,Recipes!A:H,8,FALSE),"")</f>
        <v>Arrows</v>
      </c>
      <c r="D6" s="59" t="s">
        <v>1188</v>
      </c>
      <c r="E6" s="60"/>
    </row>
    <row r="7" spans="1:26" ht="14">
      <c r="A7" s="61" t="s">
        <v>149</v>
      </c>
      <c r="B7" s="57">
        <v>320</v>
      </c>
      <c r="C7" s="58" t="str">
        <f>IFERROR(VLOOKUP(A7,Recipes!A:H,8,FALSE),"")</f>
        <v>Arrows</v>
      </c>
      <c r="D7" s="59" t="s">
        <v>1188</v>
      </c>
      <c r="E7" s="60"/>
    </row>
    <row r="8" spans="1:26" ht="14">
      <c r="A8" s="61" t="s">
        <v>152</v>
      </c>
      <c r="B8" s="57">
        <v>140</v>
      </c>
      <c r="C8" s="58" t="str">
        <f>IFERROR(VLOOKUP(A8,Recipes!A:H,8,FALSE),"")</f>
        <v>Arrows</v>
      </c>
      <c r="D8" s="59" t="s">
        <v>1188</v>
      </c>
      <c r="E8" s="60"/>
    </row>
    <row r="9" spans="1:26" ht="28">
      <c r="A9" s="56" t="s">
        <v>148</v>
      </c>
      <c r="B9" s="57">
        <v>50</v>
      </c>
      <c r="C9" s="58" t="str">
        <f>IFERROR(VLOOKUP(A9,Recipes!A:H,8,FALSE),"")</f>
        <v>Arrows</v>
      </c>
      <c r="D9" s="59" t="s">
        <v>1189</v>
      </c>
      <c r="E9" s="60"/>
    </row>
    <row r="10" spans="1:26" ht="14">
      <c r="A10" s="56" t="s">
        <v>153</v>
      </c>
      <c r="B10" s="57">
        <v>35</v>
      </c>
      <c r="C10" s="58" t="str">
        <f>IFERROR(VLOOKUP(A10,Recipes!A:H,8,FALSE),"")</f>
        <v>Arrows</v>
      </c>
      <c r="D10" s="59" t="s">
        <v>1188</v>
      </c>
      <c r="E10" s="60"/>
    </row>
    <row r="11" spans="1:26" ht="14">
      <c r="A11" s="56" t="s">
        <v>157</v>
      </c>
      <c r="B11" s="57">
        <v>120</v>
      </c>
      <c r="C11" s="58" t="str">
        <f>IFERROR(VLOOKUP(A11,Recipes!A:H,8,FALSE),"")</f>
        <v>Arrows</v>
      </c>
      <c r="D11" s="59" t="s">
        <v>1188</v>
      </c>
      <c r="E11" s="60"/>
    </row>
    <row r="12" spans="1:26" ht="14">
      <c r="A12" s="56" t="s">
        <v>161</v>
      </c>
      <c r="B12" s="57">
        <v>80</v>
      </c>
      <c r="C12" s="58" t="str">
        <f>IFERROR(VLOOKUP(A12,Recipes!A:H,8,FALSE),"")</f>
        <v>Arrows</v>
      </c>
      <c r="D12" s="59" t="s">
        <v>1188</v>
      </c>
      <c r="E12" s="60"/>
    </row>
    <row r="13" spans="1:26" ht="14">
      <c r="A13" s="56" t="s">
        <v>164</v>
      </c>
      <c r="B13" s="57">
        <v>145</v>
      </c>
      <c r="C13" s="58" t="str">
        <f>IFERROR(VLOOKUP(A13,Recipes!A:H,8,FALSE),"")</f>
        <v>Arrows</v>
      </c>
      <c r="D13" s="59" t="s">
        <v>1188</v>
      </c>
      <c r="E13" s="60"/>
    </row>
    <row r="14" spans="1:26" ht="14">
      <c r="A14" s="56" t="s">
        <v>168</v>
      </c>
      <c r="B14" s="57">
        <v>30</v>
      </c>
      <c r="C14" s="58" t="str">
        <f>IFERROR(VLOOKUP(A14,Recipes!A:H,8,FALSE),"")</f>
        <v>Arrows</v>
      </c>
      <c r="D14" s="59" t="s">
        <v>1188</v>
      </c>
      <c r="E14" s="60"/>
    </row>
    <row r="15" spans="1:26" ht="14">
      <c r="A15" s="56" t="s">
        <v>172</v>
      </c>
      <c r="B15" s="57">
        <v>120</v>
      </c>
      <c r="C15" s="58" t="str">
        <f>IFERROR(VLOOKUP(A15,Recipes!A:H,8,FALSE),"")</f>
        <v>Arrows</v>
      </c>
      <c r="D15" s="59" t="s">
        <v>1188</v>
      </c>
      <c r="E15" s="60"/>
    </row>
    <row r="16" spans="1:26" ht="14">
      <c r="A16" s="56" t="s">
        <v>176</v>
      </c>
      <c r="B16" s="57">
        <v>30</v>
      </c>
      <c r="C16" s="58" t="str">
        <f>IFERROR(VLOOKUP(A16,Recipes!A:H,8,FALSE),"")</f>
        <v>Arrows</v>
      </c>
      <c r="D16" s="59" t="s">
        <v>1188</v>
      </c>
      <c r="E16" s="60"/>
    </row>
    <row r="17" spans="1:5" ht="14">
      <c r="A17" s="61" t="s">
        <v>180</v>
      </c>
      <c r="B17" s="62">
        <v>135</v>
      </c>
      <c r="C17" s="63" t="s">
        <v>137</v>
      </c>
      <c r="D17" s="59" t="s">
        <v>1188</v>
      </c>
      <c r="E17" s="60"/>
    </row>
    <row r="18" spans="1:5" ht="14">
      <c r="A18" s="61" t="s">
        <v>183</v>
      </c>
      <c r="B18" s="62">
        <v>160</v>
      </c>
      <c r="C18" s="63" t="s">
        <v>137</v>
      </c>
      <c r="D18" s="59" t="s">
        <v>1190</v>
      </c>
      <c r="E18" s="60"/>
    </row>
    <row r="19" spans="1:5" ht="14">
      <c r="A19" s="56" t="s">
        <v>186</v>
      </c>
      <c r="B19" s="57">
        <v>90</v>
      </c>
      <c r="C19" s="58" t="str">
        <f>IFERROR(VLOOKUP(A19,Recipes!A:H,8,FALSE),"")</f>
        <v>Arrows</v>
      </c>
      <c r="D19" s="59" t="s">
        <v>1188</v>
      </c>
      <c r="E19" s="60"/>
    </row>
    <row r="20" spans="1:5" ht="14">
      <c r="A20" s="56" t="s">
        <v>139</v>
      </c>
      <c r="B20" s="57">
        <v>30</v>
      </c>
      <c r="C20" s="58" t="str">
        <f>IFERROR(VLOOKUP(A20,Recipes!A:H,8,FALSE),"")</f>
        <v>Arrows</v>
      </c>
      <c r="D20" s="59" t="s">
        <v>1191</v>
      </c>
      <c r="E20" s="60"/>
    </row>
    <row r="21" spans="1:5" ht="14">
      <c r="A21" s="56" t="s">
        <v>188</v>
      </c>
      <c r="B21" s="57">
        <v>25</v>
      </c>
      <c r="C21" s="58" t="str">
        <f>IFERROR(VLOOKUP(A21,Recipes!A:H,8,FALSE),"")</f>
        <v>Arrows</v>
      </c>
      <c r="D21" s="59" t="s">
        <v>1192</v>
      </c>
      <c r="E21" s="60"/>
    </row>
    <row r="22" spans="1:5" ht="14">
      <c r="A22" s="61" t="s">
        <v>111</v>
      </c>
      <c r="B22" s="62">
        <v>2800</v>
      </c>
      <c r="C22" s="63" t="s">
        <v>1193</v>
      </c>
      <c r="D22" s="59" t="s">
        <v>1194</v>
      </c>
      <c r="E22" s="60"/>
    </row>
    <row r="23" spans="1:5" ht="14">
      <c r="A23" s="56" t="s">
        <v>115</v>
      </c>
      <c r="B23" s="62">
        <v>2800</v>
      </c>
      <c r="C23" s="63" t="s">
        <v>1193</v>
      </c>
      <c r="D23" s="59" t="s">
        <v>1195</v>
      </c>
      <c r="E23" s="60"/>
    </row>
    <row r="24" spans="1:5" ht="14">
      <c r="A24" s="56" t="s">
        <v>118</v>
      </c>
      <c r="B24" s="64">
        <v>2800</v>
      </c>
      <c r="C24" s="63" t="s">
        <v>1193</v>
      </c>
      <c r="D24" s="59" t="s">
        <v>1196</v>
      </c>
      <c r="E24" s="60"/>
    </row>
    <row r="25" spans="1:5" ht="14">
      <c r="A25" s="56" t="s">
        <v>121</v>
      </c>
      <c r="B25" s="62">
        <v>2800</v>
      </c>
      <c r="C25" s="63" t="s">
        <v>1193</v>
      </c>
      <c r="D25" s="59" t="s">
        <v>1197</v>
      </c>
      <c r="E25" s="60"/>
    </row>
    <row r="26" spans="1:5" ht="14">
      <c r="A26" s="56" t="s">
        <v>173</v>
      </c>
      <c r="B26" s="62">
        <v>30</v>
      </c>
      <c r="C26" s="63" t="s">
        <v>1198</v>
      </c>
      <c r="D26" s="59" t="s">
        <v>1199</v>
      </c>
      <c r="E26" s="60"/>
    </row>
    <row r="27" spans="1:5" ht="14">
      <c r="A27" s="61" t="s">
        <v>772</v>
      </c>
      <c r="B27" s="65">
        <v>320</v>
      </c>
      <c r="C27" s="63" t="s">
        <v>1198</v>
      </c>
      <c r="D27" s="59" t="s">
        <v>1200</v>
      </c>
      <c r="E27" s="60"/>
    </row>
    <row r="28" spans="1:5" ht="14">
      <c r="A28" s="61" t="s">
        <v>748</v>
      </c>
      <c r="B28" s="65">
        <v>320</v>
      </c>
      <c r="C28" s="63" t="s">
        <v>1198</v>
      </c>
      <c r="D28" s="59" t="s">
        <v>1200</v>
      </c>
      <c r="E28" s="60"/>
    </row>
    <row r="29" spans="1:5" ht="14">
      <c r="A29" s="61" t="s">
        <v>736</v>
      </c>
      <c r="B29" s="65">
        <v>320</v>
      </c>
      <c r="C29" s="63" t="s">
        <v>1198</v>
      </c>
      <c r="D29" s="59" t="s">
        <v>1200</v>
      </c>
      <c r="E29" s="60"/>
    </row>
    <row r="30" spans="1:5" ht="14">
      <c r="A30" s="61" t="s">
        <v>729</v>
      </c>
      <c r="B30" s="65">
        <v>320</v>
      </c>
      <c r="C30" s="63" t="s">
        <v>1198</v>
      </c>
      <c r="D30" s="59" t="s">
        <v>1200</v>
      </c>
      <c r="E30" s="60"/>
    </row>
    <row r="31" spans="1:5" ht="14">
      <c r="A31" s="61" t="s">
        <v>765</v>
      </c>
      <c r="B31" s="65">
        <v>320</v>
      </c>
      <c r="C31" s="63" t="s">
        <v>1198</v>
      </c>
      <c r="D31" s="59" t="s">
        <v>1200</v>
      </c>
      <c r="E31" s="60"/>
    </row>
    <row r="32" spans="1:5" ht="14">
      <c r="A32" s="61" t="s">
        <v>713</v>
      </c>
      <c r="B32" s="65">
        <v>320</v>
      </c>
      <c r="C32" s="63" t="s">
        <v>1198</v>
      </c>
      <c r="D32" s="59" t="s">
        <v>1201</v>
      </c>
      <c r="E32" s="60"/>
    </row>
    <row r="33" spans="1:5" ht="14">
      <c r="A33" s="61" t="s">
        <v>720</v>
      </c>
      <c r="B33" s="65">
        <v>320</v>
      </c>
      <c r="C33" s="63" t="s">
        <v>1198</v>
      </c>
      <c r="D33" s="59" t="s">
        <v>1200</v>
      </c>
      <c r="E33" s="60"/>
    </row>
    <row r="34" spans="1:5" ht="14">
      <c r="A34" s="56" t="s">
        <v>165</v>
      </c>
      <c r="B34" s="62">
        <v>30</v>
      </c>
      <c r="C34" s="66" t="s">
        <v>1198</v>
      </c>
      <c r="D34" s="59" t="s">
        <v>1202</v>
      </c>
      <c r="E34" s="60"/>
    </row>
    <row r="35" spans="1:5" ht="14">
      <c r="A35" s="56" t="s">
        <v>154</v>
      </c>
      <c r="B35" s="62">
        <v>30</v>
      </c>
      <c r="C35" s="66" t="s">
        <v>1198</v>
      </c>
      <c r="D35" s="59" t="s">
        <v>1203</v>
      </c>
      <c r="E35" s="60"/>
    </row>
    <row r="36" spans="1:5" ht="14">
      <c r="A36" s="56" t="s">
        <v>700</v>
      </c>
      <c r="B36" s="62">
        <v>105</v>
      </c>
      <c r="C36" s="66" t="s">
        <v>1198</v>
      </c>
      <c r="D36" s="59" t="s">
        <v>1204</v>
      </c>
      <c r="E36" s="60"/>
    </row>
    <row r="37" spans="1:5" ht="14">
      <c r="A37" s="56" t="s">
        <v>723</v>
      </c>
      <c r="B37" s="62">
        <v>105</v>
      </c>
      <c r="C37" s="66" t="s">
        <v>1198</v>
      </c>
      <c r="D37" s="59" t="s">
        <v>1204</v>
      </c>
      <c r="E37" s="60"/>
    </row>
    <row r="38" spans="1:5" ht="14">
      <c r="A38" s="56" t="s">
        <v>733</v>
      </c>
      <c r="B38" s="62">
        <v>105</v>
      </c>
      <c r="C38" s="66" t="s">
        <v>1198</v>
      </c>
      <c r="D38" s="59" t="s">
        <v>1204</v>
      </c>
      <c r="E38" s="60"/>
    </row>
    <row r="39" spans="1:5" ht="14">
      <c r="A39" s="56" t="s">
        <v>769</v>
      </c>
      <c r="B39" s="62">
        <v>105</v>
      </c>
      <c r="C39" s="66" t="s">
        <v>1198</v>
      </c>
      <c r="D39" s="59" t="s">
        <v>1204</v>
      </c>
      <c r="E39" s="60"/>
    </row>
    <row r="40" spans="1:5" ht="14">
      <c r="A40" s="56" t="s">
        <v>707</v>
      </c>
      <c r="B40" s="62">
        <v>105</v>
      </c>
      <c r="C40" s="66" t="s">
        <v>1198</v>
      </c>
      <c r="D40" s="59" t="s">
        <v>1204</v>
      </c>
      <c r="E40" s="60"/>
    </row>
    <row r="41" spans="1:5" ht="14">
      <c r="A41" s="56" t="s">
        <v>718</v>
      </c>
      <c r="B41" s="62">
        <v>105</v>
      </c>
      <c r="C41" s="66" t="s">
        <v>1198</v>
      </c>
      <c r="D41" s="59" t="s">
        <v>1205</v>
      </c>
      <c r="E41" s="60"/>
    </row>
    <row r="42" spans="1:5" ht="14">
      <c r="A42" s="56" t="s">
        <v>741</v>
      </c>
      <c r="B42" s="62">
        <v>105</v>
      </c>
      <c r="C42" s="66" t="s">
        <v>1198</v>
      </c>
      <c r="D42" s="59" t="s">
        <v>1204</v>
      </c>
      <c r="E42" s="60"/>
    </row>
    <row r="43" spans="1:5" ht="14">
      <c r="A43" s="56" t="s">
        <v>709</v>
      </c>
      <c r="B43" s="62">
        <v>30</v>
      </c>
      <c r="C43" s="66" t="s">
        <v>1198</v>
      </c>
      <c r="D43" s="59" t="s">
        <v>1206</v>
      </c>
      <c r="E43" s="60"/>
    </row>
    <row r="44" spans="1:5" ht="14">
      <c r="A44" s="56" t="s">
        <v>705</v>
      </c>
      <c r="B44" s="62">
        <v>30</v>
      </c>
      <c r="C44" s="66" t="s">
        <v>1198</v>
      </c>
      <c r="D44" s="59" t="s">
        <v>1207</v>
      </c>
      <c r="E44" s="60"/>
    </row>
    <row r="45" spans="1:5" ht="14">
      <c r="A45" s="56" t="s">
        <v>405</v>
      </c>
      <c r="B45" s="62">
        <v>30</v>
      </c>
      <c r="C45" s="63" t="s">
        <v>1198</v>
      </c>
      <c r="D45" s="59" t="s">
        <v>1208</v>
      </c>
      <c r="E45" s="60"/>
    </row>
    <row r="46" spans="1:5" ht="14">
      <c r="A46" s="56" t="s">
        <v>158</v>
      </c>
      <c r="B46" s="62">
        <v>30</v>
      </c>
      <c r="C46" s="66" t="s">
        <v>1198</v>
      </c>
      <c r="D46" s="59" t="s">
        <v>1209</v>
      </c>
      <c r="E46" s="60"/>
    </row>
    <row r="47" spans="1:5" ht="14">
      <c r="A47" s="61" t="s">
        <v>1210</v>
      </c>
      <c r="B47" s="62">
        <v>0</v>
      </c>
      <c r="C47" s="63" t="s">
        <v>240</v>
      </c>
      <c r="D47" s="59" t="s">
        <v>1211</v>
      </c>
      <c r="E47" s="60"/>
    </row>
    <row r="48" spans="1:5" ht="14">
      <c r="A48" s="61" t="s">
        <v>1212</v>
      </c>
      <c r="B48" s="62">
        <v>3</v>
      </c>
      <c r="C48" s="63" t="s">
        <v>240</v>
      </c>
      <c r="D48" s="59" t="s">
        <v>1213</v>
      </c>
      <c r="E48" s="60"/>
    </row>
    <row r="49" spans="1:5" ht="14">
      <c r="A49" s="61" t="s">
        <v>1214</v>
      </c>
      <c r="B49" s="62">
        <v>4</v>
      </c>
      <c r="C49" s="63" t="s">
        <v>240</v>
      </c>
      <c r="D49" s="59" t="s">
        <v>1215</v>
      </c>
      <c r="E49" s="60"/>
    </row>
    <row r="50" spans="1:5" ht="14">
      <c r="A50" s="56" t="s">
        <v>243</v>
      </c>
      <c r="B50" s="62">
        <v>2</v>
      </c>
      <c r="C50" s="63" t="s">
        <v>240</v>
      </c>
      <c r="D50" s="59" t="s">
        <v>1216</v>
      </c>
      <c r="E50" s="60"/>
    </row>
    <row r="51" spans="1:5" ht="14">
      <c r="A51" s="61" t="s">
        <v>277</v>
      </c>
      <c r="B51" s="62">
        <v>2</v>
      </c>
      <c r="C51" s="58" t="str">
        <f>IFERROR(VLOOKUP(A51,Recipes!A:H,8,FALSE),"")</f>
        <v>Food</v>
      </c>
      <c r="D51" s="59" t="s">
        <v>1217</v>
      </c>
      <c r="E51" s="60"/>
    </row>
    <row r="52" spans="1:5" ht="14">
      <c r="A52" s="56" t="s">
        <v>278</v>
      </c>
      <c r="B52" s="57">
        <v>6</v>
      </c>
      <c r="C52" s="58" t="str">
        <f>IFERROR(VLOOKUP(A52,Recipes!A:H,8,FALSE),"")</f>
        <v>Food</v>
      </c>
      <c r="D52" s="59" t="s">
        <v>1218</v>
      </c>
      <c r="E52" s="60"/>
    </row>
    <row r="53" spans="1:5" ht="14">
      <c r="A53" s="56" t="s">
        <v>319</v>
      </c>
      <c r="B53" s="62">
        <v>2</v>
      </c>
      <c r="C53" s="63" t="s">
        <v>240</v>
      </c>
      <c r="D53" s="59" t="s">
        <v>1219</v>
      </c>
      <c r="E53" s="60"/>
    </row>
    <row r="54" spans="1:5" ht="14">
      <c r="A54" s="61" t="s">
        <v>286</v>
      </c>
      <c r="B54" s="57">
        <v>2</v>
      </c>
      <c r="C54" s="58" t="str">
        <f>IFERROR(VLOOKUP(A54,Recipes!A:H,8,FALSE),"")</f>
        <v>Food</v>
      </c>
      <c r="D54" s="59" t="s">
        <v>1220</v>
      </c>
      <c r="E54" s="60"/>
    </row>
    <row r="55" spans="1:5" ht="14">
      <c r="A55" s="56" t="s">
        <v>317</v>
      </c>
      <c r="B55" s="57">
        <v>4</v>
      </c>
      <c r="C55" s="58" t="str">
        <f>IFERROR(VLOOKUP(A55,Recipes!A:H,8,FALSE),"")</f>
        <v>Food</v>
      </c>
      <c r="D55" s="59" t="s">
        <v>1221</v>
      </c>
      <c r="E55" s="60"/>
    </row>
    <row r="56" spans="1:5" ht="14">
      <c r="A56" s="56" t="s">
        <v>303</v>
      </c>
      <c r="B56" s="57">
        <v>4</v>
      </c>
      <c r="C56" s="58" t="str">
        <f>IFERROR(VLOOKUP(A56,Recipes!A:H,8,FALSE),"")</f>
        <v>Food</v>
      </c>
      <c r="D56" s="59" t="s">
        <v>1221</v>
      </c>
      <c r="E56" s="60"/>
    </row>
    <row r="57" spans="1:5" ht="14">
      <c r="A57" s="56" t="s">
        <v>287</v>
      </c>
      <c r="B57" s="57">
        <v>8</v>
      </c>
      <c r="C57" s="58" t="str">
        <f>IFERROR(VLOOKUP(A57,Recipes!A:H,8,FALSE),"")</f>
        <v>Food</v>
      </c>
      <c r="D57" s="59" t="s">
        <v>1222</v>
      </c>
      <c r="E57" s="60"/>
    </row>
    <row r="58" spans="1:5" ht="28">
      <c r="A58" s="56" t="s">
        <v>284</v>
      </c>
      <c r="B58" s="57">
        <v>1</v>
      </c>
      <c r="C58" s="58" t="str">
        <f>IFERROR(VLOOKUP(A58,Recipes!A:H,8,FALSE),"")</f>
        <v>Food</v>
      </c>
      <c r="D58" s="59" t="s">
        <v>1223</v>
      </c>
      <c r="E58" s="60"/>
    </row>
    <row r="59" spans="1:5" ht="14">
      <c r="A59" s="61" t="s">
        <v>1224</v>
      </c>
      <c r="B59" s="62">
        <v>1</v>
      </c>
      <c r="C59" s="63" t="s">
        <v>240</v>
      </c>
      <c r="D59" s="59" t="s">
        <v>1225</v>
      </c>
      <c r="E59" s="60"/>
    </row>
    <row r="60" spans="1:5" ht="14">
      <c r="A60" s="61" t="s">
        <v>327</v>
      </c>
      <c r="B60" s="62">
        <v>1</v>
      </c>
      <c r="C60" s="63" t="s">
        <v>240</v>
      </c>
      <c r="D60" s="59" t="s">
        <v>1226</v>
      </c>
      <c r="E60" s="60"/>
    </row>
    <row r="61" spans="1:5" ht="14">
      <c r="A61" s="61" t="s">
        <v>291</v>
      </c>
      <c r="B61" s="62">
        <v>1</v>
      </c>
      <c r="C61" s="63" t="s">
        <v>240</v>
      </c>
      <c r="D61" s="59" t="s">
        <v>1227</v>
      </c>
      <c r="E61" s="60"/>
    </row>
    <row r="62" spans="1:5" ht="14">
      <c r="A62" s="61" t="s">
        <v>300</v>
      </c>
      <c r="B62" s="57">
        <v>3</v>
      </c>
      <c r="C62" s="58" t="str">
        <f>IFERROR(VLOOKUP(A62,Recipes!A:H,8,FALSE),"")</f>
        <v>Food</v>
      </c>
      <c r="D62" s="59" t="s">
        <v>1228</v>
      </c>
      <c r="E62" s="60"/>
    </row>
    <row r="63" spans="1:5" ht="14">
      <c r="A63" s="56" t="s">
        <v>323</v>
      </c>
      <c r="B63" s="57">
        <v>1</v>
      </c>
      <c r="C63" s="58" t="str">
        <f>IFERROR(VLOOKUP(A63,Recipes!A:H,8,FALSE),"")</f>
        <v>Food</v>
      </c>
      <c r="D63" s="59" t="s">
        <v>1229</v>
      </c>
      <c r="E63" s="60"/>
    </row>
    <row r="64" spans="1:5" ht="28">
      <c r="A64" s="56" t="s">
        <v>145</v>
      </c>
      <c r="B64" s="57">
        <v>12</v>
      </c>
      <c r="C64" s="58" t="str">
        <f>IFERROR(VLOOKUP(A64,Recipes!A:H,8,FALSE),"")</f>
        <v>Food</v>
      </c>
      <c r="D64" s="59" t="s">
        <v>1230</v>
      </c>
      <c r="E64" s="60"/>
    </row>
    <row r="65" spans="1:5" ht="14">
      <c r="A65" s="56" t="s">
        <v>261</v>
      </c>
      <c r="B65" s="62">
        <v>16</v>
      </c>
      <c r="C65" s="63" t="s">
        <v>240</v>
      </c>
      <c r="D65" s="59" t="s">
        <v>1231</v>
      </c>
      <c r="E65" s="60"/>
    </row>
    <row r="66" spans="1:5" ht="14">
      <c r="A66" s="14" t="s">
        <v>339</v>
      </c>
      <c r="B66" s="67">
        <v>8</v>
      </c>
      <c r="C66" s="68" t="s">
        <v>240</v>
      </c>
      <c r="D66" s="69" t="s">
        <v>1232</v>
      </c>
    </row>
    <row r="67" spans="1:5" ht="14">
      <c r="A67" s="56" t="s">
        <v>269</v>
      </c>
      <c r="B67" s="57">
        <v>1</v>
      </c>
      <c r="C67" s="58" t="str">
        <f>IFERROR(VLOOKUP(A67,Recipes!A:H,8,FALSE),"")</f>
        <v>Food</v>
      </c>
      <c r="D67" s="59" t="s">
        <v>1233</v>
      </c>
      <c r="E67" s="60"/>
    </row>
    <row r="68" spans="1:5" ht="14">
      <c r="A68" s="56" t="s">
        <v>273</v>
      </c>
      <c r="B68" s="62">
        <v>2</v>
      </c>
      <c r="C68" s="63" t="s">
        <v>240</v>
      </c>
      <c r="D68" s="59" t="s">
        <v>1234</v>
      </c>
      <c r="E68" s="60"/>
    </row>
    <row r="69" spans="1:5" ht="14">
      <c r="A69" s="56" t="s">
        <v>306</v>
      </c>
      <c r="B69" s="57">
        <v>2</v>
      </c>
      <c r="C69" s="58" t="str">
        <f>IFERROR(VLOOKUP(A69,Recipes!A:H,8,FALSE),"")</f>
        <v>Food</v>
      </c>
      <c r="D69" s="59" t="s">
        <v>1217</v>
      </c>
      <c r="E69" s="60"/>
    </row>
    <row r="70" spans="1:5" ht="14">
      <c r="A70" s="56" t="s">
        <v>281</v>
      </c>
      <c r="B70" s="62">
        <v>2</v>
      </c>
      <c r="C70" s="63" t="s">
        <v>240</v>
      </c>
      <c r="D70" s="59" t="s">
        <v>1235</v>
      </c>
      <c r="E70" s="60"/>
    </row>
    <row r="71" spans="1:5" ht="14">
      <c r="A71" s="56" t="s">
        <v>312</v>
      </c>
      <c r="B71" s="62">
        <v>1</v>
      </c>
      <c r="C71" s="63" t="s">
        <v>240</v>
      </c>
      <c r="D71" s="59" t="s">
        <v>1236</v>
      </c>
      <c r="E71" s="60"/>
    </row>
    <row r="72" spans="1:5" ht="14">
      <c r="A72" s="56" t="s">
        <v>313</v>
      </c>
      <c r="B72" s="62">
        <v>1</v>
      </c>
      <c r="C72" s="63" t="s">
        <v>240</v>
      </c>
      <c r="D72" s="59" t="s">
        <v>1236</v>
      </c>
      <c r="E72" s="60"/>
    </row>
    <row r="73" spans="1:5" ht="14">
      <c r="A73" s="56" t="s">
        <v>314</v>
      </c>
      <c r="B73" s="62">
        <v>1</v>
      </c>
      <c r="C73" s="63" t="s">
        <v>240</v>
      </c>
      <c r="D73" s="59" t="s">
        <v>1236</v>
      </c>
      <c r="E73" s="60"/>
    </row>
    <row r="74" spans="1:5" ht="14">
      <c r="A74" s="56" t="s">
        <v>254</v>
      </c>
      <c r="B74" s="62">
        <v>4</v>
      </c>
      <c r="C74" s="63" t="s">
        <v>240</v>
      </c>
      <c r="D74" s="59" t="s">
        <v>1237</v>
      </c>
      <c r="E74" s="60"/>
    </row>
    <row r="75" spans="1:5" ht="14">
      <c r="A75" s="56" t="s">
        <v>331</v>
      </c>
      <c r="B75" s="62">
        <v>1</v>
      </c>
      <c r="C75" s="63" t="s">
        <v>240</v>
      </c>
      <c r="D75" s="59" t="s">
        <v>1238</v>
      </c>
      <c r="E75" s="60"/>
    </row>
    <row r="76" spans="1:5" ht="14">
      <c r="A76" s="56" t="s">
        <v>297</v>
      </c>
      <c r="B76" s="57">
        <v>2</v>
      </c>
      <c r="C76" s="58" t="str">
        <f>IFERROR(VLOOKUP(A76,Recipes!A:H,8,FALSE),"")</f>
        <v>Food</v>
      </c>
      <c r="D76" s="59" t="s">
        <v>1239</v>
      </c>
      <c r="E76" s="60"/>
    </row>
    <row r="77" spans="1:5" ht="14">
      <c r="A77" s="56" t="s">
        <v>308</v>
      </c>
      <c r="B77" s="62">
        <v>3</v>
      </c>
      <c r="C77" s="63" t="s">
        <v>240</v>
      </c>
      <c r="D77" s="59" t="s">
        <v>1240</v>
      </c>
      <c r="E77" s="60"/>
    </row>
    <row r="78" spans="1:5" ht="14">
      <c r="A78" s="56" t="s">
        <v>360</v>
      </c>
      <c r="B78" s="57">
        <v>3</v>
      </c>
      <c r="C78" s="58" t="str">
        <f>IFERROR(VLOOKUP(A78,Recipes!A:H,8,FALSE),"")</f>
        <v>Grenades</v>
      </c>
      <c r="D78" s="59" t="s">
        <v>1241</v>
      </c>
      <c r="E78" s="60"/>
    </row>
    <row r="79" spans="1:5" ht="14">
      <c r="A79" s="56" t="s">
        <v>351</v>
      </c>
      <c r="B79" s="57">
        <v>900</v>
      </c>
      <c r="C79" s="58" t="str">
        <f>IFERROR(VLOOKUP(A79,Recipes!A:H,8,FALSE),"")</f>
        <v>Grenades</v>
      </c>
      <c r="D79" s="59" t="s">
        <v>1242</v>
      </c>
      <c r="E79" s="60"/>
    </row>
    <row r="80" spans="1:5" ht="14">
      <c r="A80" s="56" t="s">
        <v>358</v>
      </c>
      <c r="B80" s="57">
        <v>40</v>
      </c>
      <c r="C80" s="58" t="str">
        <f>IFERROR(VLOOKUP(A80,Recipes!A:H,8,FALSE),"")</f>
        <v>Grenades</v>
      </c>
      <c r="D80" s="59" t="s">
        <v>1242</v>
      </c>
      <c r="E80" s="60"/>
    </row>
    <row r="81" spans="1:5" ht="14">
      <c r="A81" s="56" t="s">
        <v>362</v>
      </c>
      <c r="B81" s="57">
        <v>400</v>
      </c>
      <c r="C81" s="58" t="str">
        <f>IFERROR(VLOOKUP(A81,Recipes!A:H,8,FALSE),"")</f>
        <v>Grenades</v>
      </c>
      <c r="D81" s="59" t="s">
        <v>1242</v>
      </c>
      <c r="E81" s="60"/>
    </row>
    <row r="82" spans="1:5" ht="14">
      <c r="A82" s="56" t="s">
        <v>376</v>
      </c>
      <c r="B82" s="57">
        <v>30</v>
      </c>
      <c r="C82" s="58" t="str">
        <f>IFERROR(VLOOKUP(A82,Recipes!A:H,8,FALSE),"")</f>
        <v>Grenades</v>
      </c>
      <c r="D82" s="59" t="s">
        <v>1242</v>
      </c>
      <c r="E82" s="60"/>
    </row>
    <row r="83" spans="1:5" ht="14">
      <c r="A83" s="56" t="s">
        <v>382</v>
      </c>
      <c r="B83" s="57">
        <v>40</v>
      </c>
      <c r="C83" s="58" t="str">
        <f>IFERROR(VLOOKUP(A83,Recipes!A:H,8,FALSE),"")</f>
        <v>Grenades</v>
      </c>
      <c r="D83" s="59" t="s">
        <v>1242</v>
      </c>
      <c r="E83" s="60"/>
    </row>
    <row r="84" spans="1:5" ht="14">
      <c r="A84" s="56" t="s">
        <v>379</v>
      </c>
      <c r="B84" s="57">
        <v>10</v>
      </c>
      <c r="C84" s="58" t="str">
        <f>IFERROR(VLOOKUP(A84,Recipes!A:H,8,FALSE),"")</f>
        <v>Grenades</v>
      </c>
      <c r="D84" s="59" t="s">
        <v>1242</v>
      </c>
      <c r="E84" s="60"/>
    </row>
    <row r="85" spans="1:5" ht="14">
      <c r="A85" s="56" t="s">
        <v>795</v>
      </c>
      <c r="B85" s="62">
        <v>1</v>
      </c>
      <c r="C85" s="63" t="s">
        <v>1243</v>
      </c>
      <c r="D85" s="59" t="s">
        <v>1244</v>
      </c>
      <c r="E85" s="60"/>
    </row>
    <row r="86" spans="1:5" ht="14">
      <c r="A86" s="56" t="s">
        <v>815</v>
      </c>
      <c r="B86" s="62">
        <v>1</v>
      </c>
      <c r="C86" s="63" t="s">
        <v>1243</v>
      </c>
      <c r="D86" s="59" t="s">
        <v>1216</v>
      </c>
      <c r="E86" s="60"/>
    </row>
    <row r="87" spans="1:5" ht="14">
      <c r="A87" s="61" t="s">
        <v>329</v>
      </c>
      <c r="B87" s="62">
        <v>1</v>
      </c>
      <c r="C87" s="63" t="s">
        <v>1243</v>
      </c>
      <c r="D87" s="59" t="s">
        <v>1216</v>
      </c>
      <c r="E87" s="60"/>
    </row>
    <row r="88" spans="1:5" ht="14">
      <c r="A88" s="56" t="s">
        <v>242</v>
      </c>
      <c r="B88" s="62">
        <v>1</v>
      </c>
      <c r="C88" s="63" t="s">
        <v>1243</v>
      </c>
      <c r="D88" s="59" t="s">
        <v>1245</v>
      </c>
      <c r="E88" s="60"/>
    </row>
    <row r="89" spans="1:5" ht="14">
      <c r="A89" s="56" t="s">
        <v>262</v>
      </c>
      <c r="B89" s="62">
        <v>1</v>
      </c>
      <c r="C89" s="63" t="s">
        <v>1243</v>
      </c>
      <c r="D89" s="59" t="s">
        <v>1246</v>
      </c>
      <c r="E89" s="60"/>
    </row>
    <row r="90" spans="1:5" ht="14">
      <c r="A90" s="61" t="s">
        <v>1247</v>
      </c>
      <c r="B90" s="62">
        <v>240</v>
      </c>
      <c r="C90" s="63" t="s">
        <v>127</v>
      </c>
      <c r="D90" s="59" t="s">
        <v>1216</v>
      </c>
      <c r="E90" s="60"/>
    </row>
    <row r="91" spans="1:5" ht="14">
      <c r="A91" s="61" t="s">
        <v>1248</v>
      </c>
      <c r="B91" s="65">
        <v>1</v>
      </c>
      <c r="C91" s="63" t="s">
        <v>127</v>
      </c>
      <c r="D91" s="59" t="s">
        <v>1249</v>
      </c>
      <c r="E91" s="60"/>
    </row>
    <row r="92" spans="1:5" ht="28">
      <c r="A92" s="61" t="s">
        <v>1250</v>
      </c>
      <c r="B92" s="65">
        <v>0</v>
      </c>
      <c r="C92" s="63" t="s">
        <v>127</v>
      </c>
      <c r="D92" s="59" t="s">
        <v>1251</v>
      </c>
      <c r="E92" s="60"/>
    </row>
    <row r="93" spans="1:5" ht="14">
      <c r="A93" s="61" t="s">
        <v>1252</v>
      </c>
      <c r="B93" s="62">
        <v>1</v>
      </c>
      <c r="C93" s="63" t="s">
        <v>127</v>
      </c>
      <c r="D93" s="59" t="s">
        <v>1253</v>
      </c>
      <c r="E93" s="60"/>
    </row>
    <row r="94" spans="1:5" ht="14">
      <c r="A94" s="56" t="s">
        <v>195</v>
      </c>
      <c r="B94" s="62">
        <v>100</v>
      </c>
      <c r="C94" s="63" t="s">
        <v>127</v>
      </c>
      <c r="D94" s="59" t="s">
        <v>1216</v>
      </c>
      <c r="E94" s="60"/>
    </row>
    <row r="95" spans="1:5" ht="14">
      <c r="A95" s="56" t="s">
        <v>895</v>
      </c>
      <c r="B95" s="62">
        <v>9</v>
      </c>
      <c r="C95" s="63" t="s">
        <v>127</v>
      </c>
      <c r="D95" s="59" t="s">
        <v>1254</v>
      </c>
      <c r="E95" s="60"/>
    </row>
    <row r="96" spans="1:5" ht="14">
      <c r="A96" s="56" t="s">
        <v>890</v>
      </c>
      <c r="B96" s="62">
        <v>90</v>
      </c>
      <c r="C96" s="63" t="s">
        <v>127</v>
      </c>
      <c r="D96" s="59" t="s">
        <v>1216</v>
      </c>
      <c r="E96" s="60"/>
    </row>
    <row r="97" spans="1:5" ht="14">
      <c r="A97" s="61" t="s">
        <v>760</v>
      </c>
      <c r="B97" s="65">
        <v>80</v>
      </c>
      <c r="C97" s="63" t="s">
        <v>127</v>
      </c>
      <c r="D97" s="59" t="s">
        <v>1216</v>
      </c>
      <c r="E97" s="60"/>
    </row>
    <row r="98" spans="1:5" ht="14">
      <c r="A98" s="56" t="s">
        <v>130</v>
      </c>
      <c r="B98" s="62">
        <v>8</v>
      </c>
      <c r="C98" s="63" t="s">
        <v>127</v>
      </c>
      <c r="D98" s="59" t="s">
        <v>1255</v>
      </c>
      <c r="E98" s="60"/>
    </row>
    <row r="99" spans="1:5" ht="14">
      <c r="A99" s="56" t="s">
        <v>767</v>
      </c>
      <c r="B99" s="62">
        <v>45</v>
      </c>
      <c r="C99" s="63" t="s">
        <v>127</v>
      </c>
      <c r="D99" s="59" t="s">
        <v>1216</v>
      </c>
      <c r="E99" s="60"/>
    </row>
    <row r="100" spans="1:5" ht="14">
      <c r="A100" s="56" t="s">
        <v>196</v>
      </c>
      <c r="B100" s="62">
        <v>70</v>
      </c>
      <c r="C100" s="63" t="s">
        <v>127</v>
      </c>
      <c r="D100" s="59" t="s">
        <v>1256</v>
      </c>
      <c r="E100" s="60"/>
    </row>
    <row r="101" spans="1:5" ht="14">
      <c r="A101" s="61" t="s">
        <v>770</v>
      </c>
      <c r="B101" s="62">
        <v>80</v>
      </c>
      <c r="C101" s="63" t="s">
        <v>127</v>
      </c>
      <c r="D101" s="59" t="s">
        <v>1216</v>
      </c>
      <c r="E101" s="60"/>
    </row>
    <row r="102" spans="1:5" ht="14">
      <c r="A102" s="14" t="s">
        <v>785</v>
      </c>
      <c r="B102" s="67">
        <v>0</v>
      </c>
      <c r="C102" s="68" t="s">
        <v>127</v>
      </c>
      <c r="D102" s="69" t="s">
        <v>1257</v>
      </c>
      <c r="E102" s="60"/>
    </row>
    <row r="103" spans="1:5" ht="28">
      <c r="A103" s="56" t="s">
        <v>749</v>
      </c>
      <c r="B103" s="62">
        <v>30</v>
      </c>
      <c r="C103" s="63" t="s">
        <v>127</v>
      </c>
      <c r="D103" s="59" t="s">
        <v>1258</v>
      </c>
      <c r="E103" s="60"/>
    </row>
    <row r="104" spans="1:5" ht="14">
      <c r="A104" s="56" t="s">
        <v>788</v>
      </c>
      <c r="B104" s="62">
        <v>1</v>
      </c>
      <c r="C104" s="63" t="s">
        <v>127</v>
      </c>
      <c r="D104" s="59" t="s">
        <v>1259</v>
      </c>
      <c r="E104" s="60"/>
    </row>
    <row r="105" spans="1:5" ht="14">
      <c r="A105" s="61" t="s">
        <v>714</v>
      </c>
      <c r="B105" s="64">
        <v>35</v>
      </c>
      <c r="C105" s="63" t="s">
        <v>127</v>
      </c>
      <c r="D105" s="59" t="s">
        <v>1216</v>
      </c>
      <c r="E105" s="60"/>
    </row>
    <row r="106" spans="1:5" ht="14">
      <c r="A106" s="56" t="s">
        <v>828</v>
      </c>
      <c r="B106" s="65">
        <v>310</v>
      </c>
      <c r="C106" s="63" t="s">
        <v>127</v>
      </c>
      <c r="D106" s="59" t="s">
        <v>1260</v>
      </c>
      <c r="E106" s="60"/>
    </row>
    <row r="107" spans="1:5" ht="14">
      <c r="A107" s="56" t="s">
        <v>701</v>
      </c>
      <c r="B107" s="62">
        <v>90</v>
      </c>
      <c r="C107" s="63" t="s">
        <v>127</v>
      </c>
      <c r="D107" s="59" t="s">
        <v>1261</v>
      </c>
      <c r="E107" s="60"/>
    </row>
    <row r="108" spans="1:5" ht="14">
      <c r="A108" s="56" t="s">
        <v>883</v>
      </c>
      <c r="B108" s="62">
        <v>70</v>
      </c>
      <c r="C108" s="63" t="s">
        <v>127</v>
      </c>
      <c r="D108" s="59" t="s">
        <v>1216</v>
      </c>
      <c r="E108" s="60"/>
    </row>
    <row r="109" spans="1:5" ht="14">
      <c r="A109" s="56" t="s">
        <v>192</v>
      </c>
      <c r="B109" s="62">
        <v>50</v>
      </c>
      <c r="C109" s="63" t="s">
        <v>127</v>
      </c>
      <c r="D109" s="59" t="s">
        <v>1262</v>
      </c>
      <c r="E109" s="60"/>
    </row>
    <row r="110" spans="1:5" ht="14">
      <c r="A110" s="56" t="s">
        <v>1069</v>
      </c>
      <c r="B110" s="57">
        <v>150</v>
      </c>
      <c r="C110" s="63" t="s">
        <v>127</v>
      </c>
      <c r="D110" s="59" t="s">
        <v>1263</v>
      </c>
      <c r="E110" s="60"/>
    </row>
    <row r="111" spans="1:5" ht="14">
      <c r="A111" s="56" t="s">
        <v>1147</v>
      </c>
      <c r="B111" s="57">
        <v>10</v>
      </c>
      <c r="C111" s="63" t="s">
        <v>127</v>
      </c>
      <c r="D111" s="59" t="s">
        <v>1264</v>
      </c>
      <c r="E111" s="60"/>
    </row>
    <row r="112" spans="1:5" ht="14">
      <c r="A112" s="56" t="s">
        <v>366</v>
      </c>
      <c r="B112" s="62">
        <v>1</v>
      </c>
      <c r="C112" s="63" t="s">
        <v>127</v>
      </c>
      <c r="D112" s="59" t="s">
        <v>1265</v>
      </c>
      <c r="E112" s="60"/>
    </row>
    <row r="113" spans="1:5" ht="14">
      <c r="A113" s="56" t="s">
        <v>886</v>
      </c>
      <c r="B113" s="62">
        <v>95</v>
      </c>
      <c r="C113" s="63" t="s">
        <v>127</v>
      </c>
      <c r="D113" s="59" t="s">
        <v>1216</v>
      </c>
      <c r="E113" s="60"/>
    </row>
    <row r="114" spans="1:5" ht="14">
      <c r="A114" s="56" t="s">
        <v>731</v>
      </c>
      <c r="B114" s="62">
        <v>12</v>
      </c>
      <c r="C114" s="63" t="s">
        <v>127</v>
      </c>
      <c r="D114" s="59" t="s">
        <v>1216</v>
      </c>
      <c r="E114" s="60"/>
    </row>
    <row r="115" spans="1:5" ht="14">
      <c r="A115" s="56" t="s">
        <v>752</v>
      </c>
      <c r="B115" s="62">
        <v>220</v>
      </c>
      <c r="C115" s="63" t="s">
        <v>127</v>
      </c>
      <c r="D115" s="59" t="s">
        <v>1266</v>
      </c>
      <c r="E115" s="60"/>
    </row>
    <row r="116" spans="1:5" ht="14">
      <c r="A116" s="61" t="s">
        <v>715</v>
      </c>
      <c r="B116" s="65">
        <v>30</v>
      </c>
      <c r="C116" s="63" t="s">
        <v>127</v>
      </c>
      <c r="D116" s="59" t="s">
        <v>1267</v>
      </c>
      <c r="E116" s="60"/>
    </row>
    <row r="117" spans="1:5" ht="28">
      <c r="A117" s="56" t="s">
        <v>742</v>
      </c>
      <c r="B117" s="62">
        <v>27</v>
      </c>
      <c r="C117" s="63" t="s">
        <v>127</v>
      </c>
      <c r="D117" s="59" t="s">
        <v>1268</v>
      </c>
      <c r="E117" s="60"/>
    </row>
    <row r="118" spans="1:5" ht="14">
      <c r="A118" s="56" t="s">
        <v>743</v>
      </c>
      <c r="B118" s="62">
        <v>40</v>
      </c>
      <c r="C118" s="63" t="s">
        <v>127</v>
      </c>
      <c r="D118" s="59" t="s">
        <v>1216</v>
      </c>
      <c r="E118" s="60"/>
    </row>
    <row r="119" spans="1:5" ht="14">
      <c r="A119" s="61" t="s">
        <v>724</v>
      </c>
      <c r="B119" s="65">
        <v>1</v>
      </c>
      <c r="C119" s="63" t="s">
        <v>127</v>
      </c>
      <c r="D119" s="59" t="s">
        <v>1269</v>
      </c>
      <c r="E119" s="60"/>
    </row>
    <row r="120" spans="1:5" ht="14">
      <c r="A120" s="56" t="s">
        <v>97</v>
      </c>
      <c r="B120" s="57">
        <v>4</v>
      </c>
      <c r="C120" s="63" t="s">
        <v>127</v>
      </c>
      <c r="D120" s="59" t="s">
        <v>1270</v>
      </c>
      <c r="E120" s="60"/>
    </row>
    <row r="121" spans="1:5" ht="14">
      <c r="A121" s="56" t="s">
        <v>343</v>
      </c>
      <c r="B121" s="62">
        <v>4</v>
      </c>
      <c r="C121" s="63" t="s">
        <v>127</v>
      </c>
      <c r="D121" s="59" t="s">
        <v>1271</v>
      </c>
      <c r="E121" s="60"/>
    </row>
    <row r="122" spans="1:5" ht="14">
      <c r="A122" s="56" t="s">
        <v>753</v>
      </c>
      <c r="B122" s="62">
        <v>7</v>
      </c>
      <c r="C122" s="63" t="s">
        <v>127</v>
      </c>
      <c r="D122" s="59" t="s">
        <v>1216</v>
      </c>
      <c r="E122" s="60"/>
    </row>
    <row r="123" spans="1:5" ht="14">
      <c r="A123" s="56" t="s">
        <v>703</v>
      </c>
      <c r="B123" s="65">
        <v>110</v>
      </c>
      <c r="C123" s="63" t="s">
        <v>127</v>
      </c>
      <c r="D123" s="59" t="s">
        <v>1216</v>
      </c>
      <c r="E123" s="60"/>
    </row>
    <row r="124" spans="1:5" ht="14">
      <c r="A124" s="61" t="s">
        <v>1152</v>
      </c>
      <c r="B124" s="65">
        <v>20</v>
      </c>
      <c r="C124" s="63" t="s">
        <v>127</v>
      </c>
      <c r="D124" s="59" t="s">
        <v>1272</v>
      </c>
      <c r="E124" s="60"/>
    </row>
    <row r="125" spans="1:5" ht="14">
      <c r="A125" s="56" t="s">
        <v>747</v>
      </c>
      <c r="B125" s="62">
        <v>1</v>
      </c>
      <c r="C125" s="63" t="s">
        <v>127</v>
      </c>
      <c r="D125" s="59" t="s">
        <v>1216</v>
      </c>
      <c r="E125" s="60"/>
    </row>
    <row r="126" spans="1:5" ht="14">
      <c r="A126" s="61" t="s">
        <v>740</v>
      </c>
      <c r="B126" s="62">
        <v>1</v>
      </c>
      <c r="C126" s="63" t="s">
        <v>127</v>
      </c>
      <c r="D126" s="59" t="s">
        <v>1273</v>
      </c>
      <c r="E126" s="60"/>
    </row>
    <row r="127" spans="1:5" ht="14">
      <c r="A127" s="56" t="s">
        <v>923</v>
      </c>
      <c r="B127" s="62">
        <v>200</v>
      </c>
      <c r="C127" s="63" t="s">
        <v>127</v>
      </c>
      <c r="D127" s="59" t="s">
        <v>1274</v>
      </c>
      <c r="E127" s="60"/>
    </row>
    <row r="128" spans="1:5" ht="14">
      <c r="A128" s="56" t="s">
        <v>114</v>
      </c>
      <c r="B128" s="62">
        <v>1</v>
      </c>
      <c r="C128" s="63" t="s">
        <v>127</v>
      </c>
      <c r="D128" s="59" t="s">
        <v>1275</v>
      </c>
      <c r="E128" s="60"/>
    </row>
    <row r="129" spans="1:5" ht="14">
      <c r="A129" s="56" t="s">
        <v>702</v>
      </c>
      <c r="B129" s="62">
        <v>90</v>
      </c>
      <c r="C129" s="63" t="s">
        <v>127</v>
      </c>
      <c r="D129" s="59" t="s">
        <v>1276</v>
      </c>
      <c r="E129" s="60"/>
    </row>
    <row r="130" spans="1:5" ht="14">
      <c r="A130" s="56" t="s">
        <v>117</v>
      </c>
      <c r="B130" s="62">
        <v>1</v>
      </c>
      <c r="C130" s="63" t="s">
        <v>127</v>
      </c>
      <c r="D130" s="59" t="s">
        <v>1275</v>
      </c>
      <c r="E130" s="60"/>
    </row>
    <row r="131" spans="1:5" ht="14">
      <c r="A131" s="56" t="s">
        <v>247</v>
      </c>
      <c r="B131" s="62">
        <v>1</v>
      </c>
      <c r="C131" s="63" t="s">
        <v>127</v>
      </c>
      <c r="D131" s="59" t="s">
        <v>1277</v>
      </c>
      <c r="E131" s="60"/>
    </row>
    <row r="132" spans="1:5" ht="14">
      <c r="A132" s="61" t="s">
        <v>349</v>
      </c>
      <c r="B132" s="62">
        <v>100</v>
      </c>
      <c r="C132" s="63" t="s">
        <v>127</v>
      </c>
      <c r="D132" s="59" t="s">
        <v>1278</v>
      </c>
      <c r="E132" s="60"/>
    </row>
    <row r="133" spans="1:5" ht="45.75" customHeight="1">
      <c r="A133" s="61" t="s">
        <v>394</v>
      </c>
      <c r="B133" s="62">
        <v>25</v>
      </c>
      <c r="C133" s="63" t="s">
        <v>127</v>
      </c>
      <c r="D133" s="59" t="s">
        <v>1279</v>
      </c>
      <c r="E133" s="60"/>
    </row>
    <row r="134" spans="1:5" ht="48.75" customHeight="1">
      <c r="A134" s="56" t="s">
        <v>353</v>
      </c>
      <c r="B134" s="62">
        <v>100</v>
      </c>
      <c r="C134" s="63" t="s">
        <v>127</v>
      </c>
      <c r="D134" s="59" t="s">
        <v>1280</v>
      </c>
      <c r="E134" s="60"/>
    </row>
    <row r="135" spans="1:5" ht="16.5" customHeight="1">
      <c r="A135" s="56" t="s">
        <v>389</v>
      </c>
      <c r="B135" s="64">
        <v>170</v>
      </c>
      <c r="C135" s="63" t="s">
        <v>127</v>
      </c>
      <c r="D135" s="59" t="s">
        <v>1281</v>
      </c>
      <c r="E135" s="60"/>
    </row>
    <row r="136" spans="1:5" ht="14">
      <c r="A136" s="56" t="s">
        <v>827</v>
      </c>
      <c r="B136" s="62">
        <v>10</v>
      </c>
      <c r="C136" s="63" t="s">
        <v>127</v>
      </c>
      <c r="D136" s="59" t="s">
        <v>1282</v>
      </c>
      <c r="E136" s="60"/>
    </row>
    <row r="137" spans="1:5" ht="14">
      <c r="A137" s="61" t="s">
        <v>86</v>
      </c>
      <c r="B137" s="62">
        <v>700</v>
      </c>
      <c r="C137" s="63" t="s">
        <v>127</v>
      </c>
      <c r="D137" s="70" t="e">
        <f ca="1">image("http://darkseam.com/EternalArtifactA.jpg")</f>
        <v>#NAME?</v>
      </c>
    </row>
    <row r="138" spans="1:5" ht="14">
      <c r="A138" s="61" t="s">
        <v>93</v>
      </c>
      <c r="B138" s="65">
        <v>350</v>
      </c>
      <c r="C138" s="63" t="s">
        <v>127</v>
      </c>
      <c r="D138" s="70" t="e">
        <f ca="1">image("http://darkseam.com/EternalArtifactC.jpg")</f>
        <v>#NAME?</v>
      </c>
    </row>
    <row r="139" spans="1:5" ht="14">
      <c r="A139" s="61" t="s">
        <v>88</v>
      </c>
      <c r="B139" s="62">
        <v>0</v>
      </c>
      <c r="C139" s="63" t="s">
        <v>127</v>
      </c>
      <c r="D139" s="59" t="s">
        <v>1283</v>
      </c>
      <c r="E139" s="60"/>
    </row>
    <row r="140" spans="1:5" ht="14">
      <c r="A140" s="56" t="s">
        <v>719</v>
      </c>
      <c r="B140" s="62">
        <v>90</v>
      </c>
      <c r="C140" s="63" t="s">
        <v>127</v>
      </c>
      <c r="D140" s="59" t="s">
        <v>1216</v>
      </c>
      <c r="E140" s="60"/>
    </row>
    <row r="141" spans="1:5" ht="14">
      <c r="A141" s="56" t="s">
        <v>776</v>
      </c>
      <c r="B141" s="64">
        <v>100</v>
      </c>
      <c r="C141" s="63" t="s">
        <v>127</v>
      </c>
      <c r="D141" s="59" t="s">
        <v>1216</v>
      </c>
      <c r="E141" s="60"/>
    </row>
    <row r="142" spans="1:5" ht="14">
      <c r="A142" s="56" t="s">
        <v>737</v>
      </c>
      <c r="B142" s="62">
        <v>70</v>
      </c>
      <c r="C142" s="63" t="s">
        <v>127</v>
      </c>
      <c r="D142" s="59" t="s">
        <v>1216</v>
      </c>
      <c r="E142" s="60"/>
    </row>
    <row r="143" spans="1:5" ht="14">
      <c r="A143" s="56" t="s">
        <v>880</v>
      </c>
      <c r="B143" s="62">
        <v>85</v>
      </c>
      <c r="C143" s="63" t="s">
        <v>127</v>
      </c>
      <c r="D143" s="59" t="s">
        <v>1216</v>
      </c>
      <c r="E143" s="60"/>
    </row>
    <row r="144" spans="1:5" ht="28">
      <c r="A144" s="56" t="s">
        <v>774</v>
      </c>
      <c r="B144" s="57">
        <v>1</v>
      </c>
      <c r="C144" s="63" t="s">
        <v>127</v>
      </c>
      <c r="D144" s="59" t="s">
        <v>1284</v>
      </c>
      <c r="E144" s="60"/>
    </row>
    <row r="145" spans="1:5" ht="28.5" customHeight="1">
      <c r="A145" s="56" t="s">
        <v>708</v>
      </c>
      <c r="B145" s="62">
        <v>1</v>
      </c>
      <c r="C145" s="63" t="s">
        <v>127</v>
      </c>
      <c r="D145" s="59" t="s">
        <v>1285</v>
      </c>
      <c r="E145" s="60"/>
    </row>
    <row r="146" spans="1:5" ht="30" customHeight="1">
      <c r="A146" s="56" t="s">
        <v>754</v>
      </c>
      <c r="B146" s="62">
        <v>20</v>
      </c>
      <c r="C146" s="63" t="s">
        <v>127</v>
      </c>
      <c r="D146" s="59" t="s">
        <v>1286</v>
      </c>
      <c r="E146" s="60"/>
    </row>
    <row r="147" spans="1:5" ht="14">
      <c r="A147" s="56" t="s">
        <v>361</v>
      </c>
      <c r="B147" s="62">
        <v>3</v>
      </c>
      <c r="C147" s="63" t="s">
        <v>127</v>
      </c>
      <c r="D147" s="59" t="s">
        <v>1287</v>
      </c>
      <c r="E147" s="60"/>
    </row>
    <row r="148" spans="1:5" ht="14">
      <c r="A148" s="56" t="s">
        <v>761</v>
      </c>
      <c r="B148" s="62">
        <v>4</v>
      </c>
      <c r="C148" s="63" t="s">
        <v>127</v>
      </c>
      <c r="D148" s="59" t="s">
        <v>1216</v>
      </c>
      <c r="E148" s="60"/>
    </row>
    <row r="149" spans="1:5" ht="14">
      <c r="A149" s="61" t="s">
        <v>766</v>
      </c>
      <c r="B149" s="65">
        <v>90</v>
      </c>
      <c r="C149" s="63" t="s">
        <v>127</v>
      </c>
      <c r="D149" s="59" t="s">
        <v>1216</v>
      </c>
      <c r="E149" s="60"/>
    </row>
    <row r="150" spans="1:5" ht="14">
      <c r="A150" s="56" t="s">
        <v>258</v>
      </c>
      <c r="B150" s="62">
        <v>18</v>
      </c>
      <c r="C150" s="63" t="s">
        <v>127</v>
      </c>
      <c r="D150" s="59" t="s">
        <v>1216</v>
      </c>
      <c r="E150" s="60"/>
    </row>
    <row r="151" spans="1:5" ht="14">
      <c r="A151" s="56" t="s">
        <v>833</v>
      </c>
      <c r="B151" s="62">
        <v>90</v>
      </c>
      <c r="C151" s="63" t="s">
        <v>127</v>
      </c>
      <c r="D151" s="59" t="s">
        <v>1288</v>
      </c>
      <c r="E151" s="60"/>
    </row>
    <row r="152" spans="1:5" ht="28">
      <c r="A152" s="56" t="s">
        <v>777</v>
      </c>
      <c r="B152" s="62">
        <v>1</v>
      </c>
      <c r="C152" s="63" t="s">
        <v>127</v>
      </c>
      <c r="D152" s="59" t="s">
        <v>1289</v>
      </c>
      <c r="E152" s="60"/>
    </row>
    <row r="153" spans="1:5" ht="14">
      <c r="A153" s="56" t="s">
        <v>756</v>
      </c>
      <c r="B153" s="65">
        <v>1</v>
      </c>
      <c r="C153" s="63" t="s">
        <v>127</v>
      </c>
      <c r="D153" s="59" t="s">
        <v>1290</v>
      </c>
      <c r="E153" s="60"/>
    </row>
    <row r="154" spans="1:5" ht="14">
      <c r="A154" s="56" t="s">
        <v>758</v>
      </c>
      <c r="B154" s="62">
        <v>1</v>
      </c>
      <c r="C154" s="63" t="s">
        <v>127</v>
      </c>
      <c r="D154" s="59" t="s">
        <v>1291</v>
      </c>
      <c r="E154" s="60"/>
    </row>
    <row r="155" spans="1:5" ht="14">
      <c r="A155" s="56" t="s">
        <v>851</v>
      </c>
      <c r="B155" s="62">
        <v>50</v>
      </c>
      <c r="C155" s="63" t="s">
        <v>127</v>
      </c>
      <c r="D155" s="59" t="s">
        <v>1292</v>
      </c>
      <c r="E155" s="60"/>
    </row>
    <row r="156" spans="1:5" ht="14">
      <c r="A156" s="56" t="s">
        <v>120</v>
      </c>
      <c r="B156" s="62">
        <v>1</v>
      </c>
      <c r="C156" s="63" t="s">
        <v>127</v>
      </c>
      <c r="D156" s="59" t="s">
        <v>1275</v>
      </c>
      <c r="E156" s="60"/>
    </row>
    <row r="157" spans="1:5" ht="14">
      <c r="A157" s="56" t="s">
        <v>350</v>
      </c>
      <c r="B157" s="62">
        <v>1</v>
      </c>
      <c r="C157" s="63" t="s">
        <v>127</v>
      </c>
      <c r="D157" s="59" t="s">
        <v>1293</v>
      </c>
      <c r="E157" s="60"/>
    </row>
    <row r="158" spans="1:5" ht="14">
      <c r="A158" s="56" t="s">
        <v>392</v>
      </c>
      <c r="B158" s="62">
        <v>450</v>
      </c>
      <c r="C158" s="63" t="s">
        <v>127</v>
      </c>
      <c r="D158" s="59" t="s">
        <v>1294</v>
      </c>
      <c r="E158" s="60"/>
    </row>
    <row r="159" spans="1:5" ht="14">
      <c r="A159" s="56" t="s">
        <v>401</v>
      </c>
      <c r="B159" s="62">
        <v>90</v>
      </c>
      <c r="C159" s="63" t="s">
        <v>127</v>
      </c>
      <c r="D159" s="59" t="s">
        <v>1295</v>
      </c>
      <c r="E159" s="60"/>
    </row>
    <row r="160" spans="1:5" ht="14">
      <c r="A160" s="56" t="s">
        <v>728</v>
      </c>
      <c r="B160" s="62">
        <v>200</v>
      </c>
      <c r="C160" s="63" t="s">
        <v>127</v>
      </c>
      <c r="D160" s="59" t="s">
        <v>1216</v>
      </c>
      <c r="E160" s="60"/>
    </row>
    <row r="161" spans="1:5" ht="14">
      <c r="A161" s="56" t="s">
        <v>100</v>
      </c>
      <c r="B161" s="62">
        <v>6</v>
      </c>
      <c r="C161" s="63" t="s">
        <v>127</v>
      </c>
      <c r="D161" s="59" t="s">
        <v>1296</v>
      </c>
      <c r="E161" s="60"/>
    </row>
    <row r="162" spans="1:5" ht="14">
      <c r="A162" s="56" t="s">
        <v>698</v>
      </c>
      <c r="B162" s="62">
        <v>750</v>
      </c>
      <c r="C162" s="63" t="s">
        <v>127</v>
      </c>
      <c r="D162" s="59" t="s">
        <v>1216</v>
      </c>
      <c r="E162" s="60"/>
    </row>
    <row r="163" spans="1:5" ht="14">
      <c r="A163" s="56" t="s">
        <v>123</v>
      </c>
      <c r="B163" s="62">
        <v>1</v>
      </c>
      <c r="C163" s="63" t="s">
        <v>127</v>
      </c>
      <c r="D163" s="59" t="s">
        <v>1275</v>
      </c>
      <c r="E163" s="60"/>
    </row>
    <row r="164" spans="1:5" ht="14">
      <c r="A164" s="56" t="s">
        <v>791</v>
      </c>
      <c r="B164" s="62">
        <v>1</v>
      </c>
      <c r="C164" s="63" t="s">
        <v>127</v>
      </c>
      <c r="D164" s="59" t="s">
        <v>1297</v>
      </c>
      <c r="E164" s="60"/>
    </row>
    <row r="165" spans="1:5" ht="14">
      <c r="A165" s="56" t="s">
        <v>790</v>
      </c>
      <c r="B165" s="62">
        <v>1</v>
      </c>
      <c r="C165" s="63" t="s">
        <v>127</v>
      </c>
      <c r="D165" s="59" t="s">
        <v>1298</v>
      </c>
      <c r="E165" s="60"/>
    </row>
    <row r="166" spans="1:5" ht="14">
      <c r="A166" s="61" t="s">
        <v>712</v>
      </c>
      <c r="B166" s="65">
        <v>60</v>
      </c>
      <c r="C166" s="63" t="s">
        <v>127</v>
      </c>
      <c r="D166" s="59" t="s">
        <v>1216</v>
      </c>
      <c r="E166" s="60"/>
    </row>
    <row r="167" spans="1:5" ht="14">
      <c r="A167" s="56" t="s">
        <v>716</v>
      </c>
      <c r="B167" s="62">
        <v>150</v>
      </c>
      <c r="C167" s="63" t="s">
        <v>127</v>
      </c>
      <c r="D167" s="59" t="s">
        <v>1216</v>
      </c>
      <c r="E167" s="60"/>
    </row>
    <row r="168" spans="1:5" ht="14">
      <c r="A168" s="61" t="s">
        <v>721</v>
      </c>
      <c r="B168" s="65">
        <v>12</v>
      </c>
      <c r="C168" s="63" t="s">
        <v>127</v>
      </c>
      <c r="D168" s="59" t="s">
        <v>1299</v>
      </c>
      <c r="E168" s="60"/>
    </row>
    <row r="169" spans="1:5" ht="14">
      <c r="A169" s="56" t="s">
        <v>90</v>
      </c>
      <c r="B169" s="62">
        <v>30</v>
      </c>
      <c r="C169" s="63" t="s">
        <v>127</v>
      </c>
      <c r="D169" s="59" t="s">
        <v>1300</v>
      </c>
      <c r="E169" s="60"/>
    </row>
    <row r="170" spans="1:5" ht="14">
      <c r="A170" s="56" t="s">
        <v>211</v>
      </c>
      <c r="B170" s="62">
        <v>1</v>
      </c>
      <c r="C170" s="63" t="s">
        <v>127</v>
      </c>
      <c r="D170" s="59" t="s">
        <v>1301</v>
      </c>
      <c r="E170" s="60"/>
    </row>
    <row r="171" spans="1:5" ht="14">
      <c r="A171" s="56" t="s">
        <v>738</v>
      </c>
      <c r="B171" s="62">
        <v>1</v>
      </c>
      <c r="C171" s="63" t="s">
        <v>127</v>
      </c>
      <c r="D171" s="59" t="s">
        <v>1302</v>
      </c>
      <c r="E171" s="60"/>
    </row>
    <row r="172" spans="1:5" ht="14">
      <c r="A172" s="56" t="s">
        <v>96</v>
      </c>
      <c r="B172" s="62">
        <v>2</v>
      </c>
      <c r="C172" s="63" t="s">
        <v>127</v>
      </c>
      <c r="D172" s="59" t="s">
        <v>1303</v>
      </c>
      <c r="E172" s="60"/>
    </row>
    <row r="173" spans="1:5" ht="14">
      <c r="A173" s="56" t="s">
        <v>732</v>
      </c>
      <c r="B173" s="62">
        <v>1</v>
      </c>
      <c r="C173" s="63" t="s">
        <v>127</v>
      </c>
      <c r="D173" s="59" t="s">
        <v>1216</v>
      </c>
      <c r="E173" s="60"/>
    </row>
    <row r="174" spans="1:5" ht="14">
      <c r="A174" s="61" t="s">
        <v>1304</v>
      </c>
      <c r="B174" s="62">
        <v>15</v>
      </c>
      <c r="C174" s="63" t="s">
        <v>127</v>
      </c>
      <c r="D174" s="59" t="s">
        <v>1305</v>
      </c>
      <c r="E174" s="60"/>
    </row>
    <row r="175" spans="1:5" ht="14">
      <c r="A175" s="56" t="s">
        <v>706</v>
      </c>
      <c r="B175" s="62">
        <v>30</v>
      </c>
      <c r="C175" s="63" t="s">
        <v>127</v>
      </c>
      <c r="D175" s="59" t="s">
        <v>1306</v>
      </c>
      <c r="E175" s="60"/>
    </row>
    <row r="176" spans="1:5" ht="14">
      <c r="A176" s="56" t="s">
        <v>722</v>
      </c>
      <c r="B176" s="62">
        <v>1</v>
      </c>
      <c r="C176" s="63" t="s">
        <v>127</v>
      </c>
      <c r="D176" s="59" t="s">
        <v>1216</v>
      </c>
      <c r="E176" s="60"/>
    </row>
    <row r="177" spans="1:5" ht="14">
      <c r="A177" s="61" t="s">
        <v>730</v>
      </c>
      <c r="B177" s="65">
        <v>20</v>
      </c>
      <c r="C177" s="63" t="s">
        <v>127</v>
      </c>
      <c r="D177" s="59" t="s">
        <v>1307</v>
      </c>
      <c r="E177" s="60"/>
    </row>
    <row r="178" spans="1:5" ht="14">
      <c r="A178" s="56" t="s">
        <v>789</v>
      </c>
      <c r="B178" s="62">
        <v>1</v>
      </c>
      <c r="C178" s="63" t="s">
        <v>127</v>
      </c>
      <c r="D178" s="59" t="s">
        <v>1308</v>
      </c>
      <c r="E178" s="60"/>
    </row>
    <row r="179" spans="1:5" ht="14">
      <c r="A179" s="56" t="s">
        <v>103</v>
      </c>
      <c r="B179" s="57">
        <v>450</v>
      </c>
      <c r="C179" s="63" t="s">
        <v>127</v>
      </c>
      <c r="D179" s="59" t="s">
        <v>1309</v>
      </c>
      <c r="E179" s="60"/>
    </row>
    <row r="180" spans="1:5" ht="14">
      <c r="A180" s="61" t="s">
        <v>778</v>
      </c>
      <c r="B180" s="62">
        <v>9</v>
      </c>
      <c r="C180" s="63" t="s">
        <v>127</v>
      </c>
      <c r="D180" s="59" t="s">
        <v>1216</v>
      </c>
      <c r="E180" s="60"/>
    </row>
    <row r="181" spans="1:5" ht="14">
      <c r="A181" s="56" t="s">
        <v>108</v>
      </c>
      <c r="B181" s="62">
        <v>50</v>
      </c>
      <c r="C181" s="63" t="s">
        <v>127</v>
      </c>
      <c r="D181" s="59" t="s">
        <v>1310</v>
      </c>
      <c r="E181" s="60"/>
    </row>
    <row r="182" spans="1:5" ht="14">
      <c r="A182" s="61" t="s">
        <v>992</v>
      </c>
      <c r="B182" s="65">
        <v>1200</v>
      </c>
      <c r="C182" s="63" t="s">
        <v>127</v>
      </c>
      <c r="D182" s="59" t="s">
        <v>1311</v>
      </c>
      <c r="E182" s="60"/>
    </row>
    <row r="183" spans="1:5" ht="14">
      <c r="A183" s="61" t="s">
        <v>1071</v>
      </c>
      <c r="B183" s="65">
        <v>800</v>
      </c>
      <c r="C183" s="63" t="s">
        <v>127</v>
      </c>
      <c r="D183" s="59" t="s">
        <v>1312</v>
      </c>
      <c r="E183" s="60"/>
    </row>
    <row r="184" spans="1:5" ht="14">
      <c r="A184" s="56" t="s">
        <v>893</v>
      </c>
      <c r="B184" s="62">
        <v>6</v>
      </c>
      <c r="C184" s="63" t="s">
        <v>127</v>
      </c>
      <c r="D184" s="59" t="s">
        <v>1313</v>
      </c>
      <c r="E184" s="60"/>
    </row>
    <row r="185" spans="1:5" ht="14">
      <c r="A185" s="61" t="s">
        <v>699</v>
      </c>
      <c r="B185" s="71" t="str">
        <f>IFERROR(VLOOKUP(A185,Recipes!A:C,3,FALSE),"")</f>
        <v/>
      </c>
      <c r="C185" s="63" t="s">
        <v>127</v>
      </c>
      <c r="D185" s="59" t="s">
        <v>1314</v>
      </c>
      <c r="E185" s="60"/>
    </row>
    <row r="186" spans="1:5" ht="14">
      <c r="A186" s="56" t="s">
        <v>725</v>
      </c>
      <c r="B186" s="62">
        <v>35</v>
      </c>
      <c r="C186" s="63" t="s">
        <v>127</v>
      </c>
      <c r="D186" s="59" t="s">
        <v>1216</v>
      </c>
      <c r="E186" s="60"/>
    </row>
    <row r="187" spans="1:5" ht="14">
      <c r="A187" s="61" t="s">
        <v>775</v>
      </c>
      <c r="B187" s="64">
        <v>20</v>
      </c>
      <c r="C187" s="63" t="s">
        <v>127</v>
      </c>
      <c r="D187" s="59" t="s">
        <v>1315</v>
      </c>
      <c r="E187" s="60"/>
    </row>
    <row r="188" spans="1:5" ht="14">
      <c r="A188" s="56" t="s">
        <v>746</v>
      </c>
      <c r="B188" s="62">
        <v>3</v>
      </c>
      <c r="C188" s="63" t="s">
        <v>127</v>
      </c>
      <c r="D188" s="59" t="s">
        <v>1316</v>
      </c>
      <c r="E188" s="60"/>
    </row>
    <row r="189" spans="1:5" ht="14">
      <c r="A189" s="56" t="s">
        <v>945</v>
      </c>
      <c r="B189" s="64">
        <v>80</v>
      </c>
      <c r="C189" s="63" t="s">
        <v>127</v>
      </c>
      <c r="D189" s="59" t="s">
        <v>1317</v>
      </c>
      <c r="E189" s="60"/>
    </row>
    <row r="190" spans="1:5" ht="14">
      <c r="A190" s="56" t="s">
        <v>768</v>
      </c>
      <c r="B190" s="62">
        <v>8</v>
      </c>
      <c r="C190" s="63" t="s">
        <v>127</v>
      </c>
      <c r="D190" s="59" t="s">
        <v>1216</v>
      </c>
      <c r="E190" s="60"/>
    </row>
    <row r="191" spans="1:5" ht="14">
      <c r="A191" s="56" t="s">
        <v>408</v>
      </c>
      <c r="B191" s="62">
        <v>1</v>
      </c>
      <c r="C191" s="63" t="s">
        <v>127</v>
      </c>
      <c r="D191" s="59" t="s">
        <v>1318</v>
      </c>
      <c r="E191" s="60"/>
    </row>
    <row r="192" spans="1:5" ht="14">
      <c r="A192" s="56" t="s">
        <v>397</v>
      </c>
      <c r="B192" s="62">
        <v>1</v>
      </c>
      <c r="C192" s="63" t="s">
        <v>127</v>
      </c>
      <c r="D192" s="59" t="s">
        <v>1319</v>
      </c>
      <c r="E192" s="60"/>
    </row>
    <row r="193" spans="1:5" ht="14">
      <c r="A193" s="56" t="s">
        <v>110</v>
      </c>
      <c r="B193" s="62">
        <v>40</v>
      </c>
      <c r="C193" s="63" t="s">
        <v>127</v>
      </c>
      <c r="D193" s="59" t="s">
        <v>1320</v>
      </c>
      <c r="E193" s="60"/>
    </row>
    <row r="194" spans="1:5" ht="14">
      <c r="A194" s="56" t="s">
        <v>735</v>
      </c>
      <c r="B194" s="62">
        <v>105</v>
      </c>
      <c r="C194" s="63" t="s">
        <v>127</v>
      </c>
      <c r="D194" s="59" t="s">
        <v>1216</v>
      </c>
      <c r="E194" s="60"/>
    </row>
    <row r="195" spans="1:5" ht="14">
      <c r="A195" s="56" t="s">
        <v>193</v>
      </c>
      <c r="B195" s="62">
        <v>1</v>
      </c>
      <c r="C195" s="63" t="s">
        <v>127</v>
      </c>
      <c r="D195" s="59" t="s">
        <v>1321</v>
      </c>
      <c r="E195" s="60"/>
    </row>
    <row r="196" spans="1:5" ht="14">
      <c r="A196" s="61" t="s">
        <v>194</v>
      </c>
      <c r="B196" s="62">
        <v>1</v>
      </c>
      <c r="C196" s="63" t="s">
        <v>127</v>
      </c>
      <c r="D196" s="59" t="s">
        <v>1322</v>
      </c>
      <c r="E196" s="60"/>
    </row>
    <row r="197" spans="1:5" ht="14">
      <c r="A197" s="61" t="s">
        <v>773</v>
      </c>
      <c r="B197" s="62">
        <v>180</v>
      </c>
      <c r="C197" s="63" t="s">
        <v>127</v>
      </c>
      <c r="D197" s="59" t="s">
        <v>1216</v>
      </c>
      <c r="E197" s="60"/>
    </row>
    <row r="198" spans="1:5" ht="14">
      <c r="A198" s="56" t="s">
        <v>697</v>
      </c>
      <c r="B198" s="57">
        <v>15</v>
      </c>
      <c r="C198" s="63" t="s">
        <v>127</v>
      </c>
      <c r="D198" s="59" t="s">
        <v>1323</v>
      </c>
      <c r="E198" s="60"/>
    </row>
    <row r="199" spans="1:5" ht="14">
      <c r="A199" s="56" t="s">
        <v>1157</v>
      </c>
      <c r="B199" s="62">
        <v>1</v>
      </c>
      <c r="C199" s="63" t="s">
        <v>127</v>
      </c>
      <c r="D199" s="59" t="s">
        <v>1324</v>
      </c>
      <c r="E199" s="60"/>
    </row>
    <row r="200" spans="1:5" ht="14">
      <c r="A200" s="56" t="s">
        <v>191</v>
      </c>
      <c r="B200" s="62">
        <v>1</v>
      </c>
      <c r="C200" s="63" t="s">
        <v>127</v>
      </c>
      <c r="D200" s="59" t="s">
        <v>1325</v>
      </c>
      <c r="E200" s="60"/>
    </row>
    <row r="201" spans="1:5" ht="14">
      <c r="A201" s="61" t="s">
        <v>983</v>
      </c>
      <c r="B201" s="65">
        <v>55</v>
      </c>
      <c r="C201" s="63" t="s">
        <v>127</v>
      </c>
      <c r="D201" s="59" t="s">
        <v>1326</v>
      </c>
      <c r="E201" s="60"/>
    </row>
    <row r="202" spans="1:5" ht="14">
      <c r="A202" s="61" t="s">
        <v>984</v>
      </c>
      <c r="B202" s="65">
        <v>35</v>
      </c>
      <c r="C202" s="63" t="s">
        <v>127</v>
      </c>
      <c r="D202" s="59" t="s">
        <v>1326</v>
      </c>
      <c r="E202" s="60"/>
    </row>
    <row r="203" spans="1:5" ht="14">
      <c r="A203" s="61" t="s">
        <v>982</v>
      </c>
      <c r="B203" s="65">
        <v>75</v>
      </c>
      <c r="C203" s="63" t="s">
        <v>127</v>
      </c>
      <c r="D203" s="59" t="s">
        <v>1326</v>
      </c>
      <c r="E203" s="60"/>
    </row>
    <row r="204" spans="1:5" ht="14">
      <c r="A204" s="61" t="s">
        <v>985</v>
      </c>
      <c r="B204" s="71" t="str">
        <f>IFERROR(VLOOKUP(A204,Recipes!A:C,3,FALSE),"")</f>
        <v/>
      </c>
      <c r="C204" s="63" t="s">
        <v>127</v>
      </c>
      <c r="D204" s="59" t="s">
        <v>1326</v>
      </c>
      <c r="E204" s="60"/>
    </row>
    <row r="205" spans="1:5" ht="14">
      <c r="A205" s="56" t="s">
        <v>771</v>
      </c>
      <c r="B205" s="62">
        <v>65</v>
      </c>
      <c r="C205" s="63" t="s">
        <v>127</v>
      </c>
      <c r="D205" s="59" t="s">
        <v>1327</v>
      </c>
      <c r="E205" s="60"/>
    </row>
    <row r="206" spans="1:5" ht="14">
      <c r="A206" s="61" t="s">
        <v>1164</v>
      </c>
      <c r="B206" s="62">
        <v>10</v>
      </c>
      <c r="C206" s="63" t="s">
        <v>127</v>
      </c>
      <c r="D206" s="59" t="s">
        <v>1328</v>
      </c>
      <c r="E206" s="60"/>
    </row>
    <row r="207" spans="1:5" ht="14">
      <c r="A207" s="56" t="s">
        <v>764</v>
      </c>
      <c r="B207" s="62">
        <v>60</v>
      </c>
      <c r="C207" s="63" t="s">
        <v>127</v>
      </c>
      <c r="D207" s="59" t="s">
        <v>1329</v>
      </c>
      <c r="E207" s="60"/>
    </row>
    <row r="208" spans="1:5" ht="14">
      <c r="A208" s="56" t="s">
        <v>755</v>
      </c>
      <c r="B208" s="62">
        <v>5</v>
      </c>
      <c r="C208" s="63" t="s">
        <v>127</v>
      </c>
      <c r="D208" s="59" t="s">
        <v>1216</v>
      </c>
      <c r="E208" s="60"/>
    </row>
    <row r="209" spans="1:5" ht="14">
      <c r="A209" s="56" t="s">
        <v>818</v>
      </c>
      <c r="B209" s="62">
        <v>1</v>
      </c>
      <c r="C209" s="63" t="s">
        <v>127</v>
      </c>
      <c r="D209" s="59" t="s">
        <v>1330</v>
      </c>
      <c r="E209" s="60"/>
    </row>
    <row r="210" spans="1:5" ht="70">
      <c r="A210" s="56" t="s">
        <v>91</v>
      </c>
      <c r="B210" s="62">
        <v>1400</v>
      </c>
      <c r="C210" s="63" t="s">
        <v>127</v>
      </c>
      <c r="D210" s="59" t="s">
        <v>1331</v>
      </c>
      <c r="E210" s="60"/>
    </row>
    <row r="211" spans="1:5" ht="14">
      <c r="A211" s="56" t="s">
        <v>385</v>
      </c>
      <c r="B211" s="62">
        <v>150</v>
      </c>
      <c r="C211" s="63" t="s">
        <v>127</v>
      </c>
      <c r="D211" s="59" t="s">
        <v>1216</v>
      </c>
      <c r="E211" s="60"/>
    </row>
    <row r="212" spans="1:5" ht="14">
      <c r="A212" s="56" t="s">
        <v>1070</v>
      </c>
      <c r="B212" s="57">
        <v>280</v>
      </c>
      <c r="C212" s="63" t="s">
        <v>127</v>
      </c>
      <c r="D212" s="59" t="s">
        <v>1332</v>
      </c>
      <c r="E212" s="60"/>
    </row>
    <row r="213" spans="1:5" ht="14">
      <c r="A213" s="56" t="s">
        <v>751</v>
      </c>
      <c r="B213" s="62">
        <v>200</v>
      </c>
      <c r="C213" s="63" t="s">
        <v>127</v>
      </c>
      <c r="D213" s="59" t="s">
        <v>1333</v>
      </c>
      <c r="E213" s="60"/>
    </row>
    <row r="214" spans="1:5" ht="28">
      <c r="A214" s="56" t="s">
        <v>386</v>
      </c>
      <c r="B214" s="65">
        <v>100</v>
      </c>
      <c r="C214" s="63" t="s">
        <v>127</v>
      </c>
      <c r="D214" s="59" t="s">
        <v>1334</v>
      </c>
      <c r="E214" s="60"/>
    </row>
    <row r="215" spans="1:5" ht="14">
      <c r="A215" s="61" t="s">
        <v>750</v>
      </c>
      <c r="B215" s="65">
        <v>600</v>
      </c>
      <c r="C215" s="63" t="s">
        <v>127</v>
      </c>
      <c r="D215" s="59" t="s">
        <v>1335</v>
      </c>
      <c r="E215" s="60"/>
    </row>
    <row r="216" spans="1:5" ht="14">
      <c r="A216" s="61" t="s">
        <v>757</v>
      </c>
      <c r="B216" s="71" t="str">
        <f>IFERROR(VLOOKUP(A216,Recipes!A:C,3,FALSE),"")</f>
        <v/>
      </c>
      <c r="C216" s="63" t="s">
        <v>127</v>
      </c>
      <c r="D216" s="59" t="s">
        <v>1336</v>
      </c>
      <c r="E216" s="60"/>
    </row>
    <row r="217" spans="1:5" ht="14">
      <c r="A217" s="56" t="s">
        <v>792</v>
      </c>
      <c r="B217" s="62">
        <v>1</v>
      </c>
      <c r="C217" s="63" t="s">
        <v>127</v>
      </c>
      <c r="D217" s="59" t="s">
        <v>1337</v>
      </c>
      <c r="E217" s="60"/>
    </row>
    <row r="218" spans="1:5" ht="14">
      <c r="A218" s="56" t="s">
        <v>822</v>
      </c>
      <c r="B218" s="62">
        <v>31</v>
      </c>
      <c r="C218" s="63" t="s">
        <v>127</v>
      </c>
      <c r="D218" s="59" t="s">
        <v>1338</v>
      </c>
      <c r="E218" s="60"/>
    </row>
    <row r="219" spans="1:5" ht="14">
      <c r="A219" s="56" t="s">
        <v>197</v>
      </c>
      <c r="B219" s="62">
        <v>35</v>
      </c>
      <c r="C219" s="63" t="s">
        <v>127</v>
      </c>
      <c r="D219" s="59" t="s">
        <v>1339</v>
      </c>
      <c r="E219" s="60"/>
    </row>
    <row r="220" spans="1:5" ht="14">
      <c r="A220" s="56" t="s">
        <v>762</v>
      </c>
      <c r="B220" s="62">
        <v>120</v>
      </c>
      <c r="C220" s="63" t="s">
        <v>127</v>
      </c>
      <c r="D220" s="59" t="s">
        <v>1340</v>
      </c>
      <c r="E220" s="60"/>
    </row>
    <row r="221" spans="1:5" ht="14">
      <c r="A221" s="56" t="s">
        <v>745</v>
      </c>
      <c r="B221" s="62">
        <v>50</v>
      </c>
      <c r="C221" s="63" t="s">
        <v>127</v>
      </c>
      <c r="D221" s="59" t="s">
        <v>1216</v>
      </c>
      <c r="E221" s="60"/>
    </row>
    <row r="222" spans="1:5" ht="14">
      <c r="A222" s="61" t="s">
        <v>1341</v>
      </c>
      <c r="B222" s="65">
        <v>90</v>
      </c>
      <c r="C222" s="63" t="s">
        <v>127</v>
      </c>
      <c r="D222" s="59" t="s">
        <v>1342</v>
      </c>
      <c r="E222" s="60"/>
    </row>
    <row r="223" spans="1:5" ht="14">
      <c r="A223" s="56" t="s">
        <v>938</v>
      </c>
      <c r="B223" s="62">
        <v>1</v>
      </c>
      <c r="C223" s="63" t="s">
        <v>127</v>
      </c>
      <c r="D223" s="59" t="s">
        <v>1343</v>
      </c>
      <c r="E223" s="60"/>
    </row>
    <row r="224" spans="1:5" ht="14">
      <c r="A224" s="56" t="s">
        <v>340</v>
      </c>
      <c r="B224" s="62">
        <v>1</v>
      </c>
      <c r="C224" s="63" t="s">
        <v>127</v>
      </c>
      <c r="D224" s="59" t="s">
        <v>1343</v>
      </c>
      <c r="E224" s="60"/>
    </row>
    <row r="225" spans="1:5" ht="14">
      <c r="A225" s="56" t="s">
        <v>935</v>
      </c>
      <c r="B225" s="62">
        <v>1</v>
      </c>
      <c r="C225" s="63" t="s">
        <v>127</v>
      </c>
      <c r="D225" s="59" t="s">
        <v>1343</v>
      </c>
      <c r="E225" s="60"/>
    </row>
    <row r="226" spans="1:5" ht="14">
      <c r="A226" s="56" t="s">
        <v>932</v>
      </c>
      <c r="B226" s="62">
        <v>1</v>
      </c>
      <c r="C226" s="63" t="s">
        <v>127</v>
      </c>
      <c r="D226" s="59" t="s">
        <v>1344</v>
      </c>
      <c r="E226" s="60"/>
    </row>
    <row r="227" spans="1:5" ht="14">
      <c r="A227" s="56" t="s">
        <v>800</v>
      </c>
      <c r="B227" s="62">
        <v>25</v>
      </c>
      <c r="C227" s="63" t="s">
        <v>127</v>
      </c>
      <c r="D227" s="59" t="s">
        <v>1345</v>
      </c>
      <c r="E227" s="60"/>
    </row>
    <row r="228" spans="1:5" ht="14">
      <c r="A228" s="56" t="s">
        <v>734</v>
      </c>
      <c r="B228" s="65">
        <v>50</v>
      </c>
      <c r="C228" s="63" t="s">
        <v>127</v>
      </c>
      <c r="D228" s="59" t="s">
        <v>1216</v>
      </c>
      <c r="E228" s="60"/>
    </row>
    <row r="229" spans="1:5" ht="14">
      <c r="A229" s="56" t="s">
        <v>739</v>
      </c>
      <c r="B229" s="62">
        <v>12</v>
      </c>
      <c r="C229" s="63" t="s">
        <v>127</v>
      </c>
      <c r="D229" s="59" t="s">
        <v>1346</v>
      </c>
      <c r="E229" s="60"/>
    </row>
    <row r="230" spans="1:5" ht="14">
      <c r="A230" s="61" t="s">
        <v>988</v>
      </c>
      <c r="B230" s="62">
        <v>50</v>
      </c>
      <c r="C230" s="63" t="s">
        <v>127</v>
      </c>
      <c r="D230" s="59" t="s">
        <v>1347</v>
      </c>
      <c r="E230" s="60"/>
    </row>
    <row r="231" spans="1:5" ht="14">
      <c r="A231" s="56" t="s">
        <v>134</v>
      </c>
      <c r="B231" s="62">
        <v>1</v>
      </c>
      <c r="C231" s="63" t="s">
        <v>127</v>
      </c>
      <c r="D231" s="59" t="s">
        <v>1348</v>
      </c>
      <c r="E231" s="60"/>
    </row>
    <row r="232" spans="1:5" ht="14">
      <c r="A232" s="56" t="s">
        <v>796</v>
      </c>
      <c r="B232" s="57">
        <v>0</v>
      </c>
      <c r="C232" s="63" t="s">
        <v>127</v>
      </c>
      <c r="D232" s="59" t="s">
        <v>1349</v>
      </c>
      <c r="E232" s="60"/>
    </row>
    <row r="233" spans="1:5" ht="14">
      <c r="A233" s="56" t="s">
        <v>727</v>
      </c>
      <c r="B233" s="62">
        <v>12</v>
      </c>
      <c r="C233" s="63" t="s">
        <v>127</v>
      </c>
      <c r="D233" s="59" t="s">
        <v>1216</v>
      </c>
      <c r="E233" s="60"/>
    </row>
    <row r="234" spans="1:5" ht="14">
      <c r="A234" s="56" t="s">
        <v>726</v>
      </c>
      <c r="B234" s="62">
        <v>120</v>
      </c>
      <c r="C234" s="63" t="s">
        <v>127</v>
      </c>
      <c r="D234" s="59" t="s">
        <v>1216</v>
      </c>
      <c r="E234" s="60"/>
    </row>
    <row r="235" spans="1:5" ht="14">
      <c r="A235" s="56" t="s">
        <v>710</v>
      </c>
      <c r="B235" s="65">
        <v>1</v>
      </c>
      <c r="C235" s="63" t="s">
        <v>127</v>
      </c>
      <c r="D235" s="59" t="s">
        <v>1350</v>
      </c>
      <c r="E235" s="60"/>
    </row>
    <row r="236" spans="1:5" ht="14">
      <c r="A236" s="56" t="s">
        <v>711</v>
      </c>
      <c r="B236" s="65">
        <v>4</v>
      </c>
      <c r="C236" s="63" t="s">
        <v>127</v>
      </c>
      <c r="D236" s="59" t="s">
        <v>1351</v>
      </c>
      <c r="E236" s="60"/>
    </row>
    <row r="237" spans="1:5" ht="14">
      <c r="A237" s="56" t="s">
        <v>912</v>
      </c>
      <c r="B237" s="62">
        <v>25</v>
      </c>
      <c r="C237" s="63" t="s">
        <v>127</v>
      </c>
      <c r="D237" s="59" t="s">
        <v>1352</v>
      </c>
      <c r="E237" s="60"/>
    </row>
    <row r="238" spans="1:5" ht="14">
      <c r="A238" s="56" t="s">
        <v>920</v>
      </c>
      <c r="B238" s="57">
        <v>80</v>
      </c>
      <c r="C238" s="58" t="str">
        <f>IFERROR(VLOOKUP(A238,Recipes!A:H,8,FALSE),"")</f>
        <v>Potions</v>
      </c>
      <c r="D238" s="59" t="s">
        <v>1353</v>
      </c>
      <c r="E238" s="60"/>
    </row>
    <row r="239" spans="1:5" ht="14">
      <c r="A239" s="56" t="s">
        <v>829</v>
      </c>
      <c r="B239" s="57">
        <v>30</v>
      </c>
      <c r="C239" s="58" t="str">
        <f>IFERROR(VLOOKUP(A239,Recipes!A:H,8,FALSE),"")</f>
        <v>Potions</v>
      </c>
      <c r="D239" s="59" t="s">
        <v>1354</v>
      </c>
      <c r="E239" s="60"/>
    </row>
    <row r="240" spans="1:5" ht="14">
      <c r="A240" s="56" t="s">
        <v>926</v>
      </c>
      <c r="B240" s="57">
        <v>80</v>
      </c>
      <c r="C240" s="58" t="str">
        <f>IFERROR(VLOOKUP(A240,Recipes!A:H,8,FALSE),"")</f>
        <v>Potions</v>
      </c>
      <c r="D240" s="59" t="s">
        <v>1353</v>
      </c>
      <c r="E240" s="60"/>
    </row>
    <row r="241" spans="1:5" ht="14">
      <c r="A241" s="56" t="s">
        <v>928</v>
      </c>
      <c r="B241" s="57">
        <v>80</v>
      </c>
      <c r="C241" s="58" t="str">
        <f>IFERROR(VLOOKUP(A241,Recipes!A:H,8,FALSE),"")</f>
        <v>Potions</v>
      </c>
      <c r="D241" s="59" t="s">
        <v>1353</v>
      </c>
      <c r="E241" s="60"/>
    </row>
    <row r="242" spans="1:5" ht="14">
      <c r="A242" s="56" t="s">
        <v>831</v>
      </c>
      <c r="B242" s="57">
        <v>30</v>
      </c>
      <c r="C242" s="58" t="str">
        <f>IFERROR(VLOOKUP(A242,Recipes!A:H,8,FALSE),"")</f>
        <v>Potions</v>
      </c>
      <c r="D242" s="59" t="s">
        <v>1354</v>
      </c>
      <c r="E242" s="60"/>
    </row>
    <row r="243" spans="1:5" ht="14">
      <c r="A243" s="56" t="s">
        <v>907</v>
      </c>
      <c r="B243" s="57">
        <v>230</v>
      </c>
      <c r="C243" s="58" t="str">
        <f>IFERROR(VLOOKUP(A243,Recipes!A:H,8,FALSE),"")</f>
        <v>Potions</v>
      </c>
      <c r="D243" s="59" t="s">
        <v>1355</v>
      </c>
      <c r="E243" s="60"/>
    </row>
    <row r="244" spans="1:5" ht="14">
      <c r="A244" s="56" t="s">
        <v>910</v>
      </c>
      <c r="B244" s="57">
        <v>80</v>
      </c>
      <c r="C244" s="58" t="str">
        <f>IFERROR(VLOOKUP(A244,Recipes!A:H,8,FALSE),"")</f>
        <v>Potions</v>
      </c>
      <c r="D244" s="59" t="s">
        <v>1355</v>
      </c>
      <c r="E244" s="60"/>
    </row>
    <row r="245" spans="1:5" ht="14">
      <c r="A245" s="61" t="s">
        <v>913</v>
      </c>
      <c r="B245" s="57">
        <v>80</v>
      </c>
      <c r="C245" s="58" t="str">
        <f>IFERROR(VLOOKUP(A245,Recipes!A:H,8,FALSE),"")</f>
        <v>Potions</v>
      </c>
      <c r="D245" s="59" t="s">
        <v>1355</v>
      </c>
      <c r="E245" s="60"/>
    </row>
    <row r="246" spans="1:5" ht="14">
      <c r="A246" s="56" t="s">
        <v>909</v>
      </c>
      <c r="B246" s="57">
        <v>125</v>
      </c>
      <c r="C246" s="58" t="str">
        <f>IFERROR(VLOOKUP(A246,Recipes!A:H,8,FALSE),"")</f>
        <v>Potions</v>
      </c>
      <c r="D246" s="59" t="s">
        <v>1355</v>
      </c>
      <c r="E246" s="60"/>
    </row>
    <row r="247" spans="1:5" ht="14">
      <c r="A247" s="61" t="s">
        <v>941</v>
      </c>
      <c r="B247" s="57">
        <v>125</v>
      </c>
      <c r="C247" s="58" t="str">
        <f>IFERROR(VLOOKUP(A247,Recipes!A:H,8,FALSE),"")</f>
        <v>Potions</v>
      </c>
      <c r="D247" s="59" t="s">
        <v>1356</v>
      </c>
      <c r="E247" s="60"/>
    </row>
    <row r="248" spans="1:5" ht="14">
      <c r="A248" s="61" t="s">
        <v>836</v>
      </c>
      <c r="B248" s="57">
        <v>150</v>
      </c>
      <c r="C248" s="58" t="str">
        <f>IFERROR(VLOOKUP(A248,Recipes!A:H,8,FALSE),"")</f>
        <v>Potions</v>
      </c>
      <c r="D248" s="59" t="s">
        <v>1357</v>
      </c>
      <c r="E248" s="60"/>
    </row>
    <row r="249" spans="1:5" ht="14">
      <c r="A249" s="56" t="s">
        <v>840</v>
      </c>
      <c r="B249" s="57">
        <v>150</v>
      </c>
      <c r="C249" s="58" t="str">
        <f>IFERROR(VLOOKUP(A249,Recipes!A:H,8,FALSE),"")</f>
        <v>Potions</v>
      </c>
      <c r="D249" s="59" t="s">
        <v>1357</v>
      </c>
      <c r="E249" s="60"/>
    </row>
    <row r="250" spans="1:5" ht="14">
      <c r="A250" s="56" t="s">
        <v>843</v>
      </c>
      <c r="B250" s="57">
        <v>150</v>
      </c>
      <c r="C250" s="58" t="str">
        <f>IFERROR(VLOOKUP(A250,Recipes!A:H,8,FALSE),"")</f>
        <v>Potions</v>
      </c>
      <c r="D250" s="59" t="s">
        <v>1357</v>
      </c>
      <c r="E250" s="60"/>
    </row>
    <row r="251" spans="1:5" ht="14">
      <c r="A251" s="61" t="s">
        <v>944</v>
      </c>
      <c r="B251" s="57">
        <v>80</v>
      </c>
      <c r="C251" s="58" t="str">
        <f>IFERROR(VLOOKUP(A251,Recipes!A:H,8,FALSE),"")</f>
        <v>Potions</v>
      </c>
      <c r="D251" s="59" t="s">
        <v>1356</v>
      </c>
      <c r="E251" s="60"/>
    </row>
    <row r="252" spans="1:5" ht="14">
      <c r="A252" s="56" t="s">
        <v>846</v>
      </c>
      <c r="B252" s="57">
        <v>150</v>
      </c>
      <c r="C252" s="58" t="str">
        <f>IFERROR(VLOOKUP(A252,Recipes!A:H,8,FALSE),"")</f>
        <v>Potions</v>
      </c>
      <c r="D252" s="59" t="s">
        <v>1357</v>
      </c>
      <c r="E252" s="60"/>
    </row>
    <row r="253" spans="1:5" ht="14">
      <c r="A253" s="56" t="s">
        <v>850</v>
      </c>
      <c r="B253" s="57">
        <v>45</v>
      </c>
      <c r="C253" s="58" t="str">
        <f>IFERROR(VLOOKUP(A253,Recipes!A:H,8,FALSE),"")</f>
        <v>Potions</v>
      </c>
      <c r="D253" s="59" t="s">
        <v>1358</v>
      </c>
      <c r="E253" s="60"/>
    </row>
    <row r="254" spans="1:5" ht="14">
      <c r="A254" s="56" t="s">
        <v>853</v>
      </c>
      <c r="B254" s="57">
        <v>45</v>
      </c>
      <c r="C254" s="58" t="str">
        <f>IFERROR(VLOOKUP(A254,Recipes!A:H,8,FALSE),"")</f>
        <v>Potions</v>
      </c>
      <c r="D254" s="59" t="s">
        <v>1358</v>
      </c>
      <c r="E254" s="60"/>
    </row>
    <row r="255" spans="1:5" ht="14">
      <c r="A255" s="56" t="s">
        <v>855</v>
      </c>
      <c r="B255" s="57">
        <v>45</v>
      </c>
      <c r="C255" s="58" t="str">
        <f>IFERROR(VLOOKUP(A255,Recipes!A:H,8,FALSE),"")</f>
        <v>Potions</v>
      </c>
      <c r="D255" s="59" t="s">
        <v>1358</v>
      </c>
      <c r="E255" s="60"/>
    </row>
    <row r="256" spans="1:5" ht="14">
      <c r="A256" s="56" t="s">
        <v>915</v>
      </c>
      <c r="B256" s="57">
        <v>30</v>
      </c>
      <c r="C256" s="58" t="str">
        <f>IFERROR(VLOOKUP(A256,Recipes!A:H,8,FALSE),"")</f>
        <v>Potions</v>
      </c>
      <c r="D256" s="59" t="s">
        <v>1359</v>
      </c>
      <c r="E256" s="60"/>
    </row>
    <row r="257" spans="1:5" ht="14">
      <c r="A257" s="56" t="s">
        <v>858</v>
      </c>
      <c r="B257" s="57">
        <v>55</v>
      </c>
      <c r="C257" s="58" t="str">
        <f>IFERROR(VLOOKUP(A257,Recipes!A:H,8,FALSE),"")</f>
        <v>Potions</v>
      </c>
      <c r="D257" s="59" t="s">
        <v>1359</v>
      </c>
      <c r="E257" s="60"/>
    </row>
    <row r="258" spans="1:5" ht="14">
      <c r="A258" s="56" t="s">
        <v>861</v>
      </c>
      <c r="B258" s="57">
        <v>55</v>
      </c>
      <c r="C258" s="58" t="str">
        <f>IFERROR(VLOOKUP(A258,Recipes!A:H,8,FALSE),"")</f>
        <v>Potions</v>
      </c>
      <c r="D258" s="59" t="s">
        <v>1359</v>
      </c>
      <c r="E258" s="60"/>
    </row>
    <row r="259" spans="1:5" ht="14">
      <c r="A259" s="61" t="s">
        <v>950</v>
      </c>
      <c r="B259" s="57">
        <v>30</v>
      </c>
      <c r="C259" s="58" t="str">
        <f>IFERROR(VLOOKUP(A259,Recipes!A:H,8,FALSE),"")</f>
        <v>Potions</v>
      </c>
      <c r="D259" s="59" t="s">
        <v>1356</v>
      </c>
      <c r="E259" s="60"/>
    </row>
    <row r="260" spans="1:5" ht="14">
      <c r="A260" s="56" t="s">
        <v>864</v>
      </c>
      <c r="B260" s="57">
        <v>375</v>
      </c>
      <c r="C260" s="58" t="str">
        <f>IFERROR(VLOOKUP(A260,Recipes!A:H,8,FALSE),"")</f>
        <v>Potions</v>
      </c>
      <c r="D260" s="59" t="s">
        <v>1360</v>
      </c>
      <c r="E260" s="60"/>
    </row>
    <row r="261" spans="1:5" ht="14">
      <c r="A261" s="56" t="s">
        <v>866</v>
      </c>
      <c r="B261" s="57">
        <v>45</v>
      </c>
      <c r="C261" s="58" t="str">
        <f>IFERROR(VLOOKUP(A261,Recipes!A:H,8,FALSE),"")</f>
        <v>Potions</v>
      </c>
      <c r="D261" s="59" t="s">
        <v>1358</v>
      </c>
      <c r="E261" s="60"/>
    </row>
    <row r="262" spans="1:5" ht="14">
      <c r="A262" s="56" t="s">
        <v>918</v>
      </c>
      <c r="B262" s="57">
        <v>20</v>
      </c>
      <c r="C262" s="58" t="str">
        <f>IFERROR(VLOOKUP(A262,Recipes!A:H,8,FALSE),"")</f>
        <v>Potions</v>
      </c>
      <c r="D262" s="59" t="s">
        <v>1359</v>
      </c>
      <c r="E262" s="60"/>
    </row>
    <row r="263" spans="1:5" ht="14">
      <c r="A263" s="56" t="s">
        <v>875</v>
      </c>
      <c r="B263" s="57">
        <v>200</v>
      </c>
      <c r="C263" s="58" t="str">
        <f>IFERROR(VLOOKUP(A263,Recipes!A:H,8,FALSE),"")</f>
        <v>Potions</v>
      </c>
      <c r="D263" s="59" t="s">
        <v>1361</v>
      </c>
      <c r="E263" s="60"/>
    </row>
    <row r="264" spans="1:5" ht="14">
      <c r="A264" s="56" t="s">
        <v>873</v>
      </c>
      <c r="B264" s="57">
        <v>15</v>
      </c>
      <c r="C264" s="58" t="str">
        <f>IFERROR(VLOOKUP(A264,Recipes!A:H,8,FALSE),"")</f>
        <v>Potions</v>
      </c>
      <c r="D264" s="59" t="s">
        <v>1359</v>
      </c>
      <c r="E264" s="60"/>
    </row>
    <row r="265" spans="1:5" ht="14">
      <c r="A265" s="72" t="s">
        <v>402</v>
      </c>
      <c r="B265" s="71">
        <f>IFERROR(VLOOKUP(A265,Recipes!A:C,3,FALSE),"")</f>
        <v>30</v>
      </c>
      <c r="C265" s="58" t="str">
        <f>IFERROR(VLOOKUP(A265,Recipes!A:H,8,FALSE),"")</f>
        <v>Potions</v>
      </c>
      <c r="D265" s="59" t="s">
        <v>1354</v>
      </c>
      <c r="E265" s="60"/>
    </row>
    <row r="266" spans="1:5" ht="14">
      <c r="A266" s="61" t="s">
        <v>871</v>
      </c>
      <c r="B266" s="57">
        <v>15</v>
      </c>
      <c r="C266" s="58" t="str">
        <f>IFERROR(VLOOKUP(A266,Recipes!A:H,8,FALSE),"")</f>
        <v>Potions</v>
      </c>
      <c r="D266" s="59" t="s">
        <v>1359</v>
      </c>
      <c r="E266" s="60"/>
    </row>
    <row r="267" spans="1:5" ht="14">
      <c r="A267" s="56" t="s">
        <v>801</v>
      </c>
      <c r="B267" s="57">
        <v>20</v>
      </c>
      <c r="C267" s="58" t="str">
        <f>IFERROR(VLOOKUP(A267,Recipes!A:H,8,FALSE),"")</f>
        <v>Potions</v>
      </c>
      <c r="D267" s="59" t="s">
        <v>1362</v>
      </c>
      <c r="E267" s="60"/>
    </row>
    <row r="268" spans="1:5" ht="14">
      <c r="A268" s="56" t="s">
        <v>798</v>
      </c>
      <c r="B268" s="57">
        <v>200</v>
      </c>
      <c r="C268" s="63" t="s">
        <v>825</v>
      </c>
      <c r="D268" s="59" t="s">
        <v>1363</v>
      </c>
      <c r="E268" s="60"/>
    </row>
    <row r="269" spans="1:5" ht="14">
      <c r="A269" s="56" t="s">
        <v>877</v>
      </c>
      <c r="B269" s="57">
        <v>30</v>
      </c>
      <c r="C269" s="58" t="str">
        <f>IFERROR(VLOOKUP(A269,Recipes!A:H,8,FALSE),"")</f>
        <v>Potions</v>
      </c>
      <c r="D269" s="59" t="s">
        <v>1354</v>
      </c>
      <c r="E269" s="60"/>
    </row>
    <row r="270" spans="1:5" ht="14">
      <c r="A270" s="61" t="s">
        <v>989</v>
      </c>
      <c r="B270" s="71">
        <f>IFERROR(VLOOKUP(A270,Recipes!A:C,3,FALSE),"")</f>
        <v>1150</v>
      </c>
      <c r="C270" s="58" t="str">
        <f>IFERROR(VLOOKUP(A270,Recipes!A:H,8,FALSE),"")</f>
        <v>Runes</v>
      </c>
      <c r="D270" s="59" t="s">
        <v>1364</v>
      </c>
      <c r="E270" s="60"/>
    </row>
    <row r="271" spans="1:5" ht="14">
      <c r="A271" s="61" t="s">
        <v>1018</v>
      </c>
      <c r="B271" s="71">
        <f>IFERROR(VLOOKUP(A271,Recipes!A:C,3,FALSE),"")</f>
        <v>1150</v>
      </c>
      <c r="C271" s="58" t="str">
        <f>IFERROR(VLOOKUP(A271,Recipes!A:H,8,FALSE),"")</f>
        <v>Runes</v>
      </c>
      <c r="D271" s="59" t="s">
        <v>1364</v>
      </c>
      <c r="E271" s="60"/>
    </row>
    <row r="272" spans="1:5" ht="14">
      <c r="A272" s="61" t="s">
        <v>1043</v>
      </c>
      <c r="B272" s="71">
        <f>IFERROR(VLOOKUP(A272,Recipes!A:C,3,FALSE),"")</f>
        <v>1150</v>
      </c>
      <c r="C272" s="58" t="str">
        <f>IFERROR(VLOOKUP(A272,Recipes!A:H,8,FALSE),"")</f>
        <v>Runes</v>
      </c>
      <c r="D272" s="59" t="s">
        <v>1364</v>
      </c>
      <c r="E272" s="60"/>
    </row>
    <row r="273" spans="1:5" ht="14">
      <c r="A273" s="61" t="s">
        <v>1072</v>
      </c>
      <c r="B273" s="71">
        <f>IFERROR(VLOOKUP(A273,Recipes!A:C,3,FALSE),"")</f>
        <v>1150</v>
      </c>
      <c r="C273" s="58" t="str">
        <f>IFERROR(VLOOKUP(A273,Recipes!A:H,8,FALSE),"")</f>
        <v>Runes</v>
      </c>
      <c r="D273" s="59" t="s">
        <v>1364</v>
      </c>
      <c r="E273" s="60"/>
    </row>
    <row r="274" spans="1:5" ht="14">
      <c r="A274" s="61" t="s">
        <v>1097</v>
      </c>
      <c r="B274" s="71">
        <f>IFERROR(VLOOKUP(A274,Recipes!A:C,3,FALSE),"")</f>
        <v>1150</v>
      </c>
      <c r="C274" s="58" t="str">
        <f>IFERROR(VLOOKUP(A274,Recipes!A:H,8,FALSE),"")</f>
        <v>Runes</v>
      </c>
      <c r="D274" s="59" t="s">
        <v>1364</v>
      </c>
      <c r="E274" s="60"/>
    </row>
    <row r="275" spans="1:5" ht="14">
      <c r="A275" s="61" t="s">
        <v>1122</v>
      </c>
      <c r="B275" s="71">
        <f>IFERROR(VLOOKUP(A275,Recipes!A:C,3,FALSE),"")</f>
        <v>1150</v>
      </c>
      <c r="C275" s="63" t="s">
        <v>24</v>
      </c>
      <c r="D275" s="59" t="s">
        <v>1364</v>
      </c>
      <c r="E275" s="60"/>
    </row>
    <row r="276" spans="1:5" ht="14">
      <c r="A276" s="61" t="s">
        <v>993</v>
      </c>
      <c r="B276" s="57">
        <v>620</v>
      </c>
      <c r="C276" s="58" t="str">
        <f>IFERROR(VLOOKUP(A276,Recipes!A:H,8,FALSE),"")</f>
        <v>Runes</v>
      </c>
      <c r="D276" s="59" t="s">
        <v>1364</v>
      </c>
      <c r="E276" s="60"/>
    </row>
    <row r="277" spans="1:5" ht="14">
      <c r="A277" s="61" t="s">
        <v>1021</v>
      </c>
      <c r="B277" s="57">
        <v>620</v>
      </c>
      <c r="C277" s="58" t="str">
        <f>IFERROR(VLOOKUP(A277,Recipes!A:H,8,FALSE),"")</f>
        <v>Runes</v>
      </c>
      <c r="D277" s="59" t="s">
        <v>1364</v>
      </c>
      <c r="E277" s="60"/>
    </row>
    <row r="278" spans="1:5" ht="14">
      <c r="A278" s="61" t="s">
        <v>1046</v>
      </c>
      <c r="B278" s="57">
        <v>620</v>
      </c>
      <c r="C278" s="58" t="str">
        <f>IFERROR(VLOOKUP(A278,Recipes!A:H,8,FALSE),"")</f>
        <v>Runes</v>
      </c>
      <c r="D278" s="59" t="s">
        <v>1364</v>
      </c>
      <c r="E278" s="60"/>
    </row>
    <row r="279" spans="1:5" ht="14">
      <c r="A279" s="61" t="s">
        <v>1075</v>
      </c>
      <c r="B279" s="62">
        <v>620</v>
      </c>
      <c r="C279" s="58" t="str">
        <f>IFERROR(VLOOKUP(A279,Recipes!A:H,8,FALSE),"")</f>
        <v>Runes</v>
      </c>
      <c r="D279" s="59" t="s">
        <v>1364</v>
      </c>
      <c r="E279" s="60"/>
    </row>
    <row r="280" spans="1:5" ht="14">
      <c r="A280" s="61" t="s">
        <v>1100</v>
      </c>
      <c r="B280" s="62">
        <v>620</v>
      </c>
      <c r="C280" s="58" t="str">
        <f>IFERROR(VLOOKUP(A280,Recipes!A:H,8,FALSE),"")</f>
        <v>Runes</v>
      </c>
      <c r="D280" s="59" t="s">
        <v>1364</v>
      </c>
      <c r="E280" s="60"/>
    </row>
    <row r="281" spans="1:5" ht="14">
      <c r="A281" s="61" t="s">
        <v>1125</v>
      </c>
      <c r="B281" s="62">
        <v>620</v>
      </c>
      <c r="C281" s="58" t="str">
        <f>IFERROR(VLOOKUP(A281,Recipes!A:H,8,FALSE),"")</f>
        <v>Runes</v>
      </c>
      <c r="D281" s="59" t="s">
        <v>1364</v>
      </c>
      <c r="E281" s="60"/>
    </row>
    <row r="282" spans="1:5" ht="14">
      <c r="A282" s="61" t="s">
        <v>998</v>
      </c>
      <c r="B282" s="62">
        <v>380</v>
      </c>
      <c r="C282" s="58" t="str">
        <f>IFERROR(VLOOKUP(A282,Recipes!A:H,8,FALSE),"")</f>
        <v>Runes</v>
      </c>
      <c r="D282" s="59" t="s">
        <v>1364</v>
      </c>
      <c r="E282" s="60"/>
    </row>
    <row r="283" spans="1:5" ht="14">
      <c r="A283" s="61" t="s">
        <v>1025</v>
      </c>
      <c r="B283" s="62">
        <v>380</v>
      </c>
      <c r="C283" s="58" t="str">
        <f>IFERROR(VLOOKUP(A283,Recipes!A:H,8,FALSE),"")</f>
        <v>Runes</v>
      </c>
      <c r="D283" s="59" t="s">
        <v>1364</v>
      </c>
      <c r="E283" s="60"/>
    </row>
    <row r="284" spans="1:5" ht="14">
      <c r="A284" s="61" t="s">
        <v>1050</v>
      </c>
      <c r="B284" s="57">
        <v>380</v>
      </c>
      <c r="C284" s="58" t="str">
        <f>IFERROR(VLOOKUP(A284,Recipes!A:H,8,FALSE),"")</f>
        <v>Runes</v>
      </c>
      <c r="D284" s="59" t="s">
        <v>1364</v>
      </c>
      <c r="E284" s="60"/>
    </row>
    <row r="285" spans="1:5" ht="14">
      <c r="A285" s="61" t="s">
        <v>1079</v>
      </c>
      <c r="B285" s="62">
        <v>380</v>
      </c>
      <c r="C285" s="58" t="str">
        <f>IFERROR(VLOOKUP(A285,Recipes!A:H,8,FALSE),"")</f>
        <v>Runes</v>
      </c>
      <c r="D285" s="59" t="s">
        <v>1364</v>
      </c>
      <c r="E285" s="60"/>
    </row>
    <row r="286" spans="1:5" ht="14">
      <c r="A286" s="61" t="s">
        <v>1104</v>
      </c>
      <c r="B286" s="57">
        <v>380</v>
      </c>
      <c r="C286" s="58" t="str">
        <f>IFERROR(VLOOKUP(A286,Recipes!A:H,8,FALSE),"")</f>
        <v>Runes</v>
      </c>
      <c r="D286" s="59" t="s">
        <v>1364</v>
      </c>
      <c r="E286" s="60"/>
    </row>
    <row r="287" spans="1:5" ht="14">
      <c r="A287" s="61" t="s">
        <v>1129</v>
      </c>
      <c r="B287" s="62">
        <v>380</v>
      </c>
      <c r="C287" s="58" t="str">
        <f>IFERROR(VLOOKUP(A287,Recipes!A:H,8,FALSE),"")</f>
        <v>Runes</v>
      </c>
      <c r="D287" s="59" t="s">
        <v>1364</v>
      </c>
      <c r="E287" s="60"/>
    </row>
    <row r="288" spans="1:5" ht="14">
      <c r="A288" s="61" t="s">
        <v>1007</v>
      </c>
      <c r="B288" s="65">
        <v>500</v>
      </c>
      <c r="C288" s="63" t="s">
        <v>24</v>
      </c>
      <c r="D288" s="59" t="s">
        <v>1365</v>
      </c>
      <c r="E288" s="60"/>
    </row>
    <row r="289" spans="1:5" ht="14">
      <c r="A289" s="56" t="s">
        <v>996</v>
      </c>
      <c r="B289" s="64">
        <v>500</v>
      </c>
      <c r="C289" s="63" t="s">
        <v>24</v>
      </c>
      <c r="D289" s="59" t="s">
        <v>1365</v>
      </c>
      <c r="E289" s="60"/>
    </row>
    <row r="290" spans="1:5" ht="14">
      <c r="A290" s="61" t="s">
        <v>1002</v>
      </c>
      <c r="B290" s="57">
        <v>150</v>
      </c>
      <c r="C290" s="58" t="str">
        <f>IFERROR(VLOOKUP(A290,Recipes!A:H,8,FALSE),"")</f>
        <v>Runes</v>
      </c>
      <c r="D290" s="59" t="s">
        <v>1364</v>
      </c>
      <c r="E290" s="60"/>
    </row>
    <row r="291" spans="1:5" ht="14">
      <c r="A291" s="61" t="s">
        <v>1029</v>
      </c>
      <c r="B291" s="57">
        <v>150</v>
      </c>
      <c r="C291" s="58" t="str">
        <f>IFERROR(VLOOKUP(A291,Recipes!A:H,8,FALSE),"")</f>
        <v>Runes</v>
      </c>
      <c r="D291" s="59" t="s">
        <v>1364</v>
      </c>
      <c r="E291" s="60"/>
    </row>
    <row r="292" spans="1:5" ht="14">
      <c r="A292" s="61" t="s">
        <v>1054</v>
      </c>
      <c r="B292" s="57">
        <v>150</v>
      </c>
      <c r="C292" s="58" t="str">
        <f>IFERROR(VLOOKUP(A292,Recipes!A:H,8,FALSE),"")</f>
        <v>Runes</v>
      </c>
      <c r="D292" s="59" t="s">
        <v>1364</v>
      </c>
      <c r="E292" s="60"/>
    </row>
    <row r="293" spans="1:5" ht="14">
      <c r="A293" s="61" t="s">
        <v>1083</v>
      </c>
      <c r="B293" s="57">
        <v>150</v>
      </c>
      <c r="C293" s="58" t="str">
        <f>IFERROR(VLOOKUP(A293,Recipes!A:H,8,FALSE),"")</f>
        <v>Runes</v>
      </c>
      <c r="D293" s="59" t="s">
        <v>1364</v>
      </c>
      <c r="E293" s="60"/>
    </row>
    <row r="294" spans="1:5" ht="14">
      <c r="A294" s="61" t="s">
        <v>1108</v>
      </c>
      <c r="B294" s="57">
        <v>150</v>
      </c>
      <c r="C294" s="58" t="str">
        <f>IFERROR(VLOOKUP(A294,Recipes!A:H,8,FALSE),"")</f>
        <v>Runes</v>
      </c>
      <c r="D294" s="59" t="s">
        <v>1364</v>
      </c>
      <c r="E294" s="60"/>
    </row>
    <row r="295" spans="1:5" ht="14">
      <c r="A295" s="61" t="s">
        <v>1133</v>
      </c>
      <c r="B295" s="57">
        <v>150</v>
      </c>
      <c r="C295" s="58" t="str">
        <f>IFERROR(VLOOKUP(A295,Recipes!A:H,8,FALSE),"")</f>
        <v>Runes</v>
      </c>
      <c r="D295" s="59" t="s">
        <v>1364</v>
      </c>
      <c r="E295" s="60"/>
    </row>
    <row r="296" spans="1:5" ht="14">
      <c r="A296" s="61" t="s">
        <v>418</v>
      </c>
      <c r="B296" s="57">
        <v>260</v>
      </c>
      <c r="C296" s="58" t="s">
        <v>696</v>
      </c>
      <c r="D296" s="59" t="s">
        <v>1366</v>
      </c>
      <c r="E296" s="60"/>
    </row>
    <row r="297" spans="1:5" ht="14">
      <c r="A297" s="61" t="s">
        <v>421</v>
      </c>
      <c r="B297" s="71">
        <f>IFERROR(VLOOKUP(A297,Recipes!A:C,3,FALSE),"")</f>
        <v>0</v>
      </c>
      <c r="C297" s="58" t="s">
        <v>696</v>
      </c>
      <c r="D297" s="59" t="s">
        <v>1366</v>
      </c>
      <c r="E297" s="60"/>
    </row>
    <row r="298" spans="1:5" ht="13">
      <c r="A298" s="56" t="s">
        <v>424</v>
      </c>
      <c r="B298" s="62">
        <v>1</v>
      </c>
      <c r="C298" s="58" t="s">
        <v>696</v>
      </c>
      <c r="D298" s="73"/>
      <c r="E298" s="60"/>
    </row>
    <row r="299" spans="1:5" ht="14">
      <c r="A299" s="61" t="s">
        <v>427</v>
      </c>
      <c r="B299" s="71"/>
      <c r="C299" s="58" t="s">
        <v>696</v>
      </c>
      <c r="D299" s="59" t="s">
        <v>1367</v>
      </c>
      <c r="E299" s="60"/>
    </row>
    <row r="300" spans="1:5" ht="13">
      <c r="A300" s="61" t="s">
        <v>429</v>
      </c>
      <c r="B300" s="57">
        <v>60</v>
      </c>
      <c r="C300" s="58" t="s">
        <v>696</v>
      </c>
      <c r="D300" s="73"/>
      <c r="E300" s="60"/>
    </row>
    <row r="301" spans="1:5" ht="13">
      <c r="A301" s="61" t="s">
        <v>432</v>
      </c>
      <c r="B301" s="57">
        <v>260</v>
      </c>
      <c r="C301" s="58" t="s">
        <v>696</v>
      </c>
      <c r="D301" s="73"/>
      <c r="E301" s="60"/>
    </row>
    <row r="302" spans="1:5" ht="14">
      <c r="A302" s="61" t="s">
        <v>435</v>
      </c>
      <c r="B302" s="71">
        <f>IFERROR(VLOOKUP(A302,Recipes!A:C,3,FALSE),"")</f>
        <v>260</v>
      </c>
      <c r="C302" s="58" t="s">
        <v>696</v>
      </c>
      <c r="D302" s="59" t="s">
        <v>1366</v>
      </c>
      <c r="E302" s="60"/>
    </row>
    <row r="303" spans="1:5" ht="14">
      <c r="A303" s="61" t="s">
        <v>438</v>
      </c>
      <c r="B303" s="71"/>
      <c r="C303" s="58" t="s">
        <v>696</v>
      </c>
      <c r="D303" s="59" t="s">
        <v>1368</v>
      </c>
      <c r="E303" s="60"/>
    </row>
    <row r="304" spans="1:5" ht="13">
      <c r="A304" s="61" t="s">
        <v>451</v>
      </c>
      <c r="B304" s="57">
        <v>60</v>
      </c>
      <c r="C304" s="58" t="s">
        <v>696</v>
      </c>
      <c r="D304" s="73"/>
      <c r="E304" s="60"/>
    </row>
    <row r="305" spans="1:5" ht="13">
      <c r="A305" s="61" t="s">
        <v>456</v>
      </c>
      <c r="B305" s="57">
        <v>60</v>
      </c>
      <c r="C305" s="58" t="s">
        <v>696</v>
      </c>
      <c r="D305" s="73"/>
      <c r="E305" s="60"/>
    </row>
    <row r="306" spans="1:5" ht="13">
      <c r="A306" s="56" t="s">
        <v>458</v>
      </c>
      <c r="B306" s="57">
        <v>260</v>
      </c>
      <c r="C306" s="58" t="s">
        <v>696</v>
      </c>
      <c r="D306" s="73"/>
      <c r="E306" s="60"/>
    </row>
    <row r="307" spans="1:5" ht="13">
      <c r="A307" s="61" t="s">
        <v>463</v>
      </c>
      <c r="B307" s="57">
        <v>70</v>
      </c>
      <c r="C307" s="58" t="s">
        <v>696</v>
      </c>
      <c r="D307" s="73"/>
      <c r="E307" s="60"/>
    </row>
    <row r="308" spans="1:5" ht="14">
      <c r="A308" s="61" t="s">
        <v>466</v>
      </c>
      <c r="B308" s="71"/>
      <c r="C308" s="58" t="s">
        <v>696</v>
      </c>
      <c r="D308" s="59" t="s">
        <v>1368</v>
      </c>
      <c r="E308" s="60"/>
    </row>
    <row r="309" spans="1:5" ht="14">
      <c r="A309" s="61" t="s">
        <v>468</v>
      </c>
      <c r="B309" s="57">
        <v>260</v>
      </c>
      <c r="C309" s="58" t="s">
        <v>696</v>
      </c>
      <c r="D309" s="59" t="s">
        <v>1366</v>
      </c>
      <c r="E309" s="60"/>
    </row>
    <row r="310" spans="1:5" ht="13">
      <c r="A310" s="61" t="s">
        <v>470</v>
      </c>
      <c r="B310" s="71">
        <f>IFERROR(VLOOKUP(A310,Recipes!A:C,3,FALSE),"")</f>
        <v>100</v>
      </c>
      <c r="C310" s="58" t="s">
        <v>696</v>
      </c>
      <c r="D310" s="73"/>
      <c r="E310" s="60"/>
    </row>
    <row r="311" spans="1:5" ht="13">
      <c r="A311" s="61" t="s">
        <v>503</v>
      </c>
      <c r="B311" s="71">
        <f>IFERROR(VLOOKUP(A311,Recipes!A:C,3,FALSE),"")</f>
        <v>50</v>
      </c>
      <c r="C311" s="58" t="s">
        <v>696</v>
      </c>
      <c r="D311" s="73"/>
      <c r="E311" s="60"/>
    </row>
    <row r="312" spans="1:5" ht="13">
      <c r="A312" s="61" t="s">
        <v>472</v>
      </c>
      <c r="B312" s="57">
        <v>70</v>
      </c>
      <c r="C312" s="58" t="s">
        <v>696</v>
      </c>
      <c r="D312" s="73"/>
      <c r="E312" s="60"/>
    </row>
    <row r="313" spans="1:5" ht="14">
      <c r="A313" s="61" t="s">
        <v>475</v>
      </c>
      <c r="B313" s="71">
        <f>IFERROR(VLOOKUP(A313,Recipes!A:C,3,FALSE),"")</f>
        <v>350</v>
      </c>
      <c r="C313" s="58" t="s">
        <v>696</v>
      </c>
      <c r="D313" s="59" t="s">
        <v>1366</v>
      </c>
      <c r="E313" s="60"/>
    </row>
    <row r="314" spans="1:5" ht="14">
      <c r="A314" s="61" t="s">
        <v>478</v>
      </c>
      <c r="B314" s="71"/>
      <c r="C314" s="58" t="s">
        <v>696</v>
      </c>
      <c r="D314" s="59" t="s">
        <v>1368</v>
      </c>
      <c r="E314" s="60"/>
    </row>
    <row r="315" spans="1:5" ht="13">
      <c r="A315" s="56" t="s">
        <v>480</v>
      </c>
      <c r="B315" s="57">
        <v>60</v>
      </c>
      <c r="C315" s="58" t="s">
        <v>696</v>
      </c>
      <c r="D315" s="73"/>
      <c r="E315" s="60"/>
    </row>
    <row r="316" spans="1:5" ht="14">
      <c r="A316" s="61" t="s">
        <v>484</v>
      </c>
      <c r="B316" s="71"/>
      <c r="C316" s="58" t="s">
        <v>696</v>
      </c>
      <c r="D316" s="59" t="s">
        <v>1368</v>
      </c>
      <c r="E316" s="60"/>
    </row>
    <row r="317" spans="1:5" ht="14">
      <c r="A317" s="61" t="s">
        <v>489</v>
      </c>
      <c r="B317" s="71"/>
      <c r="C317" s="58" t="s">
        <v>696</v>
      </c>
      <c r="D317" s="59" t="s">
        <v>1368</v>
      </c>
      <c r="E317" s="60"/>
    </row>
    <row r="318" spans="1:5" ht="14">
      <c r="A318" s="61" t="s">
        <v>491</v>
      </c>
      <c r="B318" s="71"/>
      <c r="C318" s="58" t="s">
        <v>696</v>
      </c>
      <c r="D318" s="59" t="s">
        <v>1368</v>
      </c>
      <c r="E318" s="60"/>
    </row>
    <row r="319" spans="1:5" ht="13">
      <c r="A319" s="61" t="s">
        <v>493</v>
      </c>
      <c r="B319" s="57">
        <v>60</v>
      </c>
      <c r="C319" s="58" t="s">
        <v>696</v>
      </c>
      <c r="D319" s="73"/>
      <c r="E319" s="60"/>
    </row>
    <row r="320" spans="1:5" ht="13">
      <c r="A320" s="61" t="s">
        <v>496</v>
      </c>
      <c r="B320" s="71">
        <f>IFERROR(VLOOKUP(A320,Recipes!A:C,3,FALSE),"")</f>
        <v>350</v>
      </c>
      <c r="C320" s="58" t="s">
        <v>696</v>
      </c>
      <c r="D320" s="73"/>
      <c r="E320" s="60"/>
    </row>
    <row r="321" spans="1:5" ht="13">
      <c r="A321" s="56" t="s">
        <v>501</v>
      </c>
      <c r="B321" s="57">
        <v>70</v>
      </c>
      <c r="C321" s="58" t="s">
        <v>696</v>
      </c>
      <c r="D321" s="73"/>
      <c r="E321" s="60"/>
    </row>
    <row r="322" spans="1:5" ht="14">
      <c r="A322" s="61" t="s">
        <v>505</v>
      </c>
      <c r="B322" s="71"/>
      <c r="C322" s="58" t="s">
        <v>696</v>
      </c>
      <c r="D322" s="59" t="s">
        <v>1367</v>
      </c>
      <c r="E322" s="60"/>
    </row>
    <row r="323" spans="1:5" ht="13">
      <c r="A323" s="61" t="s">
        <v>508</v>
      </c>
      <c r="B323" s="71">
        <f>IFERROR(VLOOKUP(A323,Recipes!A:C,3,FALSE),"")</f>
        <v>260</v>
      </c>
      <c r="C323" s="58" t="s">
        <v>696</v>
      </c>
      <c r="D323" s="73"/>
      <c r="E323" s="60"/>
    </row>
    <row r="324" spans="1:5" ht="13">
      <c r="A324" s="56" t="s">
        <v>510</v>
      </c>
      <c r="B324" s="57">
        <v>70</v>
      </c>
      <c r="C324" s="58" t="s">
        <v>696</v>
      </c>
      <c r="D324" s="73"/>
      <c r="E324" s="60"/>
    </row>
    <row r="325" spans="1:5" ht="13">
      <c r="A325" s="56" t="s">
        <v>513</v>
      </c>
      <c r="B325" s="57">
        <v>60</v>
      </c>
      <c r="C325" s="58" t="s">
        <v>696</v>
      </c>
      <c r="D325" s="73"/>
      <c r="E325" s="60"/>
    </row>
    <row r="326" spans="1:5" ht="14">
      <c r="A326" s="61" t="s">
        <v>516</v>
      </c>
      <c r="B326" s="57">
        <v>350</v>
      </c>
      <c r="C326" s="58" t="s">
        <v>696</v>
      </c>
      <c r="D326" s="59" t="s">
        <v>1366</v>
      </c>
      <c r="E326" s="60"/>
    </row>
    <row r="327" spans="1:5" ht="13">
      <c r="A327" s="61" t="s">
        <v>518</v>
      </c>
      <c r="B327" s="71">
        <f>IFERROR(VLOOKUP(A327,Recipes!A:C,3,FALSE),"")</f>
        <v>350</v>
      </c>
      <c r="C327" s="58" t="s">
        <v>696</v>
      </c>
      <c r="D327" s="73"/>
      <c r="E327" s="60"/>
    </row>
    <row r="328" spans="1:5" ht="14">
      <c r="A328" s="61" t="s">
        <v>520</v>
      </c>
      <c r="B328" s="57">
        <v>260</v>
      </c>
      <c r="C328" s="58" t="s">
        <v>696</v>
      </c>
      <c r="D328" s="59" t="s">
        <v>1366</v>
      </c>
      <c r="E328" s="60"/>
    </row>
    <row r="329" spans="1:5" ht="14">
      <c r="A329" s="61" t="s">
        <v>523</v>
      </c>
      <c r="B329" s="71"/>
      <c r="C329" s="58" t="s">
        <v>696</v>
      </c>
      <c r="D329" s="59" t="s">
        <v>1368</v>
      </c>
      <c r="E329" s="60"/>
    </row>
    <row r="330" spans="1:5" ht="13">
      <c r="A330" s="61" t="s">
        <v>525</v>
      </c>
      <c r="B330" s="57">
        <v>60</v>
      </c>
      <c r="C330" s="58" t="s">
        <v>696</v>
      </c>
      <c r="D330" s="73"/>
      <c r="E330" s="60"/>
    </row>
    <row r="331" spans="1:5" ht="13">
      <c r="A331" s="61" t="s">
        <v>528</v>
      </c>
      <c r="B331" s="71">
        <f>IFERROR(VLOOKUP(A331,Recipes!A:C,3,FALSE),"")</f>
        <v>260</v>
      </c>
      <c r="C331" s="58" t="s">
        <v>696</v>
      </c>
      <c r="D331" s="73"/>
      <c r="E331" s="60"/>
    </row>
    <row r="332" spans="1:5" ht="13">
      <c r="A332" s="61" t="s">
        <v>530</v>
      </c>
      <c r="B332" s="57">
        <v>100</v>
      </c>
      <c r="C332" s="58" t="s">
        <v>696</v>
      </c>
      <c r="D332" s="73"/>
      <c r="E332" s="60"/>
    </row>
    <row r="333" spans="1:5" ht="13">
      <c r="A333" s="61" t="s">
        <v>532</v>
      </c>
      <c r="B333" s="71">
        <f>IFERROR(VLOOKUP(A333,Recipes!A:C,3,FALSE),"")</f>
        <v>350</v>
      </c>
      <c r="C333" s="58" t="s">
        <v>696</v>
      </c>
      <c r="D333" s="73"/>
      <c r="E333" s="60"/>
    </row>
    <row r="334" spans="1:5" ht="13">
      <c r="A334" s="61" t="s">
        <v>534</v>
      </c>
      <c r="B334" s="71">
        <f>IFERROR(VLOOKUP(A334,Recipes!A:C,3,FALSE),"")</f>
        <v>350</v>
      </c>
      <c r="C334" s="58" t="s">
        <v>696</v>
      </c>
      <c r="D334" s="73"/>
      <c r="E334" s="60"/>
    </row>
    <row r="335" spans="1:5" ht="13">
      <c r="A335" s="61" t="s">
        <v>538</v>
      </c>
      <c r="B335" s="57">
        <v>260</v>
      </c>
      <c r="C335" s="58" t="s">
        <v>696</v>
      </c>
      <c r="D335" s="73"/>
      <c r="E335" s="60"/>
    </row>
    <row r="336" spans="1:5" ht="14">
      <c r="A336" s="61" t="s">
        <v>540</v>
      </c>
      <c r="B336" s="65">
        <v>350</v>
      </c>
      <c r="C336" s="58" t="s">
        <v>696</v>
      </c>
      <c r="D336" s="59" t="s">
        <v>1368</v>
      </c>
      <c r="E336" s="60"/>
    </row>
    <row r="337" spans="1:5" ht="14">
      <c r="A337" s="61" t="s">
        <v>542</v>
      </c>
      <c r="B337" s="71"/>
      <c r="C337" s="58" t="s">
        <v>696</v>
      </c>
      <c r="D337" s="59" t="s">
        <v>1367</v>
      </c>
      <c r="E337" s="60"/>
    </row>
    <row r="338" spans="1:5" ht="13">
      <c r="A338" s="61" t="s">
        <v>544</v>
      </c>
      <c r="B338" s="57">
        <v>50</v>
      </c>
      <c r="C338" s="58" t="s">
        <v>696</v>
      </c>
      <c r="D338" s="73"/>
      <c r="E338" s="60"/>
    </row>
    <row r="339" spans="1:5" ht="13">
      <c r="A339" s="61" t="s">
        <v>546</v>
      </c>
      <c r="B339" s="57">
        <v>70</v>
      </c>
      <c r="C339" s="58" t="s">
        <v>696</v>
      </c>
      <c r="D339" s="73"/>
      <c r="E339" s="60"/>
    </row>
    <row r="340" spans="1:5" ht="14">
      <c r="A340" s="61" t="s">
        <v>548</v>
      </c>
      <c r="B340" s="71"/>
      <c r="C340" s="58" t="s">
        <v>696</v>
      </c>
      <c r="D340" s="59" t="s">
        <v>1368</v>
      </c>
      <c r="E340" s="60"/>
    </row>
    <row r="341" spans="1:5" ht="14">
      <c r="A341" s="61" t="s">
        <v>551</v>
      </c>
      <c r="B341" s="57">
        <v>260</v>
      </c>
      <c r="C341" s="58" t="s">
        <v>696</v>
      </c>
      <c r="D341" s="59" t="s">
        <v>1366</v>
      </c>
      <c r="E341" s="60"/>
    </row>
    <row r="342" spans="1:5" ht="13">
      <c r="A342" s="61" t="s">
        <v>553</v>
      </c>
      <c r="B342" s="57">
        <v>260</v>
      </c>
      <c r="C342" s="58" t="s">
        <v>696</v>
      </c>
      <c r="D342" s="73"/>
      <c r="E342" s="60"/>
    </row>
    <row r="343" spans="1:5" ht="13">
      <c r="A343" s="61" t="s">
        <v>555</v>
      </c>
      <c r="B343" s="57">
        <v>50</v>
      </c>
      <c r="C343" s="58" t="s">
        <v>696</v>
      </c>
      <c r="D343" s="73"/>
      <c r="E343" s="60"/>
    </row>
    <row r="344" spans="1:5" ht="13">
      <c r="A344" s="56" t="s">
        <v>557</v>
      </c>
      <c r="B344" s="71">
        <f>IFERROR(VLOOKUP(A344,Recipes!A:C,3,FALSE),"")</f>
        <v>260</v>
      </c>
      <c r="C344" s="58" t="s">
        <v>696</v>
      </c>
      <c r="D344" s="73"/>
      <c r="E344" s="60"/>
    </row>
    <row r="345" spans="1:5" ht="13">
      <c r="A345" s="61" t="s">
        <v>560</v>
      </c>
      <c r="B345" s="71">
        <f>IFERROR(VLOOKUP(A345,Recipes!A:C,3,FALSE),"")</f>
        <v>60</v>
      </c>
      <c r="C345" s="58" t="s">
        <v>696</v>
      </c>
      <c r="D345" s="73"/>
      <c r="E345" s="60"/>
    </row>
    <row r="346" spans="1:5" ht="14">
      <c r="A346" s="61" t="s">
        <v>562</v>
      </c>
      <c r="B346" s="71"/>
      <c r="C346" s="58" t="s">
        <v>696</v>
      </c>
      <c r="D346" s="59" t="s">
        <v>1368</v>
      </c>
      <c r="E346" s="60"/>
    </row>
    <row r="347" spans="1:5" ht="14">
      <c r="A347" s="61" t="s">
        <v>564</v>
      </c>
      <c r="B347" s="65">
        <v>100</v>
      </c>
      <c r="C347" s="58" t="s">
        <v>696</v>
      </c>
      <c r="D347" s="59" t="s">
        <v>1368</v>
      </c>
      <c r="E347" s="60"/>
    </row>
    <row r="348" spans="1:5" ht="13">
      <c r="A348" s="56" t="s">
        <v>567</v>
      </c>
      <c r="B348" s="57">
        <v>60</v>
      </c>
      <c r="C348" s="58" t="s">
        <v>696</v>
      </c>
      <c r="D348" s="73"/>
      <c r="E348" s="60"/>
    </row>
    <row r="349" spans="1:5" ht="13">
      <c r="A349" s="61" t="s">
        <v>569</v>
      </c>
      <c r="B349" s="57">
        <v>100</v>
      </c>
      <c r="C349" s="58" t="s">
        <v>696</v>
      </c>
      <c r="D349" s="73"/>
      <c r="E349" s="60"/>
    </row>
    <row r="350" spans="1:5" ht="13">
      <c r="A350" s="61" t="s">
        <v>571</v>
      </c>
      <c r="B350" s="57">
        <v>100</v>
      </c>
      <c r="C350" s="58" t="s">
        <v>696</v>
      </c>
      <c r="D350" s="73"/>
      <c r="E350" s="60"/>
    </row>
    <row r="351" spans="1:5" ht="13">
      <c r="A351" s="61" t="s">
        <v>574</v>
      </c>
      <c r="B351" s="71">
        <f>IFERROR(VLOOKUP(A351,Recipes!A:C,3,FALSE),"")</f>
        <v>260</v>
      </c>
      <c r="C351" s="58" t="s">
        <v>696</v>
      </c>
      <c r="D351" s="73"/>
      <c r="E351" s="60"/>
    </row>
    <row r="352" spans="1:5" ht="13">
      <c r="A352" s="56" t="s">
        <v>576</v>
      </c>
      <c r="B352" s="57">
        <v>260</v>
      </c>
      <c r="C352" s="58" t="s">
        <v>696</v>
      </c>
      <c r="D352" s="73"/>
      <c r="E352" s="60"/>
    </row>
    <row r="353" spans="1:5" ht="13">
      <c r="A353" s="61" t="s">
        <v>578</v>
      </c>
      <c r="B353" s="71">
        <f>IFERROR(VLOOKUP(A353,Recipes!A:C,3,FALSE),"")</f>
        <v>350</v>
      </c>
      <c r="C353" s="58" t="s">
        <v>696</v>
      </c>
      <c r="D353" s="73"/>
      <c r="E353" s="60"/>
    </row>
    <row r="354" spans="1:5" ht="14">
      <c r="A354" s="61" t="s">
        <v>588</v>
      </c>
      <c r="B354" s="71"/>
      <c r="C354" s="58" t="s">
        <v>696</v>
      </c>
      <c r="D354" s="59" t="s">
        <v>1368</v>
      </c>
      <c r="E354" s="60"/>
    </row>
    <row r="355" spans="1:5" ht="13">
      <c r="A355" s="61" t="s">
        <v>590</v>
      </c>
      <c r="B355" s="71">
        <f>IFERROR(VLOOKUP(A355,Recipes!A:C,3,FALSE),"")</f>
        <v>100</v>
      </c>
      <c r="C355" s="58" t="s">
        <v>696</v>
      </c>
      <c r="D355" s="73"/>
      <c r="E355" s="60"/>
    </row>
    <row r="356" spans="1:5" ht="14">
      <c r="A356" s="61" t="s">
        <v>592</v>
      </c>
      <c r="B356" s="71"/>
      <c r="C356" s="58" t="s">
        <v>696</v>
      </c>
      <c r="D356" s="59" t="s">
        <v>1369</v>
      </c>
      <c r="E356" s="60"/>
    </row>
    <row r="357" spans="1:5" ht="14">
      <c r="A357" s="61" t="s">
        <v>594</v>
      </c>
      <c r="B357" s="71"/>
      <c r="C357" s="58" t="s">
        <v>696</v>
      </c>
      <c r="D357" s="59" t="s">
        <v>1368</v>
      </c>
      <c r="E357" s="60"/>
    </row>
    <row r="358" spans="1:5" ht="13">
      <c r="A358" s="61" t="s">
        <v>597</v>
      </c>
      <c r="B358" s="57">
        <v>260</v>
      </c>
      <c r="C358" s="58" t="s">
        <v>696</v>
      </c>
      <c r="D358" s="73"/>
      <c r="E358" s="60"/>
    </row>
    <row r="359" spans="1:5" ht="13">
      <c r="A359" s="61" t="s">
        <v>600</v>
      </c>
      <c r="B359" s="71">
        <f>IFERROR(VLOOKUP(A359,Recipes!A:C,3,FALSE),"")</f>
        <v>60</v>
      </c>
      <c r="C359" s="58" t="s">
        <v>696</v>
      </c>
      <c r="D359" s="73"/>
      <c r="E359" s="60"/>
    </row>
    <row r="360" spans="1:5" ht="14">
      <c r="A360" s="61" t="s">
        <v>602</v>
      </c>
      <c r="B360" s="57">
        <v>260</v>
      </c>
      <c r="C360" s="58" t="s">
        <v>696</v>
      </c>
      <c r="D360" s="59" t="s">
        <v>1366</v>
      </c>
      <c r="E360" s="60"/>
    </row>
    <row r="361" spans="1:5" ht="13">
      <c r="A361" s="61" t="s">
        <v>604</v>
      </c>
      <c r="B361" s="57">
        <v>70</v>
      </c>
      <c r="C361" s="58" t="s">
        <v>696</v>
      </c>
      <c r="D361" s="73"/>
      <c r="E361" s="60"/>
    </row>
    <row r="362" spans="1:5" ht="13">
      <c r="A362" s="61" t="s">
        <v>607</v>
      </c>
      <c r="B362" s="57">
        <v>260</v>
      </c>
      <c r="C362" s="58" t="s">
        <v>696</v>
      </c>
      <c r="D362" s="73"/>
      <c r="E362" s="60"/>
    </row>
    <row r="363" spans="1:5" ht="14">
      <c r="A363" s="61" t="s">
        <v>610</v>
      </c>
      <c r="B363" s="71"/>
      <c r="C363" s="58" t="s">
        <v>696</v>
      </c>
      <c r="D363" s="59" t="s">
        <v>1368</v>
      </c>
      <c r="E363" s="60"/>
    </row>
    <row r="364" spans="1:5" ht="13">
      <c r="A364" s="61" t="s">
        <v>612</v>
      </c>
      <c r="B364" s="71">
        <f>IFERROR(VLOOKUP(A364,Recipes!A:C,3,FALSE),"")</f>
        <v>260</v>
      </c>
      <c r="C364" s="58" t="s">
        <v>696</v>
      </c>
      <c r="D364" s="73"/>
      <c r="E364" s="60"/>
    </row>
    <row r="365" spans="1:5" ht="14">
      <c r="A365" s="61" t="s">
        <v>614</v>
      </c>
      <c r="B365" s="71">
        <f>IFERROR(VLOOKUP(A365,Recipes!A:C,3,FALSE),"")</f>
        <v>0</v>
      </c>
      <c r="C365" s="58" t="s">
        <v>696</v>
      </c>
      <c r="D365" s="59" t="s">
        <v>1366</v>
      </c>
      <c r="E365" s="60"/>
    </row>
    <row r="366" spans="1:5" ht="13">
      <c r="A366" s="61" t="s">
        <v>616</v>
      </c>
      <c r="B366" s="57">
        <v>40</v>
      </c>
      <c r="C366" s="58" t="s">
        <v>696</v>
      </c>
      <c r="D366" s="73"/>
      <c r="E366" s="60"/>
    </row>
    <row r="367" spans="1:5" ht="14">
      <c r="A367" s="61" t="s">
        <v>618</v>
      </c>
      <c r="B367" s="71"/>
      <c r="C367" s="58" t="s">
        <v>696</v>
      </c>
      <c r="D367" s="59" t="s">
        <v>1368</v>
      </c>
      <c r="E367" s="60"/>
    </row>
    <row r="368" spans="1:5" ht="13">
      <c r="A368" s="61" t="s">
        <v>620</v>
      </c>
      <c r="B368" s="57">
        <v>60</v>
      </c>
      <c r="C368" s="58" t="s">
        <v>696</v>
      </c>
      <c r="D368" s="73"/>
      <c r="E368" s="60"/>
    </row>
    <row r="369" spans="1:5" ht="13">
      <c r="A369" s="61" t="s">
        <v>622</v>
      </c>
      <c r="B369" s="71">
        <f>IFERROR(VLOOKUP(A369,Recipes!A:C,3,FALSE),"")</f>
        <v>260</v>
      </c>
      <c r="C369" s="58" t="s">
        <v>696</v>
      </c>
      <c r="D369" s="73"/>
      <c r="E369" s="60"/>
    </row>
    <row r="370" spans="1:5" ht="13">
      <c r="A370" s="56" t="s">
        <v>624</v>
      </c>
      <c r="B370" s="57">
        <v>100</v>
      </c>
      <c r="C370" s="58" t="s">
        <v>696</v>
      </c>
      <c r="D370" s="73"/>
      <c r="E370" s="60"/>
    </row>
    <row r="371" spans="1:5" ht="13">
      <c r="A371" s="61" t="s">
        <v>626</v>
      </c>
      <c r="B371" s="71">
        <f>IFERROR(VLOOKUP(A371,Recipes!A:C,3,FALSE),"")</f>
        <v>260</v>
      </c>
      <c r="C371" s="58" t="s">
        <v>696</v>
      </c>
      <c r="D371" s="73"/>
      <c r="E371" s="60"/>
    </row>
    <row r="372" spans="1:5" ht="13">
      <c r="A372" s="61" t="s">
        <v>628</v>
      </c>
      <c r="B372" s="57">
        <v>50</v>
      </c>
      <c r="C372" s="58" t="s">
        <v>696</v>
      </c>
      <c r="D372" s="73"/>
      <c r="E372" s="60"/>
    </row>
    <row r="373" spans="1:5" ht="14">
      <c r="A373" s="56" t="s">
        <v>763</v>
      </c>
      <c r="B373" s="57">
        <v>120</v>
      </c>
      <c r="C373" s="58" t="s">
        <v>696</v>
      </c>
      <c r="D373" s="59" t="s">
        <v>1370</v>
      </c>
      <c r="E373" s="60"/>
    </row>
    <row r="374" spans="1:5" ht="13">
      <c r="A374" s="61" t="s">
        <v>631</v>
      </c>
      <c r="B374" s="57">
        <v>70</v>
      </c>
      <c r="C374" s="58" t="s">
        <v>696</v>
      </c>
      <c r="D374" s="73"/>
      <c r="E374" s="60"/>
    </row>
    <row r="375" spans="1:5" ht="13">
      <c r="A375" s="56" t="s">
        <v>633</v>
      </c>
      <c r="B375" s="57">
        <v>100</v>
      </c>
      <c r="C375" s="58" t="s">
        <v>696</v>
      </c>
      <c r="D375" s="73"/>
      <c r="E375" s="60"/>
    </row>
    <row r="376" spans="1:5" ht="14">
      <c r="A376" s="61" t="s">
        <v>635</v>
      </c>
      <c r="B376" s="71"/>
      <c r="C376" s="58" t="s">
        <v>696</v>
      </c>
      <c r="D376" s="59" t="s">
        <v>1368</v>
      </c>
      <c r="E376" s="60"/>
    </row>
    <row r="377" spans="1:5" ht="13">
      <c r="A377" s="61" t="s">
        <v>637</v>
      </c>
      <c r="B377" s="57">
        <v>60</v>
      </c>
      <c r="C377" s="58" t="s">
        <v>696</v>
      </c>
      <c r="D377" s="73"/>
      <c r="E377" s="60"/>
    </row>
    <row r="378" spans="1:5" ht="13">
      <c r="A378" s="61" t="s">
        <v>639</v>
      </c>
      <c r="B378" s="71">
        <f>IFERROR(VLOOKUP(A378,Recipes!A:C,3,FALSE),"")</f>
        <v>350</v>
      </c>
      <c r="C378" s="58" t="s">
        <v>696</v>
      </c>
      <c r="D378" s="73"/>
      <c r="E378" s="60"/>
    </row>
    <row r="379" spans="1:5" ht="14">
      <c r="A379" s="61" t="s">
        <v>641</v>
      </c>
      <c r="B379" s="71"/>
      <c r="C379" s="58" t="s">
        <v>696</v>
      </c>
      <c r="D379" s="59" t="s">
        <v>1368</v>
      </c>
      <c r="E379" s="60"/>
    </row>
    <row r="380" spans="1:5" ht="14">
      <c r="A380" s="61" t="s">
        <v>643</v>
      </c>
      <c r="B380" s="71">
        <f>IFERROR(VLOOKUP(A380,Recipes!A:C,3,FALSE),"")</f>
        <v>100</v>
      </c>
      <c r="C380" s="58" t="s">
        <v>696</v>
      </c>
      <c r="D380" s="59" t="s">
        <v>1366</v>
      </c>
      <c r="E380" s="60"/>
    </row>
    <row r="381" spans="1:5" ht="13">
      <c r="A381" s="61" t="s">
        <v>646</v>
      </c>
      <c r="B381" s="57">
        <v>100</v>
      </c>
      <c r="C381" s="58" t="s">
        <v>696</v>
      </c>
      <c r="D381" s="73"/>
      <c r="E381" s="60"/>
    </row>
    <row r="382" spans="1:5" ht="13">
      <c r="A382" s="61" t="s">
        <v>648</v>
      </c>
      <c r="B382" s="57">
        <v>260</v>
      </c>
      <c r="C382" s="58" t="s">
        <v>696</v>
      </c>
      <c r="D382" s="73"/>
      <c r="E382" s="60"/>
    </row>
    <row r="383" spans="1:5" ht="13">
      <c r="A383" s="61" t="s">
        <v>651</v>
      </c>
      <c r="B383" s="71">
        <f>IFERROR(VLOOKUP(A383,Recipes!A:C,3,FALSE),"")</f>
        <v>260</v>
      </c>
      <c r="C383" s="58" t="s">
        <v>696</v>
      </c>
      <c r="D383" s="73"/>
      <c r="E383" s="60"/>
    </row>
    <row r="384" spans="1:5" ht="14">
      <c r="A384" s="61" t="s">
        <v>653</v>
      </c>
      <c r="B384" s="71"/>
      <c r="C384" s="58" t="s">
        <v>696</v>
      </c>
      <c r="D384" s="59" t="s">
        <v>1368</v>
      </c>
      <c r="E384" s="60"/>
    </row>
    <row r="385" spans="1:5" ht="13">
      <c r="A385" s="61" t="s">
        <v>655</v>
      </c>
      <c r="B385" s="57">
        <v>120</v>
      </c>
      <c r="C385" s="58" t="s">
        <v>696</v>
      </c>
      <c r="D385" s="73"/>
      <c r="E385" s="60"/>
    </row>
    <row r="386" spans="1:5" ht="14">
      <c r="A386" s="61" t="s">
        <v>657</v>
      </c>
      <c r="B386" s="57">
        <v>350</v>
      </c>
      <c r="C386" s="58" t="s">
        <v>696</v>
      </c>
      <c r="D386" s="59" t="s">
        <v>1366</v>
      </c>
      <c r="E386" s="60"/>
    </row>
    <row r="387" spans="1:5" ht="14">
      <c r="A387" s="61" t="s">
        <v>659</v>
      </c>
      <c r="B387" s="71"/>
      <c r="C387" s="58" t="s">
        <v>696</v>
      </c>
      <c r="D387" s="59" t="s">
        <v>1371</v>
      </c>
      <c r="E387" s="60"/>
    </row>
    <row r="388" spans="1:5" ht="13">
      <c r="A388" s="56" t="s">
        <v>661</v>
      </c>
      <c r="B388" s="57">
        <v>260</v>
      </c>
      <c r="C388" s="58" t="s">
        <v>696</v>
      </c>
      <c r="D388" s="73"/>
      <c r="E388" s="60"/>
    </row>
    <row r="389" spans="1:5" ht="14">
      <c r="A389" s="61" t="s">
        <v>663</v>
      </c>
      <c r="B389" s="71"/>
      <c r="C389" s="58" t="s">
        <v>696</v>
      </c>
      <c r="D389" s="59" t="s">
        <v>1368</v>
      </c>
      <c r="E389" s="60"/>
    </row>
    <row r="390" spans="1:5" ht="13">
      <c r="A390" s="61" t="s">
        <v>665</v>
      </c>
      <c r="B390" s="71">
        <f>IFERROR(VLOOKUP(A390,Recipes!A:C,3,FALSE),"")</f>
        <v>350</v>
      </c>
      <c r="C390" s="58" t="s">
        <v>696</v>
      </c>
      <c r="D390" s="73"/>
      <c r="E390" s="60"/>
    </row>
    <row r="391" spans="1:5" ht="13">
      <c r="A391" s="61" t="s">
        <v>667</v>
      </c>
      <c r="B391" s="57">
        <v>100</v>
      </c>
      <c r="C391" s="58" t="s">
        <v>696</v>
      </c>
      <c r="D391" s="73"/>
      <c r="E391" s="60"/>
    </row>
    <row r="392" spans="1:5" ht="13">
      <c r="A392" s="61" t="s">
        <v>669</v>
      </c>
      <c r="B392" s="57">
        <v>100</v>
      </c>
      <c r="C392" s="58" t="s">
        <v>696</v>
      </c>
      <c r="D392" s="73"/>
      <c r="E392" s="60"/>
    </row>
    <row r="393" spans="1:5" ht="13">
      <c r="A393" s="61" t="s">
        <v>671</v>
      </c>
      <c r="B393" s="71">
        <f>IFERROR(VLOOKUP(A393,Recipes!A:C,3,FALSE),"")</f>
        <v>70</v>
      </c>
      <c r="C393" s="58" t="s">
        <v>696</v>
      </c>
      <c r="D393" s="73"/>
      <c r="E393" s="60"/>
    </row>
    <row r="394" spans="1:5" ht="14">
      <c r="A394" s="61" t="s">
        <v>674</v>
      </c>
      <c r="B394" s="71"/>
      <c r="C394" s="58" t="s">
        <v>696</v>
      </c>
      <c r="D394" s="59" t="s">
        <v>1371</v>
      </c>
      <c r="E394" s="60"/>
    </row>
    <row r="395" spans="1:5" ht="13">
      <c r="A395" s="61" t="s">
        <v>676</v>
      </c>
      <c r="B395" s="71">
        <f>IFERROR(VLOOKUP(A395,Recipes!A:C,3,FALSE),"")</f>
        <v>260</v>
      </c>
      <c r="C395" s="58" t="s">
        <v>696</v>
      </c>
      <c r="D395" s="73"/>
      <c r="E395" s="60"/>
    </row>
    <row r="396" spans="1:5" ht="14">
      <c r="A396" s="61" t="s">
        <v>678</v>
      </c>
      <c r="B396" s="71"/>
      <c r="C396" s="58" t="s">
        <v>696</v>
      </c>
      <c r="D396" s="59" t="s">
        <v>1371</v>
      </c>
      <c r="E396" s="60"/>
    </row>
    <row r="397" spans="1:5" ht="14">
      <c r="A397" s="61" t="s">
        <v>689</v>
      </c>
      <c r="B397" s="71"/>
      <c r="C397" s="58" t="s">
        <v>696</v>
      </c>
      <c r="D397" s="59" t="s">
        <v>1368</v>
      </c>
      <c r="E397" s="60"/>
    </row>
    <row r="398" spans="1:5" ht="13">
      <c r="A398" s="61" t="s">
        <v>693</v>
      </c>
      <c r="B398" s="57">
        <v>100</v>
      </c>
      <c r="C398" s="58" t="s">
        <v>696</v>
      </c>
      <c r="D398" s="73"/>
      <c r="E398" s="60"/>
    </row>
    <row r="399" spans="1:5" ht="14">
      <c r="A399" s="61" t="s">
        <v>695</v>
      </c>
      <c r="B399" s="71"/>
      <c r="C399" s="58" t="s">
        <v>696</v>
      </c>
      <c r="D399" s="59" t="s">
        <v>1368</v>
      </c>
      <c r="E399" s="60"/>
    </row>
    <row r="400" spans="1:5" ht="14">
      <c r="A400" s="74" t="s">
        <v>448</v>
      </c>
      <c r="B400" s="67">
        <v>120</v>
      </c>
      <c r="C400" s="63" t="s">
        <v>1372</v>
      </c>
      <c r="D400" s="75" t="s">
        <v>1373</v>
      </c>
      <c r="E400" s="60"/>
    </row>
    <row r="401" spans="1:5" ht="14">
      <c r="A401" s="61" t="s">
        <v>445</v>
      </c>
      <c r="B401" s="67">
        <v>500</v>
      </c>
      <c r="C401" s="63" t="s">
        <v>1372</v>
      </c>
      <c r="D401" s="59" t="s">
        <v>1374</v>
      </c>
      <c r="E401" s="60"/>
    </row>
    <row r="402" spans="1:5" ht="14">
      <c r="A402" s="74" t="s">
        <v>415</v>
      </c>
      <c r="B402" s="67">
        <v>120</v>
      </c>
      <c r="C402" s="63" t="s">
        <v>1372</v>
      </c>
      <c r="D402" s="75" t="s">
        <v>1375</v>
      </c>
      <c r="E402" s="60"/>
    </row>
    <row r="403" spans="1:5" ht="14">
      <c r="A403" s="61" t="s">
        <v>412</v>
      </c>
      <c r="B403" s="67">
        <v>500</v>
      </c>
      <c r="C403" s="63" t="s">
        <v>1372</v>
      </c>
      <c r="D403" s="59" t="s">
        <v>1376</v>
      </c>
      <c r="E403" s="60"/>
    </row>
    <row r="404" spans="1:5" ht="14">
      <c r="A404" s="74" t="s">
        <v>439</v>
      </c>
      <c r="B404" s="67">
        <v>120</v>
      </c>
      <c r="C404" s="63" t="s">
        <v>1372</v>
      </c>
      <c r="D404" s="75" t="s">
        <v>1377</v>
      </c>
      <c r="E404" s="60"/>
    </row>
    <row r="405" spans="1:5" ht="14">
      <c r="A405" s="61" t="s">
        <v>498</v>
      </c>
      <c r="B405" s="67">
        <v>500</v>
      </c>
      <c r="C405" s="63" t="s">
        <v>1372</v>
      </c>
      <c r="D405" s="59" t="s">
        <v>1378</v>
      </c>
      <c r="E405" s="60"/>
    </row>
    <row r="406" spans="1:5" ht="14">
      <c r="A406" s="76" t="s">
        <v>486</v>
      </c>
      <c r="B406" s="67">
        <v>120</v>
      </c>
      <c r="C406" s="63" t="s">
        <v>1372</v>
      </c>
      <c r="D406" s="75" t="s">
        <v>1379</v>
      </c>
      <c r="E406" s="60"/>
    </row>
    <row r="407" spans="1:5" ht="14">
      <c r="A407" s="76" t="s">
        <v>499</v>
      </c>
      <c r="B407" s="67">
        <v>500</v>
      </c>
      <c r="C407" s="68" t="s">
        <v>1372</v>
      </c>
      <c r="D407" s="59" t="s">
        <v>1380</v>
      </c>
      <c r="E407" s="60"/>
    </row>
    <row r="408" spans="1:5" ht="14">
      <c r="A408" s="74" t="s">
        <v>454</v>
      </c>
      <c r="B408" s="67">
        <v>120</v>
      </c>
      <c r="C408" s="63" t="s">
        <v>1372</v>
      </c>
      <c r="D408" s="75" t="s">
        <v>1381</v>
      </c>
      <c r="E408" s="60"/>
    </row>
    <row r="409" spans="1:5" ht="14">
      <c r="A409" s="61" t="s">
        <v>453</v>
      </c>
      <c r="B409" s="67">
        <v>500</v>
      </c>
      <c r="C409" s="63" t="s">
        <v>1372</v>
      </c>
      <c r="D409" s="59" t="s">
        <v>1382</v>
      </c>
      <c r="E409" s="60"/>
    </row>
    <row r="410" spans="1:5" ht="14">
      <c r="A410" s="76" t="s">
        <v>440</v>
      </c>
      <c r="B410" s="67">
        <v>120</v>
      </c>
      <c r="C410" s="63" t="s">
        <v>1372</v>
      </c>
      <c r="D410" s="75" t="s">
        <v>1383</v>
      </c>
      <c r="E410" s="60"/>
    </row>
    <row r="411" spans="1:5" ht="14">
      <c r="A411" s="61" t="s">
        <v>536</v>
      </c>
      <c r="B411" s="67">
        <v>500</v>
      </c>
      <c r="C411" s="63" t="s">
        <v>1372</v>
      </c>
      <c r="D411" s="59" t="s">
        <v>1384</v>
      </c>
      <c r="E411" s="60"/>
    </row>
    <row r="412" spans="1:5" ht="14">
      <c r="A412" s="77" t="s">
        <v>447</v>
      </c>
      <c r="B412" s="67">
        <v>120</v>
      </c>
      <c r="C412" s="63" t="s">
        <v>1372</v>
      </c>
      <c r="D412" s="75" t="s">
        <v>1385</v>
      </c>
      <c r="E412" s="60"/>
    </row>
    <row r="413" spans="1:5" ht="14">
      <c r="A413" s="76" t="s">
        <v>446</v>
      </c>
      <c r="B413" s="67">
        <v>500</v>
      </c>
      <c r="C413" s="68" t="s">
        <v>1372</v>
      </c>
      <c r="D413" s="59" t="s">
        <v>1386</v>
      </c>
      <c r="E413" s="60"/>
    </row>
    <row r="414" spans="1:5" ht="14">
      <c r="A414" s="74" t="s">
        <v>414</v>
      </c>
      <c r="B414" s="67">
        <v>120</v>
      </c>
      <c r="C414" s="63" t="s">
        <v>1372</v>
      </c>
      <c r="D414" s="75" t="s">
        <v>1387</v>
      </c>
      <c r="E414" s="60"/>
    </row>
    <row r="415" spans="1:5" ht="14">
      <c r="A415" s="61" t="s">
        <v>413</v>
      </c>
      <c r="B415" s="67">
        <v>500</v>
      </c>
      <c r="C415" s="63" t="s">
        <v>1372</v>
      </c>
      <c r="D415" s="59" t="s">
        <v>1388</v>
      </c>
      <c r="E415" s="60"/>
    </row>
    <row r="416" spans="1:5" ht="14">
      <c r="A416" s="76" t="s">
        <v>460</v>
      </c>
      <c r="B416" s="67">
        <v>120</v>
      </c>
      <c r="C416" s="63" t="s">
        <v>1372</v>
      </c>
      <c r="D416" s="75" t="s">
        <v>1389</v>
      </c>
      <c r="E416" s="60"/>
    </row>
    <row r="417" spans="1:5" ht="14">
      <c r="A417" s="76" t="s">
        <v>580</v>
      </c>
      <c r="B417" s="67">
        <v>500</v>
      </c>
      <c r="C417" s="68" t="s">
        <v>1372</v>
      </c>
      <c r="D417" s="59" t="s">
        <v>1390</v>
      </c>
      <c r="E417" s="60"/>
    </row>
    <row r="418" spans="1:5" ht="14">
      <c r="A418" s="77" t="s">
        <v>443</v>
      </c>
      <c r="B418" s="67">
        <v>120</v>
      </c>
      <c r="C418" s="63" t="s">
        <v>1372</v>
      </c>
      <c r="D418" s="75" t="s">
        <v>1391</v>
      </c>
      <c r="E418" s="60"/>
    </row>
    <row r="419" spans="1:5" ht="14">
      <c r="A419" s="61" t="s">
        <v>442</v>
      </c>
      <c r="B419" s="67">
        <v>500</v>
      </c>
      <c r="C419" s="63" t="s">
        <v>1372</v>
      </c>
      <c r="D419" s="59" t="s">
        <v>1392</v>
      </c>
      <c r="E419" s="60"/>
    </row>
    <row r="420" spans="1:5" ht="14">
      <c r="A420" s="61" t="s">
        <v>423</v>
      </c>
      <c r="B420" s="62">
        <v>250</v>
      </c>
      <c r="C420" s="63" t="s">
        <v>1372</v>
      </c>
      <c r="D420" s="59" t="s">
        <v>1393</v>
      </c>
      <c r="E420" s="60"/>
    </row>
    <row r="421" spans="1:5" ht="14">
      <c r="A421" s="61" t="s">
        <v>431</v>
      </c>
      <c r="B421" s="62">
        <v>250</v>
      </c>
      <c r="C421" s="63" t="s">
        <v>1372</v>
      </c>
      <c r="D421" s="59" t="s">
        <v>1393</v>
      </c>
      <c r="E421" s="60"/>
    </row>
    <row r="422" spans="1:5" ht="14">
      <c r="A422" s="61" t="s">
        <v>437</v>
      </c>
      <c r="B422" s="62">
        <v>250</v>
      </c>
      <c r="C422" s="63" t="s">
        <v>1372</v>
      </c>
      <c r="D422" s="59" t="s">
        <v>1393</v>
      </c>
      <c r="E422" s="60"/>
    </row>
    <row r="423" spans="1:5" ht="14">
      <c r="A423" s="61" t="s">
        <v>434</v>
      </c>
      <c r="B423" s="62">
        <v>250</v>
      </c>
      <c r="C423" s="63" t="s">
        <v>1372</v>
      </c>
      <c r="D423" s="59" t="s">
        <v>1393</v>
      </c>
      <c r="E423" s="60"/>
    </row>
    <row r="424" spans="1:5" ht="14">
      <c r="A424" s="61" t="s">
        <v>462</v>
      </c>
      <c r="B424" s="62">
        <v>250</v>
      </c>
      <c r="C424" s="63" t="s">
        <v>1372</v>
      </c>
      <c r="D424" s="59" t="s">
        <v>1393</v>
      </c>
      <c r="E424" s="60"/>
    </row>
    <row r="425" spans="1:5" ht="14">
      <c r="A425" s="61" t="s">
        <v>477</v>
      </c>
      <c r="B425" s="62">
        <v>250</v>
      </c>
      <c r="C425" s="63" t="s">
        <v>1372</v>
      </c>
      <c r="D425" s="59" t="s">
        <v>1393</v>
      </c>
      <c r="E425" s="60"/>
    </row>
    <row r="426" spans="1:5" ht="14">
      <c r="A426" s="61" t="s">
        <v>426</v>
      </c>
      <c r="B426" s="62">
        <v>250</v>
      </c>
      <c r="C426" s="63" t="s">
        <v>1372</v>
      </c>
      <c r="D426" s="59" t="s">
        <v>1393</v>
      </c>
      <c r="E426" s="60"/>
    </row>
    <row r="427" spans="1:5" ht="14">
      <c r="A427" s="61" t="s">
        <v>450</v>
      </c>
      <c r="B427" s="62">
        <v>400</v>
      </c>
      <c r="C427" s="63" t="s">
        <v>1372</v>
      </c>
      <c r="D427" s="59" t="s">
        <v>1393</v>
      </c>
      <c r="E427" s="60"/>
    </row>
    <row r="428" spans="1:5" ht="14">
      <c r="A428" s="61" t="s">
        <v>417</v>
      </c>
      <c r="B428" s="62">
        <v>400</v>
      </c>
      <c r="C428" s="63" t="s">
        <v>1372</v>
      </c>
      <c r="D428" s="59" t="s">
        <v>1393</v>
      </c>
      <c r="E428" s="60"/>
    </row>
    <row r="429" spans="1:5" ht="14">
      <c r="A429" s="61" t="s">
        <v>515</v>
      </c>
      <c r="B429" s="62">
        <v>400</v>
      </c>
      <c r="C429" s="63" t="s">
        <v>1372</v>
      </c>
      <c r="D429" s="59" t="s">
        <v>1393</v>
      </c>
      <c r="E429" s="60"/>
    </row>
    <row r="430" spans="1:5" ht="14">
      <c r="A430" s="61" t="s">
        <v>550</v>
      </c>
      <c r="B430" s="62">
        <v>400</v>
      </c>
      <c r="C430" s="63" t="s">
        <v>1372</v>
      </c>
      <c r="D430" s="59" t="s">
        <v>1393</v>
      </c>
      <c r="E430" s="60"/>
    </row>
    <row r="431" spans="1:5" ht="14">
      <c r="A431" s="61" t="s">
        <v>420</v>
      </c>
      <c r="B431" s="62">
        <v>400</v>
      </c>
      <c r="C431" s="63" t="s">
        <v>1372</v>
      </c>
      <c r="D431" s="59" t="s">
        <v>1393</v>
      </c>
      <c r="E431" s="60"/>
    </row>
    <row r="432" spans="1:5" ht="14">
      <c r="A432" s="61" t="s">
        <v>465</v>
      </c>
      <c r="B432" s="62">
        <v>400</v>
      </c>
      <c r="C432" s="63" t="s">
        <v>1372</v>
      </c>
      <c r="D432" s="59" t="s">
        <v>1393</v>
      </c>
      <c r="E432" s="60"/>
    </row>
    <row r="433" spans="1:5" ht="14">
      <c r="A433" s="61" t="s">
        <v>495</v>
      </c>
      <c r="B433" s="62">
        <v>400</v>
      </c>
      <c r="C433" s="63" t="s">
        <v>1372</v>
      </c>
      <c r="D433" s="59" t="s">
        <v>1393</v>
      </c>
      <c r="E433" s="60"/>
    </row>
    <row r="434" spans="1:5" ht="14">
      <c r="A434" s="61" t="s">
        <v>1394</v>
      </c>
      <c r="B434" s="62">
        <v>0</v>
      </c>
      <c r="C434" s="63" t="s">
        <v>814</v>
      </c>
      <c r="D434" s="59" t="s">
        <v>1395</v>
      </c>
      <c r="E434" s="60"/>
    </row>
    <row r="435" spans="1:5" ht="14">
      <c r="A435" s="61" t="s">
        <v>322</v>
      </c>
      <c r="B435" s="62">
        <v>1</v>
      </c>
      <c r="C435" s="63" t="s">
        <v>814</v>
      </c>
      <c r="D435" s="59" t="s">
        <v>1396</v>
      </c>
      <c r="E435" s="60"/>
    </row>
    <row r="436" spans="1:5" ht="14">
      <c r="A436" s="56" t="s">
        <v>819</v>
      </c>
      <c r="B436" s="62">
        <v>1</v>
      </c>
      <c r="C436" s="63" t="s">
        <v>814</v>
      </c>
      <c r="D436" s="59" t="s">
        <v>1397</v>
      </c>
      <c r="E436" s="60"/>
    </row>
    <row r="437" spans="1:5" ht="14">
      <c r="A437" s="61" t="s">
        <v>328</v>
      </c>
      <c r="B437" s="64">
        <v>4</v>
      </c>
      <c r="C437" s="63" t="s">
        <v>814</v>
      </c>
      <c r="D437" s="59" t="s">
        <v>1398</v>
      </c>
      <c r="E437" s="60"/>
    </row>
    <row r="438" spans="1:5" ht="14">
      <c r="A438" s="56" t="s">
        <v>334</v>
      </c>
      <c r="B438" s="62">
        <v>100</v>
      </c>
      <c r="C438" s="63" t="s">
        <v>814</v>
      </c>
      <c r="D438" s="59" t="s">
        <v>1399</v>
      </c>
      <c r="E438" s="60"/>
    </row>
    <row r="439" spans="1:5" ht="13">
      <c r="A439" s="14"/>
      <c r="B439" s="67"/>
      <c r="C439" s="68"/>
      <c r="D439" s="69"/>
    </row>
  </sheetData>
  <conditionalFormatting sqref="A1:A436">
    <cfRule type="expression" dxfId="27" priority="1">
      <formula>(B1="")</formula>
    </cfRule>
  </conditionalFormatting>
  <conditionalFormatting sqref="D1:D439">
    <cfRule type="expression" dxfId="26" priority="2">
      <formula>AND(ISNUMBER(FIND("Scroll",A1,1)),ISBLANK(D1))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I2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75" customHeight="1"/>
  <cols>
    <col min="1" max="1" width="27.5" customWidth="1"/>
    <col min="2" max="2" width="14.5" customWidth="1"/>
    <col min="3" max="3" width="14" customWidth="1"/>
    <col min="4" max="4" width="3.83203125" customWidth="1"/>
    <col min="5" max="5" width="4.6640625" customWidth="1"/>
    <col min="6" max="6" width="7.5" customWidth="1"/>
    <col min="7" max="7" width="5.5" customWidth="1"/>
    <col min="8" max="8" width="5.33203125" customWidth="1"/>
    <col min="9" max="10" width="4.5" customWidth="1"/>
    <col min="11" max="11" width="91.83203125" customWidth="1"/>
    <col min="12" max="12" width="9.1640625" customWidth="1"/>
    <col min="13" max="13" width="3.6640625" customWidth="1"/>
    <col min="14" max="14" width="10.1640625" customWidth="1"/>
    <col min="15" max="15" width="6.83203125" customWidth="1"/>
    <col min="16" max="16" width="79.5" customWidth="1"/>
    <col min="17" max="17" width="8" customWidth="1"/>
    <col min="18" max="18" width="6.5" customWidth="1"/>
    <col min="19" max="19" width="6.1640625" customWidth="1"/>
    <col min="20" max="20" width="6.83203125" customWidth="1"/>
    <col min="23" max="23" width="5.83203125" customWidth="1"/>
  </cols>
  <sheetData>
    <row r="1" spans="1:35" ht="14">
      <c r="A1" s="78" t="s">
        <v>1400</v>
      </c>
      <c r="B1" s="79" t="s">
        <v>1401</v>
      </c>
      <c r="C1" s="79" t="s">
        <v>1402</v>
      </c>
      <c r="D1" s="80" t="s">
        <v>1403</v>
      </c>
      <c r="E1" s="79" t="s">
        <v>1404</v>
      </c>
      <c r="F1" s="81" t="s">
        <v>1405</v>
      </c>
      <c r="G1" s="79" t="s">
        <v>1406</v>
      </c>
      <c r="H1" s="81" t="s">
        <v>1407</v>
      </c>
      <c r="I1" s="79" t="s">
        <v>1408</v>
      </c>
      <c r="J1" s="81" t="s">
        <v>1409</v>
      </c>
      <c r="K1" s="82" t="s">
        <v>1410</v>
      </c>
      <c r="L1" s="83" t="s">
        <v>1411</v>
      </c>
      <c r="M1" s="83" t="s">
        <v>1412</v>
      </c>
      <c r="N1" s="83" t="s">
        <v>1413</v>
      </c>
      <c r="O1" s="83" t="s">
        <v>1414</v>
      </c>
      <c r="P1" s="84" t="s">
        <v>1415</v>
      </c>
      <c r="Q1" s="85" t="s">
        <v>1416</v>
      </c>
      <c r="R1" s="85" t="s">
        <v>1417</v>
      </c>
      <c r="S1" s="85" t="s">
        <v>1418</v>
      </c>
      <c r="T1" s="86" t="s">
        <v>1419</v>
      </c>
      <c r="U1" s="83" t="s">
        <v>1420</v>
      </c>
      <c r="W1" s="87"/>
      <c r="X1" s="88"/>
      <c r="Y1" s="87"/>
      <c r="Z1" s="87"/>
      <c r="AA1" s="87"/>
      <c r="AB1" s="87"/>
      <c r="AC1" s="87"/>
      <c r="AD1" s="87"/>
      <c r="AE1" s="87"/>
      <c r="AF1" s="87"/>
      <c r="AG1" s="87"/>
      <c r="AH1" s="87"/>
      <c r="AI1" s="87"/>
    </row>
    <row r="2" spans="1:35" ht="14">
      <c r="A2" s="89" t="s">
        <v>1421</v>
      </c>
      <c r="B2" s="90" t="s">
        <v>1422</v>
      </c>
      <c r="C2" s="90" t="s">
        <v>1422</v>
      </c>
      <c r="D2" s="91">
        <v>2</v>
      </c>
      <c r="E2" s="90">
        <v>1</v>
      </c>
      <c r="F2" s="92">
        <v>0</v>
      </c>
      <c r="G2" s="90">
        <v>2</v>
      </c>
      <c r="H2" s="92">
        <v>8</v>
      </c>
      <c r="I2" s="90">
        <v>4</v>
      </c>
      <c r="J2" s="92" t="s">
        <v>126</v>
      </c>
      <c r="K2" s="93" t="s">
        <v>1423</v>
      </c>
      <c r="L2" s="94" t="s">
        <v>126</v>
      </c>
      <c r="M2" s="95"/>
      <c r="N2" s="95"/>
      <c r="O2" s="94" t="s">
        <v>126</v>
      </c>
      <c r="P2" s="96"/>
      <c r="Q2" s="97"/>
      <c r="R2" s="97"/>
      <c r="S2" s="98"/>
      <c r="T2" s="99"/>
      <c r="U2" s="95">
        <f>COUNTA(A2:A250)</f>
        <v>242</v>
      </c>
      <c r="V2" s="100" t="str">
        <f ca="1">IFERROR(__xludf.DUMMYFUNCTION("unique(B2:B250)"),"Aerotheurge")</f>
        <v>Aerotheurge</v>
      </c>
      <c r="W2" s="60">
        <f ca="1">IFERROR(__xludf.DUMMYFUNCTION("counta(filter(B$2:B250,B$2:B250=V2,C$2:C250=V2))+counta(filter(B$2:B250,B$2:B250&lt;&gt;V2,C$2:C250=V2))+counta(filter(B$2:B250,B$2:B250=V2,C$2:C250&lt;&gt;V2))"),28)</f>
        <v>28</v>
      </c>
      <c r="X2" s="60"/>
      <c r="Y2" s="60"/>
      <c r="Z2" s="60"/>
      <c r="AA2" s="60"/>
      <c r="AB2" s="60"/>
      <c r="AC2" s="60"/>
      <c r="AD2" s="60"/>
      <c r="AE2" s="60"/>
      <c r="AF2" s="60"/>
      <c r="AG2" s="60"/>
      <c r="AH2" s="60"/>
      <c r="AI2" s="60"/>
    </row>
    <row r="3" spans="1:35" ht="56">
      <c r="A3" s="89" t="s">
        <v>1424</v>
      </c>
      <c r="B3" s="90" t="s">
        <v>1422</v>
      </c>
      <c r="C3" s="90" t="s">
        <v>1422</v>
      </c>
      <c r="D3" s="91">
        <v>1</v>
      </c>
      <c r="E3" s="90">
        <v>2</v>
      </c>
      <c r="F3" s="92">
        <v>0</v>
      </c>
      <c r="G3" s="90">
        <v>4</v>
      </c>
      <c r="H3" s="92" t="s">
        <v>126</v>
      </c>
      <c r="I3" s="90">
        <v>5</v>
      </c>
      <c r="J3" s="92" t="s">
        <v>1425</v>
      </c>
      <c r="K3" s="93" t="s">
        <v>1426</v>
      </c>
      <c r="L3" s="101">
        <v>72</v>
      </c>
      <c r="M3" s="95"/>
      <c r="N3" s="95"/>
      <c r="O3" s="94" t="s">
        <v>1427</v>
      </c>
      <c r="P3" s="96" t="str">
        <f>IF(ISBLANK(Q3),"",CONCATENATE(Q3,": ",VLOOKUP(Q3,Status!A:C,3,FALSE),IF(ISBLANK(R3),"",CONCATENATE(CHAR(10),R3,": ",VLOOKUP(R3,Status!A:C,3,FALSE),IF(ISBLANK(S3),"",CONCATENATE(CHAR(10),S3,": ",VLOOKUP(S3,Status!A:C,3,FALSE)))))))</f>
        <v>Blinding Radiance: +20% Air Resistance.  Set Blinded on enemies while they're within 5m of you (ends when you're out of range).
Blinded: -35% Accruacy.  Skill and attack range is limited to a maximum of 3m.  Prevents performing attacks of opportunity.  Removed by First Aid and Peace of Mind.</v>
      </c>
      <c r="Q3" s="102" t="s">
        <v>1424</v>
      </c>
      <c r="R3" s="102" t="s">
        <v>1428</v>
      </c>
      <c r="S3" s="102"/>
      <c r="T3" s="103" t="s">
        <v>348</v>
      </c>
      <c r="U3" s="104"/>
      <c r="V3" s="100" t="str">
        <f ca="1">IFERROR(__xludf.DUMMYFUNCTION("""COMPUTED_VALUE"""),"Character")</f>
        <v>Character</v>
      </c>
      <c r="W3" s="60">
        <f ca="1">IFERROR(__xludf.DUMMYFUNCTION("counta(filter(B$2:B250,B$2:B250=V3,C$2:C250=V3))+counta(filter(B$2:B250,B$2:B250&lt;&gt;V3,C$2:C250=V3))+counta(filter(B$2:B250,B$2:B250=V3,C$2:C250&lt;&gt;V3))"),20)</f>
        <v>20</v>
      </c>
      <c r="X3" s="60"/>
      <c r="Y3" s="60"/>
      <c r="Z3" s="60"/>
      <c r="AA3" s="60"/>
      <c r="AB3" s="60"/>
      <c r="AC3" s="60"/>
      <c r="AD3" s="60"/>
      <c r="AE3" s="60"/>
      <c r="AF3" s="60"/>
      <c r="AG3" s="60"/>
      <c r="AH3" s="60"/>
      <c r="AI3" s="60"/>
    </row>
    <row r="4" spans="1:35" ht="98">
      <c r="A4" s="105" t="s">
        <v>1429</v>
      </c>
      <c r="B4" s="106" t="s">
        <v>1422</v>
      </c>
      <c r="C4" s="106" t="s">
        <v>1422</v>
      </c>
      <c r="D4" s="91">
        <v>3</v>
      </c>
      <c r="E4" s="106">
        <v>3</v>
      </c>
      <c r="F4" s="92">
        <v>1</v>
      </c>
      <c r="G4" s="106">
        <v>5</v>
      </c>
      <c r="H4" s="92">
        <v>13</v>
      </c>
      <c r="I4" s="106">
        <v>8</v>
      </c>
      <c r="J4" s="92" t="s">
        <v>1425</v>
      </c>
      <c r="K4" s="107" t="s">
        <v>1430</v>
      </c>
      <c r="L4" s="101">
        <v>119</v>
      </c>
      <c r="M4" s="95"/>
      <c r="N4" s="95"/>
      <c r="O4" s="94" t="s">
        <v>1427</v>
      </c>
      <c r="P4" s="96" t="str">
        <f>IF(ISBLANK(Q4),"",CONCATENATE(Q4,": ",VLOOKUP(Q4,Status!A:C,3,FALSE),IF(ISBLANK(R4),"",CONCATENATE(CHAR(10),R4,": ",VLOOKUP(R4,Status!A:C,3,FALSE),IF(ISBLANK(S4),"",CONCATENATE(CHAR(10),S4,": ",VLOOKUP(S4,Status!A:C,3,FALSE)))))))</f>
        <v>Shocked: -1 AP, -1 AP Recovery, -30% Dodging, +15% Earth Resistance, -15% Air Resistance.  Characters who are Wet or are already Shocked will be Stunned instead.  If a character receiving this status is standing in a Water or Blood surface or cloud, the surface/cloud will be electrified.  Removed by Turn To Oil.
Stunned: Cannot move or act.  -100% Dodging, +15% Earth Resistance, -15% Air Resistance.  Immune to:  Charmed, Frozen, Petrified, Taunted, Terrified, Sleeping.  Removed by Armour of Frost, Bless, Blessed Oil (surface), and Turn To Oil.</v>
      </c>
      <c r="Q4" s="102" t="s">
        <v>1431</v>
      </c>
      <c r="R4" s="102" t="s">
        <v>1432</v>
      </c>
      <c r="S4" s="102"/>
      <c r="T4" s="103" t="s">
        <v>348</v>
      </c>
      <c r="U4" s="104"/>
      <c r="V4" s="100" t="str">
        <f ca="1">IFERROR(__xludf.DUMMYFUNCTION("""COMPUTED_VALUE"""),"Equipment")</f>
        <v>Equipment</v>
      </c>
      <c r="W4" s="60">
        <f ca="1">IFERROR(__xludf.DUMMYFUNCTION("counta(filter(B$2:B250,B$2:B250=V4,C$2:C250=V4))+counta(filter(B$2:B250,B$2:B250&lt;&gt;V4,C$2:C250=V4))+counta(filter(B$2:B250,B$2:B250=V4,C$2:C250&lt;&gt;V4))"),6)</f>
        <v>6</v>
      </c>
      <c r="X4" s="60"/>
      <c r="Y4" s="60"/>
      <c r="Z4" s="60"/>
      <c r="AA4" s="60"/>
      <c r="AB4" s="60"/>
      <c r="AC4" s="60"/>
      <c r="AD4" s="60"/>
      <c r="AE4" s="60"/>
      <c r="AF4" s="60"/>
      <c r="AG4" s="60"/>
      <c r="AH4" s="60"/>
      <c r="AI4" s="60"/>
    </row>
    <row r="5" spans="1:35" ht="112">
      <c r="A5" s="89" t="s">
        <v>1433</v>
      </c>
      <c r="B5" s="90" t="s">
        <v>1422</v>
      </c>
      <c r="C5" s="90" t="s">
        <v>1422</v>
      </c>
      <c r="D5" s="91">
        <v>3</v>
      </c>
      <c r="E5" s="90">
        <v>2</v>
      </c>
      <c r="F5" s="92">
        <v>2</v>
      </c>
      <c r="G5" s="90">
        <v>4</v>
      </c>
      <c r="H5" s="92" t="s">
        <v>126</v>
      </c>
      <c r="I5" s="90">
        <v>4</v>
      </c>
      <c r="J5" s="92" t="s">
        <v>1425</v>
      </c>
      <c r="K5" s="93" t="s">
        <v>1434</v>
      </c>
      <c r="L5" s="101">
        <v>174</v>
      </c>
      <c r="M5" s="95"/>
      <c r="N5" s="95"/>
      <c r="O5" s="94" t="s">
        <v>1427</v>
      </c>
      <c r="P5" s="96" t="str">
        <f>IF(ISBLANK(Q5),"",CONCATENATE(Q5,": ",VLOOKUP(Q5,Status!A:C,3,FALSE),IF(ISBLANK(R5),"",CONCATENATE(CHAR(10),R5,": ",VLOOKUP(R5,Status!A:C,3,FALSE),IF(ISBLANK(S5),"",CONCATENATE(CHAR(10),S5,": ",VLOOKUP(S5,Status!A:C,3,FALSE)))))))</f>
        <v>Shocked: -1 AP, -1 AP Recovery, -30% Dodging, +15% Earth Resistance, -15% Air Resistance.  Characters who are Wet or are already Shocked will be Stunned instead.  If a character receiving this status is standing in a Water or Blood surface or cloud, the surface/cloud will be electrified.  Removed by Turn To Oil.
Stunned: Cannot move or act.  -100% Dodging, +15% Earth Resistance, -15% Air Resistance.  Immune to:  Charmed, Frozen, Petrified, Taunted, Terrified, Sleeping.  Removed by Armour of Frost, Bless, Blessed Oil (surface), and Turn To Oil.
Air Immunity: +100% Air Resistance.  Immune to Shocked and Stunned.</v>
      </c>
      <c r="Q5" s="102" t="s">
        <v>1431</v>
      </c>
      <c r="R5" s="102" t="s">
        <v>1432</v>
      </c>
      <c r="S5" s="102" t="s">
        <v>1435</v>
      </c>
      <c r="T5" s="103" t="s">
        <v>348</v>
      </c>
      <c r="U5" s="104"/>
      <c r="V5" s="100" t="str">
        <f ca="1">IFERROR(__xludf.DUMMYFUNCTION("""COMPUTED_VALUE"""),"Geomancer")</f>
        <v>Geomancer</v>
      </c>
      <c r="W5" s="60">
        <f ca="1">IFERROR(__xludf.DUMMYFUNCTION("counta(filter(B$2:B250,B$2:B250=V5,C$2:C250=V5))+counta(filter(B$2:B250,B$2:B250&lt;&gt;V5,C$2:C250=V5))+counta(filter(B$2:B250,B$2:B250=V5,C$2:C250&lt;&gt;V5))"),28)</f>
        <v>28</v>
      </c>
      <c r="X5" s="60"/>
      <c r="Y5" s="60"/>
      <c r="Z5" s="60"/>
      <c r="AA5" s="60"/>
      <c r="AB5" s="60"/>
      <c r="AC5" s="60"/>
      <c r="AD5" s="60"/>
      <c r="AE5" s="60"/>
      <c r="AF5" s="60"/>
      <c r="AG5" s="60"/>
      <c r="AH5" s="60"/>
      <c r="AI5" s="60"/>
    </row>
    <row r="6" spans="1:35" ht="98">
      <c r="A6" s="89" t="s">
        <v>1436</v>
      </c>
      <c r="B6" s="90" t="s">
        <v>1422</v>
      </c>
      <c r="C6" s="90" t="s">
        <v>1422</v>
      </c>
      <c r="D6" s="91">
        <v>2</v>
      </c>
      <c r="E6" s="90">
        <v>3</v>
      </c>
      <c r="F6" s="92">
        <v>0</v>
      </c>
      <c r="G6" s="90">
        <v>3</v>
      </c>
      <c r="H6" s="92">
        <v>13</v>
      </c>
      <c r="I6" s="90">
        <v>3</v>
      </c>
      <c r="J6" s="92" t="s">
        <v>1425</v>
      </c>
      <c r="K6" s="93" t="s">
        <v>1437</v>
      </c>
      <c r="L6" s="101">
        <v>95</v>
      </c>
      <c r="M6" s="95"/>
      <c r="N6" s="95"/>
      <c r="O6" s="94" t="s">
        <v>1427</v>
      </c>
      <c r="P6" s="96" t="str">
        <f>IF(ISBLANK(Q6),"",CONCATENATE(Q6,": ",VLOOKUP(Q6,Status!A:C,3,FALSE),IF(ISBLANK(R6),"",CONCATENATE(CHAR(10),R6,": ",VLOOKUP(R6,Status!A:C,3,FALSE),IF(ISBLANK(S6),"",CONCATENATE(CHAR(10),S6,": ",VLOOKUP(S6,Status!A:C,3,FALSE)))))))</f>
        <v>Shocked: -1 AP, -1 AP Recovery, -30% Dodging, +15% Earth Resistance, -15% Air Resistance.  Characters who are Wet or are already Shocked will be Stunned instead.  If a character receiving this status is standing in a Water or Blood surface or cloud, the surface/cloud will be electrified.  Removed by Turn To Oil.
Stunned: Cannot move or act.  -100% Dodging, +15% Earth Resistance, -15% Air Resistance.  Immune to:  Charmed, Frozen, Petrified, Taunted, Terrified, Sleeping.  Removed by Armour of Frost, Bless, Blessed Oil (surface), and Turn To Oil.</v>
      </c>
      <c r="Q6" s="102" t="s">
        <v>1431</v>
      </c>
      <c r="R6" s="102" t="s">
        <v>1432</v>
      </c>
      <c r="S6" s="102"/>
      <c r="T6" s="103" t="s">
        <v>348</v>
      </c>
      <c r="U6" s="104"/>
      <c r="V6" s="100" t="str">
        <f ca="1">IFERROR(__xludf.DUMMYFUNCTION("""COMPUTED_VALUE"""),"Huntsman")</f>
        <v>Huntsman</v>
      </c>
      <c r="W6" s="60">
        <f ca="1">IFERROR(__xludf.DUMMYFUNCTION("counta(filter(B$2:B250,B$2:B250=V6,C$2:C250=V6))+counta(filter(B$2:B250,B$2:B250&lt;&gt;V6,C$2:C250=V6))+counta(filter(B$2:B250,B$2:B250=V6,C$2:C250&lt;&gt;V6))"),24)</f>
        <v>24</v>
      </c>
      <c r="X6" s="60"/>
      <c r="Y6" s="60"/>
      <c r="Z6" s="60"/>
      <c r="AA6" s="60"/>
      <c r="AB6" s="60"/>
      <c r="AC6" s="60"/>
      <c r="AD6" s="60"/>
      <c r="AE6" s="60"/>
      <c r="AF6" s="60"/>
      <c r="AG6" s="60"/>
      <c r="AH6" s="60"/>
      <c r="AI6" s="60"/>
    </row>
    <row r="7" spans="1:35" ht="98">
      <c r="A7" s="105" t="s">
        <v>1438</v>
      </c>
      <c r="B7" s="106" t="s">
        <v>1422</v>
      </c>
      <c r="C7" s="106" t="s">
        <v>1422</v>
      </c>
      <c r="D7" s="91">
        <v>1</v>
      </c>
      <c r="E7" s="106">
        <v>2</v>
      </c>
      <c r="F7" s="92">
        <v>0</v>
      </c>
      <c r="G7" s="106">
        <v>3</v>
      </c>
      <c r="H7" s="92">
        <v>13</v>
      </c>
      <c r="I7" s="106" t="s">
        <v>126</v>
      </c>
      <c r="J7" s="92" t="s">
        <v>1425</v>
      </c>
      <c r="K7" s="107" t="s">
        <v>1439</v>
      </c>
      <c r="L7" s="101">
        <v>72</v>
      </c>
      <c r="M7" s="95"/>
      <c r="N7" s="95"/>
      <c r="O7" s="94" t="s">
        <v>1427</v>
      </c>
      <c r="P7" s="96" t="str">
        <f>IF(ISBLANK(Q7),"",CONCATENATE(Q7,": ",VLOOKUP(Q7,Status!A:C,3,FALSE),IF(ISBLANK(R7),"",CONCATENATE(CHAR(10),R7,": ",VLOOKUP(R7,Status!A:C,3,FALSE),IF(ISBLANK(S7),"",CONCATENATE(CHAR(10),S7,": ",VLOOKUP(S7,Status!A:C,3,FALSE)))))))</f>
        <v>Shocked: -1 AP, -1 AP Recovery, -30% Dodging, +15% Earth Resistance, -15% Air Resistance.  Characters who are Wet or are already Shocked will be Stunned instead.  If a character receiving this status is standing in a Water or Blood surface or cloud, the surface/cloud will be electrified.  Removed by Turn To Oil.
Stunned: Cannot move or act.  -100% Dodging, +15% Earth Resistance, -15% Air Resistance.  Immune to:  Charmed, Frozen, Petrified, Taunted, Terrified, Sleeping.  Removed by Armour of Frost, Bless, Blessed Oil (surface), and Turn To Oil.</v>
      </c>
      <c r="Q7" s="102" t="s">
        <v>1431</v>
      </c>
      <c r="R7" s="102" t="s">
        <v>1432</v>
      </c>
      <c r="S7" s="102"/>
      <c r="T7" s="103" t="s">
        <v>348</v>
      </c>
      <c r="U7" s="104"/>
      <c r="V7" s="100" t="str">
        <f ca="1">IFERROR(__xludf.DUMMYFUNCTION("""COMPUTED_VALUE"""),"Hydrosophist")</f>
        <v>Hydrosophist</v>
      </c>
      <c r="W7" s="60">
        <f ca="1">IFERROR(__xludf.DUMMYFUNCTION("counta(filter(B$2:B250,B$2:B250=V7,C$2:C250=V7))+counta(filter(B$2:B250,B$2:B250&lt;&gt;V7,C$2:C250=V7))+counta(filter(B$2:B250,B$2:B250=V7,C$2:C250&lt;&gt;V7))"),28)</f>
        <v>28</v>
      </c>
      <c r="X7" s="60"/>
      <c r="Y7" s="60"/>
      <c r="Z7" s="60"/>
      <c r="AA7" s="60"/>
      <c r="AB7" s="60"/>
      <c r="AC7" s="60"/>
      <c r="AD7" s="60"/>
      <c r="AE7" s="60"/>
      <c r="AF7" s="60"/>
      <c r="AG7" s="60"/>
      <c r="AH7" s="60"/>
      <c r="AI7" s="60"/>
    </row>
    <row r="8" spans="1:35" ht="22">
      <c r="A8" s="89" t="s">
        <v>1440</v>
      </c>
      <c r="B8" s="90" t="s">
        <v>1422</v>
      </c>
      <c r="C8" s="90" t="s">
        <v>1422</v>
      </c>
      <c r="D8" s="91">
        <v>1</v>
      </c>
      <c r="E8" s="90">
        <v>1</v>
      </c>
      <c r="F8" s="92">
        <v>0</v>
      </c>
      <c r="G8" s="90">
        <v>6</v>
      </c>
      <c r="H8" s="92" t="s">
        <v>126</v>
      </c>
      <c r="I8" s="90" t="s">
        <v>126</v>
      </c>
      <c r="J8" s="92" t="s">
        <v>126</v>
      </c>
      <c r="K8" s="93" t="s">
        <v>1441</v>
      </c>
      <c r="L8" s="95"/>
      <c r="M8" s="95"/>
      <c r="N8" s="95"/>
      <c r="O8" s="94" t="s">
        <v>126</v>
      </c>
      <c r="P8" s="96" t="str">
        <f>IF(ISBLANK(Q8),"",CONCATENATE(Q8,": ",VLOOKUP(Q8,Status!A:C,3,FALSE),IF(ISBLANK(R8),"",CONCATENATE(CHAR(10),R8,": ",VLOOKUP(R8,Status!A:C,3,FALSE),IF(ISBLANK(S8),"",CONCATENATE(CHAR(10),S8,": ",VLOOKUP(S8,Status!A:C,3,FALSE)))))))</f>
        <v>Favourable Wind Aura: +1.5 Movement on self and allies within 10 meters.</v>
      </c>
      <c r="Q8" s="102" t="s">
        <v>1442</v>
      </c>
      <c r="R8" s="97"/>
      <c r="S8" s="97"/>
      <c r="T8" s="108"/>
      <c r="U8" s="109"/>
      <c r="V8" s="100" t="str">
        <f ca="1">IFERROR(__xludf.DUMMYFUNCTION("""COMPUTED_VALUE"""),"Misc")</f>
        <v>Misc</v>
      </c>
      <c r="W8" s="60">
        <f ca="1">IFERROR(__xludf.DUMMYFUNCTION("counta(filter(B$2:B250,B$2:B250=V8,C$2:C250=V8))+counta(filter(B$2:B250,B$2:B250&lt;&gt;V8,C$2:C250=V8))+counta(filter(B$2:B250,B$2:B250=V8,C$2:C250&lt;&gt;V8))"),3)</f>
        <v>3</v>
      </c>
      <c r="X8" s="60"/>
      <c r="Y8" s="60"/>
      <c r="Z8" s="60"/>
      <c r="AA8" s="60"/>
      <c r="AB8" s="60"/>
      <c r="AC8" s="60"/>
      <c r="AD8" s="60"/>
      <c r="AE8" s="60"/>
      <c r="AF8" s="60"/>
      <c r="AG8" s="60"/>
      <c r="AH8" s="60"/>
      <c r="AI8" s="60"/>
    </row>
    <row r="9" spans="1:35" ht="14">
      <c r="A9" s="105" t="s">
        <v>1443</v>
      </c>
      <c r="B9" s="106" t="s">
        <v>1422</v>
      </c>
      <c r="C9" s="106" t="s">
        <v>1422</v>
      </c>
      <c r="D9" s="91">
        <v>2</v>
      </c>
      <c r="E9" s="106">
        <v>1</v>
      </c>
      <c r="F9" s="92">
        <v>0</v>
      </c>
      <c r="G9" s="106">
        <v>3</v>
      </c>
      <c r="H9" s="92">
        <v>13</v>
      </c>
      <c r="I9" s="106" t="s">
        <v>126</v>
      </c>
      <c r="J9" s="92" t="s">
        <v>126</v>
      </c>
      <c r="K9" s="107" t="s">
        <v>1444</v>
      </c>
      <c r="L9" s="95"/>
      <c r="M9" s="95"/>
      <c r="N9" s="95"/>
      <c r="O9" s="94" t="s">
        <v>126</v>
      </c>
      <c r="P9" s="96" t="str">
        <f>IF(ISBLANK(Q9),"",CONCATENATE(Q9,": ",VLOOKUP(Q9,Status!A:C,3,FALSE),IF(ISBLANK(R9),"",CONCATENATE(CHAR(10),R9,": ",VLOOKUP(R9,Status!A:C,3,FALSE),IF(ISBLANK(S9),"",CONCATENATE(CHAR(10),S9,": ",VLOOKUP(S9,Status!A:C,3,FALSE)))))))</f>
        <v/>
      </c>
      <c r="Q9" s="102"/>
      <c r="R9" s="97"/>
      <c r="S9" s="97"/>
      <c r="T9" s="108"/>
      <c r="U9" s="109"/>
      <c r="V9" s="100" t="str">
        <f ca="1">IFERROR(__xludf.DUMMYFUNCTION("""COMPUTED_VALUE"""),"Necromancer")</f>
        <v>Necromancer</v>
      </c>
      <c r="W9" s="60">
        <f ca="1">IFERROR(__xludf.DUMMYFUNCTION("counta(filter(B$2:B250,B$2:B250=V9,C$2:C250=V9))+counta(filter(B$2:B250,B$2:B250&lt;&gt;V9,C$2:C250=V9))+counta(filter(B$2:B250,B$2:B250=V9,C$2:C250&lt;&gt;V9))"),24)</f>
        <v>24</v>
      </c>
      <c r="X9" s="60"/>
      <c r="Y9" s="60"/>
      <c r="Z9" s="60"/>
      <c r="AA9" s="60"/>
      <c r="AB9" s="60"/>
      <c r="AC9" s="60"/>
      <c r="AD9" s="60"/>
      <c r="AE9" s="60"/>
      <c r="AF9" s="60"/>
      <c r="AG9" s="60"/>
      <c r="AH9" s="60"/>
      <c r="AI9" s="60"/>
    </row>
    <row r="10" spans="1:35" ht="14">
      <c r="A10" s="89" t="s">
        <v>1445</v>
      </c>
      <c r="B10" s="90" t="s">
        <v>1422</v>
      </c>
      <c r="C10" s="90" t="s">
        <v>1422</v>
      </c>
      <c r="D10" s="91">
        <v>2</v>
      </c>
      <c r="E10" s="90">
        <v>1</v>
      </c>
      <c r="F10" s="92">
        <v>0</v>
      </c>
      <c r="G10" s="90">
        <v>3</v>
      </c>
      <c r="H10" s="92">
        <v>13</v>
      </c>
      <c r="I10" s="90">
        <v>3</v>
      </c>
      <c r="J10" s="92" t="s">
        <v>126</v>
      </c>
      <c r="K10" s="93" t="s">
        <v>1446</v>
      </c>
      <c r="L10" s="94">
        <v>57</v>
      </c>
      <c r="M10" s="95"/>
      <c r="N10" s="95"/>
      <c r="O10" s="94" t="s">
        <v>1427</v>
      </c>
      <c r="P10" s="96" t="str">
        <f>IF(ISBLANK(Q10),"",CONCATENATE(Q10,": ",VLOOKUP(Q10,Status!A:C,3,FALSE),IF(ISBLANK(R10),"",CONCATENATE(CHAR(10),R10,": ",VLOOKUP(R10,Status!A:C,3,FALSE),IF(ISBLANK(S10),"",CONCATENATE(CHAR(10),S10,": ",VLOOKUP(S10,Status!A:C,3,FALSE)))))))</f>
        <v/>
      </c>
      <c r="Q10" s="102"/>
      <c r="R10" s="97"/>
      <c r="S10" s="102"/>
      <c r="T10" s="103" t="s">
        <v>348</v>
      </c>
      <c r="U10" s="109"/>
      <c r="V10" s="100" t="str">
        <f ca="1">IFERROR(__xludf.DUMMYFUNCTION("""COMPUTED_VALUE"""),"Polymorph")</f>
        <v>Polymorph</v>
      </c>
      <c r="W10" s="60">
        <f ca="1">IFERROR(__xludf.DUMMYFUNCTION("counta(filter(B$2:B250,B$2:B250=V10,C$2:C250=V10))+counta(filter(B$2:B250,B$2:B250&lt;&gt;V10,C$2:C250=V10))+counta(filter(B$2:B250,B$2:B250=V10,C$2:C250&lt;&gt;V10))"),27)</f>
        <v>27</v>
      </c>
      <c r="X10" s="60"/>
      <c r="Y10" s="60"/>
      <c r="Z10" s="60"/>
      <c r="AA10" s="60"/>
      <c r="AB10" s="60"/>
      <c r="AC10" s="60"/>
      <c r="AD10" s="60"/>
      <c r="AE10" s="60"/>
      <c r="AF10" s="60"/>
      <c r="AG10" s="60"/>
      <c r="AH10" s="60"/>
      <c r="AI10" s="60"/>
    </row>
    <row r="11" spans="1:35" ht="98">
      <c r="A11" s="105" t="s">
        <v>1447</v>
      </c>
      <c r="B11" s="106" t="s">
        <v>1422</v>
      </c>
      <c r="C11" s="106" t="s">
        <v>1422</v>
      </c>
      <c r="D11" s="91">
        <v>1</v>
      </c>
      <c r="E11" s="106">
        <v>2</v>
      </c>
      <c r="F11" s="92">
        <v>0</v>
      </c>
      <c r="G11" s="106">
        <v>3</v>
      </c>
      <c r="H11" s="92">
        <v>2</v>
      </c>
      <c r="I11" s="106" t="s">
        <v>126</v>
      </c>
      <c r="J11" s="92" t="s">
        <v>1425</v>
      </c>
      <c r="K11" s="107" t="s">
        <v>1448</v>
      </c>
      <c r="L11" s="94">
        <v>88</v>
      </c>
      <c r="M11" s="95"/>
      <c r="N11" s="95"/>
      <c r="O11" s="94" t="s">
        <v>1427</v>
      </c>
      <c r="P11" s="96" t="str">
        <f>IF(ISBLANK(Q11),"",CONCATENATE(Q11,": ",VLOOKUP(Q11,Status!A:C,3,FALSE),IF(ISBLANK(R11),"",CONCATENATE(CHAR(10),R11,": ",VLOOKUP(R11,Status!A:C,3,FALSE),IF(ISBLANK(S11),"",CONCATENATE(CHAR(10),S11,": ",VLOOKUP(S11,Status!A:C,3,FALSE)))))))</f>
        <v>Shocked: -1 AP, -1 AP Recovery, -30% Dodging, +15% Earth Resistance, -15% Air Resistance.  Characters who are Wet or are already Shocked will be Stunned instead.  If a character receiving this status is standing in a Water or Blood surface or cloud, the surface/cloud will be electrified.  Removed by Turn To Oil.
Stunned: Cannot move or act.  -100% Dodging, +15% Earth Resistance, -15% Air Resistance.  Immune to:  Charmed, Frozen, Petrified, Taunted, Terrified, Sleeping.  Removed by Armour of Frost, Bless, Blessed Oil (surface), and Turn To Oil.</v>
      </c>
      <c r="Q11" s="102" t="s">
        <v>1431</v>
      </c>
      <c r="R11" s="102" t="s">
        <v>1432</v>
      </c>
      <c r="S11" s="102"/>
      <c r="T11" s="103" t="s">
        <v>348</v>
      </c>
      <c r="U11" s="104"/>
      <c r="V11" s="100" t="str">
        <f ca="1">IFERROR(__xludf.DUMMYFUNCTION("""COMPUTED_VALUE"""),"Pyrokinetic")</f>
        <v>Pyrokinetic</v>
      </c>
      <c r="W11" s="60">
        <f ca="1">IFERROR(__xludf.DUMMYFUNCTION("counta(filter(B$2:B250,B$2:B250=V11,C$2:C250=V11))+counta(filter(B$2:B250,B$2:B250&lt;&gt;V11,C$2:C250=V11))+counta(filter(B$2:B250,B$2:B250=V11,C$2:C250&lt;&gt;V11))"),28)</f>
        <v>28</v>
      </c>
      <c r="X11" s="60"/>
      <c r="Y11" s="60"/>
      <c r="Z11" s="60"/>
      <c r="AA11" s="60"/>
      <c r="AB11" s="60"/>
      <c r="AC11" s="60"/>
      <c r="AD11" s="60"/>
      <c r="AE11" s="60"/>
      <c r="AF11" s="60"/>
      <c r="AG11" s="60"/>
      <c r="AH11" s="60"/>
      <c r="AI11" s="60"/>
    </row>
    <row r="12" spans="1:35" ht="98">
      <c r="A12" s="105" t="s">
        <v>1449</v>
      </c>
      <c r="B12" s="106" t="s">
        <v>1422</v>
      </c>
      <c r="C12" s="106" t="s">
        <v>1422</v>
      </c>
      <c r="D12" s="91">
        <v>3</v>
      </c>
      <c r="E12" s="106">
        <v>3</v>
      </c>
      <c r="F12" s="92">
        <v>0</v>
      </c>
      <c r="G12" s="106">
        <v>3</v>
      </c>
      <c r="H12" s="92" t="s">
        <v>126</v>
      </c>
      <c r="I12" s="106">
        <v>8</v>
      </c>
      <c r="J12" s="92" t="s">
        <v>1425</v>
      </c>
      <c r="K12" s="107" t="s">
        <v>1450</v>
      </c>
      <c r="L12" s="101">
        <v>79</v>
      </c>
      <c r="M12" s="95"/>
      <c r="N12" s="95"/>
      <c r="O12" s="94" t="s">
        <v>1427</v>
      </c>
      <c r="P12" s="96" t="str">
        <f>IF(ISBLANK(Q12),"",CONCATENATE(Q12,": ",VLOOKUP(Q12,Status!A:C,3,FALSE),IF(ISBLANK(R12),"",CONCATENATE(CHAR(10),R12,": ",VLOOKUP(R12,Status!A:C,3,FALSE),IF(ISBLANK(S12),"",CONCATENATE(CHAR(10),S12,": ",VLOOKUP(S12,Status!A:C,3,FALSE)))))))</f>
        <v>Shocked: -1 AP, -1 AP Recovery, -30% Dodging, +15% Earth Resistance, -15% Air Resistance.  Characters who are Wet or are already Shocked will be Stunned instead.  If a character receiving this status is standing in a Water or Blood surface or cloud, the surface/cloud will be electrified.  Removed by Turn To Oil.
Stunned: Cannot move or act.  -100% Dodging, +15% Earth Resistance, -15% Air Resistance.  Immune to:  Charmed, Frozen, Petrified, Taunted, Terrified, Sleeping.  Removed by Armour of Frost, Bless, Blessed Oil (surface), and Turn To Oil.</v>
      </c>
      <c r="Q12" s="102" t="s">
        <v>1431</v>
      </c>
      <c r="R12" s="102" t="s">
        <v>1432</v>
      </c>
      <c r="S12" s="102"/>
      <c r="T12" s="103" t="s">
        <v>348</v>
      </c>
      <c r="U12" s="104"/>
      <c r="V12" s="100" t="str">
        <f ca="1">IFERROR(__xludf.DUMMYFUNCTION("""COMPUTED_VALUE"""),"Scoundrel")</f>
        <v>Scoundrel</v>
      </c>
      <c r="W12" s="60">
        <f ca="1">IFERROR(__xludf.DUMMYFUNCTION("counta(filter(B$2:B250,B$2:B250=V12,C$2:C250=V12))+counta(filter(B$2:B250,B$2:B250&lt;&gt;V12,C$2:C250=V12))+counta(filter(B$2:B250,B$2:B250=V12,C$2:C250&lt;&gt;V12))"),24)</f>
        <v>24</v>
      </c>
      <c r="X12" s="60"/>
      <c r="Y12" s="60"/>
      <c r="Z12" s="60"/>
      <c r="AA12" s="60"/>
      <c r="AB12" s="60"/>
      <c r="AC12" s="60"/>
      <c r="AD12" s="60"/>
      <c r="AE12" s="60"/>
      <c r="AF12" s="60"/>
      <c r="AG12" s="60"/>
      <c r="AH12" s="60"/>
      <c r="AI12" s="60"/>
    </row>
    <row r="13" spans="1:35" ht="28">
      <c r="A13" s="105" t="s">
        <v>1451</v>
      </c>
      <c r="B13" s="106" t="s">
        <v>1422</v>
      </c>
      <c r="C13" s="106" t="s">
        <v>1422</v>
      </c>
      <c r="D13" s="91">
        <v>2</v>
      </c>
      <c r="E13" s="106">
        <v>2</v>
      </c>
      <c r="F13" s="92">
        <v>0</v>
      </c>
      <c r="G13" s="106">
        <v>4</v>
      </c>
      <c r="H13" s="92">
        <v>13</v>
      </c>
      <c r="I13" s="106">
        <v>1</v>
      </c>
      <c r="J13" s="92" t="s">
        <v>126</v>
      </c>
      <c r="K13" s="107" t="s">
        <v>1452</v>
      </c>
      <c r="L13" s="94">
        <v>29</v>
      </c>
      <c r="M13" s="95"/>
      <c r="N13" s="95"/>
      <c r="O13" s="94" t="s">
        <v>1427</v>
      </c>
      <c r="P13" s="96" t="str">
        <f>IF(ISBLANK(Q13),"",CONCATENATE(Q13,": ",VLOOKUP(Q13,Status!A:C,3,FALSE),IF(ISBLANK(R13),"",CONCATENATE(CHAR(10),R13,": ",VLOOKUP(R13,Status!A:C,3,FALSE),IF(ISBLANK(S13),"",CONCATENATE(CHAR(10),S13,": ",VLOOKUP(S13,Status!A:C,3,FALSE)))))))</f>
        <v/>
      </c>
      <c r="Q13" s="102"/>
      <c r="R13" s="97"/>
      <c r="S13" s="102"/>
      <c r="T13" s="103" t="s">
        <v>348</v>
      </c>
      <c r="U13" s="109"/>
      <c r="V13" s="100" t="str">
        <f ca="1">IFERROR(__xludf.DUMMYFUNCTION("""COMPUTED_VALUE"""),"Summon")</f>
        <v>Summon</v>
      </c>
      <c r="W13" s="60">
        <f ca="1">IFERROR(__xludf.DUMMYFUNCTION("counta(filter(B$2:B250,B$2:B250=V13,C$2:C250=V13))+counta(filter(B$2:B250,B$2:B250&lt;&gt;V13,C$2:C250=V13))+counta(filter(B$2:B250,B$2:B250=V13,C$2:C250&lt;&gt;V13))"),14)</f>
        <v>14</v>
      </c>
      <c r="X13" s="60"/>
      <c r="Y13" s="60"/>
      <c r="Z13" s="60"/>
      <c r="AA13" s="60"/>
      <c r="AB13" s="60"/>
      <c r="AC13" s="60"/>
      <c r="AD13" s="60"/>
      <c r="AE13" s="60"/>
      <c r="AF13" s="60"/>
      <c r="AG13" s="60"/>
      <c r="AH13" s="60"/>
      <c r="AI13" s="60"/>
    </row>
    <row r="14" spans="1:35" ht="98">
      <c r="A14" s="105" t="s">
        <v>1453</v>
      </c>
      <c r="B14" s="106" t="s">
        <v>1422</v>
      </c>
      <c r="C14" s="106" t="s">
        <v>1422</v>
      </c>
      <c r="D14" s="91">
        <v>5</v>
      </c>
      <c r="E14" s="106">
        <v>4</v>
      </c>
      <c r="F14" s="92">
        <v>3</v>
      </c>
      <c r="G14" s="106">
        <v>5</v>
      </c>
      <c r="H14" s="92">
        <v>16.5</v>
      </c>
      <c r="I14" s="106">
        <v>9.5</v>
      </c>
      <c r="J14" s="92" t="s">
        <v>1425</v>
      </c>
      <c r="K14" s="107" t="s">
        <v>1454</v>
      </c>
      <c r="L14" s="110">
        <v>173</v>
      </c>
      <c r="M14" s="95"/>
      <c r="N14" s="95"/>
      <c r="O14" s="94" t="s">
        <v>1427</v>
      </c>
      <c r="P14" s="96" t="str">
        <f>IF(ISBLANK(Q14),"",CONCATENATE(Q14,": ",VLOOKUP(Q14,Status!A:C,3,FALSE),IF(ISBLANK(R14),"",CONCATENATE(CHAR(10),R14,": ",VLOOKUP(R14,Status!A:C,3,FALSE),IF(ISBLANK(S14),"",CONCATENATE(CHAR(10),S14,": ",VLOOKUP(S14,Status!A:C,3,FALSE)))))))</f>
        <v>Shocked: -1 AP, -1 AP Recovery, -30% Dodging, +15% Earth Resistance, -15% Air Resistance.  Characters who are Wet or are already Shocked will be Stunned instead.  If a character receiving this status is standing in a Water or Blood surface or cloud, the surface/cloud will be electrified.  Removed by Turn To Oil.
Stunned: Cannot move or act.  -100% Dodging, +15% Earth Resistance, -15% Air Resistance.  Immune to:  Charmed, Frozen, Petrified, Taunted, Terrified, Sleeping.  Removed by Armour of Frost, Bless, Blessed Oil (surface), and Turn To Oil.</v>
      </c>
      <c r="Q14" s="102" t="s">
        <v>1431</v>
      </c>
      <c r="R14" s="102" t="s">
        <v>1432</v>
      </c>
      <c r="S14" s="102"/>
      <c r="T14" s="103" t="s">
        <v>348</v>
      </c>
      <c r="U14" s="109"/>
      <c r="V14" s="100" t="str">
        <f ca="1">IFERROR(__xludf.DUMMYFUNCTION("""COMPUTED_VALUE"""),"Summoning")</f>
        <v>Summoning</v>
      </c>
      <c r="W14" s="60">
        <f ca="1">IFERROR(__xludf.DUMMYFUNCTION("counta(filter(B$2:B250,B$2:B250=V14,C$2:C250=V14))+counta(filter(B$2:B250,B$2:B250&lt;&gt;V14,C$2:C250=V14))+counta(filter(B$2:B250,B$2:B250=V14,C$2:C250&lt;&gt;V14))"),30)</f>
        <v>30</v>
      </c>
      <c r="X14" s="60"/>
      <c r="Y14" s="60"/>
      <c r="Z14" s="60"/>
      <c r="AA14" s="60"/>
      <c r="AB14" s="60"/>
      <c r="AC14" s="60"/>
      <c r="AD14" s="60"/>
      <c r="AE14" s="60"/>
      <c r="AF14" s="60"/>
      <c r="AG14" s="60"/>
      <c r="AH14" s="60"/>
      <c r="AI14" s="60"/>
    </row>
    <row r="15" spans="1:35" ht="14">
      <c r="A15" s="89" t="s">
        <v>1455</v>
      </c>
      <c r="B15" s="90" t="s">
        <v>1422</v>
      </c>
      <c r="C15" s="90" t="s">
        <v>1422</v>
      </c>
      <c r="D15" s="91">
        <v>3</v>
      </c>
      <c r="E15" s="90">
        <v>2</v>
      </c>
      <c r="F15" s="92">
        <v>0</v>
      </c>
      <c r="G15" s="90">
        <v>10</v>
      </c>
      <c r="H15" s="92">
        <v>13</v>
      </c>
      <c r="I15" s="90" t="s">
        <v>126</v>
      </c>
      <c r="J15" s="92" t="s">
        <v>126</v>
      </c>
      <c r="K15" s="93" t="s">
        <v>1456</v>
      </c>
      <c r="L15" s="95"/>
      <c r="M15" s="95"/>
      <c r="N15" s="95"/>
      <c r="O15" s="94" t="s">
        <v>126</v>
      </c>
      <c r="P15" s="96" t="str">
        <f>IF(ISBLANK(Q15),"",CONCATENATE(Q15,": ",VLOOKUP(Q15,Status!A:C,3,FALSE),IF(ISBLANK(R15),"",CONCATENATE(CHAR(10),R15,": ",VLOOKUP(R15,Status!A:C,3,FALSE),IF(ISBLANK(S15),"",CONCATENATE(CHAR(10),S15,": ",VLOOKUP(S15,Status!A:C,3,FALSE)))))))</f>
        <v/>
      </c>
      <c r="Q15" s="102"/>
      <c r="R15" s="97"/>
      <c r="S15" s="97"/>
      <c r="T15" s="108"/>
      <c r="U15" s="109"/>
      <c r="V15" s="100" t="str">
        <f ca="1">IFERROR(__xludf.DUMMYFUNCTION("""COMPUTED_VALUE"""),"Warfare")</f>
        <v>Warfare</v>
      </c>
      <c r="W15" s="60">
        <f ca="1">IFERROR(__xludf.DUMMYFUNCTION("counta(filter(B$2:B250,B$2:B250=V15,C$2:C250=V15))+counta(filter(B$2:B250,B$2:B250&lt;&gt;V15,C$2:C250=V15))+counta(filter(B$2:B250,B$2:B250=V15,C$2:C250&lt;&gt;V15))"),24)</f>
        <v>24</v>
      </c>
      <c r="X15" s="60"/>
      <c r="Y15" s="60"/>
      <c r="Z15" s="60"/>
      <c r="AA15" s="60"/>
      <c r="AB15" s="60"/>
      <c r="AC15" s="60"/>
      <c r="AD15" s="60"/>
      <c r="AE15" s="60"/>
      <c r="AF15" s="60"/>
      <c r="AG15" s="60"/>
      <c r="AH15" s="60"/>
      <c r="AI15" s="60"/>
    </row>
    <row r="16" spans="1:35" ht="14">
      <c r="A16" s="105" t="s">
        <v>1457</v>
      </c>
      <c r="B16" s="106" t="s">
        <v>1422</v>
      </c>
      <c r="C16" s="106" t="s">
        <v>1422</v>
      </c>
      <c r="D16" s="91">
        <v>2</v>
      </c>
      <c r="E16" s="106">
        <v>1</v>
      </c>
      <c r="F16" s="92">
        <v>0</v>
      </c>
      <c r="G16" s="106">
        <v>4</v>
      </c>
      <c r="H16" s="92" t="s">
        <v>126</v>
      </c>
      <c r="I16" s="106" t="s">
        <v>126</v>
      </c>
      <c r="J16" s="92" t="s">
        <v>126</v>
      </c>
      <c r="K16" s="107" t="s">
        <v>1458</v>
      </c>
      <c r="L16" s="95"/>
      <c r="M16" s="95"/>
      <c r="N16" s="95"/>
      <c r="O16" s="94" t="s">
        <v>126</v>
      </c>
      <c r="P16" s="96" t="str">
        <f>IF(ISBLANK(Q16),"",CONCATENATE(Q16,": ",VLOOKUP(Q16,Status!A:C,3,FALSE),IF(ISBLANK(R16),"",CONCATENATE(CHAR(10),R16,": ",VLOOKUP(R16,Status!A:C,3,FALSE),IF(ISBLANK(S16),"",CONCATENATE(CHAR(10),S16,": ",VLOOKUP(S16,Status!A:C,3,FALSE)))))))</f>
        <v>Evading: +90% Dodging and +1 Movement</v>
      </c>
      <c r="Q16" s="102" t="s">
        <v>1459</v>
      </c>
      <c r="R16" s="97"/>
      <c r="S16" s="97"/>
      <c r="T16" s="108"/>
      <c r="U16" s="109"/>
      <c r="V16" s="100"/>
      <c r="W16" s="60"/>
      <c r="X16" s="60"/>
      <c r="Y16" s="60"/>
      <c r="Z16" s="60"/>
      <c r="AA16" s="60"/>
      <c r="AB16" s="60"/>
      <c r="AC16" s="60"/>
      <c r="AD16" s="60"/>
      <c r="AE16" s="60"/>
      <c r="AF16" s="60"/>
      <c r="AG16" s="60"/>
      <c r="AH16" s="60"/>
      <c r="AI16" s="60"/>
    </row>
    <row r="17" spans="1:35" ht="28">
      <c r="A17" s="111" t="s">
        <v>1460</v>
      </c>
      <c r="B17" s="94" t="s">
        <v>1461</v>
      </c>
      <c r="C17" s="94" t="s">
        <v>1462</v>
      </c>
      <c r="D17" s="112" t="s">
        <v>126</v>
      </c>
      <c r="E17" s="94">
        <v>1</v>
      </c>
      <c r="F17" s="113">
        <v>1</v>
      </c>
      <c r="G17" s="94">
        <v>3</v>
      </c>
      <c r="H17" s="113">
        <v>13</v>
      </c>
      <c r="I17" s="94" t="s">
        <v>126</v>
      </c>
      <c r="J17" s="113" t="s">
        <v>126</v>
      </c>
      <c r="K17" s="114" t="s">
        <v>1463</v>
      </c>
      <c r="L17" s="95"/>
      <c r="M17" s="95"/>
      <c r="N17" s="95"/>
      <c r="O17" s="94" t="s">
        <v>126</v>
      </c>
      <c r="P17" s="96" t="str">
        <f>IF(ISBLANK(Q17),"",CONCATENATE(Q17,": ",VLOOKUP(Q17,Status!A:C,3,FALSE),IF(ISBLANK(R17),"",CONCATENATE(CHAR(10),R17,": ",VLOOKUP(R17,Status!A:C,3,FALSE),IF(ISBLANK(S17),"",CONCATENATE(CHAR(10),S17,": ",VLOOKUP(S17,Status!A:C,3,FALSE)))))))</f>
        <v>Blessed: +20% Accuracy, +10% Dodging, +15% All Resistances.  Removes and Immune to: Diseased, Decaying, Petrified, and Stunned.</v>
      </c>
      <c r="Q17" s="102" t="s">
        <v>1464</v>
      </c>
      <c r="R17" s="97"/>
      <c r="S17" s="97"/>
      <c r="T17" s="108"/>
      <c r="U17" s="109"/>
      <c r="V17" s="100"/>
      <c r="W17" s="60"/>
      <c r="X17" s="60"/>
      <c r="Y17" s="60"/>
      <c r="Z17" s="60"/>
      <c r="AA17" s="60"/>
      <c r="AB17" s="60"/>
      <c r="AC17" s="60"/>
      <c r="AD17" s="60"/>
      <c r="AE17" s="60"/>
      <c r="AF17" s="60"/>
      <c r="AG17" s="60"/>
      <c r="AH17" s="60"/>
      <c r="AI17" s="60"/>
    </row>
    <row r="18" spans="1:35" ht="28">
      <c r="A18" s="111" t="s">
        <v>1465</v>
      </c>
      <c r="B18" s="94" t="s">
        <v>1461</v>
      </c>
      <c r="C18" s="94" t="s">
        <v>1462</v>
      </c>
      <c r="D18" s="112" t="s">
        <v>126</v>
      </c>
      <c r="E18" s="94">
        <v>1</v>
      </c>
      <c r="F18" s="113">
        <v>0</v>
      </c>
      <c r="G18" s="94">
        <v>3</v>
      </c>
      <c r="H18" s="113">
        <v>13</v>
      </c>
      <c r="I18" s="94" t="s">
        <v>126</v>
      </c>
      <c r="J18" s="113" t="s">
        <v>1425</v>
      </c>
      <c r="K18" s="114" t="s">
        <v>1466</v>
      </c>
      <c r="L18" s="95"/>
      <c r="M18" s="95"/>
      <c r="N18" s="95"/>
      <c r="O18" s="94" t="s">
        <v>126</v>
      </c>
      <c r="P18" s="96" t="str">
        <f>IF(ISBLANK(Q18),"",CONCATENATE(Q18,": ",VLOOKUP(Q18,Status!A:C,3,FALSE),IF(ISBLANK(R18),"",CONCATENATE(CHAR(10),R18,": ",VLOOKUP(R18,Status!A:C,3,FALSE),IF(ISBLANK(S18),"",CONCATENATE(CHAR(10),S18,": ",VLOOKUP(S18,Status!A:C,3,FALSE)))))))</f>
        <v>Cursed: -10% Accuracy, -30% Dodging, -15% All Resistances.  Removed by Bless.</v>
      </c>
      <c r="Q18" s="102" t="s">
        <v>1467</v>
      </c>
      <c r="R18" s="97"/>
      <c r="S18" s="97"/>
      <c r="T18" s="108"/>
      <c r="U18" s="109"/>
      <c r="V18" s="100"/>
      <c r="W18" s="60"/>
      <c r="X18" s="60"/>
      <c r="Y18" s="60"/>
      <c r="Z18" s="60"/>
      <c r="AA18" s="60"/>
      <c r="AB18" s="60"/>
      <c r="AC18" s="60"/>
      <c r="AD18" s="60"/>
      <c r="AE18" s="60"/>
      <c r="AF18" s="60"/>
      <c r="AG18" s="60"/>
      <c r="AH18" s="60"/>
      <c r="AI18" s="60"/>
    </row>
    <row r="19" spans="1:35" ht="14">
      <c r="A19" s="111" t="s">
        <v>1468</v>
      </c>
      <c r="B19" s="94" t="s">
        <v>1461</v>
      </c>
      <c r="C19" s="94" t="s">
        <v>1462</v>
      </c>
      <c r="D19" s="112" t="s">
        <v>126</v>
      </c>
      <c r="E19" s="94">
        <v>1</v>
      </c>
      <c r="F19" s="113">
        <v>0</v>
      </c>
      <c r="G19" s="94">
        <v>2</v>
      </c>
      <c r="H19" s="113">
        <v>4</v>
      </c>
      <c r="I19" s="94" t="s">
        <v>126</v>
      </c>
      <c r="J19" s="113" t="s">
        <v>1425</v>
      </c>
      <c r="K19" s="114" t="s">
        <v>1469</v>
      </c>
      <c r="L19" s="95"/>
      <c r="M19" s="95"/>
      <c r="N19" s="95"/>
      <c r="O19" s="94" t="s">
        <v>126</v>
      </c>
      <c r="P19" s="96" t="str">
        <f>IF(ISBLANK(Q19),"",CONCATENATE(Q19,": ",VLOOKUP(Q19,Status!A:C,3,FALSE),IF(ISBLANK(R19),"",CONCATENATE(CHAR(10),R19,": ",VLOOKUP(R19,Status!A:C,3,FALSE),IF(ISBLANK(S19),"",CONCATENATE(CHAR(10),S19,": ",VLOOKUP(S19,Status!A:C,3,FALSE)))))))</f>
        <v/>
      </c>
      <c r="Q19" s="102"/>
      <c r="R19" s="97"/>
      <c r="S19" s="97"/>
      <c r="T19" s="108"/>
      <c r="U19" s="109"/>
      <c r="V19" s="100"/>
      <c r="W19" s="60"/>
      <c r="X19" s="60"/>
      <c r="Y19" s="60"/>
      <c r="Z19" s="60"/>
      <c r="AA19" s="60"/>
      <c r="AB19" s="60"/>
      <c r="AC19" s="60"/>
      <c r="AD19" s="60"/>
      <c r="AE19" s="60"/>
      <c r="AF19" s="60"/>
      <c r="AG19" s="60"/>
      <c r="AH19" s="60"/>
      <c r="AI19" s="60"/>
    </row>
    <row r="20" spans="1:35" ht="14">
      <c r="A20" s="111" t="s">
        <v>1470</v>
      </c>
      <c r="B20" s="94" t="s">
        <v>1461</v>
      </c>
      <c r="C20" s="94" t="s">
        <v>1462</v>
      </c>
      <c r="D20" s="112" t="s">
        <v>126</v>
      </c>
      <c r="E20" s="94">
        <v>1</v>
      </c>
      <c r="F20" s="113">
        <v>0</v>
      </c>
      <c r="G20" s="94">
        <v>0</v>
      </c>
      <c r="H20" s="113" t="s">
        <v>126</v>
      </c>
      <c r="I20" s="94" t="s">
        <v>126</v>
      </c>
      <c r="J20" s="113" t="s">
        <v>126</v>
      </c>
      <c r="K20" s="114" t="s">
        <v>1471</v>
      </c>
      <c r="L20" s="95"/>
      <c r="M20" s="95"/>
      <c r="N20" s="95"/>
      <c r="O20" s="94" t="s">
        <v>126</v>
      </c>
      <c r="P20" s="96" t="str">
        <f>IF(ISBLANK(Q20),"",CONCATENATE(Q20,": ",VLOOKUP(Q20,Status!A:C,3,FALSE),IF(ISBLANK(R20),"",CONCATENATE(CHAR(10),R20,": ",VLOOKUP(R20,Status!A:C,3,FALSE),IF(ISBLANK(S20),"",CONCATENATE(CHAR(10),S20,": ",VLOOKUP(S20,Status!A:C,3,FALSE)))))))</f>
        <v/>
      </c>
      <c r="Q20" s="102"/>
      <c r="R20" s="97"/>
      <c r="S20" s="97"/>
      <c r="T20" s="108"/>
      <c r="U20" s="109"/>
      <c r="V20" s="100"/>
      <c r="W20" s="60"/>
      <c r="X20" s="60"/>
      <c r="Y20" s="60"/>
      <c r="Z20" s="60"/>
      <c r="AA20" s="60"/>
      <c r="AB20" s="60"/>
      <c r="AC20" s="60"/>
      <c r="AD20" s="60"/>
      <c r="AE20" s="60"/>
      <c r="AF20" s="60"/>
      <c r="AG20" s="60"/>
      <c r="AH20" s="60"/>
      <c r="AI20" s="60"/>
    </row>
    <row r="21" spans="1:35" ht="14">
      <c r="A21" s="111" t="s">
        <v>1472</v>
      </c>
      <c r="B21" s="94" t="s">
        <v>1461</v>
      </c>
      <c r="C21" s="94" t="s">
        <v>1462</v>
      </c>
      <c r="D21" s="112" t="s">
        <v>126</v>
      </c>
      <c r="E21" s="94">
        <v>1</v>
      </c>
      <c r="F21" s="113">
        <v>0</v>
      </c>
      <c r="G21" s="94">
        <v>3</v>
      </c>
      <c r="H21" s="113">
        <v>1.5</v>
      </c>
      <c r="I21" s="94" t="s">
        <v>126</v>
      </c>
      <c r="J21" s="113" t="s">
        <v>1473</v>
      </c>
      <c r="K21" s="114" t="s">
        <v>1474</v>
      </c>
      <c r="L21" s="94">
        <v>48</v>
      </c>
      <c r="M21" s="94"/>
      <c r="N21" s="94" t="s">
        <v>1475</v>
      </c>
      <c r="O21" s="94" t="s">
        <v>126</v>
      </c>
      <c r="P21" s="96" t="str">
        <f>IF(ISBLANK(Q21),"",CONCATENATE(Q21,": ",VLOOKUP(Q21,Status!A:C,3,FALSE),IF(ISBLANK(R21),"",CONCATENATE(CHAR(10),R21,": ",VLOOKUP(R21,Status!A:C,3,FALSE),IF(ISBLANK(S21),"",CONCATENATE(CHAR(10),S21,": ",VLOOKUP(S21,Status!A:C,3,FALSE)))))))</f>
        <v>Knocked Down: Cannot move or act.  Removed by First Aid.</v>
      </c>
      <c r="Q21" s="102" t="s">
        <v>1476</v>
      </c>
      <c r="R21" s="97"/>
      <c r="S21" s="102"/>
      <c r="T21" s="103" t="s">
        <v>348</v>
      </c>
      <c r="U21" s="109"/>
      <c r="V21" s="100"/>
      <c r="W21" s="60"/>
      <c r="X21" s="60"/>
      <c r="Y21" s="60"/>
      <c r="Z21" s="60"/>
      <c r="AA21" s="60"/>
      <c r="AB21" s="60"/>
      <c r="AC21" s="60"/>
      <c r="AD21" s="60"/>
      <c r="AE21" s="60"/>
      <c r="AF21" s="60"/>
      <c r="AG21" s="60"/>
      <c r="AH21" s="60"/>
      <c r="AI21" s="60"/>
    </row>
    <row r="22" spans="1:35" ht="28">
      <c r="A22" s="111" t="s">
        <v>1477</v>
      </c>
      <c r="B22" s="94" t="s">
        <v>1461</v>
      </c>
      <c r="C22" s="94" t="s">
        <v>1478</v>
      </c>
      <c r="D22" s="112" t="s">
        <v>126</v>
      </c>
      <c r="E22" s="94">
        <v>2</v>
      </c>
      <c r="F22" s="113">
        <v>1</v>
      </c>
      <c r="G22" s="94">
        <v>5</v>
      </c>
      <c r="H22" s="113">
        <v>13</v>
      </c>
      <c r="I22" s="94">
        <v>4</v>
      </c>
      <c r="J22" s="113" t="s">
        <v>1425</v>
      </c>
      <c r="K22" s="114" t="s">
        <v>1479</v>
      </c>
      <c r="L22" s="110">
        <v>126</v>
      </c>
      <c r="M22" s="95"/>
      <c r="N22" s="95"/>
      <c r="O22" s="94" t="s">
        <v>126</v>
      </c>
      <c r="P22" s="96" t="str">
        <f>IF(ISBLANK(Q22),"",CONCATENATE(Q22,": ",VLOOKUP(Q22,Status!A:C,3,FALSE),IF(ISBLANK(R22),"",CONCATENATE(CHAR(10),R22,": ",VLOOKUP(R22,Status!A:C,3,FALSE),IF(ISBLANK(S22),"",CONCATENATE(CHAR(10),S22,": ",VLOOKUP(S22,Status!A:C,3,FALSE)))))))</f>
        <v>Blinded: -35% Accruacy.  Skill and attack range is limited to a maximum of 3m.  Prevents performing attacks of opportunity.  Removed by First Aid and Peace of Mind.</v>
      </c>
      <c r="Q22" s="102" t="s">
        <v>1428</v>
      </c>
      <c r="R22" s="97"/>
      <c r="S22" s="102"/>
      <c r="T22" s="103" t="s">
        <v>348</v>
      </c>
      <c r="U22" s="109"/>
      <c r="V22" s="100"/>
      <c r="W22" s="60"/>
      <c r="X22" s="60"/>
      <c r="Y22" s="60"/>
      <c r="Z22" s="60"/>
      <c r="AA22" s="60"/>
      <c r="AB22" s="60"/>
      <c r="AC22" s="60"/>
      <c r="AD22" s="60"/>
      <c r="AE22" s="60"/>
      <c r="AF22" s="60"/>
      <c r="AG22" s="60"/>
      <c r="AH22" s="60"/>
      <c r="AI22" s="60"/>
    </row>
    <row r="23" spans="1:35" ht="28">
      <c r="A23" s="111" t="s">
        <v>1480</v>
      </c>
      <c r="B23" s="94" t="s">
        <v>1461</v>
      </c>
      <c r="C23" s="94" t="s">
        <v>1481</v>
      </c>
      <c r="D23" s="112" t="s">
        <v>126</v>
      </c>
      <c r="E23" s="94">
        <v>1</v>
      </c>
      <c r="F23" s="113">
        <v>1</v>
      </c>
      <c r="G23" s="94">
        <v>6</v>
      </c>
      <c r="H23" s="113">
        <v>13</v>
      </c>
      <c r="I23" s="94">
        <v>3</v>
      </c>
      <c r="J23" s="113" t="s">
        <v>126</v>
      </c>
      <c r="K23" s="114" t="s">
        <v>1482</v>
      </c>
      <c r="L23" s="115"/>
      <c r="M23" s="95"/>
      <c r="N23" s="95"/>
      <c r="O23" s="94" t="s">
        <v>126</v>
      </c>
      <c r="P23" s="96" t="str">
        <f>IF(ISBLANK(Q23),"",CONCATENATE(Q23,": ",VLOOKUP(Q23,Status!A:C,3,FALSE),IF(ISBLANK(R23),"",CONCATENATE(CHAR(10),R23,": ",VLOOKUP(R23,Status!A:C,3,FALSE),IF(ISBLANK(S23),"",CONCATENATE(CHAR(10),S23,": ",VLOOKUP(S23,Status!A:C,3,FALSE)))))))</f>
        <v>Circle of Protection: Restores 129 Physical Armor and 129 Magic Armor each turn.  +10% All Resistances.</v>
      </c>
      <c r="Q23" s="102" t="s">
        <v>1483</v>
      </c>
      <c r="R23" s="97"/>
      <c r="S23" s="97"/>
      <c r="T23" s="108"/>
      <c r="U23" s="109"/>
      <c r="V23" s="100"/>
      <c r="W23" s="60"/>
      <c r="X23" s="60"/>
      <c r="Y23" s="60"/>
      <c r="Z23" s="60"/>
      <c r="AA23" s="60"/>
      <c r="AB23" s="60"/>
      <c r="AC23" s="60"/>
      <c r="AD23" s="60"/>
      <c r="AE23" s="60"/>
      <c r="AF23" s="60"/>
      <c r="AG23" s="60"/>
      <c r="AH23" s="60"/>
      <c r="AI23" s="60"/>
    </row>
    <row r="24" spans="1:35" ht="56">
      <c r="A24" s="111" t="s">
        <v>1484</v>
      </c>
      <c r="B24" s="94" t="s">
        <v>1461</v>
      </c>
      <c r="C24" s="94" t="s">
        <v>1485</v>
      </c>
      <c r="D24" s="112" t="s">
        <v>126</v>
      </c>
      <c r="E24" s="94">
        <v>1</v>
      </c>
      <c r="F24" s="113">
        <v>0</v>
      </c>
      <c r="G24" s="94">
        <v>4</v>
      </c>
      <c r="H24" s="113">
        <v>2</v>
      </c>
      <c r="I24" s="94" t="s">
        <v>126</v>
      </c>
      <c r="J24" s="113" t="s">
        <v>1425</v>
      </c>
      <c r="K24" s="114" t="s">
        <v>1486</v>
      </c>
      <c r="L24" s="94">
        <v>42</v>
      </c>
      <c r="M24" s="95"/>
      <c r="N24" s="95"/>
      <c r="O24" s="94" t="s">
        <v>126</v>
      </c>
      <c r="P24" s="96" t="str">
        <f>IF(ISBLANK(Q24),"",CONCATENATE(Q24,": ",VLOOKUP(Q24,Status!A:C,3,FALSE),IF(ISBLANK(R24),"",CONCATENATE(CHAR(10),R24,": ",VLOOKUP(R24,Status!A:C,3,FALSE),IF(ISBLANK(S24),"",CONCATENATE(CHAR(10),S24,": ",VLOOKUP(S24,Status!A:C,3,FALSE)))))))</f>
        <v>Petrified: Cannot move or act.  -100% Dodging, -20% Earth Resistance, +30% Fire Reisistance, +30% Air Resistance.  Immune to:  Bleeding, Burning, Charmed, Chilled, Frozen, Knocked Down, Poisoned, Sleeping, Stunned, Taunted, Teleportation, Terrified, Warm.  Removed by Armour of Frost and Blessed Oil (surface).</v>
      </c>
      <c r="Q24" s="102" t="s">
        <v>1487</v>
      </c>
      <c r="R24" s="97"/>
      <c r="S24" s="102"/>
      <c r="T24" s="103" t="s">
        <v>348</v>
      </c>
      <c r="U24" s="109"/>
      <c r="V24" s="100"/>
      <c r="W24" s="60"/>
      <c r="X24" s="60"/>
      <c r="Y24" s="60"/>
      <c r="Z24" s="60"/>
      <c r="AA24" s="60"/>
      <c r="AB24" s="60"/>
      <c r="AC24" s="60"/>
      <c r="AD24" s="60"/>
      <c r="AE24" s="60"/>
      <c r="AF24" s="60"/>
      <c r="AG24" s="60"/>
      <c r="AH24" s="60"/>
      <c r="AI24" s="60"/>
    </row>
    <row r="25" spans="1:35" ht="14">
      <c r="A25" s="111" t="s">
        <v>1488</v>
      </c>
      <c r="B25" s="94" t="s">
        <v>1461</v>
      </c>
      <c r="C25" s="94" t="s">
        <v>1489</v>
      </c>
      <c r="D25" s="112" t="s">
        <v>126</v>
      </c>
      <c r="E25" s="94">
        <v>0</v>
      </c>
      <c r="F25" s="113">
        <v>0</v>
      </c>
      <c r="G25" s="94">
        <v>5</v>
      </c>
      <c r="H25" s="113" t="s">
        <v>126</v>
      </c>
      <c r="I25" s="94" t="s">
        <v>126</v>
      </c>
      <c r="J25" s="113" t="s">
        <v>126</v>
      </c>
      <c r="K25" s="114" t="s">
        <v>1490</v>
      </c>
      <c r="L25" s="95"/>
      <c r="M25" s="95"/>
      <c r="N25" s="95"/>
      <c r="O25" s="94" t="s">
        <v>126</v>
      </c>
      <c r="P25" s="96" t="str">
        <f>IF(ISBLANK(Q25),"",CONCATENATE(Q25,": ",VLOOKUP(Q25,Status!A:C,3,FALSE),IF(ISBLANK(R25),"",CONCATENATE(CHAR(10),R25,": ",VLOOKUP(R25,Status!A:C,3,FALSE),IF(ISBLANK(S25),"",CONCATENATE(CHAR(10),S25,": ",VLOOKUP(S25,Status!A:C,3,FALSE)))))))</f>
        <v>Flesh Sacrifice: -X Constitution, +10% Damage dealt, +1 Start AP</v>
      </c>
      <c r="Q25" s="102" t="s">
        <v>1488</v>
      </c>
      <c r="R25" s="97"/>
      <c r="S25" s="97"/>
      <c r="T25" s="108"/>
      <c r="U25" s="109"/>
      <c r="V25" s="100"/>
      <c r="W25" s="60"/>
      <c r="X25" s="60"/>
      <c r="Y25" s="60"/>
      <c r="Z25" s="60"/>
      <c r="AA25" s="60"/>
      <c r="AB25" s="60"/>
      <c r="AC25" s="60"/>
      <c r="AD25" s="60"/>
      <c r="AE25" s="60"/>
      <c r="AF25" s="60"/>
      <c r="AG25" s="60"/>
      <c r="AH25" s="60"/>
      <c r="AI25" s="60"/>
    </row>
    <row r="26" spans="1:35" ht="14">
      <c r="A26" s="111" t="s">
        <v>1491</v>
      </c>
      <c r="B26" s="94" t="s">
        <v>1461</v>
      </c>
      <c r="C26" s="94" t="s">
        <v>1492</v>
      </c>
      <c r="D26" s="112" t="s">
        <v>126</v>
      </c>
      <c r="E26" s="94">
        <v>2</v>
      </c>
      <c r="F26" s="113">
        <v>1</v>
      </c>
      <c r="G26" s="94">
        <v>0</v>
      </c>
      <c r="H26" s="113">
        <v>6</v>
      </c>
      <c r="I26" s="94" t="s">
        <v>126</v>
      </c>
      <c r="J26" s="113" t="s">
        <v>126</v>
      </c>
      <c r="K26" s="114" t="s">
        <v>1493</v>
      </c>
      <c r="L26" s="95"/>
      <c r="M26" s="95"/>
      <c r="N26" s="95"/>
      <c r="O26" s="94" t="s">
        <v>126</v>
      </c>
      <c r="P26" s="96" t="str">
        <f>IF(ISBLANK(Q26),"",CONCATENATE(Q26,": ",VLOOKUP(Q26,Status!A:C,3,FALSE),IF(ISBLANK(R26),"",CONCATENATE(CHAR(10),R26,": ",VLOOKUP(R26,Status!A:C,3,FALSE),IF(ISBLANK(S26),"",CONCATENATE(CHAR(10),S26,": ",VLOOKUP(S26,Status!A:C,3,FALSE)))))))</f>
        <v>Time-Warped: Take an extra turn after the current turn.</v>
      </c>
      <c r="Q26" s="102" t="s">
        <v>1494</v>
      </c>
      <c r="R26" s="97"/>
      <c r="S26" s="97"/>
      <c r="T26" s="108"/>
      <c r="U26" s="109"/>
      <c r="V26" s="100"/>
      <c r="W26" s="60"/>
      <c r="X26" s="60"/>
      <c r="Y26" s="60"/>
      <c r="Z26" s="60"/>
      <c r="AA26" s="60"/>
      <c r="AB26" s="60"/>
      <c r="AC26" s="60"/>
      <c r="AD26" s="60"/>
      <c r="AE26" s="60"/>
      <c r="AF26" s="60"/>
      <c r="AG26" s="60"/>
      <c r="AH26" s="60"/>
      <c r="AI26" s="60"/>
    </row>
    <row r="27" spans="1:35" ht="28">
      <c r="A27" s="111" t="s">
        <v>1495</v>
      </c>
      <c r="B27" s="94" t="s">
        <v>1461</v>
      </c>
      <c r="C27" s="94" t="s">
        <v>1496</v>
      </c>
      <c r="D27" s="112" t="s">
        <v>126</v>
      </c>
      <c r="E27" s="94">
        <v>1</v>
      </c>
      <c r="F27" s="113">
        <v>0</v>
      </c>
      <c r="G27" s="94">
        <v>6</v>
      </c>
      <c r="H27" s="113" t="s">
        <v>126</v>
      </c>
      <c r="I27" s="94">
        <v>13</v>
      </c>
      <c r="J27" s="113" t="s">
        <v>126</v>
      </c>
      <c r="K27" s="114" t="s">
        <v>1497</v>
      </c>
      <c r="L27" s="95"/>
      <c r="M27" s="95"/>
      <c r="N27" s="95"/>
      <c r="O27" s="94" t="s">
        <v>126</v>
      </c>
      <c r="P27" s="96" t="str">
        <f>IF(ISBLANK(Q27),"",CONCATENATE(Q27,": ",VLOOKUP(Q27,Status!A:C,3,FALSE),IF(ISBLANK(R27),"",CONCATENATE(CHAR(10),R27,": ",VLOOKUP(R27,Status!A:C,3,FALSE),IF(ISBLANK(S27),"",CONCATENATE(CHAR(10),S27,": ",VLOOKUP(S27,Status!A:C,3,FALSE)))))))</f>
        <v>Encouraged: Increases Strength, Finesse, Intelligence, and Constitution.  Constitution gets a bigger increase than the others.  Scales to level somewhat.</v>
      </c>
      <c r="Q27" s="102" t="s">
        <v>1498</v>
      </c>
      <c r="R27" s="97"/>
      <c r="S27" s="97"/>
      <c r="T27" s="108"/>
      <c r="U27" s="109"/>
      <c r="V27" s="100"/>
      <c r="W27" s="60"/>
      <c r="X27" s="60"/>
      <c r="Y27" s="60"/>
      <c r="Z27" s="60"/>
      <c r="AA27" s="60"/>
      <c r="AB27" s="60"/>
      <c r="AC27" s="60"/>
      <c r="AD27" s="60"/>
      <c r="AE27" s="60"/>
      <c r="AF27" s="60"/>
      <c r="AG27" s="60"/>
      <c r="AH27" s="60"/>
      <c r="AI27" s="60"/>
    </row>
    <row r="28" spans="1:35" ht="14">
      <c r="A28" s="111" t="s">
        <v>1499</v>
      </c>
      <c r="B28" s="94" t="s">
        <v>1461</v>
      </c>
      <c r="C28" s="94" t="s">
        <v>1500</v>
      </c>
      <c r="D28" s="112" t="s">
        <v>126</v>
      </c>
      <c r="E28" s="94">
        <v>3</v>
      </c>
      <c r="F28" s="113">
        <v>1</v>
      </c>
      <c r="G28" s="94">
        <v>6</v>
      </c>
      <c r="H28" s="113">
        <v>13.5</v>
      </c>
      <c r="I28" s="94" t="s">
        <v>126</v>
      </c>
      <c r="J28" s="113" t="s">
        <v>126</v>
      </c>
      <c r="K28" s="114" t="s">
        <v>1501</v>
      </c>
      <c r="L28" s="95"/>
      <c r="M28" s="95"/>
      <c r="N28" s="95"/>
      <c r="O28" s="94" t="s">
        <v>126</v>
      </c>
      <c r="P28" s="96" t="str">
        <f>IF(ISBLANK(Q28),"",CONCATENATE(Q28,": ",VLOOKUP(Q28,Status!A:C,3,FALSE),IF(ISBLANK(R28),"",CONCATENATE(CHAR(10),R28,": ",VLOOKUP(R28,Status!A:C,3,FALSE),IF(ISBLANK(S28),"",CONCATENATE(CHAR(10),S28,": ",VLOOKUP(S28,Status!A:C,3,FALSE)))))))</f>
        <v/>
      </c>
      <c r="Q28" s="102"/>
      <c r="R28" s="97"/>
      <c r="S28" s="97"/>
      <c r="T28" s="108"/>
      <c r="U28" s="109"/>
      <c r="V28" s="100"/>
      <c r="W28" s="60"/>
      <c r="X28" s="60"/>
      <c r="Y28" s="60"/>
      <c r="Z28" s="60"/>
      <c r="AA28" s="60"/>
      <c r="AB28" s="60"/>
      <c r="AC28" s="60"/>
      <c r="AD28" s="60"/>
      <c r="AE28" s="60"/>
      <c r="AF28" s="60"/>
      <c r="AG28" s="60"/>
      <c r="AH28" s="60"/>
      <c r="AI28" s="60"/>
    </row>
    <row r="29" spans="1:35" ht="42">
      <c r="A29" s="111" t="s">
        <v>1502</v>
      </c>
      <c r="B29" s="94" t="s">
        <v>1461</v>
      </c>
      <c r="C29" s="94" t="s">
        <v>1503</v>
      </c>
      <c r="D29" s="112" t="s">
        <v>126</v>
      </c>
      <c r="E29" s="94">
        <v>1</v>
      </c>
      <c r="F29" s="113">
        <v>0</v>
      </c>
      <c r="G29" s="94">
        <v>3</v>
      </c>
      <c r="H29" s="113">
        <v>7</v>
      </c>
      <c r="I29" s="94" t="s">
        <v>126</v>
      </c>
      <c r="J29" s="113" t="s">
        <v>1425</v>
      </c>
      <c r="K29" s="114" t="s">
        <v>1504</v>
      </c>
      <c r="L29" s="94">
        <v>76</v>
      </c>
      <c r="M29" s="95"/>
      <c r="N29" s="95"/>
      <c r="O29" s="94" t="s">
        <v>126</v>
      </c>
      <c r="P29" s="96" t="str">
        <f>IF(ISBLANK(Q29),"",CONCATENATE(Q29,": ",VLOOKUP(Q29,Status!A:C,3,FALSE),IF(ISBLANK(R29),"",CONCATENATE(CHAR(10),R29,": ",VLOOKUP(R29,Status!A:C,3,FALSE),IF(ISBLANK(S29),"",CONCATENATE(CHAR(10),S29,": ",VLOOKUP(S29,Status!A:C,3,FALSE)))))))</f>
        <v>Burning: Take 35 Fire damage each turn.  Removed by Armour of Frost, Blessed Steam (cloud), Cleanse Wounds, First Aid, Fortify, Mass Cleanse Wounds, Petrifying Touch, Rain, Restoration, and Steam Cloud (cloud).</v>
      </c>
      <c r="Q29" s="102" t="s">
        <v>1505</v>
      </c>
      <c r="R29" s="97"/>
      <c r="S29" s="102"/>
      <c r="T29" s="103" t="s">
        <v>348</v>
      </c>
      <c r="U29" s="109"/>
      <c r="V29" s="100"/>
      <c r="W29" s="60"/>
      <c r="X29" s="60"/>
      <c r="Y29" s="60"/>
      <c r="Z29" s="60"/>
      <c r="AA29" s="60"/>
      <c r="AB29" s="60"/>
      <c r="AC29" s="60"/>
      <c r="AD29" s="60"/>
      <c r="AE29" s="60"/>
      <c r="AF29" s="60"/>
      <c r="AG29" s="60"/>
      <c r="AH29" s="60"/>
      <c r="AI29" s="60"/>
    </row>
    <row r="30" spans="1:35" ht="28">
      <c r="A30" s="111" t="s">
        <v>1506</v>
      </c>
      <c r="B30" s="94" t="s">
        <v>1461</v>
      </c>
      <c r="C30" s="94" t="s">
        <v>1507</v>
      </c>
      <c r="D30" s="112" t="s">
        <v>126</v>
      </c>
      <c r="E30" s="94">
        <v>2</v>
      </c>
      <c r="F30" s="113">
        <v>1</v>
      </c>
      <c r="G30" s="94">
        <v>5</v>
      </c>
      <c r="H30" s="113">
        <v>13</v>
      </c>
      <c r="I30" s="94">
        <v>3</v>
      </c>
      <c r="J30" s="113" t="s">
        <v>1425</v>
      </c>
      <c r="K30" s="114" t="s">
        <v>1508</v>
      </c>
      <c r="L30" s="95"/>
      <c r="M30" s="95"/>
      <c r="N30" s="95"/>
      <c r="O30" s="94" t="s">
        <v>126</v>
      </c>
      <c r="P30" s="96" t="str">
        <f>IF(ISBLANK(Q30),"",CONCATENATE(Q30,": ",VLOOKUP(Q30,Status!A:C,3,FALSE),IF(ISBLANK(R30),"",CONCATENATE(CHAR(10),R30,": ",VLOOKUP(R30,Status!A:C,3,FALSE),IF(ISBLANK(S30),"",CONCATENATE(CHAR(10),S30,": ",VLOOKUP(S30,Status!A:C,3,FALSE)))))))</f>
        <v>Madness: Character is not controlled, and will instead attack random characters, enemy or ally.  Removed by Peace of Mind.</v>
      </c>
      <c r="Q30" s="102" t="s">
        <v>1509</v>
      </c>
      <c r="R30" s="97"/>
      <c r="S30" s="97"/>
      <c r="T30" s="108"/>
      <c r="U30" s="109"/>
      <c r="V30" s="100"/>
      <c r="W30" s="60"/>
      <c r="X30" s="60"/>
      <c r="Y30" s="60"/>
      <c r="Z30" s="60"/>
      <c r="AA30" s="60"/>
      <c r="AB30" s="60"/>
      <c r="AC30" s="60"/>
      <c r="AD30" s="60"/>
      <c r="AE30" s="60"/>
      <c r="AF30" s="60"/>
      <c r="AG30" s="60"/>
      <c r="AH30" s="60"/>
      <c r="AI30" s="60"/>
    </row>
    <row r="31" spans="1:35" ht="14">
      <c r="A31" s="111" t="s">
        <v>1510</v>
      </c>
      <c r="B31" s="94" t="s">
        <v>1461</v>
      </c>
      <c r="C31" s="94" t="s">
        <v>338</v>
      </c>
      <c r="D31" s="112" t="s">
        <v>126</v>
      </c>
      <c r="E31" s="94">
        <v>2</v>
      </c>
      <c r="F31" s="113">
        <v>0</v>
      </c>
      <c r="G31" s="94">
        <v>4</v>
      </c>
      <c r="H31" s="113" t="s">
        <v>126</v>
      </c>
      <c r="I31" s="94">
        <v>8</v>
      </c>
      <c r="J31" s="113" t="s">
        <v>1425</v>
      </c>
      <c r="K31" s="114" t="s">
        <v>1511</v>
      </c>
      <c r="L31" s="94">
        <v>106</v>
      </c>
      <c r="M31" s="95"/>
      <c r="N31" s="95"/>
      <c r="O31" s="94" t="s">
        <v>126</v>
      </c>
      <c r="P31" s="96" t="str">
        <f>IF(ISBLANK(Q31),"",CONCATENATE(Q31,": ",VLOOKUP(Q31,Status!A:C,3,FALSE),IF(ISBLANK(R31),"",CONCATENATE(CHAR(10),R31,": ",VLOOKUP(R31,Status!A:C,3,FALSE),IF(ISBLANK(S31),"",CONCATENATE(CHAR(10),S31,": ",VLOOKUP(S31,Status!A:C,3,FALSE)))))))</f>
        <v>Deaf: -X Wits, -20% Accuracy, -30% Dodging</v>
      </c>
      <c r="Q31" s="102" t="s">
        <v>1512</v>
      </c>
      <c r="R31" s="97"/>
      <c r="S31" s="97"/>
      <c r="T31" s="108"/>
      <c r="U31" s="109"/>
      <c r="V31" s="100"/>
      <c r="W31" s="60"/>
      <c r="X31" s="60"/>
      <c r="Y31" s="60"/>
      <c r="Z31" s="60"/>
      <c r="AA31" s="60"/>
      <c r="AB31" s="60"/>
      <c r="AC31" s="60"/>
      <c r="AD31" s="60"/>
      <c r="AE31" s="60"/>
      <c r="AF31" s="60"/>
      <c r="AG31" s="60"/>
      <c r="AH31" s="60"/>
      <c r="AI31" s="60"/>
    </row>
    <row r="32" spans="1:35" ht="28">
      <c r="A32" s="111" t="s">
        <v>1513</v>
      </c>
      <c r="B32" s="94" t="s">
        <v>1461</v>
      </c>
      <c r="C32" s="94" t="s">
        <v>1514</v>
      </c>
      <c r="D32" s="112" t="s">
        <v>126</v>
      </c>
      <c r="E32" s="94">
        <v>0</v>
      </c>
      <c r="F32" s="113">
        <v>1</v>
      </c>
      <c r="G32" s="94">
        <v>2</v>
      </c>
      <c r="H32" s="113" t="s">
        <v>126</v>
      </c>
      <c r="I32" s="94" t="s">
        <v>126</v>
      </c>
      <c r="J32" s="113" t="s">
        <v>126</v>
      </c>
      <c r="K32" s="114" t="s">
        <v>1515</v>
      </c>
      <c r="L32" s="95"/>
      <c r="M32" s="95"/>
      <c r="N32" s="95"/>
      <c r="O32" s="94" t="s">
        <v>126</v>
      </c>
      <c r="P32" s="96" t="str">
        <f>IF(ISBLANK(Q32),"",CONCATENATE(Q32,": ",VLOOKUP(Q32,Status!A:C,3,FALSE),IF(ISBLANK(R32),"",CONCATENATE(CHAR(10),R32,": ",VLOOKUP(R32,Status!A:C,3,FALSE),IF(ISBLANK(S32),"",CONCATENATE(CHAR(10),S32,": ",VLOOKUP(S32,Status!A:C,3,FALSE)))))))</f>
        <v/>
      </c>
      <c r="Q32" s="102"/>
      <c r="R32" s="97"/>
      <c r="S32" s="97"/>
      <c r="T32" s="108"/>
      <c r="U32" s="109"/>
      <c r="V32" s="100"/>
      <c r="W32" s="60"/>
      <c r="X32" s="60"/>
      <c r="Y32" s="60"/>
      <c r="Z32" s="60"/>
      <c r="AA32" s="60"/>
      <c r="AB32" s="60"/>
      <c r="AC32" s="60"/>
      <c r="AD32" s="60"/>
      <c r="AE32" s="60"/>
      <c r="AF32" s="60"/>
      <c r="AG32" s="60"/>
      <c r="AH32" s="60"/>
      <c r="AI32" s="60"/>
    </row>
    <row r="33" spans="1:35" ht="14">
      <c r="A33" s="111" t="s">
        <v>1516</v>
      </c>
      <c r="B33" s="94" t="s">
        <v>1461</v>
      </c>
      <c r="C33" s="94" t="s">
        <v>1517</v>
      </c>
      <c r="D33" s="112" t="s">
        <v>126</v>
      </c>
      <c r="E33" s="94">
        <v>2</v>
      </c>
      <c r="F33" s="113">
        <v>1</v>
      </c>
      <c r="G33" s="94">
        <v>3</v>
      </c>
      <c r="H33" s="113">
        <v>13</v>
      </c>
      <c r="I33" s="94" t="s">
        <v>126</v>
      </c>
      <c r="J33" s="113" t="s">
        <v>126</v>
      </c>
      <c r="K33" s="114" t="s">
        <v>1518</v>
      </c>
      <c r="L33" s="110">
        <v>120</v>
      </c>
      <c r="M33" s="95"/>
      <c r="N33" s="95"/>
      <c r="O33" s="94" t="s">
        <v>126</v>
      </c>
      <c r="P33" s="96" t="str">
        <f>IF(ISBLANK(Q33),"",CONCATENATE(Q33,": ",VLOOKUP(Q33,Status!A:C,3,FALSE),IF(ISBLANK(R33),"",CONCATENATE(CHAR(10),R33,": ",VLOOKUP(R33,Status!A:C,3,FALSE),IF(ISBLANK(S33),"",CONCATENATE(CHAR(10),S33,": ",VLOOKUP(S33,Status!A:C,3,FALSE)))))))</f>
        <v/>
      </c>
      <c r="Q33" s="102"/>
      <c r="R33" s="97"/>
      <c r="S33" s="102"/>
      <c r="T33" s="103" t="s">
        <v>348</v>
      </c>
      <c r="U33" s="109"/>
      <c r="V33" s="100"/>
      <c r="W33" s="60"/>
      <c r="X33" s="60"/>
      <c r="Y33" s="60"/>
      <c r="Z33" s="60"/>
      <c r="AA33" s="60"/>
      <c r="AB33" s="60"/>
      <c r="AC33" s="60"/>
      <c r="AD33" s="60"/>
      <c r="AE33" s="60"/>
      <c r="AF33" s="60"/>
      <c r="AG33" s="60"/>
      <c r="AH33" s="60"/>
      <c r="AI33" s="60"/>
    </row>
    <row r="34" spans="1:35" ht="28">
      <c r="A34" s="111" t="s">
        <v>1519</v>
      </c>
      <c r="B34" s="94" t="s">
        <v>1461</v>
      </c>
      <c r="C34" s="94" t="s">
        <v>1520</v>
      </c>
      <c r="D34" s="112" t="s">
        <v>126</v>
      </c>
      <c r="E34" s="94">
        <v>0</v>
      </c>
      <c r="F34" s="113">
        <v>0</v>
      </c>
      <c r="G34" s="94">
        <v>6</v>
      </c>
      <c r="H34" s="113" t="s">
        <v>126</v>
      </c>
      <c r="I34" s="94" t="s">
        <v>126</v>
      </c>
      <c r="J34" s="113" t="s">
        <v>126</v>
      </c>
      <c r="K34" s="114" t="s">
        <v>1521</v>
      </c>
      <c r="L34" s="95"/>
      <c r="M34" s="95"/>
      <c r="N34" s="95"/>
      <c r="O34" s="94" t="s">
        <v>126</v>
      </c>
      <c r="P34" s="96" t="str">
        <f>IF(ISBLANK(Q34),"",CONCATENATE(Q34,": ",VLOOKUP(Q34,Status!A:C,3,FALSE),IF(ISBLANK(R34),"",CONCATENATE(CHAR(10),R34,": ",VLOOKUP(R34,Status!A:C,3,FALSE),IF(ISBLANK(S34),"",CONCATENATE(CHAR(10),S34,": ",VLOOKUP(S34,Status!A:C,3,FALSE)))))))</f>
        <v>Playing Dead: Enemies will treat you as if you are dead.  Moving or acting will remove this status.  If no other characters are active in combat, combat will end.</v>
      </c>
      <c r="Q34" s="102" t="s">
        <v>1522</v>
      </c>
      <c r="R34" s="97"/>
      <c r="S34" s="97"/>
      <c r="T34" s="108"/>
      <c r="U34" s="109"/>
      <c r="V34" s="100"/>
      <c r="W34" s="60"/>
      <c r="X34" s="60"/>
      <c r="Y34" s="60"/>
      <c r="Z34" s="60"/>
      <c r="AA34" s="60"/>
      <c r="AB34" s="60"/>
      <c r="AC34" s="60"/>
      <c r="AD34" s="60"/>
      <c r="AE34" s="60"/>
      <c r="AF34" s="60"/>
      <c r="AG34" s="60"/>
      <c r="AH34" s="60"/>
      <c r="AI34" s="60"/>
    </row>
    <row r="35" spans="1:35" ht="14">
      <c r="A35" s="111" t="s">
        <v>1523</v>
      </c>
      <c r="B35" s="94" t="s">
        <v>1193</v>
      </c>
      <c r="C35" s="94" t="s">
        <v>133</v>
      </c>
      <c r="D35" s="112" t="s">
        <v>126</v>
      </c>
      <c r="E35" s="94">
        <v>2</v>
      </c>
      <c r="F35" s="113">
        <v>0</v>
      </c>
      <c r="G35" s="94">
        <v>3</v>
      </c>
      <c r="H35" s="113" t="s">
        <v>126</v>
      </c>
      <c r="I35" s="94" t="s">
        <v>126</v>
      </c>
      <c r="J35" s="113" t="s">
        <v>126</v>
      </c>
      <c r="K35" s="114" t="s">
        <v>1524</v>
      </c>
      <c r="L35" s="94"/>
      <c r="M35" s="94"/>
      <c r="N35" s="94" t="s">
        <v>133</v>
      </c>
      <c r="O35" s="94" t="s">
        <v>126</v>
      </c>
      <c r="P35" s="96" t="str">
        <f>IF(ISBLANK(Q35),"",CONCATENATE(Q35,": ",VLOOKUP(Q35,Status!A:C,3,FALSE),IF(ISBLANK(R35),"",CONCATENATE(CHAR(10),R35,": ",VLOOKUP(R35,Status!A:C,3,FALSE),IF(ISBLANK(S35),"",CONCATENATE(CHAR(10),S35,": ",VLOOKUP(S35,Status!A:C,3,FALSE)))))))</f>
        <v/>
      </c>
      <c r="Q35" s="102"/>
      <c r="R35" s="97"/>
      <c r="S35" s="97"/>
      <c r="T35" s="108"/>
      <c r="U35" s="109"/>
      <c r="V35" s="100"/>
      <c r="W35" s="60"/>
      <c r="X35" s="60"/>
      <c r="Y35" s="60"/>
      <c r="Z35" s="60"/>
      <c r="AA35" s="60"/>
      <c r="AB35" s="60"/>
      <c r="AC35" s="60"/>
      <c r="AD35" s="60"/>
      <c r="AE35" s="60"/>
      <c r="AF35" s="60"/>
      <c r="AG35" s="60"/>
      <c r="AH35" s="60"/>
      <c r="AI35" s="60"/>
    </row>
    <row r="36" spans="1:35" ht="14">
      <c r="A36" s="111" t="s">
        <v>1525</v>
      </c>
      <c r="B36" s="94" t="s">
        <v>1193</v>
      </c>
      <c r="C36" s="94" t="s">
        <v>232</v>
      </c>
      <c r="D36" s="112" t="s">
        <v>126</v>
      </c>
      <c r="E36" s="94">
        <v>3</v>
      </c>
      <c r="F36" s="113">
        <v>0</v>
      </c>
      <c r="G36" s="94">
        <v>1</v>
      </c>
      <c r="H36" s="113" t="s">
        <v>1526</v>
      </c>
      <c r="I36" s="94" t="s">
        <v>126</v>
      </c>
      <c r="J36" s="113" t="s">
        <v>126</v>
      </c>
      <c r="K36" s="114" t="s">
        <v>1527</v>
      </c>
      <c r="L36" s="94"/>
      <c r="M36" s="94"/>
      <c r="N36" s="94" t="s">
        <v>1528</v>
      </c>
      <c r="O36" s="94" t="s">
        <v>126</v>
      </c>
      <c r="P36" s="96" t="str">
        <f>IF(ISBLANK(Q36),"",CONCATENATE(Q36,": ",VLOOKUP(Q36,Status!A:C,3,FALSE),IF(ISBLANK(R36),"",CONCATENATE(CHAR(10),R36,": ",VLOOKUP(R36,Status!A:C,3,FALSE),IF(ISBLANK(S36),"",CONCATENATE(CHAR(10),S36,": ",VLOOKUP(S36,Status!A:C,3,FALSE)))))))</f>
        <v/>
      </c>
      <c r="Q36" s="102"/>
      <c r="R36" s="97"/>
      <c r="S36" s="97"/>
      <c r="T36" s="108"/>
      <c r="U36" s="109"/>
      <c r="V36" s="100"/>
      <c r="W36" s="60"/>
      <c r="X36" s="60"/>
      <c r="Y36" s="60"/>
      <c r="Z36" s="60"/>
      <c r="AA36" s="60"/>
      <c r="AB36" s="60"/>
      <c r="AC36" s="60"/>
      <c r="AD36" s="60"/>
      <c r="AE36" s="60"/>
      <c r="AF36" s="60"/>
      <c r="AG36" s="60"/>
      <c r="AH36" s="60"/>
      <c r="AI36" s="60"/>
    </row>
    <row r="37" spans="1:35" ht="14">
      <c r="A37" s="111" t="s">
        <v>1529</v>
      </c>
      <c r="B37" s="94" t="s">
        <v>1193</v>
      </c>
      <c r="C37" s="94" t="s">
        <v>232</v>
      </c>
      <c r="D37" s="112" t="s">
        <v>126</v>
      </c>
      <c r="E37" s="94">
        <v>3</v>
      </c>
      <c r="F37" s="113">
        <v>0</v>
      </c>
      <c r="G37" s="94">
        <v>1</v>
      </c>
      <c r="H37" s="113" t="s">
        <v>1530</v>
      </c>
      <c r="I37" s="94" t="s">
        <v>126</v>
      </c>
      <c r="J37" s="113" t="s">
        <v>126</v>
      </c>
      <c r="K37" s="114" t="s">
        <v>1531</v>
      </c>
      <c r="L37" s="94"/>
      <c r="M37" s="94"/>
      <c r="N37" s="94" t="s">
        <v>1532</v>
      </c>
      <c r="O37" s="94" t="s">
        <v>126</v>
      </c>
      <c r="P37" s="96" t="str">
        <f>IF(ISBLANK(Q37),"",CONCATENATE(Q37,": ",VLOOKUP(Q37,Status!A:C,3,FALSE),IF(ISBLANK(R37),"",CONCATENATE(CHAR(10),R37,": ",VLOOKUP(R37,Status!A:C,3,FALSE),IF(ISBLANK(S37),"",CONCATENATE(CHAR(10),S37,": ",VLOOKUP(S37,Status!A:C,3,FALSE)))))))</f>
        <v/>
      </c>
      <c r="Q37" s="102"/>
      <c r="R37" s="97"/>
      <c r="S37" s="97"/>
      <c r="T37" s="108"/>
      <c r="U37" s="109"/>
      <c r="V37" s="100"/>
      <c r="W37" s="60"/>
      <c r="X37" s="60"/>
      <c r="Y37" s="60"/>
      <c r="Z37" s="60"/>
      <c r="AA37" s="60"/>
      <c r="AB37" s="60"/>
      <c r="AC37" s="60"/>
      <c r="AD37" s="60"/>
      <c r="AE37" s="60"/>
      <c r="AF37" s="60"/>
      <c r="AG37" s="60"/>
      <c r="AH37" s="60"/>
      <c r="AI37" s="60"/>
    </row>
    <row r="38" spans="1:35" ht="14">
      <c r="A38" s="111" t="s">
        <v>1533</v>
      </c>
      <c r="B38" s="94" t="s">
        <v>1193</v>
      </c>
      <c r="C38" s="94" t="s">
        <v>232</v>
      </c>
      <c r="D38" s="112" t="s">
        <v>126</v>
      </c>
      <c r="E38" s="94">
        <v>2</v>
      </c>
      <c r="F38" s="113">
        <v>0</v>
      </c>
      <c r="G38" s="94">
        <v>1</v>
      </c>
      <c r="H38" s="113">
        <v>13</v>
      </c>
      <c r="I38" s="94" t="s">
        <v>126</v>
      </c>
      <c r="J38" s="113" t="s">
        <v>126</v>
      </c>
      <c r="K38" s="114" t="s">
        <v>1534</v>
      </c>
      <c r="L38" s="94"/>
      <c r="M38" s="94"/>
      <c r="N38" s="94" t="s">
        <v>1535</v>
      </c>
      <c r="O38" s="94" t="s">
        <v>126</v>
      </c>
      <c r="P38" s="96" t="str">
        <f>IF(ISBLANK(Q38),"",CONCATENATE(Q38,": ",VLOOKUP(Q38,Status!A:C,3,FALSE),IF(ISBLANK(R38),"",CONCATENATE(CHAR(10),R38,": ",VLOOKUP(R38,Status!A:C,3,FALSE),IF(ISBLANK(S38),"",CONCATENATE(CHAR(10),S38,": ",VLOOKUP(S38,Status!A:C,3,FALSE)))))))</f>
        <v/>
      </c>
      <c r="Q38" s="102"/>
      <c r="R38" s="97"/>
      <c r="S38" s="97"/>
      <c r="T38" s="108"/>
      <c r="U38" s="109"/>
      <c r="V38" s="100"/>
      <c r="W38" s="60"/>
      <c r="X38" s="60"/>
      <c r="Y38" s="60"/>
      <c r="Z38" s="60"/>
      <c r="AA38" s="60"/>
      <c r="AB38" s="60"/>
      <c r="AC38" s="60"/>
      <c r="AD38" s="60"/>
      <c r="AE38" s="60"/>
      <c r="AF38" s="60"/>
      <c r="AG38" s="60"/>
      <c r="AH38" s="60"/>
      <c r="AI38" s="60"/>
    </row>
    <row r="39" spans="1:35" ht="42">
      <c r="A39" s="89" t="s">
        <v>1536</v>
      </c>
      <c r="B39" s="116" t="s">
        <v>1537</v>
      </c>
      <c r="C39" s="116" t="s">
        <v>1537</v>
      </c>
      <c r="D39" s="91">
        <v>3</v>
      </c>
      <c r="E39" s="90">
        <v>3</v>
      </c>
      <c r="F39" s="92">
        <v>2</v>
      </c>
      <c r="G39" s="90">
        <v>5</v>
      </c>
      <c r="H39" s="92">
        <v>13</v>
      </c>
      <c r="I39" s="90">
        <v>3</v>
      </c>
      <c r="J39" s="92" t="s">
        <v>1425</v>
      </c>
      <c r="K39" s="93" t="s">
        <v>1538</v>
      </c>
      <c r="L39" s="94">
        <v>72</v>
      </c>
      <c r="M39" s="95"/>
      <c r="N39" s="95"/>
      <c r="O39" s="94" t="s">
        <v>1427</v>
      </c>
      <c r="P39" s="96" t="str">
        <f>IF(ISBLANK(Q39),"",CONCATENATE(Q39,": ",VLOOKUP(Q39,Status!A:C,3,FALSE),IF(ISBLANK(R39),"",CONCATENATE(CHAR(10),R39,": ",VLOOKUP(R39,Status!A:C,3,FALSE),IF(ISBLANK(S39),"",CONCATENATE(CHAR(10),S39,": ",VLOOKUP(S39,Status!A:C,3,FALSE)))))))</f>
        <v>Poisoned: Take 31 Poison damage each turn.  Damage scales to level and seems to be independent of the source of the poisoning.  Removed by Armour of Frost, First Aid, Fortify, Petrifying Touch, and Restoration.</v>
      </c>
      <c r="Q39" s="102" t="s">
        <v>1539</v>
      </c>
      <c r="R39" s="97"/>
      <c r="S39" s="102"/>
      <c r="T39" s="103" t="s">
        <v>348</v>
      </c>
      <c r="U39" s="104"/>
      <c r="V39" s="100"/>
      <c r="W39" s="60"/>
      <c r="X39" s="60"/>
      <c r="Y39" s="60"/>
      <c r="Z39" s="60"/>
      <c r="AA39" s="60"/>
      <c r="AB39" s="60"/>
      <c r="AC39" s="60"/>
      <c r="AD39" s="60"/>
      <c r="AE39" s="60"/>
      <c r="AF39" s="60"/>
      <c r="AG39" s="60"/>
      <c r="AH39" s="60"/>
      <c r="AI39" s="60"/>
    </row>
    <row r="40" spans="1:35" ht="42">
      <c r="A40" s="105" t="s">
        <v>1540</v>
      </c>
      <c r="B40" s="117" t="s">
        <v>1537</v>
      </c>
      <c r="C40" s="117" t="s">
        <v>1537</v>
      </c>
      <c r="D40" s="91">
        <v>1</v>
      </c>
      <c r="E40" s="106">
        <v>1</v>
      </c>
      <c r="F40" s="92">
        <v>0</v>
      </c>
      <c r="G40" s="106">
        <v>3</v>
      </c>
      <c r="H40" s="92" t="s">
        <v>126</v>
      </c>
      <c r="I40" s="106">
        <v>8</v>
      </c>
      <c r="J40" s="92" t="s">
        <v>1425</v>
      </c>
      <c r="K40" s="107" t="s">
        <v>1541</v>
      </c>
      <c r="L40" s="101">
        <v>44</v>
      </c>
      <c r="M40" s="95"/>
      <c r="N40" s="95"/>
      <c r="O40" s="94" t="s">
        <v>1427</v>
      </c>
      <c r="P40" s="96" t="str">
        <f>IF(ISBLANK(Q40),"",CONCATENATE(Q40,": ",VLOOKUP(Q40,Status!A:C,3,FALSE),IF(ISBLANK(R40),"",CONCATENATE(CHAR(10),R40,": ",VLOOKUP(R40,Status!A:C,3,FALSE),IF(ISBLANK(S40),"",CONCATENATE(CHAR(10),S40,": ",VLOOKUP(S40,Status!A:C,3,FALSE)))))))</f>
        <v>Poisoned: Take 31 Poison damage each turn.  Damage scales to level and seems to be independent of the source of the poisoning.  Removed by Armour of Frost, First Aid, Fortify, Petrifying Touch, and Restoration.</v>
      </c>
      <c r="Q40" s="102" t="s">
        <v>1539</v>
      </c>
      <c r="R40" s="97"/>
      <c r="S40" s="102"/>
      <c r="T40" s="103" t="s">
        <v>348</v>
      </c>
      <c r="U40" s="104"/>
      <c r="V40" s="100"/>
      <c r="W40" s="60"/>
      <c r="X40" s="60"/>
      <c r="Y40" s="60"/>
      <c r="Z40" s="60"/>
      <c r="AA40" s="60"/>
      <c r="AB40" s="60"/>
      <c r="AC40" s="60"/>
      <c r="AD40" s="60"/>
      <c r="AE40" s="60"/>
      <c r="AF40" s="60"/>
      <c r="AG40" s="60"/>
      <c r="AH40" s="60"/>
      <c r="AI40" s="60"/>
    </row>
    <row r="41" spans="1:35" ht="28">
      <c r="A41" s="105" t="s">
        <v>1542</v>
      </c>
      <c r="B41" s="117" t="s">
        <v>1537</v>
      </c>
      <c r="C41" s="117" t="s">
        <v>1537</v>
      </c>
      <c r="D41" s="91">
        <v>2</v>
      </c>
      <c r="E41" s="106">
        <v>3</v>
      </c>
      <c r="F41" s="92">
        <v>0</v>
      </c>
      <c r="G41" s="106">
        <v>5</v>
      </c>
      <c r="H41" s="92" t="s">
        <v>126</v>
      </c>
      <c r="I41" s="106">
        <v>13</v>
      </c>
      <c r="J41" s="92" t="s">
        <v>1473</v>
      </c>
      <c r="K41" s="107" t="s">
        <v>1543</v>
      </c>
      <c r="L41" s="101">
        <v>79</v>
      </c>
      <c r="M41" s="95"/>
      <c r="N41" s="95"/>
      <c r="O41" s="94" t="s">
        <v>1427</v>
      </c>
      <c r="P41" s="96" t="str">
        <f>IF(ISBLANK(Q41),"",CONCATENATE(Q41,": ",VLOOKUP(Q41,Status!A:C,3,FALSE),IF(ISBLANK(R41),"",CONCATENATE(CHAR(10),R41,": ",VLOOKUP(R41,Status!A:C,3,FALSE),IF(ISBLANK(S41),"",CONCATENATE(CHAR(10),S41,": ",VLOOKUP(S41,Status!A:C,3,FALSE)))))))</f>
        <v>Knocked Down: Cannot move or act.  Removed by First Aid.</v>
      </c>
      <c r="Q41" s="102" t="s">
        <v>1476</v>
      </c>
      <c r="R41" s="97"/>
      <c r="S41" s="102"/>
      <c r="T41" s="103" t="s">
        <v>348</v>
      </c>
      <c r="U41" s="104"/>
      <c r="V41" s="100"/>
      <c r="W41" s="60"/>
      <c r="X41" s="60"/>
      <c r="Y41" s="60"/>
      <c r="Z41" s="60"/>
      <c r="AA41" s="60"/>
      <c r="AB41" s="60"/>
      <c r="AC41" s="60"/>
      <c r="AD41" s="60"/>
      <c r="AE41" s="60"/>
      <c r="AF41" s="60"/>
      <c r="AG41" s="60"/>
      <c r="AH41" s="60"/>
      <c r="AI41" s="60"/>
    </row>
    <row r="42" spans="1:35" ht="14">
      <c r="A42" s="105" t="s">
        <v>1544</v>
      </c>
      <c r="B42" s="117" t="s">
        <v>1537</v>
      </c>
      <c r="C42" s="117" t="s">
        <v>1537</v>
      </c>
      <c r="D42" s="91">
        <v>1</v>
      </c>
      <c r="E42" s="106">
        <v>1</v>
      </c>
      <c r="F42" s="92">
        <v>0</v>
      </c>
      <c r="G42" s="106">
        <v>4</v>
      </c>
      <c r="H42" s="92">
        <v>13</v>
      </c>
      <c r="I42" s="106" t="s">
        <v>126</v>
      </c>
      <c r="J42" s="92" t="s">
        <v>126</v>
      </c>
      <c r="K42" s="107" t="s">
        <v>1545</v>
      </c>
      <c r="L42" s="94">
        <v>134</v>
      </c>
      <c r="M42" s="95"/>
      <c r="N42" s="95"/>
      <c r="O42" s="94" t="s">
        <v>126</v>
      </c>
      <c r="P42" s="96" t="str">
        <f>IF(ISBLANK(Q42),"",CONCATENATE(Q42,": ",VLOOKUP(Q42,Status!A:C,3,FALSE),IF(ISBLANK(R42),"",CONCATENATE(CHAR(10),R42,": ",VLOOKUP(R42,Status!A:C,3,FALSE),IF(ISBLANK(S42),"",CONCATENATE(CHAR(10),S42,": ",VLOOKUP(S42,Status!A:C,3,FALSE)))))))</f>
        <v/>
      </c>
      <c r="Q42" s="102"/>
      <c r="R42" s="97"/>
      <c r="S42" s="102"/>
      <c r="T42" s="103" t="s">
        <v>1546</v>
      </c>
      <c r="U42" s="109"/>
      <c r="V42" s="100"/>
      <c r="W42" s="60"/>
      <c r="X42" s="60"/>
      <c r="Y42" s="60"/>
      <c r="Z42" s="60"/>
      <c r="AA42" s="60"/>
      <c r="AB42" s="60"/>
      <c r="AC42" s="60"/>
      <c r="AD42" s="60"/>
      <c r="AE42" s="60"/>
      <c r="AF42" s="60"/>
      <c r="AG42" s="60"/>
      <c r="AH42" s="60"/>
      <c r="AI42" s="60"/>
    </row>
    <row r="43" spans="1:35" ht="14">
      <c r="A43" s="89" t="s">
        <v>1547</v>
      </c>
      <c r="B43" s="116" t="s">
        <v>1537</v>
      </c>
      <c r="C43" s="116" t="s">
        <v>1537</v>
      </c>
      <c r="D43" s="91">
        <v>1</v>
      </c>
      <c r="E43" s="90">
        <v>2</v>
      </c>
      <c r="F43" s="92">
        <v>0</v>
      </c>
      <c r="G43" s="90">
        <v>3</v>
      </c>
      <c r="H43" s="92">
        <v>13</v>
      </c>
      <c r="I43" s="90">
        <v>2</v>
      </c>
      <c r="J43" s="92" t="s">
        <v>126</v>
      </c>
      <c r="K43" s="93" t="s">
        <v>1548</v>
      </c>
      <c r="L43" s="101">
        <v>67</v>
      </c>
      <c r="M43" s="95"/>
      <c r="N43" s="95"/>
      <c r="O43" s="94" t="s">
        <v>1427</v>
      </c>
      <c r="P43" s="96" t="str">
        <f>IF(ISBLANK(Q43),"",CONCATENATE(Q43,": ",VLOOKUP(Q43,Status!A:C,3,FALSE),IF(ISBLANK(R43),"",CONCATENATE(CHAR(10),R43,": ",VLOOKUP(R43,Status!A:C,3,FALSE),IF(ISBLANK(S43),"",CONCATENATE(CHAR(10),S43,": ",VLOOKUP(S43,Status!A:C,3,FALSE)))))))</f>
        <v/>
      </c>
      <c r="Q43" s="102"/>
      <c r="R43" s="97"/>
      <c r="S43" s="102"/>
      <c r="T43" s="103" t="s">
        <v>348</v>
      </c>
      <c r="U43" s="104"/>
      <c r="V43" s="100"/>
      <c r="W43" s="60"/>
      <c r="X43" s="60"/>
      <c r="Y43" s="60"/>
      <c r="Z43" s="60"/>
      <c r="AA43" s="60"/>
      <c r="AB43" s="60"/>
      <c r="AC43" s="60"/>
      <c r="AD43" s="60"/>
      <c r="AE43" s="60"/>
      <c r="AF43" s="60"/>
      <c r="AG43" s="60"/>
      <c r="AH43" s="60"/>
      <c r="AI43" s="60"/>
    </row>
    <row r="44" spans="1:35" ht="14">
      <c r="A44" s="105" t="s">
        <v>1549</v>
      </c>
      <c r="B44" s="117" t="s">
        <v>1537</v>
      </c>
      <c r="C44" s="117" t="s">
        <v>1537</v>
      </c>
      <c r="D44" s="91">
        <v>2</v>
      </c>
      <c r="E44" s="106">
        <v>2</v>
      </c>
      <c r="F44" s="92">
        <v>0</v>
      </c>
      <c r="G44" s="106">
        <v>4</v>
      </c>
      <c r="H44" s="92">
        <v>13</v>
      </c>
      <c r="I44" s="106">
        <v>3</v>
      </c>
      <c r="J44" s="92" t="s">
        <v>1473</v>
      </c>
      <c r="K44" s="107" t="s">
        <v>1550</v>
      </c>
      <c r="L44" s="101">
        <v>79</v>
      </c>
      <c r="M44" s="95"/>
      <c r="N44" s="95"/>
      <c r="O44" s="94" t="s">
        <v>1427</v>
      </c>
      <c r="P44" s="96" t="str">
        <f>IF(ISBLANK(Q44),"",CONCATENATE(Q44,": ",VLOOKUP(Q44,Status!A:C,3,FALSE),IF(ISBLANK(R44),"",CONCATENATE(CHAR(10),R44,": ",VLOOKUP(R44,Status!A:C,3,FALSE),IF(ISBLANK(S44),"",CONCATENATE(CHAR(10),S44,": ",VLOOKUP(S44,Status!A:C,3,FALSE)))))))</f>
        <v>Crippled: -100% Movement, -30% Dodging.  Removed by First Aid, Haste, and Petrifying Touch.</v>
      </c>
      <c r="Q44" s="102" t="s">
        <v>1551</v>
      </c>
      <c r="R44" s="97"/>
      <c r="S44" s="102"/>
      <c r="T44" s="103" t="s">
        <v>348</v>
      </c>
      <c r="U44" s="104"/>
      <c r="V44" s="100"/>
      <c r="W44" s="60"/>
      <c r="X44" s="60"/>
      <c r="Y44" s="60"/>
      <c r="Z44" s="60"/>
      <c r="AA44" s="60"/>
      <c r="AB44" s="60"/>
      <c r="AC44" s="60"/>
      <c r="AD44" s="60"/>
      <c r="AE44" s="60"/>
      <c r="AF44" s="60"/>
      <c r="AG44" s="60"/>
      <c r="AH44" s="60"/>
      <c r="AI44" s="60"/>
    </row>
    <row r="45" spans="1:35" ht="14">
      <c r="A45" s="105" t="s">
        <v>1552</v>
      </c>
      <c r="B45" s="117" t="s">
        <v>1537</v>
      </c>
      <c r="C45" s="117" t="s">
        <v>1537</v>
      </c>
      <c r="D45" s="91">
        <v>3</v>
      </c>
      <c r="E45" s="106">
        <v>2</v>
      </c>
      <c r="F45" s="92">
        <v>0</v>
      </c>
      <c r="G45" s="106">
        <v>5</v>
      </c>
      <c r="H45" s="92">
        <v>13</v>
      </c>
      <c r="I45" s="106">
        <v>7</v>
      </c>
      <c r="J45" s="92" t="s">
        <v>126</v>
      </c>
      <c r="K45" s="107" t="s">
        <v>1553</v>
      </c>
      <c r="L45" s="95"/>
      <c r="M45" s="95"/>
      <c r="N45" s="95"/>
      <c r="O45" s="94" t="s">
        <v>126</v>
      </c>
      <c r="P45" s="96" t="str">
        <f>IF(ISBLANK(Q45),"",CONCATENATE(Q45,": ",VLOOKUP(Q45,Status!A:C,3,FALSE),IF(ISBLANK(R45),"",CONCATENATE(CHAR(10),R45,": ",VLOOKUP(R45,Status!A:C,3,FALSE),IF(ISBLANK(S45),"",CONCATENATE(CHAR(10),S45,": ",VLOOKUP(S45,Status!A:C,3,FALSE)))))))</f>
        <v/>
      </c>
      <c r="Q45" s="102"/>
      <c r="R45" s="97"/>
      <c r="S45" s="97"/>
      <c r="T45" s="108"/>
      <c r="U45" s="109"/>
      <c r="V45" s="100"/>
      <c r="W45" s="60"/>
      <c r="X45" s="60"/>
      <c r="Y45" s="60"/>
      <c r="Z45" s="60"/>
      <c r="AA45" s="60"/>
      <c r="AB45" s="60"/>
      <c r="AC45" s="60"/>
      <c r="AD45" s="60"/>
      <c r="AE45" s="60"/>
      <c r="AF45" s="60"/>
      <c r="AG45" s="60"/>
      <c r="AH45" s="60"/>
      <c r="AI45" s="60"/>
    </row>
    <row r="46" spans="1:35" ht="14">
      <c r="A46" s="105" t="s">
        <v>1554</v>
      </c>
      <c r="B46" s="117" t="s">
        <v>1537</v>
      </c>
      <c r="C46" s="117" t="s">
        <v>1537</v>
      </c>
      <c r="D46" s="91">
        <v>2</v>
      </c>
      <c r="E46" s="106">
        <v>1</v>
      </c>
      <c r="F46" s="92">
        <v>0</v>
      </c>
      <c r="G46" s="106">
        <v>3</v>
      </c>
      <c r="H46" s="118" t="s">
        <v>126</v>
      </c>
      <c r="I46" s="106">
        <v>5</v>
      </c>
      <c r="J46" s="92" t="s">
        <v>126</v>
      </c>
      <c r="K46" s="107" t="s">
        <v>1555</v>
      </c>
      <c r="L46" s="94">
        <v>39</v>
      </c>
      <c r="M46" s="95"/>
      <c r="N46" s="95"/>
      <c r="O46" s="94" t="s">
        <v>126</v>
      </c>
      <c r="P46" s="96" t="str">
        <f>IF(ISBLANK(Q46),"",CONCATENATE(Q46,": ",VLOOKUP(Q46,Status!A:C,3,FALSE),IF(ISBLANK(R46),"",CONCATENATE(CHAR(10),R46,": ",VLOOKUP(R46,Status!A:C,3,FALSE),IF(ISBLANK(S46),"",CONCATENATE(CHAR(10),S46,": ",VLOOKUP(S46,Status!A:C,3,FALSE)))))))</f>
        <v>Mending: Restores 39 Physical Armor each turn.</v>
      </c>
      <c r="Q46" s="102" t="s">
        <v>1556</v>
      </c>
      <c r="R46" s="97"/>
      <c r="S46" s="102"/>
      <c r="T46" s="103" t="s">
        <v>1546</v>
      </c>
      <c r="U46" s="109"/>
      <c r="V46" s="100"/>
      <c r="W46" s="60"/>
      <c r="X46" s="60"/>
      <c r="Y46" s="60"/>
      <c r="Z46" s="60"/>
      <c r="AA46" s="60"/>
      <c r="AB46" s="60"/>
      <c r="AC46" s="60"/>
      <c r="AD46" s="60"/>
      <c r="AE46" s="60"/>
      <c r="AF46" s="60"/>
      <c r="AG46" s="60"/>
      <c r="AH46" s="60"/>
      <c r="AI46" s="60"/>
    </row>
    <row r="47" spans="1:35" ht="42">
      <c r="A47" s="89" t="s">
        <v>1557</v>
      </c>
      <c r="B47" s="116" t="s">
        <v>1537</v>
      </c>
      <c r="C47" s="116" t="s">
        <v>1537</v>
      </c>
      <c r="D47" s="91">
        <v>1</v>
      </c>
      <c r="E47" s="90">
        <v>2</v>
      </c>
      <c r="F47" s="92">
        <v>0</v>
      </c>
      <c r="G47" s="90">
        <v>4</v>
      </c>
      <c r="H47" s="92">
        <v>13</v>
      </c>
      <c r="I47" s="90">
        <v>1</v>
      </c>
      <c r="J47" s="92" t="s">
        <v>1425</v>
      </c>
      <c r="K47" s="93" t="s">
        <v>1558</v>
      </c>
      <c r="L47" s="101">
        <v>79</v>
      </c>
      <c r="M47" s="95"/>
      <c r="N47" s="95"/>
      <c r="O47" s="94" t="s">
        <v>1427</v>
      </c>
      <c r="P47" s="96" t="str">
        <f>IF(ISBLANK(Q47),"",CONCATENATE(Q47,": ",VLOOKUP(Q47,Status!A:C,3,FALSE),IF(ISBLANK(R47),"",CONCATENATE(CHAR(10),R47,": ",VLOOKUP(R47,Status!A:C,3,FALSE),IF(ISBLANK(S47),"",CONCATENATE(CHAR(10),S47,": ",VLOOKUP(S47,Status!A:C,3,FALSE)))))))</f>
        <v>Poisoned: Take 31 Poison damage each turn.  Damage scales to level and seems to be independent of the source of the poisoning.  Removed by Armour of Frost, First Aid, Fortify, Petrifying Touch, and Restoration.</v>
      </c>
      <c r="Q47" s="102" t="s">
        <v>1539</v>
      </c>
      <c r="R47" s="97"/>
      <c r="S47" s="102"/>
      <c r="T47" s="103" t="s">
        <v>348</v>
      </c>
      <c r="U47" s="104"/>
      <c r="V47" s="100"/>
      <c r="W47" s="60"/>
      <c r="X47" s="60"/>
      <c r="Y47" s="60"/>
      <c r="Z47" s="60"/>
      <c r="AA47" s="60"/>
      <c r="AB47" s="60"/>
      <c r="AC47" s="60"/>
      <c r="AD47" s="60"/>
      <c r="AE47" s="60"/>
      <c r="AF47" s="60"/>
      <c r="AG47" s="60"/>
      <c r="AH47" s="60"/>
      <c r="AI47" s="60"/>
    </row>
    <row r="48" spans="1:35" ht="28">
      <c r="A48" s="89" t="s">
        <v>1559</v>
      </c>
      <c r="B48" s="116" t="s">
        <v>1537</v>
      </c>
      <c r="C48" s="116" t="s">
        <v>1537</v>
      </c>
      <c r="D48" s="91">
        <v>2</v>
      </c>
      <c r="E48" s="90">
        <v>2</v>
      </c>
      <c r="F48" s="92">
        <v>0</v>
      </c>
      <c r="G48" s="90">
        <v>4</v>
      </c>
      <c r="H48" s="92" t="s">
        <v>126</v>
      </c>
      <c r="I48" s="90">
        <v>4</v>
      </c>
      <c r="J48" s="92" t="s">
        <v>126</v>
      </c>
      <c r="K48" s="93" t="s">
        <v>1560</v>
      </c>
      <c r="L48" s="101">
        <v>79</v>
      </c>
      <c r="M48" s="95"/>
      <c r="N48" s="95"/>
      <c r="O48" s="94" t="s">
        <v>1427</v>
      </c>
      <c r="P48" s="96" t="str">
        <f>IF(ISBLANK(Q48),"",CONCATENATE(Q48,": ",VLOOKUP(Q48,Status!A:C,3,FALSE),IF(ISBLANK(R48),"",CONCATENATE(CHAR(10),R48,": ",VLOOKUP(R48,Status!A:C,3,FALSE),IF(ISBLANK(S48),"",CONCATENATE(CHAR(10),S48,": ",VLOOKUP(S48,Status!A:C,3,FALSE)))))))</f>
        <v>Earth Immunity: -100% Earth Damage, -100% Poison Damage.  Immune to Poisoned and Petrified.</v>
      </c>
      <c r="Q48" s="102" t="s">
        <v>1561</v>
      </c>
      <c r="R48" s="97"/>
      <c r="S48" s="102"/>
      <c r="T48" s="103" t="s">
        <v>348</v>
      </c>
      <c r="U48" s="104"/>
      <c r="V48" s="100"/>
      <c r="W48" s="60"/>
      <c r="X48" s="60"/>
      <c r="Y48" s="60"/>
      <c r="Z48" s="60"/>
      <c r="AA48" s="60"/>
      <c r="AB48" s="60"/>
      <c r="AC48" s="60"/>
      <c r="AD48" s="60"/>
      <c r="AE48" s="60"/>
      <c r="AF48" s="60"/>
      <c r="AG48" s="60"/>
      <c r="AH48" s="60"/>
      <c r="AI48" s="60"/>
    </row>
    <row r="49" spans="1:35" ht="15" customHeight="1">
      <c r="A49" s="105" t="s">
        <v>1562</v>
      </c>
      <c r="B49" s="117" t="s">
        <v>1537</v>
      </c>
      <c r="C49" s="117" t="s">
        <v>1537</v>
      </c>
      <c r="D49" s="91">
        <v>5</v>
      </c>
      <c r="E49" s="106">
        <v>3</v>
      </c>
      <c r="F49" s="92">
        <v>3</v>
      </c>
      <c r="G49" s="106">
        <v>5</v>
      </c>
      <c r="H49" s="92" t="s">
        <v>126</v>
      </c>
      <c r="I49" s="106">
        <v>13</v>
      </c>
      <c r="J49" s="92" t="s">
        <v>126</v>
      </c>
      <c r="K49" s="107" t="s">
        <v>1563</v>
      </c>
      <c r="L49" s="110">
        <v>237</v>
      </c>
      <c r="M49" s="95"/>
      <c r="N49" s="95"/>
      <c r="O49" s="94" t="s">
        <v>1427</v>
      </c>
      <c r="P49" s="96" t="str">
        <f>IF(ISBLANK(Q49),"",CONCATENATE(Q49,": ",VLOOKUP(Q49,Status!A:C,3,FALSE),IF(ISBLANK(R49),"",CONCATENATE(CHAR(10),R49,": ",VLOOKUP(R49,Status!A:C,3,FALSE),IF(ISBLANK(S49),"",CONCATENATE(CHAR(10),S49,": ",VLOOKUP(S49,Status!A:C,3,FALSE)))))))</f>
        <v/>
      </c>
      <c r="Q49" s="102"/>
      <c r="R49" s="97"/>
      <c r="S49" s="102"/>
      <c r="T49" s="103" t="s">
        <v>348</v>
      </c>
      <c r="U49" s="104"/>
      <c r="V49" s="100"/>
      <c r="W49" s="60"/>
      <c r="X49" s="60"/>
      <c r="Y49" s="60"/>
      <c r="Z49" s="60"/>
      <c r="AA49" s="60"/>
      <c r="AB49" s="60"/>
      <c r="AC49" s="60"/>
      <c r="AD49" s="60"/>
      <c r="AE49" s="60"/>
      <c r="AF49" s="60"/>
      <c r="AG49" s="60"/>
      <c r="AH49" s="60"/>
      <c r="AI49" s="60"/>
    </row>
    <row r="50" spans="1:35" ht="14">
      <c r="A50" s="89" t="s">
        <v>1564</v>
      </c>
      <c r="B50" s="116" t="s">
        <v>1537</v>
      </c>
      <c r="C50" s="116" t="s">
        <v>1537</v>
      </c>
      <c r="D50" s="91">
        <v>2</v>
      </c>
      <c r="E50" s="90">
        <v>2</v>
      </c>
      <c r="F50" s="92">
        <v>0</v>
      </c>
      <c r="G50" s="90">
        <v>6</v>
      </c>
      <c r="H50" s="92" t="s">
        <v>126</v>
      </c>
      <c r="I50" s="90">
        <v>3</v>
      </c>
      <c r="J50" s="92" t="s">
        <v>126</v>
      </c>
      <c r="K50" s="93" t="s">
        <v>1565</v>
      </c>
      <c r="L50" s="95"/>
      <c r="M50" s="95"/>
      <c r="N50" s="95"/>
      <c r="O50" s="94" t="s">
        <v>126</v>
      </c>
      <c r="P50" s="96" t="str">
        <f>IF(ISBLANK(Q50),"",CONCATENATE(Q50,": ",VLOOKUP(Q50,Status!A:C,3,FALSE),IF(ISBLANK(R50),"",CONCATENATE(CHAR(10),R50,": ",VLOOKUP(R50,Status!A:C,3,FALSE),IF(ISBLANK(S50),"",CONCATENATE(CHAR(10),S50,": ",VLOOKUP(S50,Status!A:C,3,FALSE)))))))</f>
        <v/>
      </c>
      <c r="Q50" s="102"/>
      <c r="R50" s="97"/>
      <c r="S50" s="97"/>
      <c r="T50" s="108"/>
      <c r="U50" s="109"/>
      <c r="V50" s="100"/>
      <c r="W50" s="60"/>
      <c r="X50" s="60"/>
      <c r="Y50" s="60"/>
      <c r="Z50" s="60"/>
      <c r="AA50" s="60"/>
      <c r="AB50" s="60"/>
      <c r="AC50" s="60"/>
      <c r="AD50" s="60"/>
      <c r="AE50" s="60"/>
      <c r="AF50" s="60"/>
      <c r="AG50" s="60"/>
      <c r="AH50" s="60"/>
      <c r="AI50" s="60"/>
    </row>
    <row r="51" spans="1:35" ht="28">
      <c r="A51" s="89" t="s">
        <v>1566</v>
      </c>
      <c r="B51" s="116" t="s">
        <v>1537</v>
      </c>
      <c r="C51" s="116" t="s">
        <v>1537</v>
      </c>
      <c r="D51" s="91">
        <v>3</v>
      </c>
      <c r="E51" s="90">
        <v>1</v>
      </c>
      <c r="F51" s="92">
        <v>0</v>
      </c>
      <c r="G51" s="90">
        <v>5</v>
      </c>
      <c r="H51" s="92" t="s">
        <v>126</v>
      </c>
      <c r="I51" s="90">
        <v>8</v>
      </c>
      <c r="J51" s="92" t="s">
        <v>126</v>
      </c>
      <c r="K51" s="93" t="s">
        <v>1567</v>
      </c>
      <c r="L51" s="94">
        <v>15</v>
      </c>
      <c r="M51" s="95"/>
      <c r="N51" s="95"/>
      <c r="O51" s="94" t="s">
        <v>126</v>
      </c>
      <c r="P51" s="96" t="str">
        <f>IF(ISBLANK(Q51),"",CONCATENATE(Q51,": ",VLOOKUP(Q51,Status!A:C,3,FALSE),IF(ISBLANK(R51),"",CONCATENATE(CHAR(10),R51,": ",VLOOKUP(R51,Status!A:C,3,FALSE),IF(ISBLANK(S51),"",CONCATENATE(CHAR(10),S51,": ",VLOOKUP(S51,Status!A:C,3,FALSE)))))))</f>
        <v>Siphon Poison: Adds ~15 Poison damage to your weapon attacks and weapon skills.</v>
      </c>
      <c r="Q51" s="102" t="s">
        <v>1566</v>
      </c>
      <c r="R51" s="97"/>
      <c r="S51" s="102"/>
      <c r="T51" s="103" t="s">
        <v>348</v>
      </c>
      <c r="U51" s="109"/>
      <c r="V51" s="100"/>
      <c r="W51" s="60"/>
      <c r="X51" s="60"/>
      <c r="Y51" s="60"/>
      <c r="Z51" s="60"/>
      <c r="AA51" s="60"/>
      <c r="AB51" s="60"/>
      <c r="AC51" s="60"/>
      <c r="AD51" s="60"/>
      <c r="AE51" s="60"/>
      <c r="AF51" s="60"/>
      <c r="AG51" s="60"/>
      <c r="AH51" s="60"/>
      <c r="AI51" s="60"/>
    </row>
    <row r="52" spans="1:35" ht="14">
      <c r="A52" s="105" t="s">
        <v>1568</v>
      </c>
      <c r="B52" s="117" t="s">
        <v>1537</v>
      </c>
      <c r="C52" s="117" t="s">
        <v>1537</v>
      </c>
      <c r="D52" s="91">
        <v>3</v>
      </c>
      <c r="E52" s="106">
        <v>3</v>
      </c>
      <c r="F52" s="92">
        <v>1</v>
      </c>
      <c r="G52" s="106">
        <v>6</v>
      </c>
      <c r="H52" s="92">
        <v>14</v>
      </c>
      <c r="I52" s="106" t="s">
        <v>126</v>
      </c>
      <c r="J52" s="92" t="s">
        <v>126</v>
      </c>
      <c r="K52" s="107" t="s">
        <v>1569</v>
      </c>
      <c r="L52" s="95"/>
      <c r="M52" s="95"/>
      <c r="N52" s="95"/>
      <c r="O52" s="94" t="s">
        <v>126</v>
      </c>
      <c r="P52" s="96" t="str">
        <f>IF(ISBLANK(Q52),"",CONCATENATE(Q52,": ",VLOOKUP(Q52,Status!A:C,3,FALSE),IF(ISBLANK(R52),"",CONCATENATE(CHAR(10),R52,": ",VLOOKUP(R52,Status!A:C,3,FALSE),IF(ISBLANK(S52),"",CONCATENATE(CHAR(10),S52,": ",VLOOKUP(S52,Status!A:C,3,FALSE)))))))</f>
        <v/>
      </c>
      <c r="Q52" s="102"/>
      <c r="R52" s="97"/>
      <c r="S52" s="97"/>
      <c r="T52" s="108"/>
      <c r="U52" s="109"/>
      <c r="V52" s="100"/>
      <c r="W52" s="60"/>
      <c r="X52" s="60"/>
      <c r="Y52" s="60"/>
      <c r="Z52" s="60"/>
      <c r="AA52" s="60"/>
      <c r="AB52" s="60"/>
      <c r="AC52" s="60"/>
      <c r="AD52" s="60"/>
      <c r="AE52" s="60"/>
      <c r="AF52" s="60"/>
      <c r="AG52" s="60"/>
      <c r="AH52" s="60"/>
      <c r="AI52" s="60"/>
    </row>
    <row r="53" spans="1:35" ht="28">
      <c r="A53" s="89" t="s">
        <v>1570</v>
      </c>
      <c r="B53" s="116" t="s">
        <v>1537</v>
      </c>
      <c r="C53" s="116" t="s">
        <v>1537</v>
      </c>
      <c r="D53" s="91">
        <v>2</v>
      </c>
      <c r="E53" s="90">
        <v>3</v>
      </c>
      <c r="F53" s="92">
        <v>0</v>
      </c>
      <c r="G53" s="90">
        <v>5</v>
      </c>
      <c r="H53" s="92">
        <v>13</v>
      </c>
      <c r="I53" s="90">
        <v>4</v>
      </c>
      <c r="J53" s="92" t="s">
        <v>1425</v>
      </c>
      <c r="K53" s="93" t="s">
        <v>1571</v>
      </c>
      <c r="L53" s="101">
        <v>40</v>
      </c>
      <c r="M53" s="95"/>
      <c r="N53" s="95"/>
      <c r="O53" s="94" t="s">
        <v>1427</v>
      </c>
      <c r="P53" s="96" t="str">
        <f>IF(ISBLANK(Q53),"",CONCATENATE(Q53,": ",VLOOKUP(Q53,Status!A:C,3,FALSE),IF(ISBLANK(R53),"",CONCATENATE(CHAR(10),R53,": ",VLOOKUP(R53,Status!A:C,3,FALSE),IF(ISBLANK(S53),"",CONCATENATE(CHAR(10),S53,": ",VLOOKUP(S53,Status!A:C,3,FALSE)))))))</f>
        <v>Entangled: -100% Movement, -70% Dodging. Immune to Teleport.  Take 31 Poison damage each turn.</v>
      </c>
      <c r="Q53" s="102" t="s">
        <v>1572</v>
      </c>
      <c r="R53" s="97"/>
      <c r="S53" s="102"/>
      <c r="T53" s="103" t="s">
        <v>348</v>
      </c>
      <c r="U53" s="104"/>
      <c r="V53" s="100"/>
      <c r="W53" s="60"/>
      <c r="X53" s="60"/>
      <c r="Y53" s="60"/>
      <c r="Z53" s="60"/>
      <c r="AA53" s="60"/>
      <c r="AB53" s="60"/>
      <c r="AC53" s="60"/>
      <c r="AD53" s="60"/>
      <c r="AE53" s="60"/>
      <c r="AF53" s="60"/>
      <c r="AG53" s="60"/>
      <c r="AH53" s="60"/>
      <c r="AI53" s="60"/>
    </row>
    <row r="54" spans="1:35" ht="14">
      <c r="A54" s="89" t="s">
        <v>1573</v>
      </c>
      <c r="B54" s="116" t="s">
        <v>1574</v>
      </c>
      <c r="C54" s="106" t="s">
        <v>1422</v>
      </c>
      <c r="D54" s="91">
        <v>1</v>
      </c>
      <c r="E54" s="90">
        <v>1</v>
      </c>
      <c r="F54" s="92">
        <v>0</v>
      </c>
      <c r="G54" s="90">
        <v>5</v>
      </c>
      <c r="H54" s="92" t="s">
        <v>126</v>
      </c>
      <c r="I54" s="90" t="s">
        <v>126</v>
      </c>
      <c r="J54" s="92" t="s">
        <v>126</v>
      </c>
      <c r="K54" s="93" t="s">
        <v>1575</v>
      </c>
      <c r="L54" s="95"/>
      <c r="M54" s="95"/>
      <c r="N54" s="95"/>
      <c r="O54" s="94" t="s">
        <v>126</v>
      </c>
      <c r="P54" s="96" t="str">
        <f>IF(ISBLANK(Q54),"",CONCATENATE(Q54,": ",VLOOKUP(Q54,Status!A:C,3,FALSE),IF(ISBLANK(R54),"",CONCATENATE(CHAR(10),R54,": ",VLOOKUP(R54,Status!A:C,3,FALSE),IF(ISBLANK(S54),"",CONCATENATE(CHAR(10),S54,": ",VLOOKUP(S54,Status!A:C,3,FALSE)))))))</f>
        <v>Erratic Wisp: +40% Air Resistance.  Teleport randomly when hit with weapons or weapon skills.</v>
      </c>
      <c r="Q54" s="102" t="s">
        <v>1573</v>
      </c>
      <c r="R54" s="97"/>
      <c r="S54" s="97"/>
      <c r="T54" s="108"/>
      <c r="U54" s="109"/>
      <c r="V54" s="100"/>
      <c r="W54" s="60"/>
      <c r="X54" s="60"/>
      <c r="Y54" s="60"/>
      <c r="Z54" s="60"/>
      <c r="AA54" s="60"/>
      <c r="AB54" s="60"/>
      <c r="AC54" s="60"/>
      <c r="AD54" s="60"/>
      <c r="AE54" s="60"/>
      <c r="AF54" s="60"/>
      <c r="AG54" s="60"/>
      <c r="AH54" s="60"/>
      <c r="AI54" s="60"/>
    </row>
    <row r="55" spans="1:35" ht="14">
      <c r="A55" s="105" t="s">
        <v>1576</v>
      </c>
      <c r="B55" s="117" t="s">
        <v>1574</v>
      </c>
      <c r="C55" s="106" t="s">
        <v>1422</v>
      </c>
      <c r="D55" s="91">
        <v>2</v>
      </c>
      <c r="E55" s="106">
        <v>2</v>
      </c>
      <c r="F55" s="92">
        <v>1</v>
      </c>
      <c r="G55" s="106">
        <v>5</v>
      </c>
      <c r="H55" s="92" t="s">
        <v>126</v>
      </c>
      <c r="I55" s="106" t="s">
        <v>126</v>
      </c>
      <c r="J55" s="92" t="s">
        <v>126</v>
      </c>
      <c r="K55" s="107" t="s">
        <v>1577</v>
      </c>
      <c r="L55" s="95"/>
      <c r="M55" s="95"/>
      <c r="N55" s="95"/>
      <c r="O55" s="94" t="s">
        <v>126</v>
      </c>
      <c r="P55" s="96" t="str">
        <f>IF(ISBLANK(Q55),"",CONCATENATE(Q55,": ",VLOOKUP(Q55,Status!A:C,3,FALSE),IF(ISBLANK(R55),"",CONCATENATE(CHAR(10),R55,": ",VLOOKUP(R55,Status!A:C,3,FALSE),IF(ISBLANK(S55),"",CONCATENATE(CHAR(10),S55,": ",VLOOKUP(S55,Status!A:C,3,FALSE)))))))</f>
        <v>Evasive Aura: +1 Movement and +90% Dodging to self and all allies within 8m.</v>
      </c>
      <c r="Q55" s="102" t="s">
        <v>1576</v>
      </c>
      <c r="R55" s="97"/>
      <c r="S55" s="97"/>
      <c r="T55" s="108"/>
      <c r="U55" s="109"/>
      <c r="V55" s="100"/>
      <c r="W55" s="60"/>
      <c r="X55" s="60"/>
      <c r="Y55" s="60"/>
      <c r="Z55" s="60"/>
      <c r="AA55" s="60"/>
      <c r="AB55" s="60"/>
      <c r="AC55" s="60"/>
      <c r="AD55" s="60"/>
      <c r="AE55" s="60"/>
      <c r="AF55" s="60"/>
      <c r="AG55" s="60"/>
      <c r="AH55" s="60"/>
      <c r="AI55" s="60"/>
    </row>
    <row r="56" spans="1:35" ht="28">
      <c r="A56" s="89" t="s">
        <v>1578</v>
      </c>
      <c r="B56" s="116" t="s">
        <v>1574</v>
      </c>
      <c r="C56" s="116" t="s">
        <v>1537</v>
      </c>
      <c r="D56" s="91">
        <v>2</v>
      </c>
      <c r="E56" s="90">
        <v>3</v>
      </c>
      <c r="F56" s="92">
        <v>1</v>
      </c>
      <c r="G56" s="90">
        <v>3</v>
      </c>
      <c r="H56" s="92" t="s">
        <v>126</v>
      </c>
      <c r="I56" s="90">
        <v>13</v>
      </c>
      <c r="J56" s="92" t="s">
        <v>1425</v>
      </c>
      <c r="K56" s="93" t="s">
        <v>1579</v>
      </c>
      <c r="L56" s="101">
        <v>79</v>
      </c>
      <c r="M56" s="95"/>
      <c r="N56" s="95"/>
      <c r="O56" s="94" t="s">
        <v>1427</v>
      </c>
      <c r="P56" s="96" t="str">
        <f>IF(ISBLANK(Q56),"",CONCATENATE(Q56,": ",VLOOKUP(Q56,Status!A:C,3,FALSE),IF(ISBLANK(R56),"",CONCATENATE(CHAR(10),R56,": ",VLOOKUP(R56,Status!A:C,3,FALSE),IF(ISBLANK(S56),"",CONCATENATE(CHAR(10),S56,": ",VLOOKUP(S56,Status!A:C,3,FALSE)))))))</f>
        <v>Blinded: -35% Accruacy.  Skill and attack range is limited to a maximum of 3m.  Prevents performing attacks of opportunity.  Removed by First Aid and Peace of Mind.</v>
      </c>
      <c r="Q56" s="102" t="s">
        <v>1428</v>
      </c>
      <c r="R56" s="97"/>
      <c r="S56" s="102"/>
      <c r="T56" s="103" t="s">
        <v>348</v>
      </c>
      <c r="U56" s="104"/>
      <c r="V56" s="100"/>
      <c r="W56" s="60"/>
      <c r="X56" s="60"/>
      <c r="Y56" s="60"/>
      <c r="Z56" s="60"/>
      <c r="AA56" s="60"/>
      <c r="AB56" s="60"/>
      <c r="AC56" s="60"/>
      <c r="AD56" s="60"/>
      <c r="AE56" s="60"/>
      <c r="AF56" s="60"/>
      <c r="AG56" s="60"/>
      <c r="AH56" s="60"/>
      <c r="AI56" s="60"/>
    </row>
    <row r="57" spans="1:35" ht="28">
      <c r="A57" s="89" t="s">
        <v>1580</v>
      </c>
      <c r="B57" s="116" t="s">
        <v>1574</v>
      </c>
      <c r="C57" s="116" t="s">
        <v>1537</v>
      </c>
      <c r="D57" s="91">
        <v>1</v>
      </c>
      <c r="E57" s="90">
        <v>2</v>
      </c>
      <c r="F57" s="92">
        <v>0</v>
      </c>
      <c r="G57" s="90">
        <v>3</v>
      </c>
      <c r="H57" s="92">
        <v>13</v>
      </c>
      <c r="I57" s="90">
        <v>2</v>
      </c>
      <c r="J57" s="92" t="s">
        <v>1425</v>
      </c>
      <c r="K57" s="93" t="s">
        <v>1581</v>
      </c>
      <c r="L57" s="101">
        <v>60</v>
      </c>
      <c r="M57" s="95"/>
      <c r="N57" s="95"/>
      <c r="O57" s="94" t="s">
        <v>1427</v>
      </c>
      <c r="P57" s="96" t="str">
        <f>IF(ISBLANK(Q57),"",CONCATENATE(Q57,": ",VLOOKUP(Q57,Status!A:C,3,FALSE),IF(ISBLANK(R57),"",CONCATENATE(CHAR(10),R57,": ",VLOOKUP(R57,Status!A:C,3,FALSE),IF(ISBLANK(S57),"",CONCATENATE(CHAR(10),S57,": ",VLOOKUP(S57,Status!A:C,3,FALSE)))))))</f>
        <v>Blinded: -35% Accruacy.  Skill and attack range is limited to a maximum of 3m.  Prevents performing attacks of opportunity.  Removed by First Aid and Peace of Mind.</v>
      </c>
      <c r="Q57" s="102" t="s">
        <v>1428</v>
      </c>
      <c r="R57" s="97"/>
      <c r="S57" s="102"/>
      <c r="T57" s="103" t="s">
        <v>348</v>
      </c>
      <c r="U57" s="104"/>
      <c r="V57" s="100"/>
      <c r="W57" s="60"/>
      <c r="X57" s="60"/>
      <c r="Y57" s="60"/>
      <c r="Z57" s="60"/>
      <c r="AA57" s="60"/>
      <c r="AB57" s="60"/>
      <c r="AC57" s="60"/>
      <c r="AD57" s="60"/>
      <c r="AE57" s="60"/>
      <c r="AF57" s="60"/>
      <c r="AG57" s="60"/>
      <c r="AH57" s="60"/>
      <c r="AI57" s="60"/>
    </row>
    <row r="58" spans="1:35" ht="14">
      <c r="A58" s="89" t="s">
        <v>1582</v>
      </c>
      <c r="B58" s="116" t="s">
        <v>1574</v>
      </c>
      <c r="C58" s="116" t="s">
        <v>1574</v>
      </c>
      <c r="D58" s="91">
        <v>3</v>
      </c>
      <c r="E58" s="90">
        <v>3</v>
      </c>
      <c r="F58" s="92">
        <v>1</v>
      </c>
      <c r="G58" s="90">
        <v>5</v>
      </c>
      <c r="H58" s="92">
        <v>13</v>
      </c>
      <c r="I58" s="90" t="s">
        <v>126</v>
      </c>
      <c r="J58" s="92" t="s">
        <v>126</v>
      </c>
      <c r="K58" s="93" t="s">
        <v>1583</v>
      </c>
      <c r="L58" s="101">
        <v>26</v>
      </c>
      <c r="M58" s="94"/>
      <c r="N58" s="94" t="s">
        <v>1584</v>
      </c>
      <c r="O58" s="94" t="s">
        <v>1585</v>
      </c>
      <c r="P58" s="96" t="str">
        <f>IF(ISBLANK(Q58),"",CONCATENATE(Q58,": ",VLOOKUP(Q58,Status!A:C,3,FALSE),IF(ISBLANK(R58),"",CONCATENATE(CHAR(10),R58,": ",VLOOKUP(R58,Status!A:C,3,FALSE),IF(ISBLANK(S58),"",CONCATENATE(CHAR(10),S58,": ",VLOOKUP(S58,Status!A:C,3,FALSE)))))))</f>
        <v/>
      </c>
      <c r="Q58" s="102"/>
      <c r="R58" s="97"/>
      <c r="S58" s="102"/>
      <c r="T58" s="103" t="s">
        <v>348</v>
      </c>
      <c r="U58" s="104"/>
      <c r="V58" s="100"/>
      <c r="W58" s="60"/>
      <c r="X58" s="60"/>
      <c r="Y58" s="60"/>
      <c r="Z58" s="60"/>
      <c r="AA58" s="60"/>
      <c r="AB58" s="60"/>
      <c r="AC58" s="60"/>
      <c r="AD58" s="60"/>
      <c r="AE58" s="60"/>
      <c r="AF58" s="60"/>
      <c r="AG58" s="60"/>
      <c r="AH58" s="60"/>
      <c r="AI58" s="60"/>
    </row>
    <row r="59" spans="1:35" ht="28">
      <c r="A59" s="89" t="s">
        <v>1586</v>
      </c>
      <c r="B59" s="116" t="s">
        <v>1574</v>
      </c>
      <c r="C59" s="116" t="s">
        <v>1574</v>
      </c>
      <c r="D59" s="91">
        <v>5</v>
      </c>
      <c r="E59" s="90">
        <v>3</v>
      </c>
      <c r="F59" s="92">
        <v>3</v>
      </c>
      <c r="G59" s="90">
        <v>2</v>
      </c>
      <c r="H59" s="92">
        <v>13</v>
      </c>
      <c r="I59" s="90">
        <v>5</v>
      </c>
      <c r="J59" s="92" t="s">
        <v>126</v>
      </c>
      <c r="K59" s="93" t="s">
        <v>1587</v>
      </c>
      <c r="L59" s="94">
        <v>33</v>
      </c>
      <c r="M59" s="94"/>
      <c r="N59" s="94" t="s">
        <v>1584</v>
      </c>
      <c r="O59" s="94" t="s">
        <v>1585</v>
      </c>
      <c r="P59" s="96" t="str">
        <f>IF(ISBLANK(Q59),"",CONCATENATE(Q59,": ",VLOOKUP(Q59,Status!A:C,3,FALSE),IF(ISBLANK(R59),"",CONCATENATE(CHAR(10),R59,": ",VLOOKUP(R59,Status!A:C,3,FALSE),IF(ISBLANK(S59),"",CONCATENATE(CHAR(10),S59,": ",VLOOKUP(S59,Status!A:C,3,FALSE)))))))</f>
        <v/>
      </c>
      <c r="Q59" s="102"/>
      <c r="R59" s="97"/>
      <c r="S59" s="102"/>
      <c r="T59" s="103" t="s">
        <v>348</v>
      </c>
      <c r="U59" s="104"/>
      <c r="V59" s="100"/>
      <c r="W59" s="60"/>
      <c r="X59" s="60"/>
      <c r="Y59" s="60"/>
      <c r="Z59" s="60"/>
      <c r="AA59" s="60"/>
      <c r="AB59" s="60"/>
      <c r="AC59" s="60"/>
      <c r="AD59" s="60"/>
      <c r="AE59" s="60"/>
      <c r="AF59" s="60"/>
      <c r="AG59" s="60"/>
      <c r="AH59" s="60"/>
      <c r="AI59" s="60"/>
    </row>
    <row r="60" spans="1:35" ht="14">
      <c r="A60" s="105" t="s">
        <v>1588</v>
      </c>
      <c r="B60" s="117" t="s">
        <v>1574</v>
      </c>
      <c r="C60" s="117" t="s">
        <v>1574</v>
      </c>
      <c r="D60" s="91">
        <v>3</v>
      </c>
      <c r="E60" s="106">
        <v>3</v>
      </c>
      <c r="F60" s="92">
        <v>0</v>
      </c>
      <c r="G60" s="106">
        <v>5</v>
      </c>
      <c r="H60" s="92">
        <v>13</v>
      </c>
      <c r="I60" s="106" t="s">
        <v>126</v>
      </c>
      <c r="J60" s="92" t="s">
        <v>126</v>
      </c>
      <c r="K60" s="107" t="s">
        <v>1589</v>
      </c>
      <c r="L60" s="94">
        <v>75</v>
      </c>
      <c r="M60" s="94"/>
      <c r="N60" s="94" t="s">
        <v>1584</v>
      </c>
      <c r="O60" s="94" t="s">
        <v>1585</v>
      </c>
      <c r="P60" s="96" t="str">
        <f>IF(ISBLANK(Q60),"",CONCATENATE(Q60,": ",VLOOKUP(Q60,Status!A:C,3,FALSE),IF(ISBLANK(R60),"",CONCATENATE(CHAR(10),R60,": ",VLOOKUP(R60,Status!A:C,3,FALSE),IF(ISBLANK(S60),"",CONCATENATE(CHAR(10),S60,": ",VLOOKUP(S60,Status!A:C,3,FALSE)))))))</f>
        <v/>
      </c>
      <c r="Q60" s="102"/>
      <c r="R60" s="97"/>
      <c r="S60" s="102"/>
      <c r="T60" s="103" t="s">
        <v>348</v>
      </c>
      <c r="U60" s="104"/>
      <c r="V60" s="100"/>
      <c r="W60" s="60"/>
      <c r="X60" s="60"/>
      <c r="Y60" s="60"/>
      <c r="Z60" s="60"/>
      <c r="AA60" s="60"/>
      <c r="AB60" s="60"/>
      <c r="AC60" s="60"/>
      <c r="AD60" s="60"/>
      <c r="AE60" s="60"/>
      <c r="AF60" s="60"/>
      <c r="AG60" s="60"/>
      <c r="AH60" s="60"/>
      <c r="AI60" s="60"/>
    </row>
    <row r="61" spans="1:35" ht="14">
      <c r="A61" s="105" t="s">
        <v>1590</v>
      </c>
      <c r="B61" s="117" t="s">
        <v>1574</v>
      </c>
      <c r="C61" s="117" t="s">
        <v>1574</v>
      </c>
      <c r="D61" s="91">
        <v>2</v>
      </c>
      <c r="E61" s="106">
        <v>2</v>
      </c>
      <c r="F61" s="92">
        <v>0</v>
      </c>
      <c r="G61" s="106">
        <v>4</v>
      </c>
      <c r="H61" s="92">
        <v>13</v>
      </c>
      <c r="I61" s="106" t="s">
        <v>126</v>
      </c>
      <c r="J61" s="92" t="s">
        <v>126</v>
      </c>
      <c r="K61" s="107" t="s">
        <v>1591</v>
      </c>
      <c r="L61" s="94">
        <v>65</v>
      </c>
      <c r="M61" s="94"/>
      <c r="N61" s="94" t="s">
        <v>1584</v>
      </c>
      <c r="O61" s="94" t="s">
        <v>1585</v>
      </c>
      <c r="P61" s="96" t="str">
        <f>IF(ISBLANK(Q61),"",CONCATENATE(Q61,": ",VLOOKUP(Q61,Status!A:C,3,FALSE),IF(ISBLANK(R61),"",CONCATENATE(CHAR(10),R61,": ",VLOOKUP(R61,Status!A:C,3,FALSE),IF(ISBLANK(S61),"",CONCATENATE(CHAR(10),S61,": ",VLOOKUP(S61,Status!A:C,3,FALSE)))))))</f>
        <v/>
      </c>
      <c r="Q61" s="102"/>
      <c r="R61" s="97"/>
      <c r="S61" s="102"/>
      <c r="T61" s="103" t="s">
        <v>348</v>
      </c>
      <c r="U61" s="104"/>
      <c r="V61" s="100"/>
      <c r="W61" s="60"/>
      <c r="X61" s="60"/>
      <c r="Y61" s="60"/>
      <c r="Z61" s="60"/>
      <c r="AA61" s="60"/>
      <c r="AB61" s="60"/>
      <c r="AC61" s="60"/>
      <c r="AD61" s="60"/>
      <c r="AE61" s="60"/>
      <c r="AF61" s="60"/>
      <c r="AG61" s="60"/>
      <c r="AH61" s="60"/>
      <c r="AI61" s="60"/>
    </row>
    <row r="62" spans="1:35" ht="14">
      <c r="A62" s="105" t="s">
        <v>1592</v>
      </c>
      <c r="B62" s="117" t="s">
        <v>1574</v>
      </c>
      <c r="C62" s="117" t="s">
        <v>1574</v>
      </c>
      <c r="D62" s="91">
        <v>2</v>
      </c>
      <c r="E62" s="106">
        <v>3</v>
      </c>
      <c r="F62" s="92">
        <v>0</v>
      </c>
      <c r="G62" s="106">
        <v>3</v>
      </c>
      <c r="H62" s="92">
        <v>13</v>
      </c>
      <c r="I62" s="106" t="s">
        <v>126</v>
      </c>
      <c r="J62" s="92" t="s">
        <v>126</v>
      </c>
      <c r="K62" s="107" t="s">
        <v>1593</v>
      </c>
      <c r="L62" s="101">
        <v>39</v>
      </c>
      <c r="M62" s="94"/>
      <c r="N62" s="94" t="s">
        <v>1584</v>
      </c>
      <c r="O62" s="94" t="s">
        <v>1585</v>
      </c>
      <c r="P62" s="96" t="str">
        <f>IF(ISBLANK(Q62),"",CONCATENATE(Q62,": ",VLOOKUP(Q62,Status!A:C,3,FALSE),IF(ISBLANK(R62),"",CONCATENATE(CHAR(10),R62,": ",VLOOKUP(R62,Status!A:C,3,FALSE),IF(ISBLANK(S62),"",CONCATENATE(CHAR(10),S62,": ",VLOOKUP(S62,Status!A:C,3,FALSE)))))))</f>
        <v/>
      </c>
      <c r="Q62" s="102"/>
      <c r="R62" s="97"/>
      <c r="S62" s="102"/>
      <c r="T62" s="103" t="s">
        <v>348</v>
      </c>
      <c r="U62" s="104"/>
      <c r="V62" s="100"/>
      <c r="W62" s="60"/>
      <c r="X62" s="60"/>
      <c r="Y62" s="60"/>
      <c r="Z62" s="60"/>
      <c r="AA62" s="60"/>
      <c r="AB62" s="60"/>
      <c r="AC62" s="60"/>
      <c r="AD62" s="60"/>
      <c r="AE62" s="60"/>
      <c r="AF62" s="60"/>
      <c r="AG62" s="60"/>
      <c r="AH62" s="60"/>
      <c r="AI62" s="60"/>
    </row>
    <row r="63" spans="1:35" ht="22">
      <c r="A63" s="105" t="s">
        <v>1594</v>
      </c>
      <c r="B63" s="117" t="s">
        <v>1574</v>
      </c>
      <c r="C63" s="117" t="s">
        <v>1574</v>
      </c>
      <c r="D63" s="91">
        <v>1</v>
      </c>
      <c r="E63" s="106">
        <v>1</v>
      </c>
      <c r="F63" s="92">
        <v>0</v>
      </c>
      <c r="G63" s="106">
        <v>4</v>
      </c>
      <c r="H63" s="92">
        <v>3</v>
      </c>
      <c r="I63" s="106" t="s">
        <v>126</v>
      </c>
      <c r="J63" s="92" t="s">
        <v>126</v>
      </c>
      <c r="K63" s="107" t="s">
        <v>1595</v>
      </c>
      <c r="L63" s="94">
        <v>41</v>
      </c>
      <c r="M63" s="95"/>
      <c r="N63" s="95"/>
      <c r="O63" s="94" t="s">
        <v>126</v>
      </c>
      <c r="P63" s="96" t="str">
        <f>IF(ISBLANK(Q63),"",CONCATENATE(Q63,": ",VLOOKUP(Q63,Status!A:C,3,FALSE),IF(ISBLANK(R63),"",CONCATENATE(CHAR(10),R63,": ",VLOOKUP(R63,Status!A:C,3,FALSE),IF(ISBLANK(S63),"",CONCATENATE(CHAR(10),S63,": ",VLOOKUP(S63,Status!A:C,3,FALSE)))))))</f>
        <v>[Element] Arrowhead: Adds 41 damage of the chosen type to your weapon damage.</v>
      </c>
      <c r="Q63" s="102" t="s">
        <v>1596</v>
      </c>
      <c r="R63" s="97"/>
      <c r="S63" s="102"/>
      <c r="T63" s="103" t="s">
        <v>348</v>
      </c>
      <c r="U63" s="109"/>
      <c r="V63" s="100"/>
      <c r="W63" s="60"/>
      <c r="X63" s="60"/>
      <c r="Y63" s="60"/>
      <c r="Z63" s="60"/>
      <c r="AA63" s="60"/>
      <c r="AB63" s="60"/>
      <c r="AC63" s="60"/>
      <c r="AD63" s="60"/>
      <c r="AE63" s="60"/>
      <c r="AF63" s="60"/>
      <c r="AG63" s="60"/>
      <c r="AH63" s="60"/>
      <c r="AI63" s="60"/>
    </row>
    <row r="64" spans="1:35" ht="14">
      <c r="A64" s="105" t="s">
        <v>1597</v>
      </c>
      <c r="B64" s="117" t="s">
        <v>1574</v>
      </c>
      <c r="C64" s="117" t="s">
        <v>1574</v>
      </c>
      <c r="D64" s="91">
        <v>3</v>
      </c>
      <c r="E64" s="106">
        <v>1</v>
      </c>
      <c r="F64" s="92">
        <v>1</v>
      </c>
      <c r="G64" s="106">
        <v>3</v>
      </c>
      <c r="H64" s="92">
        <v>13</v>
      </c>
      <c r="I64" s="106" t="s">
        <v>126</v>
      </c>
      <c r="J64" s="92" t="s">
        <v>126</v>
      </c>
      <c r="K64" s="107" t="s">
        <v>1598</v>
      </c>
      <c r="L64" s="101"/>
      <c r="M64" s="95"/>
      <c r="N64" s="95"/>
      <c r="O64" s="94" t="s">
        <v>126</v>
      </c>
      <c r="P64" s="96" t="str">
        <f>IF(ISBLANK(Q64),"",CONCATENATE(Q64,": ",VLOOKUP(Q64,Status!A:C,3,FALSE),IF(ISBLANK(R64),"",CONCATENATE(CHAR(10),R64,": ",VLOOKUP(R64,Status!A:C,3,FALSE),IF(ISBLANK(S64),"",CONCATENATE(CHAR(10),S64,": ",VLOOKUP(S64,Status!A:C,3,FALSE)))))))</f>
        <v>Farsight: +4m range on attacks and skills that have a range greater than 3m.</v>
      </c>
      <c r="Q64" s="102" t="s">
        <v>1597</v>
      </c>
      <c r="R64" s="97"/>
      <c r="S64" s="102"/>
      <c r="T64" s="103"/>
      <c r="U64" s="104"/>
      <c r="V64" s="100"/>
      <c r="W64" s="60"/>
      <c r="X64" s="60"/>
      <c r="Y64" s="60"/>
      <c r="Z64" s="60"/>
      <c r="AA64" s="60"/>
      <c r="AB64" s="60"/>
      <c r="AC64" s="60"/>
      <c r="AD64" s="60"/>
      <c r="AE64" s="60"/>
      <c r="AF64" s="60"/>
      <c r="AG64" s="60"/>
      <c r="AH64" s="60"/>
      <c r="AI64" s="60"/>
    </row>
    <row r="65" spans="1:35" ht="28">
      <c r="A65" s="89" t="s">
        <v>1599</v>
      </c>
      <c r="B65" s="116" t="s">
        <v>1574</v>
      </c>
      <c r="C65" s="116" t="s">
        <v>1574</v>
      </c>
      <c r="D65" s="91">
        <v>1</v>
      </c>
      <c r="E65" s="90">
        <v>1</v>
      </c>
      <c r="F65" s="92">
        <v>0</v>
      </c>
      <c r="G65" s="90">
        <v>4</v>
      </c>
      <c r="H65" s="92">
        <v>8</v>
      </c>
      <c r="I65" s="90" t="s">
        <v>126</v>
      </c>
      <c r="J65" s="92" t="s">
        <v>126</v>
      </c>
      <c r="K65" s="93" t="s">
        <v>1600</v>
      </c>
      <c r="L65" s="94">
        <v>129</v>
      </c>
      <c r="M65" s="95"/>
      <c r="N65" s="95"/>
      <c r="O65" s="94" t="s">
        <v>126</v>
      </c>
      <c r="P65" s="96" t="str">
        <f>IF(ISBLANK(Q65),"",CONCATENATE(Q65,": ",VLOOKUP(Q65,Status!A:C,3,FALSE),IF(ISBLANK(R65),"",CONCATENATE(CHAR(10),R65,": ",VLOOKUP(R65,Status!A:C,3,FALSE),IF(ISBLANK(S65),"",CONCATENATE(CHAR(10),S65,": ",VLOOKUP(S65,Status!A:C,3,FALSE)))))))</f>
        <v/>
      </c>
      <c r="Q65" s="102"/>
      <c r="R65" s="97"/>
      <c r="S65" s="102"/>
      <c r="T65" s="103" t="s">
        <v>1546</v>
      </c>
      <c r="U65" s="109"/>
      <c r="V65" s="100"/>
      <c r="W65" s="60"/>
      <c r="X65" s="60"/>
      <c r="Y65" s="60"/>
      <c r="Z65" s="60"/>
      <c r="AA65" s="60"/>
      <c r="AB65" s="60"/>
      <c r="AC65" s="60"/>
      <c r="AD65" s="60"/>
      <c r="AE65" s="60"/>
      <c r="AF65" s="60"/>
      <c r="AG65" s="60"/>
      <c r="AH65" s="60"/>
      <c r="AI65" s="60"/>
    </row>
    <row r="66" spans="1:35" ht="28">
      <c r="A66" s="89" t="s">
        <v>1601</v>
      </c>
      <c r="B66" s="116" t="s">
        <v>1574</v>
      </c>
      <c r="C66" s="116" t="s">
        <v>1574</v>
      </c>
      <c r="D66" s="91">
        <v>3</v>
      </c>
      <c r="E66" s="90">
        <v>1</v>
      </c>
      <c r="F66" s="92">
        <v>0</v>
      </c>
      <c r="G66" s="90">
        <v>3</v>
      </c>
      <c r="H66" s="92">
        <v>13</v>
      </c>
      <c r="I66" s="90" t="s">
        <v>126</v>
      </c>
      <c r="J66" s="92" t="s">
        <v>126</v>
      </c>
      <c r="K66" s="93" t="s">
        <v>1602</v>
      </c>
      <c r="L66" s="95"/>
      <c r="M66" s="95"/>
      <c r="N66" s="95"/>
      <c r="O66" s="94" t="s">
        <v>126</v>
      </c>
      <c r="P66" s="96" t="str">
        <f>IF(ISBLANK(Q66),"",CONCATENATE(Q66,": ",VLOOKUP(Q66,Status!A:C,3,FALSE),IF(ISBLANK(R66),"",CONCATENATE(CHAR(10),R66,": ",VLOOKUP(R66,Status!A:C,3,FALSE),IF(ISBLANK(S66),"",CONCATENATE(CHAR(10),S66,": ",VLOOKUP(S66,Status!A:C,3,FALSE)))))))</f>
        <v>Marked: No damage bonus from high ground.  Enemies do not suffer damage penalty from low ground.  -100% Dodging.</v>
      </c>
      <c r="Q66" s="102" t="s">
        <v>1603</v>
      </c>
      <c r="R66" s="97"/>
      <c r="S66" s="97"/>
      <c r="T66" s="108"/>
      <c r="U66" s="109"/>
      <c r="V66" s="100"/>
      <c r="W66" s="60"/>
      <c r="X66" s="60"/>
      <c r="Y66" s="60"/>
      <c r="Z66" s="60"/>
      <c r="AA66" s="60"/>
      <c r="AB66" s="60"/>
      <c r="AC66" s="60"/>
      <c r="AD66" s="60"/>
      <c r="AE66" s="60"/>
      <c r="AF66" s="60"/>
      <c r="AG66" s="60"/>
      <c r="AH66" s="60"/>
      <c r="AI66" s="60"/>
    </row>
    <row r="67" spans="1:35" ht="14">
      <c r="A67" s="89" t="s">
        <v>1604</v>
      </c>
      <c r="B67" s="116" t="s">
        <v>1574</v>
      </c>
      <c r="C67" s="116" t="s">
        <v>1574</v>
      </c>
      <c r="D67" s="91">
        <v>2</v>
      </c>
      <c r="E67" s="90">
        <v>2</v>
      </c>
      <c r="F67" s="92">
        <v>0</v>
      </c>
      <c r="G67" s="90">
        <v>2</v>
      </c>
      <c r="H67" s="92">
        <v>13</v>
      </c>
      <c r="I67" s="90" t="s">
        <v>126</v>
      </c>
      <c r="J67" s="92" t="s">
        <v>126</v>
      </c>
      <c r="K67" s="93" t="s">
        <v>1605</v>
      </c>
      <c r="L67" s="94">
        <v>65</v>
      </c>
      <c r="M67" s="94"/>
      <c r="N67" s="94" t="s">
        <v>1584</v>
      </c>
      <c r="O67" s="94" t="s">
        <v>1585</v>
      </c>
      <c r="P67" s="96" t="str">
        <f>IF(ISBLANK(Q67),"",CONCATENATE(Q67,": ",VLOOKUP(Q67,Status!A:C,3,FALSE),IF(ISBLANK(R67),"",CONCATENATE(CHAR(10),R67,": ",VLOOKUP(R67,Status!A:C,3,FALSE),IF(ISBLANK(S67),"",CONCATENATE(CHAR(10),S67,": ",VLOOKUP(S67,Status!A:C,3,FALSE)))))))</f>
        <v/>
      </c>
      <c r="Q67" s="102"/>
      <c r="R67" s="97"/>
      <c r="S67" s="102"/>
      <c r="T67" s="103" t="s">
        <v>348</v>
      </c>
      <c r="U67" s="109"/>
      <c r="V67" s="100"/>
      <c r="W67" s="60"/>
      <c r="X67" s="60"/>
      <c r="Y67" s="60"/>
      <c r="Z67" s="60"/>
      <c r="AA67" s="60"/>
      <c r="AB67" s="60"/>
      <c r="AC67" s="60"/>
      <c r="AD67" s="60"/>
      <c r="AE67" s="60"/>
      <c r="AF67" s="60"/>
      <c r="AG67" s="60"/>
      <c r="AH67" s="60"/>
      <c r="AI67" s="60"/>
    </row>
    <row r="68" spans="1:35" ht="14">
      <c r="A68" s="105" t="s">
        <v>1606</v>
      </c>
      <c r="B68" s="117" t="s">
        <v>1574</v>
      </c>
      <c r="C68" s="117" t="s">
        <v>1574</v>
      </c>
      <c r="D68" s="91">
        <v>1</v>
      </c>
      <c r="E68" s="106">
        <v>3</v>
      </c>
      <c r="F68" s="92">
        <v>0</v>
      </c>
      <c r="G68" s="106">
        <v>3</v>
      </c>
      <c r="H68" s="92">
        <v>13</v>
      </c>
      <c r="I68" s="106" t="s">
        <v>126</v>
      </c>
      <c r="J68" s="92" t="s">
        <v>1473</v>
      </c>
      <c r="K68" s="107" t="s">
        <v>1607</v>
      </c>
      <c r="L68" s="94">
        <v>78</v>
      </c>
      <c r="M68" s="94"/>
      <c r="N68" s="94" t="s">
        <v>1584</v>
      </c>
      <c r="O68" s="94" t="s">
        <v>1585</v>
      </c>
      <c r="P68" s="96" t="str">
        <f>IF(ISBLANK(Q68),"",CONCATENATE(Q68,": ",VLOOKUP(Q68,Status!A:C,3,FALSE),IF(ISBLANK(R68),"",CONCATENATE(CHAR(10),R68,": ",VLOOKUP(R68,Status!A:C,3,FALSE),IF(ISBLANK(S68),"",CONCATENATE(CHAR(10),S68,": ",VLOOKUP(S68,Status!A:C,3,FALSE)))))))</f>
        <v>Crippled: -100% Movement, -30% Dodging.  Removed by First Aid, Haste, and Petrifying Touch.</v>
      </c>
      <c r="Q68" s="102" t="s">
        <v>1551</v>
      </c>
      <c r="R68" s="97"/>
      <c r="S68" s="102"/>
      <c r="T68" s="103" t="s">
        <v>348</v>
      </c>
      <c r="U68" s="109"/>
      <c r="V68" s="100"/>
      <c r="W68" s="60"/>
      <c r="X68" s="60"/>
      <c r="Y68" s="60"/>
      <c r="Z68" s="60"/>
      <c r="AA68" s="60"/>
      <c r="AB68" s="60"/>
      <c r="AC68" s="60"/>
      <c r="AD68" s="60"/>
      <c r="AE68" s="60"/>
      <c r="AF68" s="60"/>
      <c r="AG68" s="60"/>
      <c r="AH68" s="60"/>
      <c r="AI68" s="60"/>
    </row>
    <row r="69" spans="1:35" ht="28">
      <c r="A69" s="89" t="s">
        <v>1608</v>
      </c>
      <c r="B69" s="116" t="s">
        <v>1574</v>
      </c>
      <c r="C69" s="116" t="s">
        <v>1574</v>
      </c>
      <c r="D69" s="91">
        <v>2</v>
      </c>
      <c r="E69" s="90">
        <v>2</v>
      </c>
      <c r="F69" s="92">
        <v>0</v>
      </c>
      <c r="G69" s="90">
        <v>2</v>
      </c>
      <c r="H69" s="92">
        <v>13</v>
      </c>
      <c r="I69" s="90">
        <v>4</v>
      </c>
      <c r="J69" s="92" t="s">
        <v>126</v>
      </c>
      <c r="K69" s="93" t="s">
        <v>1609</v>
      </c>
      <c r="L69" s="94"/>
      <c r="M69" s="94"/>
      <c r="N69" s="94" t="s">
        <v>1584</v>
      </c>
      <c r="O69" s="94" t="s">
        <v>126</v>
      </c>
      <c r="P69" s="96" t="str">
        <f>IF(ISBLANK(Q69),"",CONCATENATE(Q69,": ",VLOOKUP(Q69,Status!A:C,3,FALSE),IF(ISBLANK(R69),"",CONCATENATE(CHAR(10),R69,": ",VLOOKUP(R69,Status!A:C,3,FALSE),IF(ISBLANK(S69),"",CONCATENATE(CHAR(10),S69,": ",VLOOKUP(S69,Status!A:C,3,FALSE)))))))</f>
        <v/>
      </c>
      <c r="Q69" s="102"/>
      <c r="R69" s="97"/>
      <c r="S69" s="97"/>
      <c r="T69" s="108"/>
      <c r="U69" s="109"/>
      <c r="V69" s="100"/>
      <c r="W69" s="60"/>
      <c r="X69" s="60"/>
      <c r="Y69" s="60"/>
      <c r="Z69" s="60"/>
      <c r="AA69" s="60"/>
      <c r="AB69" s="60"/>
      <c r="AC69" s="60"/>
      <c r="AD69" s="60"/>
      <c r="AE69" s="60"/>
      <c r="AF69" s="60"/>
      <c r="AG69" s="60"/>
      <c r="AH69" s="60"/>
      <c r="AI69" s="60"/>
    </row>
    <row r="70" spans="1:35" ht="28">
      <c r="A70" s="89" t="s">
        <v>1610</v>
      </c>
      <c r="B70" s="116" t="s">
        <v>1574</v>
      </c>
      <c r="C70" s="116" t="s">
        <v>1574</v>
      </c>
      <c r="D70" s="91">
        <v>1</v>
      </c>
      <c r="E70" s="90">
        <v>2</v>
      </c>
      <c r="F70" s="92">
        <v>0</v>
      </c>
      <c r="G70" s="90">
        <v>4</v>
      </c>
      <c r="H70" s="92">
        <v>13</v>
      </c>
      <c r="I70" s="90" t="s">
        <v>126</v>
      </c>
      <c r="J70" s="92" t="s">
        <v>126</v>
      </c>
      <c r="K70" s="93" t="s">
        <v>1611</v>
      </c>
      <c r="L70" s="94">
        <v>59</v>
      </c>
      <c r="M70" s="94"/>
      <c r="N70" s="94" t="s">
        <v>1584</v>
      </c>
      <c r="O70" s="94" t="s">
        <v>1585</v>
      </c>
      <c r="P70" s="96" t="str">
        <f>IF(ISBLANK(Q70),"",CONCATENATE(Q70,": ",VLOOKUP(Q70,Status!A:C,3,FALSE),IF(ISBLANK(R70),"",CONCATENATE(CHAR(10),R70,": ",VLOOKUP(R70,Status!A:C,3,FALSE),IF(ISBLANK(S70),"",CONCATENATE(CHAR(10),S70,": ",VLOOKUP(S70,Status!A:C,3,FALSE)))))))</f>
        <v/>
      </c>
      <c r="Q70" s="102"/>
      <c r="R70" s="97"/>
      <c r="S70" s="102"/>
      <c r="T70" s="103" t="s">
        <v>348</v>
      </c>
      <c r="U70" s="104"/>
      <c r="V70" s="100"/>
      <c r="W70" s="60"/>
      <c r="X70" s="60"/>
      <c r="Y70" s="60"/>
      <c r="Z70" s="60"/>
      <c r="AA70" s="60"/>
      <c r="AB70" s="60"/>
      <c r="AC70" s="60"/>
      <c r="AD70" s="60"/>
      <c r="AE70" s="60"/>
      <c r="AF70" s="60"/>
      <c r="AG70" s="60"/>
      <c r="AH70" s="60"/>
      <c r="AI70" s="60"/>
    </row>
    <row r="71" spans="1:35" ht="14">
      <c r="A71" s="105" t="s">
        <v>1612</v>
      </c>
      <c r="B71" s="117" t="s">
        <v>1574</v>
      </c>
      <c r="C71" s="117" t="s">
        <v>1574</v>
      </c>
      <c r="D71" s="91">
        <v>2</v>
      </c>
      <c r="E71" s="106">
        <v>2</v>
      </c>
      <c r="F71" s="92">
        <v>0</v>
      </c>
      <c r="G71" s="106">
        <v>3</v>
      </c>
      <c r="H71" s="92">
        <v>20</v>
      </c>
      <c r="I71" s="106" t="s">
        <v>126</v>
      </c>
      <c r="J71" s="92" t="s">
        <v>126</v>
      </c>
      <c r="K71" s="107" t="s">
        <v>1613</v>
      </c>
      <c r="L71" s="94">
        <v>65</v>
      </c>
      <c r="M71" s="94"/>
      <c r="N71" s="94" t="s">
        <v>1584</v>
      </c>
      <c r="O71" s="94" t="s">
        <v>1585</v>
      </c>
      <c r="P71" s="96" t="str">
        <f>IF(ISBLANK(Q71),"",CONCATENATE(Q71,": ",VLOOKUP(Q71,Status!A:C,3,FALSE),IF(ISBLANK(R71),"",CONCATENATE(CHAR(10),R71,": ",VLOOKUP(R71,Status!A:C,3,FALSE),IF(ISBLANK(S71),"",CONCATENATE(CHAR(10),S71,": ",VLOOKUP(S71,Status!A:C,3,FALSE)))))))</f>
        <v/>
      </c>
      <c r="Q71" s="102"/>
      <c r="R71" s="97"/>
      <c r="S71" s="102"/>
      <c r="T71" s="103" t="s">
        <v>348</v>
      </c>
      <c r="U71" s="104"/>
      <c r="V71" s="100"/>
      <c r="W71" s="60"/>
      <c r="X71" s="60"/>
      <c r="Y71" s="60"/>
      <c r="Z71" s="60"/>
      <c r="AA71" s="60"/>
      <c r="AB71" s="60"/>
      <c r="AC71" s="60"/>
      <c r="AD71" s="60"/>
      <c r="AE71" s="60"/>
      <c r="AF71" s="60"/>
      <c r="AG71" s="60"/>
      <c r="AH71" s="60"/>
      <c r="AI71" s="60"/>
    </row>
    <row r="72" spans="1:35" ht="28">
      <c r="A72" s="89" t="s">
        <v>1614</v>
      </c>
      <c r="B72" s="116" t="s">
        <v>1574</v>
      </c>
      <c r="C72" s="116" t="s">
        <v>1574</v>
      </c>
      <c r="D72" s="91">
        <v>2</v>
      </c>
      <c r="E72" s="90">
        <v>1</v>
      </c>
      <c r="F72" s="92">
        <v>0</v>
      </c>
      <c r="G72" s="90">
        <v>4</v>
      </c>
      <c r="H72" s="92">
        <v>13</v>
      </c>
      <c r="I72" s="90" t="s">
        <v>126</v>
      </c>
      <c r="J72" s="92" t="s">
        <v>126</v>
      </c>
      <c r="K72" s="93" t="s">
        <v>1615</v>
      </c>
      <c r="L72" s="95"/>
      <c r="M72" s="95"/>
      <c r="N72" s="95"/>
      <c r="O72" s="94" t="s">
        <v>126</v>
      </c>
      <c r="P72" s="96" t="str">
        <f>IF(ISBLANK(Q72),"",CONCATENATE(Q72,": ",VLOOKUP(Q72,Status!A:C,3,FALSE),IF(ISBLANK(R72),"",CONCATENATE(CHAR(10),R72,": ",VLOOKUP(R72,Status!A:C,3,FALSE),IF(ISBLANK(S72),"",CONCATENATE(CHAR(10),S72,": ",VLOOKUP(S72,Status!A:C,3,FALSE)))))))</f>
        <v>Hasted: +2 Movement, +1 Start AP, +1 AP Recovery.  Removes Slowed and Crippled.  Removed by Slowed.</v>
      </c>
      <c r="Q72" s="102" t="s">
        <v>1616</v>
      </c>
      <c r="R72" s="97"/>
      <c r="S72" s="97"/>
      <c r="T72" s="108"/>
      <c r="U72" s="109"/>
      <c r="V72" s="100"/>
      <c r="W72" s="60"/>
      <c r="X72" s="60"/>
      <c r="Y72" s="60"/>
      <c r="Z72" s="60"/>
      <c r="AA72" s="60"/>
      <c r="AB72" s="60"/>
      <c r="AC72" s="60"/>
      <c r="AD72" s="60"/>
      <c r="AE72" s="60"/>
      <c r="AF72" s="60"/>
      <c r="AG72" s="60"/>
      <c r="AH72" s="60"/>
      <c r="AI72" s="60"/>
    </row>
    <row r="73" spans="1:35" ht="28">
      <c r="A73" s="89" t="s">
        <v>1617</v>
      </c>
      <c r="B73" s="116" t="s">
        <v>1574</v>
      </c>
      <c r="C73" s="116" t="s">
        <v>1618</v>
      </c>
      <c r="D73" s="91">
        <v>1</v>
      </c>
      <c r="E73" s="90">
        <v>1</v>
      </c>
      <c r="F73" s="92">
        <v>0</v>
      </c>
      <c r="G73" s="90">
        <v>3</v>
      </c>
      <c r="H73" s="92" t="s">
        <v>126</v>
      </c>
      <c r="I73" s="90">
        <v>2</v>
      </c>
      <c r="J73" s="92" t="s">
        <v>126</v>
      </c>
      <c r="K73" s="93" t="s">
        <v>1619</v>
      </c>
      <c r="L73" s="94" t="s">
        <v>1620</v>
      </c>
      <c r="M73" s="95"/>
      <c r="N73" s="95"/>
      <c r="O73" s="94" t="s">
        <v>126</v>
      </c>
      <c r="P73" s="96" t="str">
        <f>IF(ISBLANK(Q73),"",CONCATENATE(Q73,": ",VLOOKUP(Q73,Status!A:C,3,FALSE),IF(ISBLANK(R73),"",CONCATENATE(CHAR(10),R73,": ",VLOOKUP(R73,Status!A:C,3,FALSE),IF(ISBLANK(S73),"",CONCATENATE(CHAR(10),S73,": ",VLOOKUP(S73,Status!A:C,3,FALSE)))))))</f>
        <v/>
      </c>
      <c r="Q73" s="102"/>
      <c r="R73" s="97"/>
      <c r="S73" s="102"/>
      <c r="T73" s="103" t="s">
        <v>1546</v>
      </c>
      <c r="U73" s="109"/>
      <c r="V73" s="100"/>
      <c r="W73" s="60"/>
      <c r="X73" s="60"/>
      <c r="Y73" s="60"/>
      <c r="Z73" s="60"/>
      <c r="AA73" s="60"/>
      <c r="AB73" s="60"/>
      <c r="AC73" s="60"/>
      <c r="AD73" s="60"/>
      <c r="AE73" s="60"/>
      <c r="AF73" s="60"/>
      <c r="AG73" s="60"/>
      <c r="AH73" s="60"/>
      <c r="AI73" s="60"/>
    </row>
    <row r="74" spans="1:35" ht="28">
      <c r="A74" s="89" t="s">
        <v>1621</v>
      </c>
      <c r="B74" s="116" t="s">
        <v>1574</v>
      </c>
      <c r="C74" s="116" t="s">
        <v>1618</v>
      </c>
      <c r="D74" s="91">
        <v>2</v>
      </c>
      <c r="E74" s="90">
        <v>2</v>
      </c>
      <c r="F74" s="92">
        <v>1</v>
      </c>
      <c r="G74" s="90">
        <v>5</v>
      </c>
      <c r="H74" s="92" t="s">
        <v>126</v>
      </c>
      <c r="I74" s="90">
        <v>13</v>
      </c>
      <c r="J74" s="92" t="s">
        <v>126</v>
      </c>
      <c r="K74" s="93" t="s">
        <v>1622</v>
      </c>
      <c r="L74" s="94" t="s">
        <v>1620</v>
      </c>
      <c r="M74" s="95"/>
      <c r="N74" s="95"/>
      <c r="O74" s="94" t="s">
        <v>126</v>
      </c>
      <c r="P74" s="96" t="str">
        <f>IF(ISBLANK(Q74),"",CONCATENATE(Q74,": ",VLOOKUP(Q74,Status!A:C,3,FALSE),IF(ISBLANK(R74),"",CONCATENATE(CHAR(10),R74,": ",VLOOKUP(R74,Status!A:C,3,FALSE),IF(ISBLANK(S74),"",CONCATENATE(CHAR(10),S74,": ",VLOOKUP(S74,Status!A:C,3,FALSE)))))))</f>
        <v/>
      </c>
      <c r="Q74" s="102"/>
      <c r="R74" s="97"/>
      <c r="S74" s="102"/>
      <c r="T74" s="103" t="s">
        <v>1546</v>
      </c>
      <c r="U74" s="109"/>
      <c r="V74" s="100"/>
      <c r="W74" s="60"/>
      <c r="X74" s="60"/>
      <c r="Y74" s="60"/>
      <c r="Z74" s="60"/>
      <c r="AA74" s="60"/>
      <c r="AB74" s="60"/>
      <c r="AC74" s="60"/>
      <c r="AD74" s="60"/>
      <c r="AE74" s="60"/>
      <c r="AF74" s="60"/>
      <c r="AG74" s="60"/>
      <c r="AH74" s="60"/>
      <c r="AI74" s="60"/>
    </row>
    <row r="75" spans="1:35" ht="42">
      <c r="A75" s="89" t="s">
        <v>1623</v>
      </c>
      <c r="B75" s="116" t="s">
        <v>1574</v>
      </c>
      <c r="C75" s="117" t="s">
        <v>1624</v>
      </c>
      <c r="D75" s="91">
        <v>2</v>
      </c>
      <c r="E75" s="90">
        <v>3</v>
      </c>
      <c r="F75" s="92">
        <v>1</v>
      </c>
      <c r="G75" s="90">
        <v>5</v>
      </c>
      <c r="H75" s="92">
        <v>13</v>
      </c>
      <c r="I75" s="90" t="s">
        <v>126</v>
      </c>
      <c r="J75" s="92" t="s">
        <v>126</v>
      </c>
      <c r="K75" s="93" t="s">
        <v>1625</v>
      </c>
      <c r="L75" s="94">
        <v>87</v>
      </c>
      <c r="M75" s="95"/>
      <c r="N75" s="95"/>
      <c r="O75" s="94" t="s">
        <v>126</v>
      </c>
      <c r="P75" s="96" t="str">
        <f>IF(ISBLANK(Q75),"",CONCATENATE(Q75,": ",VLOOKUP(Q75,Status!A:C,3,FALSE),IF(ISBLANK(R75),"",CONCATENATE(CHAR(10),R75,": ",VLOOKUP(R75,Status!A:C,3,FALSE),IF(ISBLANK(S75),"",CONCATENATE(CHAR(10),S75,": ",VLOOKUP(S75,Status!A:C,3,FALSE)))))))</f>
        <v>Burning: Take 35 Fire damage each turn.  Removed by Armour of Frost, Blessed Steam (cloud), Cleanse Wounds, First Aid, Fortify, Mass Cleanse Wounds, Petrifying Touch, Rain, Restoration, and Steam Cloud (cloud).</v>
      </c>
      <c r="Q75" s="102" t="s">
        <v>1505</v>
      </c>
      <c r="R75" s="97"/>
      <c r="S75" s="102"/>
      <c r="T75" s="103" t="s">
        <v>348</v>
      </c>
      <c r="U75" s="109"/>
      <c r="V75" s="100"/>
      <c r="W75" s="60"/>
      <c r="X75" s="60"/>
      <c r="Y75" s="60"/>
      <c r="Z75" s="60"/>
      <c r="AA75" s="60"/>
      <c r="AB75" s="60"/>
      <c r="AC75" s="60"/>
      <c r="AD75" s="60"/>
      <c r="AE75" s="60"/>
      <c r="AF75" s="60"/>
      <c r="AG75" s="60"/>
      <c r="AH75" s="60"/>
      <c r="AI75" s="60"/>
    </row>
    <row r="76" spans="1:35" ht="42">
      <c r="A76" s="89" t="s">
        <v>1626</v>
      </c>
      <c r="B76" s="116" t="s">
        <v>1574</v>
      </c>
      <c r="C76" s="117" t="s">
        <v>1624</v>
      </c>
      <c r="D76" s="91">
        <v>1</v>
      </c>
      <c r="E76" s="90">
        <v>1</v>
      </c>
      <c r="F76" s="92">
        <v>0</v>
      </c>
      <c r="G76" s="90">
        <v>3</v>
      </c>
      <c r="H76" s="92">
        <v>13</v>
      </c>
      <c r="I76" s="90" t="s">
        <v>126</v>
      </c>
      <c r="J76" s="92" t="s">
        <v>1425</v>
      </c>
      <c r="K76" s="93" t="s">
        <v>1627</v>
      </c>
      <c r="L76" s="94">
        <v>87</v>
      </c>
      <c r="M76" s="95"/>
      <c r="N76" s="95"/>
      <c r="O76" s="94" t="s">
        <v>126</v>
      </c>
      <c r="P76" s="96" t="str">
        <f>IF(ISBLANK(Q76),"",CONCATENATE(Q76,": ",VLOOKUP(Q76,Status!A:C,3,FALSE),IF(ISBLANK(R76),"",CONCATENATE(CHAR(10),R76,": ",VLOOKUP(R76,Status!A:C,3,FALSE),IF(ISBLANK(S76),"",CONCATENATE(CHAR(10),S76,": ",VLOOKUP(S76,Status!A:C,3,FALSE)))))))</f>
        <v>Burning: Take 35 Fire damage each turn.  Removed by Armour of Frost, Blessed Steam (cloud), Cleanse Wounds, First Aid, Fortify, Mass Cleanse Wounds, Petrifying Touch, Rain, Restoration, and Steam Cloud (cloud).</v>
      </c>
      <c r="Q76" s="102" t="s">
        <v>1505</v>
      </c>
      <c r="R76" s="97"/>
      <c r="S76" s="102"/>
      <c r="T76" s="103" t="s">
        <v>348</v>
      </c>
      <c r="U76" s="109"/>
      <c r="V76" s="100"/>
      <c r="W76" s="60"/>
      <c r="X76" s="60"/>
      <c r="Y76" s="60"/>
      <c r="Z76" s="60"/>
      <c r="AA76" s="60"/>
      <c r="AB76" s="60"/>
      <c r="AC76" s="60"/>
      <c r="AD76" s="60"/>
      <c r="AE76" s="60"/>
      <c r="AF76" s="60"/>
      <c r="AG76" s="60"/>
      <c r="AH76" s="60"/>
      <c r="AI76" s="60"/>
    </row>
    <row r="77" spans="1:35" ht="28">
      <c r="A77" s="89" t="s">
        <v>1628</v>
      </c>
      <c r="B77" s="116" t="s">
        <v>1618</v>
      </c>
      <c r="C77" s="116" t="s">
        <v>1618</v>
      </c>
      <c r="D77" s="91">
        <v>3</v>
      </c>
      <c r="E77" s="90">
        <v>3</v>
      </c>
      <c r="F77" s="92">
        <v>1</v>
      </c>
      <c r="G77" s="90">
        <v>4</v>
      </c>
      <c r="H77" s="92">
        <v>13</v>
      </c>
      <c r="I77" s="90" t="s">
        <v>126</v>
      </c>
      <c r="J77" s="92" t="s">
        <v>126</v>
      </c>
      <c r="K77" s="93" t="s">
        <v>1629</v>
      </c>
      <c r="L77" s="115"/>
      <c r="M77" s="95"/>
      <c r="N77" s="95"/>
      <c r="O77" s="94" t="s">
        <v>126</v>
      </c>
      <c r="P77" s="96" t="str">
        <f>IF(ISBLANK(Q77),"",CONCATENATE(Q77,": ",VLOOKUP(Q77,Status!A:C,3,FALSE),IF(ISBLANK(R77),"",CONCATENATE(CHAR(10),R77,": ",VLOOKUP(R77,Status!A:C,3,FALSE),IF(ISBLANK(S77),"",CONCATENATE(CHAR(10),S77,": ",VLOOKUP(S77,Status!A:C,3,FALSE)))))))</f>
        <v/>
      </c>
      <c r="Q77" s="102"/>
      <c r="R77" s="97"/>
      <c r="S77" s="97"/>
      <c r="T77" s="108"/>
      <c r="U77" s="109"/>
      <c r="V77" s="100"/>
      <c r="W77" s="60"/>
      <c r="X77" s="60"/>
      <c r="Y77" s="60"/>
      <c r="Z77" s="60"/>
      <c r="AA77" s="60"/>
      <c r="AB77" s="60"/>
      <c r="AC77" s="60"/>
      <c r="AD77" s="60"/>
      <c r="AE77" s="60"/>
      <c r="AF77" s="60"/>
      <c r="AG77" s="60"/>
      <c r="AH77" s="60"/>
      <c r="AI77" s="60"/>
    </row>
    <row r="78" spans="1:35" ht="14">
      <c r="A78" s="89" t="s">
        <v>1630</v>
      </c>
      <c r="B78" s="116" t="s">
        <v>1618</v>
      </c>
      <c r="C78" s="116" t="s">
        <v>1618</v>
      </c>
      <c r="D78" s="91">
        <v>1</v>
      </c>
      <c r="E78" s="90">
        <v>1</v>
      </c>
      <c r="F78" s="92">
        <v>0</v>
      </c>
      <c r="G78" s="90">
        <v>4</v>
      </c>
      <c r="H78" s="92">
        <v>13</v>
      </c>
      <c r="I78" s="90" t="s">
        <v>126</v>
      </c>
      <c r="J78" s="92" t="s">
        <v>126</v>
      </c>
      <c r="K78" s="93" t="s">
        <v>1631</v>
      </c>
      <c r="L78" s="94">
        <v>134</v>
      </c>
      <c r="M78" s="95"/>
      <c r="N78" s="95"/>
      <c r="O78" s="94" t="s">
        <v>126</v>
      </c>
      <c r="P78" s="96" t="str">
        <f>IF(ISBLANK(Q78),"",CONCATENATE(Q78,": ",VLOOKUP(Q78,Status!A:C,3,FALSE),IF(ISBLANK(R78),"",CONCATENATE(CHAR(10),R78,": ",VLOOKUP(R78,Status!A:C,3,FALSE),IF(ISBLANK(S78),"",CONCATENATE(CHAR(10),S78,": ",VLOOKUP(S78,Status!A:C,3,FALSE)))))))</f>
        <v>Magic Shell: Increases maximum Magic Armor by 134.</v>
      </c>
      <c r="Q78" s="102" t="s">
        <v>1632</v>
      </c>
      <c r="R78" s="97"/>
      <c r="S78" s="102"/>
      <c r="T78" s="103" t="s">
        <v>1546</v>
      </c>
      <c r="U78" s="109"/>
      <c r="V78" s="100"/>
      <c r="W78" s="60"/>
      <c r="X78" s="60"/>
      <c r="Y78" s="60"/>
      <c r="Z78" s="60"/>
      <c r="AA78" s="60"/>
      <c r="AB78" s="60"/>
      <c r="AC78" s="60"/>
      <c r="AD78" s="60"/>
      <c r="AE78" s="60"/>
      <c r="AF78" s="60"/>
      <c r="AG78" s="60"/>
      <c r="AH78" s="60"/>
      <c r="AI78" s="60"/>
    </row>
    <row r="79" spans="1:35" ht="42">
      <c r="A79" s="89" t="s">
        <v>1633</v>
      </c>
      <c r="B79" s="116" t="s">
        <v>1618</v>
      </c>
      <c r="C79" s="116" t="s">
        <v>1618</v>
      </c>
      <c r="D79" s="91">
        <v>2</v>
      </c>
      <c r="E79" s="90">
        <v>2</v>
      </c>
      <c r="F79" s="92">
        <v>0</v>
      </c>
      <c r="G79" s="90">
        <v>4</v>
      </c>
      <c r="H79" s="92">
        <v>13</v>
      </c>
      <c r="I79" s="90" t="s">
        <v>126</v>
      </c>
      <c r="J79" s="92" t="s">
        <v>126</v>
      </c>
      <c r="K79" s="93" t="s">
        <v>1634</v>
      </c>
      <c r="L79" s="95"/>
      <c r="M79" s="95"/>
      <c r="N79" s="95"/>
      <c r="O79" s="94" t="s">
        <v>126</v>
      </c>
      <c r="P79" s="96" t="str">
        <f>IF(ISBLANK(Q79),"",CONCATENATE(Q79,": ",VLOOKUP(Q79,Status!A:C,3,FALSE),IF(ISBLANK(R79),"",CONCATENATE(CHAR(10),R79,": ",VLOOKUP(R79,Status!A:C,3,FALSE),IF(ISBLANK(S79),"",CONCATENATE(CHAR(10),S79,": ",VLOOKUP(S79,Status!A:C,3,FALSE)))))))</f>
        <v>Permafrost: +100% All Resistances (including Physical and Piercing).  Immune to: Bleeding, Charmed, Petrified, Poisoned, Shocked, Sleeping, Stunned, Taunted, and Terrified.  Unable to move or act.  Restores 194 vitality when it expires (heals Undead rather than damages them).</v>
      </c>
      <c r="Q79" s="102" t="s">
        <v>1635</v>
      </c>
      <c r="R79" s="97"/>
      <c r="S79" s="97"/>
      <c r="T79" s="108"/>
      <c r="U79" s="109"/>
      <c r="V79" s="100"/>
      <c r="W79" s="60"/>
      <c r="X79" s="60"/>
      <c r="Y79" s="60"/>
      <c r="Z79" s="60"/>
      <c r="AA79" s="60"/>
      <c r="AB79" s="60"/>
      <c r="AC79" s="60"/>
      <c r="AD79" s="60"/>
      <c r="AE79" s="60"/>
      <c r="AF79" s="60"/>
      <c r="AG79" s="60"/>
      <c r="AH79" s="60"/>
      <c r="AI79" s="60"/>
    </row>
    <row r="80" spans="1:35" ht="42">
      <c r="A80" s="105" t="s">
        <v>1636</v>
      </c>
      <c r="B80" s="117" t="s">
        <v>1618</v>
      </c>
      <c r="C80" s="117" t="s">
        <v>1618</v>
      </c>
      <c r="D80" s="91">
        <v>3</v>
      </c>
      <c r="E80" s="106">
        <v>4</v>
      </c>
      <c r="F80" s="92">
        <v>0</v>
      </c>
      <c r="G80" s="106">
        <v>6</v>
      </c>
      <c r="H80" s="92">
        <v>8</v>
      </c>
      <c r="I80" s="106" t="s">
        <v>126</v>
      </c>
      <c r="J80" s="92" t="s">
        <v>1425</v>
      </c>
      <c r="K80" s="107" t="s">
        <v>1637</v>
      </c>
      <c r="L80" s="101">
        <v>119</v>
      </c>
      <c r="M80" s="95"/>
      <c r="N80" s="95"/>
      <c r="O80" s="94" t="s">
        <v>1427</v>
      </c>
      <c r="P80" s="96" t="str">
        <f>IF(ISBLANK(Q80),"",CONCATENATE(Q80,": ",VLOOKUP(Q80,Status!A:C,3,FALSE),IF(ISBLANK(R80),"",CONCATENATE(CHAR(10),R80,": ",VLOOKUP(R80,Status!A:C,3,FALSE),IF(ISBLANK(S80),"",CONCATENATE(CHAR(10),S80,": ",VLOOKUP(S80,Status!A:C,3,FALSE)))))))</f>
        <v>Frozen: Cannot move or act.  -100% Dodging, -20% Water Resistance, +20% Fire Resistance, +20% Poison Resistance.  Immune to: Bleeding, Charmed, Petrified, Poisoned, Sleeping, Stunned, Taunted, and Terrified. Removed by Armour of Frost.</v>
      </c>
      <c r="Q80" s="102" t="s">
        <v>1638</v>
      </c>
      <c r="R80" s="97"/>
      <c r="S80" s="102"/>
      <c r="T80" s="103" t="s">
        <v>348</v>
      </c>
      <c r="U80" s="104"/>
      <c r="V80" s="100"/>
      <c r="W80" s="60"/>
      <c r="X80" s="60"/>
      <c r="Y80" s="60"/>
      <c r="Z80" s="60"/>
      <c r="AA80" s="60"/>
      <c r="AB80" s="60"/>
      <c r="AC80" s="60"/>
      <c r="AD80" s="60"/>
      <c r="AE80" s="60"/>
      <c r="AF80" s="60"/>
      <c r="AG80" s="60"/>
      <c r="AH80" s="60"/>
      <c r="AI80" s="60"/>
    </row>
    <row r="81" spans="1:35" ht="70">
      <c r="A81" s="105" t="s">
        <v>1639</v>
      </c>
      <c r="B81" s="117" t="s">
        <v>1618</v>
      </c>
      <c r="C81" s="117" t="s">
        <v>1618</v>
      </c>
      <c r="D81" s="91">
        <v>2</v>
      </c>
      <c r="E81" s="106">
        <v>1</v>
      </c>
      <c r="F81" s="92">
        <v>0</v>
      </c>
      <c r="G81" s="106">
        <v>3</v>
      </c>
      <c r="H81" s="92" t="s">
        <v>126</v>
      </c>
      <c r="I81" s="106">
        <v>13</v>
      </c>
      <c r="J81" s="92" t="s">
        <v>1425</v>
      </c>
      <c r="K81" s="107" t="s">
        <v>1640</v>
      </c>
      <c r="L81" s="101">
        <v>24</v>
      </c>
      <c r="M81" s="95"/>
      <c r="N81" s="95"/>
      <c r="O81" s="94" t="s">
        <v>1427</v>
      </c>
      <c r="P81" s="96" t="str">
        <f>IF(ISBLANK(Q81),"",CONCATENATE(Q81,": ",VLOOKUP(Q81,Status!A:C,3,FALSE),IF(ISBLANK(R81),"",CONCATENATE(CHAR(10),R81,": ",VLOOKUP(R81,Status!A:C,3,FALSE),IF(ISBLANK(S81),"",CONCATENATE(CHAR(10),S81,": ",VLOOKUP(S81,Status!A:C,3,FALSE)))))))</f>
        <v>Chilled: -35% Movement, -30% Dodging, +10% Fire Resistance, -20% Water Resistance, -10% Air Resistance.  Characters who were already Chilled or are Wet will be Frozen instead.
Frozen: Cannot move or act.  -100% Dodging, -20% Water Resistance, +20% Fire Resistance, +20% Poison Resistance.  Immune to: Bleeding, Charmed, Petrified, Poisoned, Sleeping, Stunned, Taunted, and Terrified. Removed by Armour of Frost.</v>
      </c>
      <c r="Q81" s="102" t="s">
        <v>1641</v>
      </c>
      <c r="R81" s="102" t="s">
        <v>1638</v>
      </c>
      <c r="S81" s="102"/>
      <c r="T81" s="103" t="s">
        <v>348</v>
      </c>
      <c r="U81" s="104"/>
      <c r="V81" s="100"/>
      <c r="W81" s="60"/>
      <c r="X81" s="60"/>
      <c r="Y81" s="60"/>
      <c r="Z81" s="60"/>
      <c r="AA81" s="60"/>
      <c r="AB81" s="60"/>
      <c r="AC81" s="60"/>
      <c r="AD81" s="60"/>
      <c r="AE81" s="60"/>
      <c r="AF81" s="60"/>
      <c r="AG81" s="60"/>
      <c r="AH81" s="60"/>
      <c r="AI81" s="60"/>
    </row>
    <row r="82" spans="1:35" ht="70">
      <c r="A82" s="89" t="s">
        <v>1642</v>
      </c>
      <c r="B82" s="116" t="s">
        <v>1618</v>
      </c>
      <c r="C82" s="116" t="s">
        <v>1618</v>
      </c>
      <c r="D82" s="91">
        <v>5</v>
      </c>
      <c r="E82" s="90">
        <v>4</v>
      </c>
      <c r="F82" s="92">
        <v>3</v>
      </c>
      <c r="G82" s="90">
        <v>4</v>
      </c>
      <c r="H82" s="92">
        <v>13</v>
      </c>
      <c r="I82" s="90">
        <v>5</v>
      </c>
      <c r="J82" s="92" t="s">
        <v>1425</v>
      </c>
      <c r="K82" s="93" t="s">
        <v>1643</v>
      </c>
      <c r="L82" s="101">
        <v>20</v>
      </c>
      <c r="M82" s="95"/>
      <c r="N82" s="95"/>
      <c r="O82" s="94" t="s">
        <v>1427</v>
      </c>
      <c r="P82" s="96" t="str">
        <f>IF(ISBLANK(Q82),"",CONCATENATE(Q82,": ",VLOOKUP(Q82,Status!A:C,3,FALSE),IF(ISBLANK(R82),"",CONCATENATE(CHAR(10),R82,": ",VLOOKUP(R82,Status!A:C,3,FALSE),IF(ISBLANK(S82),"",CONCATENATE(CHAR(10),S82,": ",VLOOKUP(S82,Status!A:C,3,FALSE)))))))</f>
        <v>Chilled: -35% Movement, -30% Dodging, +10% Fire Resistance, -20% Water Resistance, -10% Air Resistance.  Characters who were already Chilled or are Wet will be Frozen instead.
Frozen: Cannot move or act.  -100% Dodging, -20% Water Resistance, +20% Fire Resistance, +20% Poison Resistance.  Immune to: Bleeding, Charmed, Petrified, Poisoned, Sleeping, Stunned, Taunted, and Terrified. Removed by Armour of Frost.</v>
      </c>
      <c r="Q82" s="102" t="s">
        <v>1641</v>
      </c>
      <c r="R82" s="102" t="s">
        <v>1638</v>
      </c>
      <c r="S82" s="102"/>
      <c r="T82" s="103" t="s">
        <v>348</v>
      </c>
      <c r="U82" s="104"/>
      <c r="V82" s="100"/>
      <c r="W82" s="60"/>
      <c r="X82" s="60"/>
      <c r="Y82" s="60"/>
      <c r="Z82" s="60"/>
      <c r="AA82" s="60"/>
      <c r="AB82" s="60"/>
      <c r="AC82" s="60"/>
      <c r="AD82" s="60"/>
      <c r="AE82" s="60"/>
      <c r="AF82" s="60"/>
      <c r="AG82" s="60"/>
      <c r="AH82" s="60"/>
      <c r="AI82" s="60"/>
    </row>
    <row r="83" spans="1:35" ht="70">
      <c r="A83" s="105" t="s">
        <v>1644</v>
      </c>
      <c r="B83" s="117" t="s">
        <v>1618</v>
      </c>
      <c r="C83" s="117" t="s">
        <v>1618</v>
      </c>
      <c r="D83" s="91">
        <v>1</v>
      </c>
      <c r="E83" s="106">
        <v>3</v>
      </c>
      <c r="F83" s="92">
        <v>0</v>
      </c>
      <c r="G83" s="106">
        <v>3</v>
      </c>
      <c r="H83" s="92">
        <v>13</v>
      </c>
      <c r="I83" s="106">
        <v>2.5</v>
      </c>
      <c r="J83" s="92" t="s">
        <v>1425</v>
      </c>
      <c r="K83" s="107" t="s">
        <v>1645</v>
      </c>
      <c r="L83" s="101">
        <v>32</v>
      </c>
      <c r="M83" s="95"/>
      <c r="N83" s="95"/>
      <c r="O83" s="94" t="s">
        <v>1427</v>
      </c>
      <c r="P83" s="96" t="str">
        <f>IF(ISBLANK(Q83),"",CONCATENATE(Q83,": ",VLOOKUP(Q83,Status!A:C,3,FALSE),IF(ISBLANK(R83),"",CONCATENATE(CHAR(10),R83,": ",VLOOKUP(R83,Status!A:C,3,FALSE),IF(ISBLANK(S83),"",CONCATENATE(CHAR(10),S83,": ",VLOOKUP(S83,Status!A:C,3,FALSE)))))))</f>
        <v>Chilled: -35% Movement, -30% Dodging, +10% Fire Resistance, -20% Water Resistance, -10% Air Resistance.  Characters who were already Chilled or are Wet will be Frozen instead.
Frozen: Cannot move or act.  -100% Dodging, -20% Water Resistance, +20% Fire Resistance, +20% Poison Resistance.  Immune to: Bleeding, Charmed, Petrified, Poisoned, Sleeping, Stunned, Taunted, and Terrified. Removed by Armour of Frost.</v>
      </c>
      <c r="Q83" s="102" t="s">
        <v>1641</v>
      </c>
      <c r="R83" s="102" t="s">
        <v>1638</v>
      </c>
      <c r="S83" s="102"/>
      <c r="T83" s="103" t="s">
        <v>348</v>
      </c>
      <c r="U83" s="104"/>
      <c r="V83" s="100"/>
      <c r="W83" s="60"/>
      <c r="X83" s="60"/>
      <c r="Y83" s="60"/>
      <c r="Z83" s="60"/>
      <c r="AA83" s="60"/>
      <c r="AB83" s="60"/>
      <c r="AC83" s="60"/>
      <c r="AD83" s="60"/>
      <c r="AE83" s="60"/>
      <c r="AF83" s="60"/>
      <c r="AG83" s="60"/>
      <c r="AH83" s="60"/>
      <c r="AI83" s="60"/>
    </row>
    <row r="84" spans="1:35" ht="28">
      <c r="A84" s="105" t="s">
        <v>1646</v>
      </c>
      <c r="B84" s="117" t="s">
        <v>1618</v>
      </c>
      <c r="C84" s="117" t="s">
        <v>1618</v>
      </c>
      <c r="D84" s="91">
        <v>2</v>
      </c>
      <c r="E84" s="106">
        <v>2</v>
      </c>
      <c r="F84" s="92">
        <v>0</v>
      </c>
      <c r="G84" s="106">
        <v>5</v>
      </c>
      <c r="H84" s="92">
        <v>13</v>
      </c>
      <c r="I84" s="106" t="s">
        <v>126</v>
      </c>
      <c r="J84" s="92" t="s">
        <v>126</v>
      </c>
      <c r="K84" s="107" t="s">
        <v>1647</v>
      </c>
      <c r="L84" s="94">
        <v>104</v>
      </c>
      <c r="M84" s="95"/>
      <c r="N84" s="95"/>
      <c r="O84" s="94" t="s">
        <v>126</v>
      </c>
      <c r="P84" s="96" t="str">
        <f>IF(ISBLANK(Q84),"",CONCATENATE(Q84,": ",VLOOKUP(Q84,Status!A:C,3,FALSE),IF(ISBLANK(R84),"",CONCATENATE(CHAR(10),R84,": ",VLOOKUP(R84,Status!A:C,3,FALSE),IF(ISBLANK(S84),"",CONCATENATE(CHAR(10),S84,": ",VLOOKUP(S84,Status!A:C,3,FALSE)))))))</f>
        <v/>
      </c>
      <c r="Q84" s="102"/>
      <c r="R84" s="97"/>
      <c r="S84" s="102"/>
      <c r="T84" s="103" t="s">
        <v>1546</v>
      </c>
      <c r="U84" s="109"/>
      <c r="V84" s="100"/>
      <c r="W84" s="60"/>
      <c r="X84" s="60"/>
      <c r="Y84" s="60"/>
      <c r="Z84" s="60"/>
      <c r="AA84" s="60"/>
      <c r="AB84" s="60"/>
      <c r="AC84" s="60"/>
      <c r="AD84" s="60"/>
      <c r="AE84" s="60"/>
      <c r="AF84" s="60"/>
      <c r="AG84" s="60"/>
      <c r="AH84" s="60"/>
      <c r="AI84" s="60"/>
    </row>
    <row r="85" spans="1:35" ht="70">
      <c r="A85" s="89" t="s">
        <v>1648</v>
      </c>
      <c r="B85" s="90" t="s">
        <v>1618</v>
      </c>
      <c r="C85" s="90" t="s">
        <v>1618</v>
      </c>
      <c r="D85" s="119">
        <v>3</v>
      </c>
      <c r="E85" s="90">
        <v>1</v>
      </c>
      <c r="F85" s="92">
        <v>0</v>
      </c>
      <c r="G85" s="90">
        <v>3</v>
      </c>
      <c r="H85" s="92" t="s">
        <v>126</v>
      </c>
      <c r="I85" s="90">
        <v>13</v>
      </c>
      <c r="J85" s="92" t="s">
        <v>1425</v>
      </c>
      <c r="K85" s="93" t="s">
        <v>1649</v>
      </c>
      <c r="L85" s="94">
        <v>178</v>
      </c>
      <c r="M85" s="95"/>
      <c r="N85" s="95"/>
      <c r="O85" s="94" t="s">
        <v>126</v>
      </c>
      <c r="P85" s="96" t="str">
        <f>IF(ISBLANK(Q85),"",CONCATENATE(Q85,": ",VLOOKUP(Q85,Status!A:C,3,FALSE),IF(ISBLANK(R85),"",CONCATENATE(CHAR(10),R85,": ",VLOOKUP(R85,Status!A:C,3,FALSE),IF(ISBLANK(S85),"",CONCATENATE(CHAR(10),S85,": ",VLOOKUP(S85,Status!A:C,3,FALSE)))))))</f>
        <v>Chilled: -35% Movement, -30% Dodging, +10% Fire Resistance, -20% Water Resistance, -10% Air Resistance.  Characters who were already Chilled or are Wet will be Frozen instead.
Frozen: Cannot move or act.  -100% Dodging, -20% Water Resistance, +20% Fire Resistance, +20% Poison Resistance.  Immune to: Bleeding, Charmed, Petrified, Poisoned, Sleeping, Stunned, Taunted, and Terrified. Removed by Armour of Frost.</v>
      </c>
      <c r="Q85" s="102" t="s">
        <v>1641</v>
      </c>
      <c r="R85" s="102" t="s">
        <v>1638</v>
      </c>
      <c r="S85" s="102"/>
      <c r="T85" s="103" t="s">
        <v>348</v>
      </c>
      <c r="U85" s="109"/>
      <c r="V85" s="100"/>
      <c r="W85" s="60"/>
      <c r="X85" s="60"/>
      <c r="Y85" s="60"/>
      <c r="Z85" s="60"/>
      <c r="AA85" s="60"/>
      <c r="AB85" s="60"/>
      <c r="AC85" s="60"/>
      <c r="AD85" s="60"/>
      <c r="AE85" s="60"/>
      <c r="AF85" s="60"/>
      <c r="AG85" s="60"/>
      <c r="AH85" s="60"/>
      <c r="AI85" s="60"/>
    </row>
    <row r="86" spans="1:35" ht="70">
      <c r="A86" s="89" t="s">
        <v>1650</v>
      </c>
      <c r="B86" s="116" t="s">
        <v>1618</v>
      </c>
      <c r="C86" s="116" t="s">
        <v>1618</v>
      </c>
      <c r="D86" s="91">
        <v>2</v>
      </c>
      <c r="E86" s="90">
        <v>3</v>
      </c>
      <c r="F86" s="92">
        <v>0</v>
      </c>
      <c r="G86" s="90">
        <v>4</v>
      </c>
      <c r="H86" s="92">
        <v>13</v>
      </c>
      <c r="I86" s="90">
        <v>1</v>
      </c>
      <c r="J86" s="92" t="s">
        <v>1425</v>
      </c>
      <c r="K86" s="93" t="s">
        <v>1651</v>
      </c>
      <c r="L86" s="101">
        <v>32</v>
      </c>
      <c r="M86" s="95"/>
      <c r="N86" s="95"/>
      <c r="O86" s="94" t="s">
        <v>1427</v>
      </c>
      <c r="P86" s="96" t="str">
        <f>IF(ISBLANK(Q86),"",CONCATENATE(Q86,": ",VLOOKUP(Q86,Status!A:C,3,FALSE),IF(ISBLANK(R86),"",CONCATENATE(CHAR(10),R86,": ",VLOOKUP(R86,Status!A:C,3,FALSE),IF(ISBLANK(S86),"",CONCATENATE(CHAR(10),S86,": ",VLOOKUP(S86,Status!A:C,3,FALSE)))))))</f>
        <v>Chilled: -35% Movement, -30% Dodging, +10% Fire Resistance, -20% Water Resistance, -10% Air Resistance.  Characters who were already Chilled or are Wet will be Frozen instead.
Frozen: Cannot move or act.  -100% Dodging, -20% Water Resistance, +20% Fire Resistance, +20% Poison Resistance.  Immune to: Bleeding, Charmed, Petrified, Poisoned, Sleeping, Stunned, Taunted, and Terrified. Removed by Armour of Frost.</v>
      </c>
      <c r="Q86" s="102" t="s">
        <v>1641</v>
      </c>
      <c r="R86" s="102" t="s">
        <v>1638</v>
      </c>
      <c r="S86" s="102"/>
      <c r="T86" s="103" t="s">
        <v>348</v>
      </c>
      <c r="U86" s="104"/>
      <c r="V86" s="100"/>
      <c r="W86" s="60"/>
      <c r="X86" s="60"/>
      <c r="Y86" s="60"/>
      <c r="Z86" s="60"/>
      <c r="AA86" s="60"/>
      <c r="AB86" s="60"/>
      <c r="AC86" s="60"/>
      <c r="AD86" s="60"/>
      <c r="AE86" s="60"/>
      <c r="AF86" s="60"/>
      <c r="AG86" s="60"/>
      <c r="AH86" s="60"/>
      <c r="AI86" s="60"/>
    </row>
    <row r="87" spans="1:35" ht="28">
      <c r="A87" s="105" t="s">
        <v>1652</v>
      </c>
      <c r="B87" s="117" t="s">
        <v>1618</v>
      </c>
      <c r="C87" s="117" t="s">
        <v>1618</v>
      </c>
      <c r="D87" s="91">
        <v>1</v>
      </c>
      <c r="E87" s="106">
        <v>1</v>
      </c>
      <c r="F87" s="92">
        <v>0</v>
      </c>
      <c r="G87" s="106">
        <v>6</v>
      </c>
      <c r="H87" s="92">
        <v>8</v>
      </c>
      <c r="I87" s="106">
        <v>9</v>
      </c>
      <c r="J87" s="92" t="s">
        <v>126</v>
      </c>
      <c r="K87" s="107" t="s">
        <v>1653</v>
      </c>
      <c r="L87" s="95"/>
      <c r="M87" s="95"/>
      <c r="N87" s="95"/>
      <c r="O87" s="94" t="s">
        <v>126</v>
      </c>
      <c r="P87" s="96" t="str">
        <f>IF(ISBLANK(Q87),"",CONCATENATE(Q87,": ",VLOOKUP(Q87,Status!A:C,3,FALSE),IF(ISBLANK(R87),"",CONCATENATE(CHAR(10),R87,": ",VLOOKUP(R87,Status!A:C,3,FALSE),IF(ISBLANK(S87),"",CONCATENATE(CHAR(10),S87,": ",VLOOKUP(S87,Status!A:C,3,FALSE)))))))</f>
        <v>Wet: +10% Fire Resistance, -10% Water Resistance, -20% Air Resistance.  If Shocked andor Chilled are set on this character, Stunned andor Frozen (respectively) are set instead.</v>
      </c>
      <c r="Q87" s="102" t="s">
        <v>1654</v>
      </c>
      <c r="R87" s="97"/>
      <c r="S87" s="97"/>
      <c r="T87" s="108"/>
      <c r="U87" s="109"/>
      <c r="V87" s="100"/>
      <c r="W87" s="60"/>
      <c r="X87" s="60"/>
      <c r="Y87" s="60"/>
      <c r="Z87" s="60"/>
      <c r="AA87" s="60"/>
      <c r="AB87" s="60"/>
      <c r="AC87" s="60"/>
      <c r="AD87" s="60"/>
      <c r="AE87" s="60"/>
      <c r="AF87" s="60"/>
      <c r="AG87" s="60"/>
      <c r="AH87" s="60"/>
      <c r="AI87" s="60"/>
    </row>
    <row r="88" spans="1:35" ht="14">
      <c r="A88" s="89" t="s">
        <v>1546</v>
      </c>
      <c r="B88" s="116" t="s">
        <v>1618</v>
      </c>
      <c r="C88" s="116" t="s">
        <v>1618</v>
      </c>
      <c r="D88" s="91">
        <v>1</v>
      </c>
      <c r="E88" s="90">
        <v>1</v>
      </c>
      <c r="F88" s="92">
        <v>0</v>
      </c>
      <c r="G88" s="90">
        <v>4</v>
      </c>
      <c r="H88" s="92">
        <v>13</v>
      </c>
      <c r="I88" s="90" t="s">
        <v>126</v>
      </c>
      <c r="J88" s="92" t="s">
        <v>126</v>
      </c>
      <c r="K88" s="93" t="s">
        <v>1655</v>
      </c>
      <c r="L88" s="94">
        <v>98</v>
      </c>
      <c r="M88" s="95"/>
      <c r="N88" s="95"/>
      <c r="O88" s="94" t="s">
        <v>126</v>
      </c>
      <c r="P88" s="96" t="str">
        <f>IF(ISBLANK(Q88),"",CONCATENATE(Q88,": ",VLOOKUP(Q88,Status!A:C,3,FALSE),IF(ISBLANK(R88),"",CONCATENATE(CHAR(10),R88,": ",VLOOKUP(R88,Status!A:C,3,FALSE),IF(ISBLANK(S88),"",CONCATENATE(CHAR(10),S88,": ",VLOOKUP(S88,Status!A:C,3,FALSE)))))))</f>
        <v>Regenerating: Restores 98 vitality each turn.</v>
      </c>
      <c r="Q88" s="102" t="s">
        <v>1656</v>
      </c>
      <c r="R88" s="97"/>
      <c r="S88" s="102"/>
      <c r="T88" s="103" t="s">
        <v>1546</v>
      </c>
      <c r="U88" s="109"/>
      <c r="V88" s="100"/>
      <c r="W88" s="60"/>
      <c r="X88" s="60"/>
      <c r="Y88" s="60"/>
      <c r="Z88" s="60"/>
      <c r="AA88" s="60"/>
      <c r="AB88" s="60"/>
      <c r="AC88" s="60"/>
      <c r="AD88" s="60"/>
      <c r="AE88" s="60"/>
      <c r="AF88" s="60"/>
      <c r="AG88" s="60"/>
      <c r="AH88" s="60"/>
      <c r="AI88" s="60"/>
    </row>
    <row r="89" spans="1:35" ht="14">
      <c r="A89" s="89" t="s">
        <v>1657</v>
      </c>
      <c r="B89" s="116" t="s">
        <v>1618</v>
      </c>
      <c r="C89" s="116" t="s">
        <v>1618</v>
      </c>
      <c r="D89" s="91">
        <v>2</v>
      </c>
      <c r="E89" s="90">
        <v>1</v>
      </c>
      <c r="F89" s="92">
        <v>0</v>
      </c>
      <c r="G89" s="90">
        <v>3</v>
      </c>
      <c r="H89" s="92" t="s">
        <v>126</v>
      </c>
      <c r="I89" s="90">
        <v>5</v>
      </c>
      <c r="J89" s="92" t="s">
        <v>126</v>
      </c>
      <c r="K89" s="93" t="s">
        <v>1658</v>
      </c>
      <c r="L89" s="94">
        <v>39</v>
      </c>
      <c r="M89" s="95"/>
      <c r="N89" s="95"/>
      <c r="O89" s="94" t="s">
        <v>126</v>
      </c>
      <c r="P89" s="96" t="str">
        <f>IF(ISBLANK(Q89),"",CONCATENATE(Q89,": ",VLOOKUP(Q89,Status!A:C,3,FALSE),IF(ISBLANK(R89),"",CONCATENATE(CHAR(10),R89,": ",VLOOKUP(R89,Status!A:C,3,FALSE),IF(ISBLANK(S89),"",CONCATENATE(CHAR(10),S89,": ",VLOOKUP(S89,Status!A:C,3,FALSE)))))))</f>
        <v>Soothing Cold: Restores 39 Magic Armor each turn.</v>
      </c>
      <c r="Q89" s="102" t="s">
        <v>1657</v>
      </c>
      <c r="R89" s="97"/>
      <c r="S89" s="102"/>
      <c r="T89" s="103" t="s">
        <v>1546</v>
      </c>
      <c r="U89" s="109"/>
      <c r="V89" s="100"/>
      <c r="W89" s="60"/>
      <c r="X89" s="60"/>
      <c r="Y89" s="60"/>
      <c r="Z89" s="60"/>
      <c r="AA89" s="60"/>
      <c r="AB89" s="60"/>
      <c r="AC89" s="60"/>
      <c r="AD89" s="60"/>
      <c r="AE89" s="60"/>
      <c r="AF89" s="60"/>
      <c r="AG89" s="60"/>
      <c r="AH89" s="60"/>
      <c r="AI89" s="60"/>
    </row>
    <row r="90" spans="1:35" ht="14">
      <c r="A90" s="105" t="s">
        <v>1659</v>
      </c>
      <c r="B90" s="117" t="s">
        <v>1618</v>
      </c>
      <c r="C90" s="117" t="s">
        <v>1618</v>
      </c>
      <c r="D90" s="91">
        <v>3</v>
      </c>
      <c r="E90" s="106">
        <v>2</v>
      </c>
      <c r="F90" s="92">
        <v>2</v>
      </c>
      <c r="G90" s="106">
        <v>3</v>
      </c>
      <c r="H90" s="92">
        <v>13</v>
      </c>
      <c r="I90" s="106" t="s">
        <v>126</v>
      </c>
      <c r="J90" s="92" t="s">
        <v>126</v>
      </c>
      <c r="K90" s="107" t="s">
        <v>1660</v>
      </c>
      <c r="L90" s="94">
        <v>98</v>
      </c>
      <c r="M90" s="95"/>
      <c r="N90" s="95"/>
      <c r="O90" s="94" t="s">
        <v>126</v>
      </c>
      <c r="P90" s="96" t="str">
        <f>IF(ISBLANK(Q90),"",CONCATENATE(Q90,": ",VLOOKUP(Q90,Status!A:C,3,FALSE),IF(ISBLANK(R90),"",CONCATENATE(CHAR(10),R90,": ",VLOOKUP(R90,Status!A:C,3,FALSE),IF(ISBLANK(S90),"",CONCATENATE(CHAR(10),S90,": ",VLOOKUP(S90,Status!A:C,3,FALSE)))))))</f>
        <v>Steam Lance: Restores 98 vitality per turn.</v>
      </c>
      <c r="Q90" s="102" t="s">
        <v>1659</v>
      </c>
      <c r="R90" s="97"/>
      <c r="S90" s="102"/>
      <c r="T90" s="103" t="s">
        <v>1546</v>
      </c>
      <c r="U90" s="109"/>
      <c r="V90" s="100"/>
      <c r="W90" s="60"/>
      <c r="X90" s="60"/>
      <c r="Y90" s="60"/>
      <c r="Z90" s="60"/>
      <c r="AA90" s="60"/>
      <c r="AB90" s="60"/>
      <c r="AC90" s="60"/>
      <c r="AD90" s="60"/>
      <c r="AE90" s="60"/>
      <c r="AF90" s="60"/>
      <c r="AG90" s="60"/>
      <c r="AH90" s="60"/>
      <c r="AI90" s="60"/>
    </row>
    <row r="91" spans="1:35" ht="70">
      <c r="A91" s="105" t="s">
        <v>1661</v>
      </c>
      <c r="B91" s="117" t="s">
        <v>1618</v>
      </c>
      <c r="C91" s="117" t="s">
        <v>1618</v>
      </c>
      <c r="D91" s="91">
        <v>2</v>
      </c>
      <c r="E91" s="106">
        <v>2</v>
      </c>
      <c r="F91" s="92">
        <v>0</v>
      </c>
      <c r="G91" s="106">
        <v>3</v>
      </c>
      <c r="H91" s="92">
        <v>13</v>
      </c>
      <c r="I91" s="106">
        <v>3</v>
      </c>
      <c r="J91" s="92" t="s">
        <v>1425</v>
      </c>
      <c r="K91" s="107" t="s">
        <v>1662</v>
      </c>
      <c r="L91" s="101">
        <v>88</v>
      </c>
      <c r="M91" s="95"/>
      <c r="N91" s="95"/>
      <c r="O91" s="94" t="s">
        <v>1427</v>
      </c>
      <c r="P91" s="96" t="str">
        <f>IF(ISBLANK(Q91),"",CONCATENATE(Q91,": ",VLOOKUP(Q91,Status!A:C,3,FALSE),IF(ISBLANK(R91),"",CONCATENATE(CHAR(10),R91,": ",VLOOKUP(R91,Status!A:C,3,FALSE),IF(ISBLANK(S91),"",CONCATENATE(CHAR(10),S91,": ",VLOOKUP(S91,Status!A:C,3,FALSE)))))))</f>
        <v>Chilled: -35% Movement, -30% Dodging, +10% Fire Resistance, -20% Water Resistance, -10% Air Resistance.  Characters who were already Chilled or are Wet will be Frozen instead.
Frozen: Cannot move or act.  -100% Dodging, -20% Water Resistance, +20% Fire Resistance, +20% Poison Resistance.  Immune to: Bleeding, Charmed, Petrified, Poisoned, Sleeping, Stunned, Taunted, and Terrified. Removed by Armour of Frost.</v>
      </c>
      <c r="Q91" s="102" t="s">
        <v>1641</v>
      </c>
      <c r="R91" s="102" t="s">
        <v>1638</v>
      </c>
      <c r="S91" s="102"/>
      <c r="T91" s="103" t="s">
        <v>348</v>
      </c>
      <c r="U91" s="104"/>
      <c r="V91" s="100"/>
      <c r="W91" s="60"/>
      <c r="X91" s="60"/>
      <c r="Y91" s="60"/>
      <c r="Z91" s="60"/>
      <c r="AA91" s="60"/>
      <c r="AB91" s="60"/>
      <c r="AC91" s="60"/>
      <c r="AD91" s="60"/>
      <c r="AE91" s="60"/>
      <c r="AF91" s="60"/>
      <c r="AG91" s="60"/>
      <c r="AH91" s="60"/>
      <c r="AI91" s="60"/>
    </row>
    <row r="92" spans="1:35" ht="14">
      <c r="A92" s="111" t="s">
        <v>1663</v>
      </c>
      <c r="B92" s="94" t="s">
        <v>1664</v>
      </c>
      <c r="C92" s="94" t="s">
        <v>1664</v>
      </c>
      <c r="D92" s="112" t="s">
        <v>126</v>
      </c>
      <c r="E92" s="94">
        <v>1</v>
      </c>
      <c r="F92" s="113">
        <v>0</v>
      </c>
      <c r="G92" s="94">
        <v>1</v>
      </c>
      <c r="H92" s="113">
        <v>13</v>
      </c>
      <c r="I92" s="94" t="s">
        <v>126</v>
      </c>
      <c r="J92" s="113" t="s">
        <v>126</v>
      </c>
      <c r="K92" s="114" t="s">
        <v>1665</v>
      </c>
      <c r="L92" s="95"/>
      <c r="M92" s="95"/>
      <c r="N92" s="95"/>
      <c r="O92" s="94" t="s">
        <v>126</v>
      </c>
      <c r="P92" s="96" t="str">
        <f>IF(ISBLANK(Q92),"",CONCATENATE(Q92,": ",VLOOKUP(Q92,Status!A:C,3,FALSE),IF(ISBLANK(R92),"",CONCATENATE(CHAR(10),R92,": ",VLOOKUP(R92,Status!A:C,3,FALSE),IF(ISBLANK(S92),"",CONCATENATE(CHAR(10),S92,": ",VLOOKUP(S92,Status!A:C,3,FALSE)))))))</f>
        <v/>
      </c>
      <c r="Q92" s="102"/>
      <c r="R92" s="97"/>
      <c r="S92" s="97"/>
      <c r="T92" s="108"/>
      <c r="U92" s="109"/>
      <c r="V92" s="100"/>
      <c r="W92" s="60"/>
      <c r="X92" s="60"/>
      <c r="Y92" s="60"/>
      <c r="Z92" s="60"/>
      <c r="AA92" s="60"/>
      <c r="AB92" s="60"/>
      <c r="AC92" s="60"/>
      <c r="AD92" s="60"/>
      <c r="AE92" s="60"/>
      <c r="AF92" s="60"/>
      <c r="AG92" s="60"/>
      <c r="AH92" s="60"/>
      <c r="AI92" s="60"/>
    </row>
    <row r="93" spans="1:35" ht="56">
      <c r="A93" s="105" t="s">
        <v>1666</v>
      </c>
      <c r="B93" s="106" t="s">
        <v>1667</v>
      </c>
      <c r="C93" s="90" t="s">
        <v>1422</v>
      </c>
      <c r="D93" s="91">
        <v>2</v>
      </c>
      <c r="E93" s="106">
        <v>2</v>
      </c>
      <c r="F93" s="92">
        <v>1</v>
      </c>
      <c r="G93" s="106">
        <v>5</v>
      </c>
      <c r="H93" s="92" t="s">
        <v>126</v>
      </c>
      <c r="I93" s="106">
        <v>8</v>
      </c>
      <c r="J93" s="92" t="s">
        <v>126</v>
      </c>
      <c r="K93" s="107" t="s">
        <v>1668</v>
      </c>
      <c r="L93" s="101">
        <v>64</v>
      </c>
      <c r="M93" s="95"/>
      <c r="N93" s="95"/>
      <c r="O93" s="94" t="s">
        <v>1427</v>
      </c>
      <c r="P93" s="96" t="str">
        <f>IF(ISBLANK(Q93),"",CONCATENATE(Q93,": ",VLOOKUP(Q93,Status!A:C,3,FALSE),IF(ISBLANK(R93),"",CONCATENATE(CHAR(10),R93,": ",VLOOKUP(R93,Status!A:C,3,FALSE),IF(ISBLANK(S93),"",CONCATENATE(CHAR(10),S93,": ",VLOOKUP(S93,Status!A:C,3,FALSE)))))))</f>
        <v>Vacuum Aura: Enemies nearby are Suffocating and Silenced.
Suffocating: Take 40 damage to Magic Armor each turn.  Removed by Armour of Frost.
Silenced: Unable to use non-weapon skills.  Removed by Blessed Smoke Cloud (cloud) and First Aid.</v>
      </c>
      <c r="Q93" s="102" t="s">
        <v>1666</v>
      </c>
      <c r="R93" s="102" t="s">
        <v>1669</v>
      </c>
      <c r="S93" s="102" t="s">
        <v>1670</v>
      </c>
      <c r="T93" s="103" t="s">
        <v>348</v>
      </c>
      <c r="U93" s="104"/>
      <c r="V93" s="100"/>
      <c r="W93" s="60"/>
      <c r="X93" s="60"/>
      <c r="Y93" s="60"/>
      <c r="Z93" s="60"/>
      <c r="AA93" s="60"/>
      <c r="AB93" s="60"/>
      <c r="AC93" s="60"/>
      <c r="AD93" s="60"/>
      <c r="AE93" s="60"/>
      <c r="AF93" s="60"/>
      <c r="AG93" s="60"/>
      <c r="AH93" s="60"/>
      <c r="AI93" s="60"/>
    </row>
    <row r="94" spans="1:35" ht="42">
      <c r="A94" s="89" t="s">
        <v>1671</v>
      </c>
      <c r="B94" s="90" t="s">
        <v>1667</v>
      </c>
      <c r="C94" s="90" t="s">
        <v>1422</v>
      </c>
      <c r="D94" s="91">
        <v>1</v>
      </c>
      <c r="E94" s="90">
        <v>1</v>
      </c>
      <c r="F94" s="92">
        <v>0</v>
      </c>
      <c r="G94" s="90">
        <v>5</v>
      </c>
      <c r="H94" s="92">
        <v>2</v>
      </c>
      <c r="I94" s="90" t="s">
        <v>126</v>
      </c>
      <c r="J94" s="92" t="s">
        <v>1425</v>
      </c>
      <c r="K94" s="93" t="s">
        <v>1672</v>
      </c>
      <c r="L94" s="94">
        <v>64</v>
      </c>
      <c r="M94" s="95"/>
      <c r="N94" s="95"/>
      <c r="O94" s="94" t="s">
        <v>1427</v>
      </c>
      <c r="P94" s="96" t="str">
        <f>IF(ISBLANK(Q94),"",CONCATENATE(Q94,": ",VLOOKUP(Q94,Status!A:C,3,FALSE),IF(ISBLANK(R94),"",CONCATENATE(CHAR(10),R94,": ",VLOOKUP(R94,Status!A:C,3,FALSE),IF(ISBLANK(S94),"",CONCATENATE(CHAR(10),S94,": ",VLOOKUP(S94,Status!A:C,3,FALSE)))))))</f>
        <v>Suffocating: Take 40 damage to Magic Armor each turn.  Removed by Armour of Frost.
Silenced: Unable to use non-weapon skills.  Removed by Blessed Smoke Cloud (cloud) and First Aid.</v>
      </c>
      <c r="Q94" s="102" t="s">
        <v>1669</v>
      </c>
      <c r="R94" s="102" t="s">
        <v>1670</v>
      </c>
      <c r="S94" s="102"/>
      <c r="T94" s="103" t="s">
        <v>348</v>
      </c>
      <c r="U94" s="104"/>
      <c r="V94" s="100"/>
      <c r="W94" s="60"/>
      <c r="X94" s="60"/>
      <c r="Y94" s="60"/>
      <c r="Z94" s="60"/>
      <c r="AA94" s="60"/>
      <c r="AB94" s="60"/>
      <c r="AC94" s="60"/>
      <c r="AD94" s="60"/>
      <c r="AE94" s="60"/>
      <c r="AF94" s="60"/>
      <c r="AG94" s="60"/>
      <c r="AH94" s="60"/>
      <c r="AI94" s="60"/>
    </row>
    <row r="95" spans="1:35" ht="28">
      <c r="A95" s="105" t="s">
        <v>1673</v>
      </c>
      <c r="B95" s="106" t="s">
        <v>1667</v>
      </c>
      <c r="C95" s="116" t="s">
        <v>1537</v>
      </c>
      <c r="D95" s="91">
        <v>2</v>
      </c>
      <c r="E95" s="106">
        <v>2</v>
      </c>
      <c r="F95" s="92">
        <v>1</v>
      </c>
      <c r="G95" s="106">
        <v>3</v>
      </c>
      <c r="H95" s="92">
        <v>7.5</v>
      </c>
      <c r="I95" s="106" t="s">
        <v>126</v>
      </c>
      <c r="J95" s="92" t="s">
        <v>1473</v>
      </c>
      <c r="K95" s="107" t="s">
        <v>1674</v>
      </c>
      <c r="L95" s="101">
        <v>63</v>
      </c>
      <c r="M95" s="95"/>
      <c r="N95" s="95"/>
      <c r="O95" s="94" t="s">
        <v>1427</v>
      </c>
      <c r="P95" s="96" t="str">
        <f>IF(ISBLANK(Q95),"",CONCATENATE(Q95,": ",VLOOKUP(Q95,Status!A:C,3,FALSE),IF(ISBLANK(R95),"",CONCATENATE(CHAR(10),R95,": ",VLOOKUP(R95,Status!A:C,3,FALSE),IF(ISBLANK(S95),"",CONCATENATE(CHAR(10),S95,": ",VLOOKUP(S95,Status!A:C,3,FALSE)))))))</f>
        <v>Acid: Take 40 damage to Physical Armor each turn.  Removed by Fortify and Cleanse Wounds.
Atrophy: Cannot use weapon skills/attacks.</v>
      </c>
      <c r="Q95" s="102" t="s">
        <v>1675</v>
      </c>
      <c r="R95" s="102" t="s">
        <v>1676</v>
      </c>
      <c r="S95" s="102"/>
      <c r="T95" s="103" t="s">
        <v>348</v>
      </c>
      <c r="U95" s="104"/>
      <c r="V95" s="100"/>
      <c r="W95" s="60"/>
      <c r="X95" s="60"/>
      <c r="Y95" s="60"/>
      <c r="Z95" s="60"/>
      <c r="AA95" s="60"/>
      <c r="AB95" s="60"/>
      <c r="AC95" s="60"/>
      <c r="AD95" s="60"/>
      <c r="AE95" s="60"/>
      <c r="AF95" s="60"/>
      <c r="AG95" s="60"/>
      <c r="AH95" s="60"/>
      <c r="AI95" s="60"/>
    </row>
    <row r="96" spans="1:35" ht="14">
      <c r="A96" s="89" t="s">
        <v>1677</v>
      </c>
      <c r="B96" s="90" t="s">
        <v>1667</v>
      </c>
      <c r="C96" s="116" t="s">
        <v>1537</v>
      </c>
      <c r="D96" s="91">
        <v>1</v>
      </c>
      <c r="E96" s="90">
        <v>1</v>
      </c>
      <c r="F96" s="92">
        <v>0</v>
      </c>
      <c r="G96" s="90">
        <v>5</v>
      </c>
      <c r="H96" s="92">
        <v>2</v>
      </c>
      <c r="I96" s="90" t="s">
        <v>126</v>
      </c>
      <c r="J96" s="92" t="s">
        <v>126</v>
      </c>
      <c r="K96" s="93" t="s">
        <v>1678</v>
      </c>
      <c r="L96" s="94">
        <v>70</v>
      </c>
      <c r="M96" s="95"/>
      <c r="N96" s="95"/>
      <c r="O96" s="94" t="s">
        <v>1427</v>
      </c>
      <c r="P96" s="96" t="str">
        <f>IF(ISBLANK(Q96),"",CONCATENATE(Q96,": ",VLOOKUP(Q96,Status!A:C,3,FALSE),IF(ISBLANK(R96),"",CONCATENATE(CHAR(10),R96,": ",VLOOKUP(R96,Status!A:C,3,FALSE),IF(ISBLANK(S96),"",CONCATENATE(CHAR(10),S96,": ",VLOOKUP(S96,Status!A:C,3,FALSE)))))))</f>
        <v>Acid: Take 40 damage to Physical Armor each turn.  Removed by Fortify and Cleanse Wounds.</v>
      </c>
      <c r="Q96" s="102" t="s">
        <v>1675</v>
      </c>
      <c r="R96" s="97"/>
      <c r="S96" s="102"/>
      <c r="T96" s="103" t="s">
        <v>348</v>
      </c>
      <c r="U96" s="104"/>
      <c r="V96" s="100"/>
      <c r="W96" s="60"/>
      <c r="X96" s="60"/>
      <c r="Y96" s="60"/>
      <c r="Z96" s="60"/>
      <c r="AA96" s="60"/>
      <c r="AB96" s="60"/>
      <c r="AC96" s="60"/>
      <c r="AD96" s="60"/>
      <c r="AE96" s="60"/>
      <c r="AF96" s="60"/>
      <c r="AG96" s="60"/>
      <c r="AH96" s="60"/>
      <c r="AI96" s="60"/>
    </row>
    <row r="97" spans="1:35" ht="56">
      <c r="A97" s="105" t="s">
        <v>1679</v>
      </c>
      <c r="B97" s="106" t="s">
        <v>1667</v>
      </c>
      <c r="C97" s="117" t="s">
        <v>1618</v>
      </c>
      <c r="D97" s="91">
        <v>3</v>
      </c>
      <c r="E97" s="106">
        <v>4</v>
      </c>
      <c r="F97" s="92">
        <v>3</v>
      </c>
      <c r="G97" s="106">
        <v>5</v>
      </c>
      <c r="H97" s="92">
        <v>16.5</v>
      </c>
      <c r="I97" s="106">
        <v>9.5</v>
      </c>
      <c r="J97" s="92" t="s">
        <v>1473</v>
      </c>
      <c r="K97" s="107" t="s">
        <v>1680</v>
      </c>
      <c r="L97" s="110">
        <v>159</v>
      </c>
      <c r="M97" s="95"/>
      <c r="N97" s="95"/>
      <c r="O97" s="94" t="s">
        <v>1427</v>
      </c>
      <c r="P97" s="96" t="str">
        <f>IF(ISBLANK(Q97),"",CONCATENATE(Q97,": ",VLOOKUP(Q97,Status!A:C,3,FALSE),IF(ISBLANK(R97),"",CONCATENATE(CHAR(10),R97,": ",VLOOKUP(R97,Status!A:C,3,FALSE),IF(ISBLANK(S97),"",CONCATENATE(CHAR(10),S97,": ",VLOOKUP(S97,Status!A:C,3,FALSE)))))))</f>
        <v>Diseased: -X Constitution, -35% Damage dealt.  Removed by Bless, Cleanse Wounds, First Aid, Fortify, and Mass Cleanse Wounds.
Decaying: 100% of healing you receive will instead deal Physical damage to you.  Removed by Bless and Fortify.</v>
      </c>
      <c r="Q97" s="102" t="s">
        <v>1681</v>
      </c>
      <c r="R97" s="102" t="s">
        <v>1682</v>
      </c>
      <c r="S97" s="102"/>
      <c r="T97" s="103" t="s">
        <v>348</v>
      </c>
      <c r="U97" s="109"/>
      <c r="V97" s="100"/>
      <c r="W97" s="60"/>
      <c r="X97" s="60"/>
      <c r="Y97" s="60"/>
      <c r="Z97" s="60"/>
      <c r="AA97" s="60"/>
      <c r="AB97" s="60"/>
      <c r="AC97" s="60"/>
      <c r="AD97" s="60"/>
      <c r="AE97" s="60"/>
      <c r="AF97" s="60"/>
      <c r="AG97" s="60"/>
      <c r="AH97" s="60"/>
      <c r="AI97" s="60"/>
    </row>
    <row r="98" spans="1:35" ht="28">
      <c r="A98" s="89" t="s">
        <v>1683</v>
      </c>
      <c r="B98" s="90" t="s">
        <v>1667</v>
      </c>
      <c r="C98" s="116" t="s">
        <v>1618</v>
      </c>
      <c r="D98" s="91">
        <v>1</v>
      </c>
      <c r="E98" s="90">
        <v>2</v>
      </c>
      <c r="F98" s="92">
        <v>0</v>
      </c>
      <c r="G98" s="90">
        <v>5</v>
      </c>
      <c r="H98" s="92">
        <v>8</v>
      </c>
      <c r="I98" s="90">
        <v>9</v>
      </c>
      <c r="J98" s="92" t="s">
        <v>1473</v>
      </c>
      <c r="K98" s="93" t="s">
        <v>1684</v>
      </c>
      <c r="L98" s="95"/>
      <c r="M98" s="95"/>
      <c r="N98" s="95"/>
      <c r="O98" s="94" t="s">
        <v>126</v>
      </c>
      <c r="P98" s="96" t="str">
        <f>IF(ISBLANK(Q98),"",CONCATENATE(Q98,": ",VLOOKUP(Q98,Status!A:C,3,FALSE),IF(ISBLANK(R98),"",CONCATENATE(CHAR(10),R98,": ",VLOOKUP(R98,Status!A:C,3,FALSE),IF(ISBLANK(S98),"",CONCATENATE(CHAR(10),S98,": ",VLOOKUP(S98,Status!A:C,3,FALSE)))))))</f>
        <v>Bleeding: Take 28 Piercing damage each turn.  Removed by Cleanse Wounds, First Aid, Fortify, Mass Cleanse Wounds, Petrifying Touch, and Restoration.</v>
      </c>
      <c r="Q98" s="102" t="s">
        <v>1685</v>
      </c>
      <c r="R98" s="97"/>
      <c r="S98" s="97"/>
      <c r="T98" s="108"/>
      <c r="U98" s="109"/>
      <c r="V98" s="100"/>
      <c r="W98" s="60"/>
      <c r="X98" s="60"/>
      <c r="Y98" s="60"/>
      <c r="Z98" s="60"/>
      <c r="AA98" s="60"/>
      <c r="AB98" s="60"/>
      <c r="AC98" s="60"/>
      <c r="AD98" s="60"/>
      <c r="AE98" s="60"/>
      <c r="AF98" s="60"/>
      <c r="AG98" s="60"/>
      <c r="AH98" s="60"/>
      <c r="AI98" s="60"/>
    </row>
    <row r="99" spans="1:35" ht="42">
      <c r="A99" s="105" t="s">
        <v>1686</v>
      </c>
      <c r="B99" s="106" t="s">
        <v>1667</v>
      </c>
      <c r="C99" s="106" t="s">
        <v>1667</v>
      </c>
      <c r="D99" s="91">
        <v>3</v>
      </c>
      <c r="E99" s="106">
        <v>1</v>
      </c>
      <c r="F99" s="92">
        <v>1</v>
      </c>
      <c r="G99" s="106">
        <v>5</v>
      </c>
      <c r="H99" s="92">
        <v>13</v>
      </c>
      <c r="I99" s="106">
        <v>4</v>
      </c>
      <c r="J99" s="92" t="s">
        <v>1425</v>
      </c>
      <c r="K99" s="107" t="s">
        <v>1687</v>
      </c>
      <c r="L99" s="95"/>
      <c r="M99" s="95"/>
      <c r="N99" s="95"/>
      <c r="O99" s="94" t="s">
        <v>126</v>
      </c>
      <c r="P99" s="96" t="str">
        <f>IF(ISBLANK(Q99),"",CONCATENATE(Q99,": ",VLOOKUP(Q99,Status!A:C,3,FALSE),IF(ISBLANK(R99),"",CONCATENATE(CHAR(10),R99,": ",VLOOKUP(R99,Status!A:C,3,FALSE),IF(ISBLANK(S99),"",CONCATENATE(CHAR(10),S99,": ",VLOOKUP(S99,Status!A:C,3,FALSE)))))))</f>
        <v>Blinded: -35% Accruacy.  Skill and attack range is limited to a maximum of 3m.  Prevents performing attacks of opportunity.  Removed by First Aid and Peace of Mind.
Suffocating: Take 40 damage to Magic Armor each turn.  Removed by Armour of Frost.</v>
      </c>
      <c r="Q99" s="102" t="s">
        <v>1428</v>
      </c>
      <c r="R99" s="102" t="s">
        <v>1669</v>
      </c>
      <c r="S99" s="97"/>
      <c r="T99" s="108"/>
      <c r="U99" s="109"/>
      <c r="V99" s="100"/>
      <c r="W99" s="60"/>
      <c r="X99" s="60"/>
      <c r="Y99" s="60"/>
      <c r="Z99" s="60"/>
      <c r="AA99" s="60"/>
      <c r="AB99" s="60"/>
      <c r="AC99" s="60"/>
      <c r="AD99" s="60"/>
      <c r="AE99" s="60"/>
      <c r="AF99" s="60"/>
      <c r="AG99" s="60"/>
      <c r="AH99" s="60"/>
      <c r="AI99" s="60"/>
    </row>
    <row r="100" spans="1:35" ht="28">
      <c r="A100" s="89" t="s">
        <v>1688</v>
      </c>
      <c r="B100" s="90" t="s">
        <v>1667</v>
      </c>
      <c r="C100" s="90" t="s">
        <v>1667</v>
      </c>
      <c r="D100" s="91">
        <v>1</v>
      </c>
      <c r="E100" s="90">
        <v>1</v>
      </c>
      <c r="F100" s="92">
        <v>0</v>
      </c>
      <c r="G100" s="90">
        <v>3</v>
      </c>
      <c r="H100" s="92">
        <v>13</v>
      </c>
      <c r="I100" s="90">
        <v>2</v>
      </c>
      <c r="J100" s="92" t="s">
        <v>126</v>
      </c>
      <c r="K100" s="107" t="s">
        <v>1689</v>
      </c>
      <c r="L100" s="94" t="s">
        <v>1690</v>
      </c>
      <c r="M100" s="95"/>
      <c r="N100" s="95"/>
      <c r="O100" s="94" t="s">
        <v>126</v>
      </c>
      <c r="P100" s="96" t="str">
        <f>IF(ISBLANK(Q100),"",CONCATENATE(Q100,": ",VLOOKUP(Q100,Status!A:C,3,FALSE),IF(ISBLANK(R100),"",CONCATENATE(CHAR(10),R100,": ",VLOOKUP(R100,Status!A:C,3,FALSE),IF(ISBLANK(S100),"",CONCATENATE(CHAR(10),S100,": ",VLOOKUP(S100,Status!A:C,3,FALSE)))))))</f>
        <v/>
      </c>
      <c r="Q100" s="102"/>
      <c r="R100" s="97"/>
      <c r="S100" s="102"/>
      <c r="T100" s="103" t="s">
        <v>1546</v>
      </c>
      <c r="U100" s="109"/>
      <c r="V100" s="100"/>
      <c r="W100" s="60"/>
      <c r="X100" s="60"/>
      <c r="Y100" s="60"/>
      <c r="Z100" s="60"/>
      <c r="AA100" s="60"/>
      <c r="AB100" s="60"/>
      <c r="AC100" s="60"/>
      <c r="AD100" s="60"/>
      <c r="AE100" s="60"/>
      <c r="AF100" s="60"/>
      <c r="AG100" s="60"/>
      <c r="AH100" s="60"/>
      <c r="AI100" s="60"/>
    </row>
    <row r="101" spans="1:35" ht="14">
      <c r="A101" s="105" t="s">
        <v>1691</v>
      </c>
      <c r="B101" s="106" t="s">
        <v>1667</v>
      </c>
      <c r="C101" s="106" t="s">
        <v>1667</v>
      </c>
      <c r="D101" s="91">
        <v>2</v>
      </c>
      <c r="E101" s="106">
        <v>1</v>
      </c>
      <c r="F101" s="92">
        <v>0</v>
      </c>
      <c r="G101" s="106">
        <v>5</v>
      </c>
      <c r="H101" s="92" t="s">
        <v>126</v>
      </c>
      <c r="I101" s="106">
        <v>13</v>
      </c>
      <c r="J101" s="92" t="s">
        <v>126</v>
      </c>
      <c r="K101" s="107" t="s">
        <v>1692</v>
      </c>
      <c r="L101" s="94" t="s">
        <v>1693</v>
      </c>
      <c r="M101" s="95"/>
      <c r="N101" s="95"/>
      <c r="O101" s="94" t="s">
        <v>126</v>
      </c>
      <c r="P101" s="96" t="str">
        <f>IF(ISBLANK(Q101),"",CONCATENATE(Q101,": ",VLOOKUP(Q101,Status!A:C,3,FALSE),IF(ISBLANK(R101),"",CONCATENATE(CHAR(10),R101,": ",VLOOKUP(R101,Status!A:C,3,FALSE),IF(ISBLANK(S101),"",CONCATENATE(CHAR(10),S101,": ",VLOOKUP(S101,Status!A:C,3,FALSE)))))))</f>
        <v/>
      </c>
      <c r="Q101" s="102"/>
      <c r="R101" s="97"/>
      <c r="S101" s="102"/>
      <c r="T101" s="103" t="s">
        <v>1546</v>
      </c>
      <c r="U101" s="109"/>
      <c r="V101" s="100"/>
      <c r="W101" s="60"/>
      <c r="X101" s="60"/>
      <c r="Y101" s="60"/>
      <c r="Z101" s="60"/>
      <c r="AA101" s="60"/>
      <c r="AB101" s="60"/>
      <c r="AC101" s="60"/>
      <c r="AD101" s="60"/>
      <c r="AE101" s="60"/>
      <c r="AF101" s="60"/>
      <c r="AG101" s="60"/>
      <c r="AH101" s="60"/>
      <c r="AI101" s="60"/>
    </row>
    <row r="102" spans="1:35" ht="14">
      <c r="A102" s="89" t="s">
        <v>1694</v>
      </c>
      <c r="B102" s="90" t="s">
        <v>1667</v>
      </c>
      <c r="C102" s="90" t="s">
        <v>1667</v>
      </c>
      <c r="D102" s="91">
        <v>2</v>
      </c>
      <c r="E102" s="90">
        <v>2</v>
      </c>
      <c r="F102" s="92">
        <v>0</v>
      </c>
      <c r="G102" s="90">
        <v>5</v>
      </c>
      <c r="H102" s="92">
        <v>13</v>
      </c>
      <c r="I102" s="90" t="s">
        <v>126</v>
      </c>
      <c r="J102" s="92" t="s">
        <v>126</v>
      </c>
      <c r="K102" s="93" t="s">
        <v>1695</v>
      </c>
      <c r="L102" s="94">
        <v>13</v>
      </c>
      <c r="M102" s="95"/>
      <c r="N102" s="95"/>
      <c r="O102" s="94" t="s">
        <v>126</v>
      </c>
      <c r="P102" s="96" t="str">
        <f>IF(ISBLANK(Q102),"",CONCATENATE(Q102,": ",VLOOKUP(Q102,Status!A:C,3,FALSE),IF(ISBLANK(R102),"",CONCATENATE(CHAR(10),R102,": ",VLOOKUP(R102,Status!A:C,3,FALSE),IF(ISBLANK(S102),"",CONCATENATE(CHAR(10),S102,": ",VLOOKUP(S102,Status!A:C,3,FALSE)))))))</f>
        <v>Death Wish: Increase damage dealt by the percentage of current vitality you are missing.</v>
      </c>
      <c r="Q102" s="102" t="s">
        <v>1694</v>
      </c>
      <c r="R102" s="97"/>
      <c r="S102" s="102"/>
      <c r="T102" s="103" t="s">
        <v>1696</v>
      </c>
      <c r="U102" s="104"/>
      <c r="V102" s="100"/>
      <c r="W102" s="60"/>
      <c r="X102" s="60"/>
      <c r="Y102" s="60"/>
      <c r="Z102" s="60"/>
      <c r="AA102" s="60"/>
      <c r="AB102" s="60"/>
      <c r="AC102" s="60"/>
      <c r="AD102" s="60"/>
      <c r="AE102" s="60"/>
      <c r="AF102" s="60"/>
      <c r="AG102" s="60"/>
      <c r="AH102" s="60"/>
      <c r="AI102" s="60"/>
    </row>
    <row r="103" spans="1:35" ht="28">
      <c r="A103" s="105" t="s">
        <v>1697</v>
      </c>
      <c r="B103" s="106" t="s">
        <v>1667</v>
      </c>
      <c r="C103" s="106" t="s">
        <v>1667</v>
      </c>
      <c r="D103" s="91">
        <v>1</v>
      </c>
      <c r="E103" s="106">
        <v>2</v>
      </c>
      <c r="F103" s="92">
        <v>0</v>
      </c>
      <c r="G103" s="106">
        <v>3</v>
      </c>
      <c r="H103" s="92">
        <v>2</v>
      </c>
      <c r="I103" s="106" t="s">
        <v>126</v>
      </c>
      <c r="J103" s="92" t="s">
        <v>1473</v>
      </c>
      <c r="K103" s="107" t="s">
        <v>1698</v>
      </c>
      <c r="L103" s="101">
        <v>79</v>
      </c>
      <c r="M103" s="95"/>
      <c r="N103" s="95"/>
      <c r="O103" s="94" t="s">
        <v>1427</v>
      </c>
      <c r="P103" s="96" t="str">
        <f>IF(ISBLANK(Q103),"",CONCATENATE(Q103,": ",VLOOKUP(Q103,Status!A:C,3,FALSE),IF(ISBLANK(R103),"",CONCATENATE(CHAR(10),R103,": ",VLOOKUP(R103,Status!A:C,3,FALSE),IF(ISBLANK(S103),"",CONCATENATE(CHAR(10),S103,": ",VLOOKUP(S103,Status!A:C,3,FALSE)))))))</f>
        <v>Decaying: 100% of healing you receive will instead deal Physical damage to you.  Removed by Bless and Fortify.</v>
      </c>
      <c r="Q103" s="102" t="s">
        <v>1682</v>
      </c>
      <c r="R103" s="97"/>
      <c r="S103" s="102"/>
      <c r="T103" s="103" t="s">
        <v>348</v>
      </c>
      <c r="U103" s="104"/>
      <c r="V103" s="100"/>
      <c r="W103" s="60"/>
      <c r="X103" s="60"/>
      <c r="Y103" s="60"/>
      <c r="Z103" s="60"/>
      <c r="AA103" s="60"/>
      <c r="AB103" s="60"/>
      <c r="AC103" s="60"/>
      <c r="AD103" s="60"/>
      <c r="AE103" s="60"/>
      <c r="AF103" s="60"/>
      <c r="AG103" s="60"/>
      <c r="AH103" s="60"/>
      <c r="AI103" s="60"/>
    </row>
    <row r="104" spans="1:35" ht="28">
      <c r="A104" s="89" t="s">
        <v>1699</v>
      </c>
      <c r="B104" s="90" t="s">
        <v>1667</v>
      </c>
      <c r="C104" s="90" t="s">
        <v>1667</v>
      </c>
      <c r="D104" s="91">
        <v>3</v>
      </c>
      <c r="E104" s="90">
        <v>2</v>
      </c>
      <c r="F104" s="92">
        <v>2</v>
      </c>
      <c r="G104" s="90">
        <v>5</v>
      </c>
      <c r="H104" s="92">
        <v>13</v>
      </c>
      <c r="I104" s="90">
        <v>6</v>
      </c>
      <c r="J104" s="92" t="s">
        <v>1473</v>
      </c>
      <c r="K104" s="93" t="s">
        <v>1700</v>
      </c>
      <c r="L104" s="101">
        <v>237</v>
      </c>
      <c r="M104" s="95"/>
      <c r="N104" s="95"/>
      <c r="O104" s="94" t="s">
        <v>1427</v>
      </c>
      <c r="P104" s="96" t="str">
        <f>IF(ISBLANK(Q104),"",CONCATENATE(Q104,": ",VLOOKUP(Q104,Status!A:C,3,FALSE),IF(ISBLANK(R104),"",CONCATENATE(CHAR(10),R104,": ",VLOOKUP(R104,Status!A:C,3,FALSE),IF(ISBLANK(S104),"",CONCATENATE(CHAR(10),S104,": ",VLOOKUP(S104,Status!A:C,3,FALSE)))))))</f>
        <v>Crippled: -100% Movement, -30% Dodging.  Removed by First Aid, Haste, and Petrifying Touch.</v>
      </c>
      <c r="Q104" s="102" t="s">
        <v>1551</v>
      </c>
      <c r="R104" s="97"/>
      <c r="S104" s="102"/>
      <c r="T104" s="103" t="s">
        <v>348</v>
      </c>
      <c r="U104" s="104"/>
      <c r="V104" s="100"/>
      <c r="W104" s="60"/>
      <c r="X104" s="60"/>
      <c r="Y104" s="60"/>
      <c r="Z104" s="60"/>
      <c r="AA104" s="60"/>
      <c r="AB104" s="60"/>
      <c r="AC104" s="60"/>
      <c r="AD104" s="60"/>
      <c r="AE104" s="60"/>
      <c r="AF104" s="60"/>
      <c r="AG104" s="60"/>
      <c r="AH104" s="60"/>
      <c r="AI104" s="60"/>
    </row>
    <row r="105" spans="1:35" ht="56">
      <c r="A105" s="89" t="s">
        <v>1701</v>
      </c>
      <c r="B105" s="90" t="s">
        <v>1667</v>
      </c>
      <c r="C105" s="90" t="s">
        <v>1667</v>
      </c>
      <c r="D105" s="91">
        <v>2</v>
      </c>
      <c r="E105" s="90">
        <v>3</v>
      </c>
      <c r="F105" s="92">
        <v>0</v>
      </c>
      <c r="G105" s="90">
        <v>3</v>
      </c>
      <c r="H105" s="92">
        <v>13</v>
      </c>
      <c r="I105" s="90" t="s">
        <v>126</v>
      </c>
      <c r="J105" s="92" t="s">
        <v>1473</v>
      </c>
      <c r="K105" s="93" t="s">
        <v>1702</v>
      </c>
      <c r="L105" s="94">
        <v>111</v>
      </c>
      <c r="M105" s="95"/>
      <c r="N105" s="95"/>
      <c r="O105" s="94" t="s">
        <v>1427</v>
      </c>
      <c r="P105" s="96" t="str">
        <f>IF(ISBLANK(Q105),"",CONCATENATE(Q105,": ",VLOOKUP(Q105,Status!A:C,3,FALSE),IF(ISBLANK(R105),"",CONCATENATE(CHAR(10),R105,": ",VLOOKUP(R105,Status!A:C,3,FALSE),IF(ISBLANK(S105),"",CONCATENATE(CHAR(10),S105,": ",VLOOKUP(S105,Status!A:C,3,FALSE)))))))</f>
        <v>Infected: -X Constitution, -35% Damage dealt, can spread to nearby characters.  Replaced with Diseased if it infects another character.
Diseased: -X Constitution, -35% Damage dealt.  Removed by Bless, Cleanse Wounds, First Aid, Fortify, and Mass Cleanse Wounds.</v>
      </c>
      <c r="Q105" s="102" t="s">
        <v>1703</v>
      </c>
      <c r="R105" s="102" t="s">
        <v>1681</v>
      </c>
      <c r="S105" s="102"/>
      <c r="T105" s="103" t="s">
        <v>348</v>
      </c>
      <c r="U105" s="104"/>
      <c r="V105" s="100"/>
      <c r="W105" s="60"/>
      <c r="X105" s="60"/>
      <c r="Y105" s="60"/>
      <c r="Z105" s="60"/>
      <c r="AA105" s="60"/>
      <c r="AB105" s="60"/>
      <c r="AC105" s="60"/>
      <c r="AD105" s="60"/>
      <c r="AE105" s="60"/>
      <c r="AF105" s="60"/>
      <c r="AG105" s="60"/>
      <c r="AH105" s="60"/>
      <c r="AI105" s="60"/>
    </row>
    <row r="106" spans="1:35" ht="28">
      <c r="A106" s="105" t="s">
        <v>1704</v>
      </c>
      <c r="B106" s="106" t="s">
        <v>1667</v>
      </c>
      <c r="C106" s="106" t="s">
        <v>1667</v>
      </c>
      <c r="D106" s="91">
        <v>3</v>
      </c>
      <c r="E106" s="106">
        <v>3</v>
      </c>
      <c r="F106" s="92">
        <v>0</v>
      </c>
      <c r="G106" s="106">
        <v>10</v>
      </c>
      <c r="H106" s="92">
        <v>13</v>
      </c>
      <c r="I106" s="106" t="s">
        <v>126</v>
      </c>
      <c r="J106" s="92" t="s">
        <v>126</v>
      </c>
      <c r="K106" s="107" t="s">
        <v>1705</v>
      </c>
      <c r="L106" s="94">
        <v>321</v>
      </c>
      <c r="M106" s="95"/>
      <c r="N106" s="95"/>
      <c r="O106" s="94" t="s">
        <v>126</v>
      </c>
      <c r="P106" s="96" t="str">
        <f>IF(ISBLANK(Q106),"",CONCATENATE(Q106,": ",VLOOKUP(Q106,Status!A:C,3,FALSE),IF(ISBLANK(R106),"",CONCATENATE(CHAR(10),R106,": ",VLOOKUP(R106,Status!A:C,3,FALSE),IF(ISBLANK(S106),"",CONCATENATE(CHAR(10),S106,": ",VLOOKUP(S106,Status!A:C,3,FALSE)))))))</f>
        <v/>
      </c>
      <c r="Q106" s="102"/>
      <c r="R106" s="97"/>
      <c r="S106" s="102"/>
      <c r="T106" s="103" t="s">
        <v>1696</v>
      </c>
      <c r="U106" s="109"/>
      <c r="V106" s="100"/>
      <c r="W106" s="60"/>
      <c r="X106" s="60"/>
      <c r="Y106" s="60"/>
      <c r="Z106" s="60"/>
      <c r="AA106" s="60"/>
      <c r="AB106" s="60"/>
      <c r="AC106" s="60"/>
      <c r="AD106" s="60"/>
      <c r="AE106" s="60"/>
      <c r="AF106" s="60"/>
      <c r="AG106" s="60"/>
      <c r="AH106" s="60"/>
      <c r="AI106" s="60"/>
    </row>
    <row r="107" spans="1:35" ht="14">
      <c r="A107" s="105" t="s">
        <v>1706</v>
      </c>
      <c r="B107" s="106" t="s">
        <v>1667</v>
      </c>
      <c r="C107" s="106" t="s">
        <v>1667</v>
      </c>
      <c r="D107" s="91">
        <v>2</v>
      </c>
      <c r="E107" s="106">
        <v>3</v>
      </c>
      <c r="F107" s="92">
        <v>0</v>
      </c>
      <c r="G107" s="106">
        <v>5</v>
      </c>
      <c r="H107" s="92">
        <v>13</v>
      </c>
      <c r="I107" s="106" t="s">
        <v>126</v>
      </c>
      <c r="J107" s="92" t="s">
        <v>126</v>
      </c>
      <c r="K107" s="107" t="s">
        <v>1707</v>
      </c>
      <c r="L107" s="95"/>
      <c r="M107" s="95"/>
      <c r="N107" s="95"/>
      <c r="O107" s="94" t="s">
        <v>126</v>
      </c>
      <c r="P107" s="96" t="str">
        <f>IF(ISBLANK(Q107),"",CONCATENATE(Q107,": ",VLOOKUP(Q107,Status!A:C,3,FALSE),IF(ISBLANK(R107),"",CONCATENATE(CHAR(10),R107,": ",VLOOKUP(R107,Status!A:C,3,FALSE),IF(ISBLANK(S107),"",CONCATENATE(CHAR(10),S107,": ",VLOOKUP(S107,Status!A:C,3,FALSE)))))))</f>
        <v>Resist Death: Vitality cannot be reduced below 1.</v>
      </c>
      <c r="Q107" s="102" t="s">
        <v>1708</v>
      </c>
      <c r="R107" s="97"/>
      <c r="S107" s="97"/>
      <c r="T107" s="108"/>
      <c r="U107" s="109"/>
      <c r="V107" s="100"/>
      <c r="W107" s="60"/>
      <c r="X107" s="60"/>
      <c r="Y107" s="60"/>
      <c r="Z107" s="60"/>
      <c r="AA107" s="60"/>
      <c r="AB107" s="60"/>
      <c r="AC107" s="60"/>
      <c r="AD107" s="60"/>
      <c r="AE107" s="60"/>
      <c r="AF107" s="60"/>
      <c r="AG107" s="60"/>
      <c r="AH107" s="60"/>
      <c r="AI107" s="60"/>
    </row>
    <row r="108" spans="1:35" ht="28">
      <c r="A108" s="89" t="s">
        <v>1709</v>
      </c>
      <c r="B108" s="90" t="s">
        <v>1667</v>
      </c>
      <c r="C108" s="90" t="s">
        <v>1667</v>
      </c>
      <c r="D108" s="91">
        <v>1</v>
      </c>
      <c r="E108" s="90">
        <v>2</v>
      </c>
      <c r="F108" s="92">
        <v>0</v>
      </c>
      <c r="G108" s="90">
        <v>4</v>
      </c>
      <c r="H108" s="92">
        <v>13</v>
      </c>
      <c r="I108" s="90" t="s">
        <v>126</v>
      </c>
      <c r="J108" s="92" t="s">
        <v>1473</v>
      </c>
      <c r="K108" s="93" t="s">
        <v>1710</v>
      </c>
      <c r="L108" s="101">
        <v>79</v>
      </c>
      <c r="M108" s="95"/>
      <c r="N108" s="95"/>
      <c r="O108" s="94" t="s">
        <v>1427</v>
      </c>
      <c r="P108" s="96" t="str">
        <f>IF(ISBLANK(Q108),"",CONCATENATE(Q108,": ",VLOOKUP(Q108,Status!A:C,3,FALSE),IF(ISBLANK(R108),"",CONCATENATE(CHAR(10),R108,": ",VLOOKUP(R108,Status!A:C,3,FALSE),IF(ISBLANK(S108),"",CONCATENATE(CHAR(10),S108,": ",VLOOKUP(S108,Status!A:C,3,FALSE)))))))</f>
        <v>Bleeding: Take 28 Piercing damage each turn.  Removed by Cleanse Wounds, First Aid, Fortify, Mass Cleanse Wounds, Petrifying Touch, and Restoration.</v>
      </c>
      <c r="Q108" s="102" t="s">
        <v>1685</v>
      </c>
      <c r="R108" s="97"/>
      <c r="S108" s="102"/>
      <c r="T108" s="103" t="s">
        <v>348</v>
      </c>
      <c r="U108" s="104"/>
      <c r="V108" s="100"/>
      <c r="W108" s="60"/>
      <c r="X108" s="60"/>
      <c r="Y108" s="60"/>
      <c r="Z108" s="60"/>
      <c r="AA108" s="60"/>
      <c r="AB108" s="60"/>
      <c r="AC108" s="60"/>
      <c r="AD108" s="60"/>
      <c r="AE108" s="60"/>
      <c r="AF108" s="60"/>
      <c r="AG108" s="60"/>
      <c r="AH108" s="60"/>
      <c r="AI108" s="60"/>
    </row>
    <row r="109" spans="1:35" ht="42">
      <c r="A109" s="105" t="s">
        <v>1711</v>
      </c>
      <c r="B109" s="106" t="s">
        <v>1667</v>
      </c>
      <c r="C109" s="106" t="s">
        <v>1667</v>
      </c>
      <c r="D109" s="91">
        <v>1</v>
      </c>
      <c r="E109" s="106">
        <v>1</v>
      </c>
      <c r="F109" s="92">
        <v>0</v>
      </c>
      <c r="G109" s="106">
        <v>3</v>
      </c>
      <c r="H109" s="92">
        <v>13</v>
      </c>
      <c r="I109" s="106" t="s">
        <v>126</v>
      </c>
      <c r="J109" s="92" t="s">
        <v>126</v>
      </c>
      <c r="K109" s="107" t="s">
        <v>1712</v>
      </c>
      <c r="L109" s="95"/>
      <c r="M109" s="95"/>
      <c r="N109" s="95"/>
      <c r="O109" s="94" t="s">
        <v>126</v>
      </c>
      <c r="P109" s="96" t="str">
        <f>IF(ISBLANK(Q109),"",CONCATENATE(Q109,": ",VLOOKUP(Q109,Status!A:C,3,FALSE),IF(ISBLANK(R109),"",CONCATENATE(CHAR(10),R109,": ",VLOOKUP(R109,Status!A:C,3,FALSE),IF(ISBLANK(S109),"",CONCATENATE(CHAR(10),S109,": ",VLOOKUP(S109,Status!A:C,3,FALSE)))))))</f>
        <v/>
      </c>
      <c r="Q109" s="102"/>
      <c r="R109" s="97"/>
      <c r="S109" s="97"/>
      <c r="T109" s="108"/>
      <c r="U109" s="109"/>
      <c r="V109" s="100"/>
      <c r="W109" s="60"/>
      <c r="X109" s="60"/>
      <c r="Y109" s="60"/>
      <c r="Z109" s="60"/>
      <c r="AA109" s="60"/>
      <c r="AB109" s="60"/>
      <c r="AC109" s="60"/>
      <c r="AD109" s="60"/>
      <c r="AE109" s="60"/>
      <c r="AF109" s="60"/>
      <c r="AG109" s="60"/>
      <c r="AH109" s="60"/>
      <c r="AI109" s="60"/>
    </row>
    <row r="110" spans="1:35" ht="28">
      <c r="A110" s="105" t="s">
        <v>1713</v>
      </c>
      <c r="B110" s="106" t="s">
        <v>1667</v>
      </c>
      <c r="C110" s="106" t="s">
        <v>1667</v>
      </c>
      <c r="D110" s="91">
        <v>2</v>
      </c>
      <c r="E110" s="106">
        <v>3</v>
      </c>
      <c r="F110" s="92">
        <v>0</v>
      </c>
      <c r="G110" s="106">
        <v>5</v>
      </c>
      <c r="H110" s="92">
        <v>14</v>
      </c>
      <c r="I110" s="106" t="s">
        <v>126</v>
      </c>
      <c r="J110" s="92" t="s">
        <v>126</v>
      </c>
      <c r="K110" s="107" t="s">
        <v>1714</v>
      </c>
      <c r="L110" s="95"/>
      <c r="M110" s="95"/>
      <c r="N110" s="95"/>
      <c r="O110" s="94" t="s">
        <v>126</v>
      </c>
      <c r="P110" s="96" t="str">
        <f>IF(ISBLANK(Q110),"",CONCATENATE(Q110,": ",VLOOKUP(Q110,Status!A:C,3,FALSE),IF(ISBLANK(R110),"",CONCATENATE(CHAR(10),R110,": ",VLOOKUP(R110,Status!A:C,3,FALSE),IF(ISBLANK(S110),"",CONCATENATE(CHAR(10),S110,": ",VLOOKUP(S110,Status!A:C,3,FALSE)))))))</f>
        <v/>
      </c>
      <c r="Q110" s="102"/>
      <c r="R110" s="97"/>
      <c r="S110" s="97"/>
      <c r="T110" s="108"/>
      <c r="U110" s="109"/>
      <c r="V110" s="100"/>
      <c r="W110" s="60"/>
      <c r="X110" s="60"/>
      <c r="Y110" s="60"/>
      <c r="Z110" s="60"/>
      <c r="AA110" s="60"/>
      <c r="AB110" s="60"/>
      <c r="AC110" s="60"/>
      <c r="AD110" s="60"/>
      <c r="AE110" s="60"/>
      <c r="AF110" s="60"/>
      <c r="AG110" s="60"/>
      <c r="AH110" s="60"/>
      <c r="AI110" s="60"/>
    </row>
    <row r="111" spans="1:35" ht="28">
      <c r="A111" s="89" t="s">
        <v>1715</v>
      </c>
      <c r="B111" s="90" t="s">
        <v>1667</v>
      </c>
      <c r="C111" s="90" t="s">
        <v>1667</v>
      </c>
      <c r="D111" s="91">
        <v>2</v>
      </c>
      <c r="E111" s="90">
        <v>1</v>
      </c>
      <c r="F111" s="92">
        <v>0</v>
      </c>
      <c r="G111" s="90">
        <v>5</v>
      </c>
      <c r="H111" s="92">
        <v>13</v>
      </c>
      <c r="I111" s="90" t="s">
        <v>126</v>
      </c>
      <c r="J111" s="92" t="s">
        <v>1473</v>
      </c>
      <c r="K111" s="93" t="s">
        <v>1716</v>
      </c>
      <c r="L111" s="95"/>
      <c r="M111" s="95"/>
      <c r="N111" s="95"/>
      <c r="O111" s="94" t="s">
        <v>126</v>
      </c>
      <c r="P111" s="96" t="str">
        <f>IF(ISBLANK(Q111),"",CONCATENATE(Q111,": ",VLOOKUP(Q111,Status!A:C,3,FALSE),IF(ISBLANK(R111),"",CONCATENATE(CHAR(10),R111,": ",VLOOKUP(R111,Status!A:C,3,FALSE),IF(ISBLANK(S111),"",CONCATENATE(CHAR(10),S111,": ",VLOOKUP(S111,Status!A:C,3,FALSE)))))))</f>
        <v>Shackles of Pain: When the one who set Shackles of Pain on you takes damage, you also take that damage.  Removed by Cryogenic Stasis.</v>
      </c>
      <c r="Q111" s="102" t="s">
        <v>1717</v>
      </c>
      <c r="R111" s="97"/>
      <c r="S111" s="97"/>
      <c r="T111" s="108"/>
      <c r="U111" s="109"/>
      <c r="V111" s="100"/>
      <c r="W111" s="60"/>
      <c r="X111" s="60"/>
      <c r="Y111" s="60"/>
      <c r="Z111" s="60"/>
      <c r="AA111" s="60"/>
      <c r="AB111" s="60"/>
      <c r="AC111" s="60"/>
      <c r="AD111" s="60"/>
      <c r="AE111" s="60"/>
      <c r="AF111" s="60"/>
      <c r="AG111" s="60"/>
      <c r="AH111" s="60"/>
      <c r="AI111" s="60"/>
    </row>
    <row r="112" spans="1:35" ht="28">
      <c r="A112" s="89" t="s">
        <v>1718</v>
      </c>
      <c r="B112" s="90" t="s">
        <v>1667</v>
      </c>
      <c r="C112" s="90" t="s">
        <v>1667</v>
      </c>
      <c r="D112" s="91">
        <v>3</v>
      </c>
      <c r="E112" s="90">
        <v>2</v>
      </c>
      <c r="F112" s="92">
        <v>0</v>
      </c>
      <c r="G112" s="90">
        <v>3</v>
      </c>
      <c r="H112" s="92">
        <v>13</v>
      </c>
      <c r="I112" s="90" t="s">
        <v>126</v>
      </c>
      <c r="J112" s="92" t="s">
        <v>1425</v>
      </c>
      <c r="K112" s="93" t="s">
        <v>1719</v>
      </c>
      <c r="L112" s="94">
        <v>63</v>
      </c>
      <c r="M112" s="95"/>
      <c r="N112" s="95"/>
      <c r="O112" s="94" t="s">
        <v>126</v>
      </c>
      <c r="P112" s="96" t="str">
        <f>IF(ISBLANK(Q112),"",CONCATENATE(Q112,": ",VLOOKUP(Q112,Status!A:C,3,FALSE),IF(ISBLANK(R112),"",CONCATENATE(CHAR(10),R112,": ",VLOOKUP(R112,Status!A:C,3,FALSE),IF(ISBLANK(S112),"",CONCATENATE(CHAR(10),S112,": ",VLOOKUP(S112,Status!A:C,3,FALSE)))))))</f>
        <v>Silenced: Unable to use non-weapon skills.  Removed by Blessed Smoke Cloud (cloud) and First Aid.</v>
      </c>
      <c r="Q112" s="102" t="s">
        <v>1670</v>
      </c>
      <c r="R112" s="97"/>
      <c r="S112" s="97"/>
      <c r="T112" s="108"/>
      <c r="U112" s="109"/>
      <c r="V112" s="100"/>
      <c r="W112" s="60"/>
      <c r="X112" s="60"/>
      <c r="Y112" s="60"/>
      <c r="Z112" s="60"/>
      <c r="AA112" s="60"/>
      <c r="AB112" s="60"/>
      <c r="AC112" s="60"/>
      <c r="AD112" s="60"/>
      <c r="AE112" s="60"/>
      <c r="AF112" s="60"/>
      <c r="AG112" s="60"/>
      <c r="AH112" s="60"/>
      <c r="AI112" s="60"/>
    </row>
    <row r="113" spans="1:35" ht="14">
      <c r="A113" s="89" t="s">
        <v>1720</v>
      </c>
      <c r="B113" s="90" t="s">
        <v>1667</v>
      </c>
      <c r="C113" s="90" t="s">
        <v>1667</v>
      </c>
      <c r="D113" s="91">
        <v>5</v>
      </c>
      <c r="E113" s="90">
        <v>2</v>
      </c>
      <c r="F113" s="92">
        <v>3</v>
      </c>
      <c r="G113" s="90">
        <v>5</v>
      </c>
      <c r="H113" s="92" t="s">
        <v>126</v>
      </c>
      <c r="I113" s="90">
        <v>13</v>
      </c>
      <c r="J113" s="92" t="s">
        <v>126</v>
      </c>
      <c r="K113" s="93" t="s">
        <v>1721</v>
      </c>
      <c r="L113" s="95"/>
      <c r="M113" s="95"/>
      <c r="N113" s="95"/>
      <c r="O113" s="94" t="s">
        <v>126</v>
      </c>
      <c r="P113" s="96" t="str">
        <f>IF(ISBLANK(Q113),"",CONCATENATE(Q113,": ",VLOOKUP(Q113,Status!A:C,3,FALSE),IF(ISBLANK(R113),"",CONCATENATE(CHAR(10),R113,": ",VLOOKUP(R113,Status!A:C,3,FALSE),IF(ISBLANK(S113),"",CONCATENATE(CHAR(10),S113,": ",VLOOKUP(S113,Status!A:C,3,FALSE)))))))</f>
        <v/>
      </c>
      <c r="Q113" s="102"/>
      <c r="R113" s="97"/>
      <c r="S113" s="97"/>
      <c r="T113" s="108"/>
      <c r="U113" s="109"/>
      <c r="V113" s="100"/>
      <c r="W113" s="60"/>
      <c r="X113" s="60"/>
      <c r="Y113" s="60"/>
      <c r="Z113" s="60"/>
      <c r="AA113" s="60"/>
      <c r="AB113" s="60"/>
      <c r="AC113" s="60"/>
      <c r="AD113" s="60"/>
      <c r="AE113" s="60"/>
      <c r="AF113" s="60"/>
      <c r="AG113" s="60"/>
      <c r="AH113" s="60"/>
      <c r="AI113" s="60"/>
    </row>
    <row r="114" spans="1:35" ht="14">
      <c r="A114" s="105" t="s">
        <v>1722</v>
      </c>
      <c r="B114" s="106" t="s">
        <v>1667</v>
      </c>
      <c r="C114" s="117" t="s">
        <v>1624</v>
      </c>
      <c r="D114" s="91">
        <v>1</v>
      </c>
      <c r="E114" s="106">
        <v>1</v>
      </c>
      <c r="F114" s="92">
        <v>0</v>
      </c>
      <c r="G114" s="106">
        <v>4</v>
      </c>
      <c r="H114" s="92">
        <v>13</v>
      </c>
      <c r="I114" s="106">
        <v>4</v>
      </c>
      <c r="J114" s="92" t="s">
        <v>126</v>
      </c>
      <c r="K114" s="107" t="s">
        <v>1723</v>
      </c>
      <c r="L114" s="94">
        <v>208</v>
      </c>
      <c r="M114" s="95"/>
      <c r="N114" s="95"/>
      <c r="O114" s="94" t="s">
        <v>126</v>
      </c>
      <c r="P114" s="96" t="str">
        <f>IF(ISBLANK(Q114),"",CONCATENATE(Q114,": ",VLOOKUP(Q114,Status!A:C,3,FALSE),IF(ISBLANK(R114),"",CONCATENATE(CHAR(10),R114,": ",VLOOKUP(R114,Status!A:C,3,FALSE),IF(ISBLANK(S114),"",CONCATENATE(CHAR(10),S114,": ",VLOOKUP(S114,Status!A:C,3,FALSE)))))))</f>
        <v/>
      </c>
      <c r="Q114" s="102"/>
      <c r="R114" s="97"/>
      <c r="S114" s="102"/>
      <c r="T114" s="103" t="s">
        <v>348</v>
      </c>
      <c r="U114" s="109"/>
      <c r="V114" s="100"/>
      <c r="W114" s="60"/>
      <c r="X114" s="60"/>
      <c r="Y114" s="60"/>
      <c r="Z114" s="60"/>
      <c r="AA114" s="60"/>
      <c r="AB114" s="60"/>
      <c r="AC114" s="60"/>
      <c r="AD114" s="60"/>
      <c r="AE114" s="60"/>
      <c r="AF114" s="60"/>
      <c r="AG114" s="60"/>
      <c r="AH114" s="60"/>
      <c r="AI114" s="60"/>
    </row>
    <row r="115" spans="1:35" ht="14">
      <c r="A115" s="105" t="s">
        <v>1724</v>
      </c>
      <c r="B115" s="106" t="s">
        <v>1667</v>
      </c>
      <c r="C115" s="117" t="s">
        <v>1624</v>
      </c>
      <c r="D115" s="91">
        <v>2</v>
      </c>
      <c r="E115" s="106">
        <v>1</v>
      </c>
      <c r="F115" s="92">
        <v>1</v>
      </c>
      <c r="G115" s="106">
        <v>2</v>
      </c>
      <c r="H115" s="92" t="s">
        <v>126</v>
      </c>
      <c r="I115" s="106">
        <v>13</v>
      </c>
      <c r="J115" s="92" t="s">
        <v>126</v>
      </c>
      <c r="K115" s="107" t="s">
        <v>1725</v>
      </c>
      <c r="L115" s="94">
        <v>208</v>
      </c>
      <c r="M115" s="95"/>
      <c r="N115" s="95"/>
      <c r="O115" s="94" t="s">
        <v>126</v>
      </c>
      <c r="P115" s="96" t="str">
        <f>IF(ISBLANK(Q115),"",CONCATENATE(Q115,": ",VLOOKUP(Q115,Status!A:C,3,FALSE),IF(ISBLANK(R115),"",CONCATENATE(CHAR(10),R115,": ",VLOOKUP(R115,Status!A:C,3,FALSE),IF(ISBLANK(S115),"",CONCATENATE(CHAR(10),S115,": ",VLOOKUP(S115,Status!A:C,3,FALSE)))))))</f>
        <v/>
      </c>
      <c r="Q115" s="102"/>
      <c r="R115" s="97"/>
      <c r="S115" s="102"/>
      <c r="T115" s="103" t="s">
        <v>348</v>
      </c>
      <c r="U115" s="109"/>
      <c r="V115" s="100"/>
      <c r="W115" s="60"/>
      <c r="X115" s="60"/>
      <c r="Y115" s="60"/>
      <c r="Z115" s="60"/>
      <c r="AA115" s="60"/>
      <c r="AB115" s="60"/>
      <c r="AC115" s="60"/>
      <c r="AD115" s="60"/>
      <c r="AE115" s="60"/>
      <c r="AF115" s="60"/>
      <c r="AG115" s="60"/>
      <c r="AH115" s="60"/>
      <c r="AI115" s="60"/>
    </row>
    <row r="116" spans="1:35" ht="28">
      <c r="A116" s="105" t="s">
        <v>1726</v>
      </c>
      <c r="B116" s="117" t="s">
        <v>1727</v>
      </c>
      <c r="C116" s="106" t="s">
        <v>1422</v>
      </c>
      <c r="D116" s="91">
        <v>2</v>
      </c>
      <c r="E116" s="106">
        <v>1</v>
      </c>
      <c r="F116" s="92">
        <v>1</v>
      </c>
      <c r="G116" s="106">
        <v>5</v>
      </c>
      <c r="H116" s="92" t="s">
        <v>126</v>
      </c>
      <c r="I116" s="106" t="s">
        <v>126</v>
      </c>
      <c r="J116" s="92" t="s">
        <v>126</v>
      </c>
      <c r="K116" s="107" t="s">
        <v>1728</v>
      </c>
      <c r="L116" s="95"/>
      <c r="M116" s="95"/>
      <c r="N116" s="95"/>
      <c r="O116" s="94" t="s">
        <v>126</v>
      </c>
      <c r="P116" s="96" t="str">
        <f>IF(ISBLANK(Q116),"",CONCATENATE(Q116,": ",VLOOKUP(Q116,Status!A:C,3,FALSE),IF(ISBLANK(R116),"",CONCATENATE(CHAR(10),R116,": ",VLOOKUP(R116,Status!A:C,3,FALSE),IF(ISBLANK(S116),"",CONCATENATE(CHAR(10),S116,": ",VLOOKUP(S116,Status!A:C,3,FALSE)))))))</f>
        <v>Electric Skin: +100% Air Resistance, -30% Earth Resistance, -30% Poison Resistance.  Immune to Stunned and Shocked.  Bleed Electrified Water instead of Blood when hit.</v>
      </c>
      <c r="Q116" s="102" t="s">
        <v>1729</v>
      </c>
      <c r="R116" s="97"/>
      <c r="S116" s="97"/>
      <c r="T116" s="108"/>
      <c r="U116" s="109"/>
      <c r="V116" s="100"/>
      <c r="W116" s="60"/>
      <c r="X116" s="60"/>
      <c r="Y116" s="60"/>
      <c r="Z116" s="60"/>
      <c r="AA116" s="60"/>
      <c r="AB116" s="60"/>
      <c r="AC116" s="60"/>
      <c r="AD116" s="60"/>
      <c r="AE116" s="60"/>
      <c r="AF116" s="60"/>
      <c r="AG116" s="60"/>
      <c r="AH116" s="60"/>
      <c r="AI116" s="60"/>
    </row>
    <row r="117" spans="1:35" ht="28">
      <c r="A117" s="105" t="s">
        <v>1730</v>
      </c>
      <c r="B117" s="117" t="s">
        <v>1727</v>
      </c>
      <c r="C117" s="90" t="s">
        <v>1422</v>
      </c>
      <c r="D117" s="91">
        <v>1</v>
      </c>
      <c r="E117" s="106">
        <v>1</v>
      </c>
      <c r="F117" s="92">
        <v>0</v>
      </c>
      <c r="G117" s="106">
        <v>4</v>
      </c>
      <c r="H117" s="92">
        <v>13</v>
      </c>
      <c r="I117" s="106">
        <v>2</v>
      </c>
      <c r="J117" s="92" t="s">
        <v>126</v>
      </c>
      <c r="K117" s="107" t="s">
        <v>1731</v>
      </c>
      <c r="L117" s="95"/>
      <c r="M117" s="95"/>
      <c r="N117" s="95"/>
      <c r="O117" s="94" t="s">
        <v>126</v>
      </c>
      <c r="P117" s="96" t="str">
        <f>IF(ISBLANK(Q117),"",CONCATENATE(Q117,": ",VLOOKUP(Q117,Status!A:C,3,FALSE),IF(ISBLANK(R117),"",CONCATENATE(CHAR(10),R117,": ",VLOOKUP(R117,Status!A:C,3,FALSE),IF(ISBLANK(S117),"",CONCATENATE(CHAR(10),S117,": ",VLOOKUP(S117,Status!A:C,3,FALSE)))))))</f>
        <v/>
      </c>
      <c r="Q117" s="102"/>
      <c r="R117" s="97"/>
      <c r="S117" s="97"/>
      <c r="T117" s="108"/>
      <c r="U117" s="109"/>
      <c r="V117" s="100"/>
      <c r="W117" s="60"/>
      <c r="X117" s="60"/>
      <c r="Y117" s="60"/>
      <c r="Z117" s="60"/>
      <c r="AA117" s="60"/>
      <c r="AB117" s="60"/>
      <c r="AC117" s="60"/>
      <c r="AD117" s="60"/>
      <c r="AE117" s="60"/>
      <c r="AF117" s="60"/>
      <c r="AG117" s="60"/>
      <c r="AH117" s="60"/>
      <c r="AI117" s="60"/>
    </row>
    <row r="118" spans="1:35" ht="28">
      <c r="A118" s="105" t="s">
        <v>1732</v>
      </c>
      <c r="B118" s="106" t="s">
        <v>1727</v>
      </c>
      <c r="C118" s="106" t="s">
        <v>1733</v>
      </c>
      <c r="D118" s="119" t="s">
        <v>126</v>
      </c>
      <c r="E118" s="106">
        <v>2</v>
      </c>
      <c r="F118" s="92">
        <v>0</v>
      </c>
      <c r="G118" s="106">
        <v>1</v>
      </c>
      <c r="H118" s="92">
        <v>12</v>
      </c>
      <c r="I118" s="106" t="s">
        <v>126</v>
      </c>
      <c r="J118" s="92" t="s">
        <v>1473</v>
      </c>
      <c r="K118" s="107" t="s">
        <v>1734</v>
      </c>
      <c r="L118" s="94">
        <v>49</v>
      </c>
      <c r="M118" s="95"/>
      <c r="N118" s="95"/>
      <c r="O118" s="94" t="s">
        <v>1585</v>
      </c>
      <c r="P118" s="96" t="str">
        <f>IF(ISBLANK(Q118),"",CONCATENATE(Q118,": ",VLOOKUP(Q118,Status!A:C,3,FALSE),IF(ISBLANK(R118),"",CONCATENATE(CHAR(10),R118,": ",VLOOKUP(R118,Status!A:C,3,FALSE),IF(ISBLANK(S118),"",CONCATENATE(CHAR(10),S118,": ",VLOOKUP(S118,Status!A:C,3,FALSE)))))))</f>
        <v>Bleeding: Take 28 Piercing damage each turn.  Removed by Cleanse Wounds, First Aid, Fortify, Mass Cleanse Wounds, Petrifying Touch, and Restoration.</v>
      </c>
      <c r="Q118" s="102" t="s">
        <v>1685</v>
      </c>
      <c r="R118" s="97"/>
      <c r="S118" s="102"/>
      <c r="T118" s="103" t="s">
        <v>348</v>
      </c>
      <c r="U118" s="109"/>
      <c r="V118" s="100"/>
      <c r="W118" s="60"/>
      <c r="X118" s="60"/>
      <c r="Y118" s="60"/>
      <c r="Z118" s="60"/>
      <c r="AA118" s="60"/>
      <c r="AB118" s="60"/>
      <c r="AC118" s="60"/>
      <c r="AD118" s="60"/>
      <c r="AE118" s="60"/>
      <c r="AF118" s="60"/>
      <c r="AG118" s="60"/>
      <c r="AH118" s="60"/>
      <c r="AI118" s="60"/>
    </row>
    <row r="119" spans="1:35" ht="28">
      <c r="A119" s="89" t="s">
        <v>1735</v>
      </c>
      <c r="B119" s="116" t="s">
        <v>1727</v>
      </c>
      <c r="C119" s="116" t="s">
        <v>1537</v>
      </c>
      <c r="D119" s="91">
        <v>2</v>
      </c>
      <c r="E119" s="90">
        <v>1</v>
      </c>
      <c r="F119" s="92">
        <v>1</v>
      </c>
      <c r="G119" s="90">
        <v>5</v>
      </c>
      <c r="H119" s="92" t="s">
        <v>126</v>
      </c>
      <c r="I119" s="90" t="s">
        <v>126</v>
      </c>
      <c r="J119" s="92" t="s">
        <v>126</v>
      </c>
      <c r="K119" s="93" t="s">
        <v>1736</v>
      </c>
      <c r="L119" s="95"/>
      <c r="M119" s="95"/>
      <c r="N119" s="95"/>
      <c r="O119" s="94" t="s">
        <v>126</v>
      </c>
      <c r="P119" s="96" t="str">
        <f>IF(ISBLANK(Q119),"",CONCATENATE(Q119,": ",VLOOKUP(Q119,Status!A:C,3,FALSE),IF(ISBLANK(R119),"",CONCATENATE(CHAR(10),R119,": ",VLOOKUP(R119,Status!A:C,3,FALSE),IF(ISBLANK(S119),"",CONCATENATE(CHAR(10),S119,": ",VLOOKUP(S119,Status!A:C,3,FALSE)))))))</f>
        <v>Poison Skin: +100% Poison Resistance, +100% Earth Resistance, -30% Air Resistance.  Immune to Acid, Petrified, Poisoned, and Slowed.  Bleed Poison surface instead of Blood when hit.</v>
      </c>
      <c r="Q119" s="102" t="s">
        <v>1737</v>
      </c>
      <c r="R119" s="97"/>
      <c r="S119" s="97"/>
      <c r="T119" s="108"/>
      <c r="U119" s="109"/>
      <c r="V119" s="100"/>
      <c r="W119" s="60"/>
      <c r="X119" s="60"/>
      <c r="Y119" s="60"/>
      <c r="Z119" s="60"/>
      <c r="AA119" s="60"/>
      <c r="AB119" s="60"/>
      <c r="AC119" s="60"/>
      <c r="AD119" s="60"/>
      <c r="AE119" s="60"/>
      <c r="AF119" s="60"/>
      <c r="AG119" s="60"/>
      <c r="AH119" s="60"/>
      <c r="AI119" s="60"/>
    </row>
    <row r="120" spans="1:35" ht="28">
      <c r="A120" s="89" t="s">
        <v>1738</v>
      </c>
      <c r="B120" s="116" t="s">
        <v>1727</v>
      </c>
      <c r="C120" s="116" t="s">
        <v>1537</v>
      </c>
      <c r="D120" s="91">
        <v>1</v>
      </c>
      <c r="E120" s="90">
        <v>1</v>
      </c>
      <c r="F120" s="92">
        <v>0</v>
      </c>
      <c r="G120" s="90">
        <v>4</v>
      </c>
      <c r="H120" s="92" t="s">
        <v>126</v>
      </c>
      <c r="I120" s="90">
        <v>5</v>
      </c>
      <c r="J120" s="92" t="s">
        <v>126</v>
      </c>
      <c r="K120" s="93" t="s">
        <v>1739</v>
      </c>
      <c r="L120" s="95"/>
      <c r="M120" s="95"/>
      <c r="N120" s="95"/>
      <c r="O120" s="94" t="s">
        <v>126</v>
      </c>
      <c r="P120" s="96" t="str">
        <f>IF(ISBLANK(Q120),"",CONCATENATE(Q120,": ",VLOOKUP(Q120,Status!A:C,3,FALSE),IF(ISBLANK(R120),"",CONCATENATE(CHAR(10),R120,": ",VLOOKUP(R120,Status!A:C,3,FALSE),IF(ISBLANK(S120),"",CONCATENATE(CHAR(10),S120,": ",VLOOKUP(S120,Status!A:C,3,FALSE)))))))</f>
        <v/>
      </c>
      <c r="Q120" s="102"/>
      <c r="R120" s="97"/>
      <c r="S120" s="97"/>
      <c r="T120" s="108"/>
      <c r="U120" s="109"/>
      <c r="V120" s="100"/>
      <c r="W120" s="60"/>
      <c r="X120" s="60"/>
      <c r="Y120" s="60"/>
      <c r="Z120" s="60"/>
      <c r="AA120" s="60"/>
      <c r="AB120" s="60"/>
      <c r="AC120" s="60"/>
      <c r="AD120" s="60"/>
      <c r="AE120" s="60"/>
      <c r="AF120" s="60"/>
      <c r="AG120" s="60"/>
      <c r="AH120" s="60"/>
      <c r="AI120" s="60"/>
    </row>
    <row r="121" spans="1:35" ht="42">
      <c r="A121" s="105" t="s">
        <v>1740</v>
      </c>
      <c r="B121" s="117" t="s">
        <v>1727</v>
      </c>
      <c r="C121" s="117" t="s">
        <v>1618</v>
      </c>
      <c r="D121" s="91">
        <v>1</v>
      </c>
      <c r="E121" s="106">
        <v>1</v>
      </c>
      <c r="F121" s="92">
        <v>0</v>
      </c>
      <c r="G121" s="106">
        <v>5</v>
      </c>
      <c r="H121" s="92" t="s">
        <v>126</v>
      </c>
      <c r="I121" s="106" t="s">
        <v>126</v>
      </c>
      <c r="J121" s="92" t="s">
        <v>126</v>
      </c>
      <c r="K121" s="107" t="s">
        <v>1741</v>
      </c>
      <c r="L121" s="95"/>
      <c r="M121" s="95"/>
      <c r="N121" s="95"/>
      <c r="O121" s="94" t="s">
        <v>126</v>
      </c>
      <c r="P121" s="96" t="str">
        <f>IF(ISBLANK(Q121),"",CONCATENATE(Q121,": ",VLOOKUP(Q121,Status!A:C,3,FALSE),IF(ISBLANK(R121),"",CONCATENATE(CHAR(10),R121,": ",VLOOKUP(R121,Status!A:C,3,FALSE),IF(ISBLANK(S121),"",CONCATENATE(CHAR(10),S121,": ",VLOOKUP(S121,Status!A:C,3,FALSE)))))))</f>
        <v>Healing Tears: Sets Healing for 3 turns on allies who walk into a 3m radius of you.  Expires after it does this 3 times.
Healing: Restores 129 vitality per turn.</v>
      </c>
      <c r="Q121" s="102" t="s">
        <v>1740</v>
      </c>
      <c r="R121" s="102" t="s">
        <v>1742</v>
      </c>
      <c r="S121" s="97"/>
      <c r="T121" s="108"/>
      <c r="U121" s="109"/>
      <c r="V121" s="100"/>
      <c r="W121" s="60"/>
      <c r="X121" s="60"/>
      <c r="Y121" s="60"/>
      <c r="Z121" s="60"/>
      <c r="AA121" s="60"/>
      <c r="AB121" s="60"/>
      <c r="AC121" s="60"/>
      <c r="AD121" s="60"/>
      <c r="AE121" s="60"/>
      <c r="AF121" s="60"/>
      <c r="AG121" s="60"/>
      <c r="AH121" s="60"/>
      <c r="AI121" s="60"/>
    </row>
    <row r="122" spans="1:35" ht="28">
      <c r="A122" s="105" t="s">
        <v>1743</v>
      </c>
      <c r="B122" s="117" t="s">
        <v>1727</v>
      </c>
      <c r="C122" s="117" t="s">
        <v>1618</v>
      </c>
      <c r="D122" s="91">
        <v>2</v>
      </c>
      <c r="E122" s="106">
        <v>1</v>
      </c>
      <c r="F122" s="92">
        <v>1</v>
      </c>
      <c r="G122" s="106">
        <v>5</v>
      </c>
      <c r="H122" s="92" t="s">
        <v>126</v>
      </c>
      <c r="I122" s="106" t="s">
        <v>126</v>
      </c>
      <c r="J122" s="92" t="s">
        <v>126</v>
      </c>
      <c r="K122" s="107" t="s">
        <v>1744</v>
      </c>
      <c r="L122" s="95"/>
      <c r="M122" s="95"/>
      <c r="N122" s="95"/>
      <c r="O122" s="94" t="s">
        <v>126</v>
      </c>
      <c r="P122" s="96" t="str">
        <f>IF(ISBLANK(Q122),"",CONCATENATE(Q122,": ",VLOOKUP(Q122,Status!A:C,3,FALSE),IF(ISBLANK(R122),"",CONCATENATE(CHAR(10),R122,": ",VLOOKUP(R122,Status!A:C,3,FALSE),IF(ISBLANK(S122),"",CONCATENATE(CHAR(10),S122,": ",VLOOKUP(S122,Status!A:C,3,FALSE)))))))</f>
        <v>Icy Skin: +100% Water Resistance, -30% Fire Resistance.  Immune to Chilled and Frozen.  Bleed Ice surface instead of Blood when hit.</v>
      </c>
      <c r="Q122" s="102" t="s">
        <v>1743</v>
      </c>
      <c r="R122" s="97"/>
      <c r="S122" s="97"/>
      <c r="T122" s="108"/>
      <c r="U122" s="109"/>
      <c r="V122" s="100"/>
      <c r="W122" s="60"/>
      <c r="X122" s="60"/>
      <c r="Y122" s="60"/>
      <c r="Z122" s="60"/>
      <c r="AA122" s="60"/>
      <c r="AB122" s="60"/>
      <c r="AC122" s="60"/>
      <c r="AD122" s="60"/>
      <c r="AE122" s="60"/>
      <c r="AF122" s="60"/>
      <c r="AG122" s="60"/>
      <c r="AH122" s="60"/>
      <c r="AI122" s="60"/>
    </row>
    <row r="123" spans="1:35" ht="56">
      <c r="A123" s="111" t="s">
        <v>1745</v>
      </c>
      <c r="B123" s="94" t="s">
        <v>1727</v>
      </c>
      <c r="C123" s="94" t="s">
        <v>1746</v>
      </c>
      <c r="D123" s="112" t="s">
        <v>126</v>
      </c>
      <c r="E123" s="94">
        <v>2</v>
      </c>
      <c r="F123" s="113">
        <v>0</v>
      </c>
      <c r="G123" s="94">
        <v>5</v>
      </c>
      <c r="H123" s="113" t="s">
        <v>126</v>
      </c>
      <c r="I123" s="94">
        <v>13</v>
      </c>
      <c r="J123" s="113" t="s">
        <v>1425</v>
      </c>
      <c r="K123" s="114" t="s">
        <v>1747</v>
      </c>
      <c r="L123" s="94">
        <v>82</v>
      </c>
      <c r="M123" s="95"/>
      <c r="N123" s="95"/>
      <c r="O123" s="94" t="s">
        <v>1748</v>
      </c>
      <c r="P123" s="96" t="str">
        <f>IF(ISBLANK(Q123),"",CONCATENATE(Q123,": ",VLOOKUP(Q123,Status!A:C,3,FALSE),IF(ISBLANK(R123),"",CONCATENATE(CHAR(10),R123,": ",VLOOKUP(R123,Status!A:C,3,FALSE),IF(ISBLANK(S123),"",CONCATENATE(CHAR(10),S123,": ",VLOOKUP(S123,Status!A:C,3,FALSE)))))))</f>
        <v>Petrified: Cannot move or act.  -100% Dodging, -20% Earth Resistance, +30% Fire Reisistance, +30% Air Resistance.  Immune to:  Bleeding, Burning, Charmed, Chilled, Frozen, Knocked Down, Poisoned, Sleeping, Stunned, Taunted, Teleportation, Terrified, Warm.  Removed by Armour of Frost and Blessed Oil (surface).</v>
      </c>
      <c r="Q123" s="102" t="s">
        <v>1487</v>
      </c>
      <c r="R123" s="97"/>
      <c r="S123" s="102"/>
      <c r="T123" s="103" t="s">
        <v>348</v>
      </c>
      <c r="U123" s="109"/>
      <c r="V123" s="100"/>
      <c r="W123" s="60"/>
      <c r="X123" s="60"/>
      <c r="Y123" s="60"/>
      <c r="Z123" s="60"/>
      <c r="AA123" s="60"/>
      <c r="AB123" s="60"/>
      <c r="AC123" s="60"/>
      <c r="AD123" s="60"/>
      <c r="AE123" s="60"/>
      <c r="AF123" s="60"/>
      <c r="AG123" s="60"/>
      <c r="AH123" s="60"/>
      <c r="AI123" s="60"/>
    </row>
    <row r="124" spans="1:35" ht="14">
      <c r="A124" s="89" t="s">
        <v>1749</v>
      </c>
      <c r="B124" s="116" t="s">
        <v>1727</v>
      </c>
      <c r="C124" s="116" t="s">
        <v>1727</v>
      </c>
      <c r="D124" s="91">
        <v>5</v>
      </c>
      <c r="E124" s="90">
        <v>1</v>
      </c>
      <c r="F124" s="92">
        <v>3</v>
      </c>
      <c r="G124" s="90">
        <v>10</v>
      </c>
      <c r="H124" s="92" t="s">
        <v>126</v>
      </c>
      <c r="I124" s="90" t="s">
        <v>126</v>
      </c>
      <c r="J124" s="92" t="s">
        <v>126</v>
      </c>
      <c r="K124" s="93" t="s">
        <v>1750</v>
      </c>
      <c r="L124" s="95"/>
      <c r="M124" s="95"/>
      <c r="N124" s="95"/>
      <c r="O124" s="94" t="s">
        <v>126</v>
      </c>
      <c r="P124" s="96" t="str">
        <f>IF(ISBLANK(Q124),"",CONCATENATE(Q124,": ",VLOOKUP(Q124,Status!A:C,3,FALSE),IF(ISBLANK(R124),"",CONCATENATE(CHAR(10),R124,": ",VLOOKUP(R124,Status!A:C,3,FALSE),IF(ISBLANK(S124),"",CONCATENATE(CHAR(10),S124,": ",VLOOKUP(S124,Status!A:C,3,FALSE)))))))</f>
        <v>Apotheosis: -3 Source Point cost on all skills.  +4 to all Attributes.</v>
      </c>
      <c r="Q124" s="102" t="s">
        <v>1749</v>
      </c>
      <c r="R124" s="97"/>
      <c r="S124" s="97"/>
      <c r="T124" s="108"/>
      <c r="U124" s="109"/>
      <c r="V124" s="100"/>
      <c r="W124" s="60"/>
      <c r="X124" s="60"/>
      <c r="Y124" s="60"/>
      <c r="Z124" s="60"/>
      <c r="AA124" s="60"/>
      <c r="AB124" s="60"/>
      <c r="AC124" s="60"/>
      <c r="AD124" s="60"/>
      <c r="AE124" s="60"/>
      <c r="AF124" s="60"/>
      <c r="AG124" s="60"/>
      <c r="AH124" s="60"/>
      <c r="AI124" s="60"/>
    </row>
    <row r="125" spans="1:35" ht="14">
      <c r="A125" s="89" t="s">
        <v>1733</v>
      </c>
      <c r="B125" s="116" t="s">
        <v>1727</v>
      </c>
      <c r="C125" s="116" t="s">
        <v>1727</v>
      </c>
      <c r="D125" s="91">
        <v>1</v>
      </c>
      <c r="E125" s="90">
        <v>0</v>
      </c>
      <c r="F125" s="92">
        <v>0</v>
      </c>
      <c r="G125" s="90">
        <v>6</v>
      </c>
      <c r="H125" s="92" t="s">
        <v>126</v>
      </c>
      <c r="I125" s="90" t="s">
        <v>126</v>
      </c>
      <c r="J125" s="92" t="s">
        <v>126</v>
      </c>
      <c r="K125" s="93" t="s">
        <v>1751</v>
      </c>
      <c r="L125" s="95"/>
      <c r="M125" s="95"/>
      <c r="N125" s="95"/>
      <c r="O125" s="94" t="s">
        <v>126</v>
      </c>
      <c r="P125" s="96" t="str">
        <f>IF(ISBLANK(Q125),"",CONCATENATE(Q125,": ",VLOOKUP(Q125,Status!A:C,3,FALSE),IF(ISBLANK(R125),"",CONCATENATE(CHAR(10),R125,": ",VLOOKUP(R125,Status!A:C,3,FALSE),IF(ISBLANK(S125),"",CONCATENATE(CHAR(10),S125,": ",VLOOKUP(S125,Status!A:C,3,FALSE)))))))</f>
        <v>Bull Horns: +1 Retribution</v>
      </c>
      <c r="Q125" s="102" t="s">
        <v>1733</v>
      </c>
      <c r="R125" s="97"/>
      <c r="S125" s="97"/>
      <c r="T125" s="108"/>
      <c r="U125" s="109"/>
      <c r="V125" s="100"/>
      <c r="W125" s="60"/>
      <c r="X125" s="60"/>
      <c r="Y125" s="60"/>
      <c r="Z125" s="60"/>
      <c r="AA125" s="60"/>
      <c r="AB125" s="60"/>
      <c r="AC125" s="60"/>
      <c r="AD125" s="60"/>
      <c r="AE125" s="60"/>
      <c r="AF125" s="60"/>
      <c r="AG125" s="60"/>
      <c r="AH125" s="60"/>
      <c r="AI125" s="60"/>
    </row>
    <row r="126" spans="1:35" ht="14">
      <c r="A126" s="105" t="s">
        <v>1752</v>
      </c>
      <c r="B126" s="117" t="s">
        <v>1727</v>
      </c>
      <c r="C126" s="117" t="s">
        <v>1727</v>
      </c>
      <c r="D126" s="91">
        <v>1</v>
      </c>
      <c r="E126" s="106">
        <v>1</v>
      </c>
      <c r="F126" s="92">
        <v>0</v>
      </c>
      <c r="G126" s="106">
        <v>6</v>
      </c>
      <c r="H126" s="92" t="s">
        <v>126</v>
      </c>
      <c r="I126" s="106" t="s">
        <v>126</v>
      </c>
      <c r="J126" s="92" t="s">
        <v>126</v>
      </c>
      <c r="K126" s="107" t="s">
        <v>1753</v>
      </c>
      <c r="L126" s="95"/>
      <c r="M126" s="95"/>
      <c r="N126" s="95"/>
      <c r="O126" s="94" t="s">
        <v>126</v>
      </c>
      <c r="P126" s="96" t="str">
        <f>IF(ISBLANK(Q126),"",CONCATENATE(Q126,": ",VLOOKUP(Q126,Status!A:C,3,FALSE),IF(ISBLANK(R126),"",CONCATENATE(CHAR(10),R126,": ",VLOOKUP(R126,Status!A:C,3,FALSE),IF(ISBLANK(S126),"",CONCATENATE(CHAR(10),S126,": ",VLOOKUP(S126,Status!A:C,3,FALSE)))))))</f>
        <v>Invisible: You are invisible.  Ends prematurely if you attack or use a skill.</v>
      </c>
      <c r="Q126" s="102" t="s">
        <v>1754</v>
      </c>
      <c r="R126" s="97"/>
      <c r="S126" s="97"/>
      <c r="T126" s="108"/>
      <c r="U126" s="109"/>
      <c r="V126" s="100"/>
      <c r="W126" s="60"/>
      <c r="X126" s="60"/>
      <c r="Y126" s="60"/>
      <c r="Z126" s="60"/>
      <c r="AA126" s="60"/>
      <c r="AB126" s="60"/>
      <c r="AC126" s="60"/>
      <c r="AD126" s="60"/>
      <c r="AE126" s="60"/>
      <c r="AF126" s="60"/>
      <c r="AG126" s="60"/>
      <c r="AH126" s="60"/>
      <c r="AI126" s="60"/>
    </row>
    <row r="127" spans="1:35" ht="28">
      <c r="A127" s="105" t="s">
        <v>1755</v>
      </c>
      <c r="B127" s="117" t="s">
        <v>1727</v>
      </c>
      <c r="C127" s="117" t="s">
        <v>1727</v>
      </c>
      <c r="D127" s="91">
        <v>1</v>
      </c>
      <c r="E127" s="106">
        <v>2</v>
      </c>
      <c r="F127" s="92">
        <v>0</v>
      </c>
      <c r="G127" s="106">
        <v>6</v>
      </c>
      <c r="H127" s="92">
        <v>2</v>
      </c>
      <c r="I127" s="106" t="s">
        <v>126</v>
      </c>
      <c r="J127" s="92" t="s">
        <v>1473</v>
      </c>
      <c r="K127" s="107" t="s">
        <v>1756</v>
      </c>
      <c r="L127" s="95"/>
      <c r="M127" s="95"/>
      <c r="N127" s="95"/>
      <c r="O127" s="94" t="s">
        <v>126</v>
      </c>
      <c r="P127" s="96" t="str">
        <f>IF(ISBLANK(Q127),"",CONCATENATE(Q127,": ",VLOOKUP(Q127,Status!A:C,3,FALSE),IF(ISBLANK(R127),"",CONCATENATE(CHAR(10),R127,": ",VLOOKUP(R127,Status!A:C,3,FALSE),IF(ISBLANK(S127),"",CONCATENATE(CHAR(10),S127,": ",VLOOKUP(S127,Status!A:C,3,FALSE)))))))</f>
        <v>Chicken Form: Character is not controlled and will move around at random on their turn.  They also are a literal chicken.</v>
      </c>
      <c r="Q127" s="102" t="s">
        <v>1757</v>
      </c>
      <c r="R127" s="97"/>
      <c r="S127" s="97"/>
      <c r="T127" s="108"/>
      <c r="U127" s="109"/>
      <c r="V127" s="100"/>
      <c r="W127" s="60"/>
      <c r="X127" s="60"/>
      <c r="Y127" s="60"/>
      <c r="Z127" s="60"/>
      <c r="AA127" s="60"/>
      <c r="AB127" s="60"/>
      <c r="AC127" s="60"/>
      <c r="AD127" s="60"/>
      <c r="AE127" s="60"/>
      <c r="AF127" s="60"/>
      <c r="AG127" s="60"/>
      <c r="AH127" s="60"/>
      <c r="AI127" s="60"/>
    </row>
    <row r="128" spans="1:35" ht="14">
      <c r="A128" s="89" t="s">
        <v>1758</v>
      </c>
      <c r="B128" s="116" t="s">
        <v>1727</v>
      </c>
      <c r="C128" s="116" t="s">
        <v>1727</v>
      </c>
      <c r="D128" s="91">
        <v>3</v>
      </c>
      <c r="E128" s="90">
        <v>2</v>
      </c>
      <c r="F128" s="92">
        <v>0</v>
      </c>
      <c r="G128" s="90">
        <v>5</v>
      </c>
      <c r="H128" s="92">
        <v>13</v>
      </c>
      <c r="I128" s="90">
        <v>5</v>
      </c>
      <c r="J128" s="92" t="s">
        <v>126</v>
      </c>
      <c r="K128" s="93" t="s">
        <v>1759</v>
      </c>
      <c r="L128" s="95"/>
      <c r="M128" s="95"/>
      <c r="N128" s="95"/>
      <c r="O128" s="94" t="s">
        <v>126</v>
      </c>
      <c r="P128" s="96" t="str">
        <f>IF(ISBLANK(Q128),"",CONCATENATE(Q128,": ",VLOOKUP(Q128,Status!A:C,3,FALSE),IF(ISBLANK(R128),"",CONCATENATE(CHAR(10),R128,": ",VLOOKUP(R128,Status!A:C,3,FALSE),IF(ISBLANK(S128),"",CONCATENATE(CHAR(10),S128,": ",VLOOKUP(S128,Status!A:C,3,FALSE)))))))</f>
        <v/>
      </c>
      <c r="Q128" s="102"/>
      <c r="R128" s="97"/>
      <c r="S128" s="97"/>
      <c r="T128" s="108"/>
      <c r="U128" s="109"/>
      <c r="V128" s="100"/>
      <c r="W128" s="60"/>
      <c r="X128" s="60"/>
      <c r="Y128" s="60"/>
      <c r="Z128" s="60"/>
      <c r="AA128" s="60"/>
      <c r="AB128" s="60"/>
      <c r="AC128" s="60"/>
      <c r="AD128" s="60"/>
      <c r="AE128" s="60"/>
      <c r="AF128" s="60"/>
      <c r="AG128" s="60"/>
      <c r="AH128" s="60"/>
      <c r="AI128" s="60"/>
    </row>
    <row r="129" spans="1:35" ht="22">
      <c r="A129" s="105" t="s">
        <v>1760</v>
      </c>
      <c r="B129" s="117" t="s">
        <v>1727</v>
      </c>
      <c r="C129" s="117" t="s">
        <v>1727</v>
      </c>
      <c r="D129" s="91">
        <v>3</v>
      </c>
      <c r="E129" s="106">
        <v>2</v>
      </c>
      <c r="F129" s="92">
        <v>0</v>
      </c>
      <c r="G129" s="106">
        <v>5</v>
      </c>
      <c r="H129" s="92">
        <v>13</v>
      </c>
      <c r="I129" s="106" t="s">
        <v>126</v>
      </c>
      <c r="J129" s="92" t="s">
        <v>1425</v>
      </c>
      <c r="K129" s="107" t="s">
        <v>1761</v>
      </c>
      <c r="L129" s="94">
        <v>63</v>
      </c>
      <c r="M129" s="95"/>
      <c r="N129" s="95"/>
      <c r="O129" s="94" t="s">
        <v>1748</v>
      </c>
      <c r="P129" s="96" t="str">
        <f>IF(ISBLANK(Q129),"",CONCATENATE(Q129,": ",VLOOKUP(Q129,Status!A:C,3,FALSE),IF(ISBLANK(R129),"",CONCATENATE(CHAR(10),R129,": ",VLOOKUP(R129,Status!A:C,3,FALSE),IF(ISBLANK(S129),"",CONCATENATE(CHAR(10),S129,": ",VLOOKUP(S129,Status!A:C,3,FALSE)))))))</f>
        <v>Nullified Resistance: -50% All Resistances</v>
      </c>
      <c r="Q129" s="102" t="s">
        <v>1762</v>
      </c>
      <c r="R129" s="97"/>
      <c r="S129" s="102"/>
      <c r="T129" s="103" t="s">
        <v>348</v>
      </c>
      <c r="U129" s="104"/>
      <c r="V129" s="100"/>
      <c r="W129" s="60"/>
      <c r="X129" s="60"/>
      <c r="Y129" s="60"/>
      <c r="Z129" s="60"/>
      <c r="AA129" s="60"/>
      <c r="AB129" s="60"/>
      <c r="AC129" s="60"/>
      <c r="AD129" s="60"/>
      <c r="AE129" s="60"/>
      <c r="AF129" s="60"/>
      <c r="AG129" s="60"/>
      <c r="AH129" s="60"/>
      <c r="AI129" s="60"/>
    </row>
    <row r="130" spans="1:35" ht="14">
      <c r="A130" s="105" t="s">
        <v>1763</v>
      </c>
      <c r="B130" s="117" t="s">
        <v>1727</v>
      </c>
      <c r="C130" s="117" t="s">
        <v>1727</v>
      </c>
      <c r="D130" s="91">
        <v>3</v>
      </c>
      <c r="E130" s="106">
        <v>1</v>
      </c>
      <c r="F130" s="92">
        <v>2</v>
      </c>
      <c r="G130" s="106">
        <v>1</v>
      </c>
      <c r="H130" s="92">
        <v>1.5</v>
      </c>
      <c r="I130" s="106" t="s">
        <v>126</v>
      </c>
      <c r="J130" s="92" t="s">
        <v>1473</v>
      </c>
      <c r="K130" s="107" t="s">
        <v>1764</v>
      </c>
      <c r="L130" s="95"/>
      <c r="M130" s="95"/>
      <c r="N130" s="95"/>
      <c r="O130" s="94" t="s">
        <v>126</v>
      </c>
      <c r="P130" s="96" t="str">
        <f>IF(ISBLANK(Q130),"",CONCATENATE(Q130,": ",VLOOKUP(Q130,Status!A:C,3,FALSE),IF(ISBLANK(R130),"",CONCATENATE(CHAR(10),R130,": ",VLOOKUP(R130,Status!A:C,3,FALSE),IF(ISBLANK(S130),"",CONCATENATE(CHAR(10),S130,": ",VLOOKUP(S130,Status!A:C,3,FALSE)))))))</f>
        <v/>
      </c>
      <c r="Q130" s="102"/>
      <c r="R130" s="97"/>
      <c r="S130" s="97"/>
      <c r="T130" s="108"/>
      <c r="U130" s="109"/>
      <c r="V130" s="100"/>
      <c r="W130" s="60"/>
      <c r="X130" s="60"/>
      <c r="Y130" s="60"/>
      <c r="Z130" s="60"/>
      <c r="AA130" s="60"/>
      <c r="AB130" s="60"/>
      <c r="AC130" s="60"/>
      <c r="AD130" s="60"/>
      <c r="AE130" s="60"/>
      <c r="AF130" s="60"/>
      <c r="AG130" s="60"/>
      <c r="AH130" s="60"/>
      <c r="AI130" s="60"/>
    </row>
    <row r="131" spans="1:35" ht="14">
      <c r="A131" s="89" t="s">
        <v>1765</v>
      </c>
      <c r="B131" s="116" t="s">
        <v>1727</v>
      </c>
      <c r="C131" s="116" t="s">
        <v>1727</v>
      </c>
      <c r="D131" s="91">
        <v>2</v>
      </c>
      <c r="E131" s="90">
        <v>2</v>
      </c>
      <c r="F131" s="92">
        <v>0</v>
      </c>
      <c r="G131" s="90">
        <v>5</v>
      </c>
      <c r="H131" s="92" t="s">
        <v>126</v>
      </c>
      <c r="I131" s="90" t="s">
        <v>126</v>
      </c>
      <c r="J131" s="92" t="s">
        <v>126</v>
      </c>
      <c r="K131" s="93" t="s">
        <v>1766</v>
      </c>
      <c r="L131" s="94">
        <v>52</v>
      </c>
      <c r="M131" s="95"/>
      <c r="N131" s="95"/>
      <c r="O131" s="94" t="s">
        <v>126</v>
      </c>
      <c r="P131" s="96" t="str">
        <f>IF(ISBLANK(Q131),"",CONCATENATE(Q131,": ",VLOOKUP(Q131,Status!A:C,3,FALSE),IF(ISBLANK(R131),"",CONCATENATE(CHAR(10),R131,": ",VLOOKUP(R131,Status!A:C,3,FALSE),IF(ISBLANK(S131),"",CONCATENATE(CHAR(10),S131,": ",VLOOKUP(S131,Status!A:C,3,FALSE)))))))</f>
        <v>Heart of Steel: +100 Physical Armor.  Restores 52 Physical Armor per turn.</v>
      </c>
      <c r="Q131" s="102" t="s">
        <v>1767</v>
      </c>
      <c r="R131" s="97"/>
      <c r="S131" s="102"/>
      <c r="T131" s="103" t="s">
        <v>1546</v>
      </c>
      <c r="U131" s="109"/>
      <c r="V131" s="100"/>
      <c r="W131" s="60"/>
      <c r="X131" s="60"/>
      <c r="Y131" s="60"/>
      <c r="Z131" s="60"/>
      <c r="AA131" s="60"/>
      <c r="AB131" s="60"/>
      <c r="AC131" s="60"/>
      <c r="AD131" s="60"/>
      <c r="AE131" s="60"/>
      <c r="AF131" s="60"/>
      <c r="AG131" s="60"/>
      <c r="AH131" s="60"/>
      <c r="AI131" s="60"/>
    </row>
    <row r="132" spans="1:35" ht="28">
      <c r="A132" s="89" t="s">
        <v>1746</v>
      </c>
      <c r="B132" s="116" t="s">
        <v>1727</v>
      </c>
      <c r="C132" s="116" t="s">
        <v>1727</v>
      </c>
      <c r="D132" s="91">
        <v>2</v>
      </c>
      <c r="E132" s="90">
        <v>2</v>
      </c>
      <c r="F132" s="92">
        <v>0</v>
      </c>
      <c r="G132" s="90">
        <v>5</v>
      </c>
      <c r="H132" s="92" t="s">
        <v>126</v>
      </c>
      <c r="I132" s="90" t="s">
        <v>126</v>
      </c>
      <c r="J132" s="92" t="s">
        <v>126</v>
      </c>
      <c r="K132" s="93" t="s">
        <v>1768</v>
      </c>
      <c r="L132" s="95"/>
      <c r="M132" s="95"/>
      <c r="N132" s="95"/>
      <c r="O132" s="94" t="s">
        <v>126</v>
      </c>
      <c r="P132" s="96" t="str">
        <f>IF(ISBLANK(Q132),"",CONCATENATE(Q132,": ",VLOOKUP(Q132,Status!A:C,3,FALSE),IF(ISBLANK(R132),"",CONCATENATE(CHAR(10),R132,": ",VLOOKUP(R132,Status!A:C,3,FALSE),IF(ISBLANK(S132),"",CONCATENATE(CHAR(10),S132,": ",VLOOKUP(S132,Status!A:C,3,FALSE)))))))</f>
        <v>Medusa's Head: Petrifies enemies within 3m.  +1 Geomancer, +50% Earth Resistance, Immune to Petrify.</v>
      </c>
      <c r="Q132" s="102" t="s">
        <v>1769</v>
      </c>
      <c r="R132" s="102"/>
      <c r="S132" s="97"/>
      <c r="T132" s="108"/>
      <c r="U132" s="109"/>
      <c r="V132" s="100"/>
      <c r="W132" s="60"/>
      <c r="X132" s="60"/>
      <c r="Y132" s="60"/>
      <c r="Z132" s="60"/>
      <c r="AA132" s="60"/>
      <c r="AB132" s="60"/>
      <c r="AC132" s="60"/>
      <c r="AD132" s="60"/>
      <c r="AE132" s="60"/>
      <c r="AF132" s="60"/>
      <c r="AG132" s="60"/>
      <c r="AH132" s="60"/>
      <c r="AI132" s="60"/>
    </row>
    <row r="133" spans="1:35" ht="28">
      <c r="A133" s="89" t="s">
        <v>1770</v>
      </c>
      <c r="B133" s="116" t="s">
        <v>1727</v>
      </c>
      <c r="C133" s="116" t="s">
        <v>1727</v>
      </c>
      <c r="D133" s="91">
        <v>3</v>
      </c>
      <c r="E133" s="90">
        <v>1</v>
      </c>
      <c r="F133" s="92">
        <v>1</v>
      </c>
      <c r="G133" s="90">
        <v>10</v>
      </c>
      <c r="H133" s="92" t="s">
        <v>126</v>
      </c>
      <c r="I133" s="90" t="s">
        <v>126</v>
      </c>
      <c r="J133" s="92" t="s">
        <v>126</v>
      </c>
      <c r="K133" s="93" t="s">
        <v>1771</v>
      </c>
      <c r="L133" s="95"/>
      <c r="M133" s="95"/>
      <c r="N133" s="95"/>
      <c r="O133" s="94" t="s">
        <v>126</v>
      </c>
      <c r="P133" s="96" t="str">
        <f>IF(ISBLANK(Q133),"",CONCATENATE(Q133,": ",VLOOKUP(Q133,Status!A:C,3,FALSE),IF(ISBLANK(R133),"",CONCATENATE(CHAR(10),R133,": ",VLOOKUP(R133,Status!A:C,3,FALSE),IF(ISBLANK(S133),"",CONCATENATE(CHAR(10),S133,": ",VLOOKUP(S133,Status!A:C,3,FALSE)))))))</f>
        <v/>
      </c>
      <c r="Q133" s="102"/>
      <c r="R133" s="97"/>
      <c r="S133" s="97"/>
      <c r="T133" s="108"/>
      <c r="U133" s="109"/>
      <c r="V133" s="100"/>
      <c r="W133" s="60"/>
      <c r="X133" s="60"/>
      <c r="Y133" s="60"/>
      <c r="Z133" s="60"/>
      <c r="AA133" s="60"/>
      <c r="AB133" s="60"/>
      <c r="AC133" s="60"/>
      <c r="AD133" s="60"/>
      <c r="AE133" s="60"/>
      <c r="AF133" s="60"/>
      <c r="AG133" s="60"/>
      <c r="AH133" s="60"/>
      <c r="AI133" s="60"/>
    </row>
    <row r="134" spans="1:35" ht="42">
      <c r="A134" s="89" t="s">
        <v>1772</v>
      </c>
      <c r="B134" s="116" t="s">
        <v>1727</v>
      </c>
      <c r="C134" s="116" t="s">
        <v>1727</v>
      </c>
      <c r="D134" s="91">
        <v>2</v>
      </c>
      <c r="E134" s="90">
        <v>1</v>
      </c>
      <c r="F134" s="92">
        <v>0</v>
      </c>
      <c r="G134" s="90">
        <v>5</v>
      </c>
      <c r="H134" s="92" t="s">
        <v>126</v>
      </c>
      <c r="I134" s="90" t="s">
        <v>126</v>
      </c>
      <c r="J134" s="92" t="s">
        <v>126</v>
      </c>
      <c r="K134" s="93" t="s">
        <v>1773</v>
      </c>
      <c r="L134" s="95"/>
      <c r="M134" s="95"/>
      <c r="N134" s="95"/>
      <c r="O134" s="94" t="s">
        <v>126</v>
      </c>
      <c r="P134" s="96" t="str">
        <f>IF(ISBLANK(Q134),"",CONCATENATE(Q134,": ",VLOOKUP(Q134,Status!A:C,3,FALSE),IF(ISBLANK(R134),"",CONCATENATE(CHAR(10),R134,": ",VLOOKUP(R134,Status!A:C,3,FALSE),IF(ISBLANK(S134),"",CONCATENATE(CHAR(10),S134,": ",VLOOKUP(S134,Status!A:C,3,FALSE)))))))</f>
        <v>Spider Legs: When you would gain the Web status, gain the Hasted status instead.  
Hasted: +2 Movement, +1 Start AP, +1 AP Recovery.  Removes Slowed and Crippled.  Removed by Slowed.</v>
      </c>
      <c r="Q134" s="102" t="s">
        <v>1772</v>
      </c>
      <c r="R134" s="102" t="s">
        <v>1616</v>
      </c>
      <c r="S134" s="97"/>
      <c r="T134" s="108"/>
      <c r="U134" s="109"/>
      <c r="V134" s="100"/>
      <c r="W134" s="60"/>
      <c r="X134" s="60"/>
      <c r="Y134" s="60"/>
      <c r="Z134" s="60"/>
      <c r="AA134" s="60"/>
      <c r="AB134" s="60"/>
      <c r="AC134" s="60"/>
      <c r="AD134" s="60"/>
      <c r="AE134" s="60"/>
      <c r="AF134" s="60"/>
      <c r="AG134" s="60"/>
      <c r="AH134" s="60"/>
      <c r="AI134" s="60"/>
    </row>
    <row r="135" spans="1:35" ht="14">
      <c r="A135" s="105" t="s">
        <v>1774</v>
      </c>
      <c r="B135" s="117" t="s">
        <v>1727</v>
      </c>
      <c r="C135" s="117" t="s">
        <v>1727</v>
      </c>
      <c r="D135" s="91">
        <v>2</v>
      </c>
      <c r="E135" s="106">
        <v>1</v>
      </c>
      <c r="F135" s="92">
        <v>0</v>
      </c>
      <c r="G135" s="106">
        <v>6</v>
      </c>
      <c r="H135" s="92" t="s">
        <v>126</v>
      </c>
      <c r="I135" s="106" t="s">
        <v>126</v>
      </c>
      <c r="J135" s="92" t="s">
        <v>126</v>
      </c>
      <c r="K135" s="107" t="s">
        <v>1775</v>
      </c>
      <c r="L135" s="95"/>
      <c r="M135" s="95"/>
      <c r="N135" s="95"/>
      <c r="O135" s="94" t="s">
        <v>126</v>
      </c>
      <c r="P135" s="96" t="str">
        <f>IF(ISBLANK(Q135),"",CONCATENATE(Q135,": ",VLOOKUP(Q135,Status!A:C,3,FALSE),IF(ISBLANK(R135),"",CONCATENATE(CHAR(10),R135,": ",VLOOKUP(R135,Status!A:C,3,FALSE),IF(ISBLANK(S135),"",CONCATENATE(CHAR(10),S135,": ",VLOOKUP(S135,Status!A:C,3,FALSE)))))))</f>
        <v>Floating: Immune to surfaces and ground traps.</v>
      </c>
      <c r="Q135" s="102" t="s">
        <v>1776</v>
      </c>
      <c r="R135" s="97"/>
      <c r="S135" s="97"/>
      <c r="T135" s="108"/>
      <c r="U135" s="109"/>
      <c r="V135" s="100"/>
      <c r="W135" s="60"/>
      <c r="X135" s="60"/>
      <c r="Y135" s="60"/>
      <c r="Z135" s="60"/>
      <c r="AA135" s="60"/>
      <c r="AB135" s="60"/>
      <c r="AC135" s="60"/>
      <c r="AD135" s="60"/>
      <c r="AE135" s="60"/>
      <c r="AF135" s="60"/>
      <c r="AG135" s="60"/>
      <c r="AH135" s="60"/>
      <c r="AI135" s="60"/>
    </row>
    <row r="136" spans="1:35" ht="28">
      <c r="A136" s="105" t="s">
        <v>1777</v>
      </c>
      <c r="B136" s="117" t="s">
        <v>1727</v>
      </c>
      <c r="C136" s="117" t="s">
        <v>1727</v>
      </c>
      <c r="D136" s="91">
        <v>2</v>
      </c>
      <c r="E136" s="106">
        <v>2</v>
      </c>
      <c r="F136" s="92">
        <v>0</v>
      </c>
      <c r="G136" s="106">
        <v>6</v>
      </c>
      <c r="H136" s="92">
        <v>13</v>
      </c>
      <c r="I136" s="106">
        <v>3</v>
      </c>
      <c r="J136" s="92" t="s">
        <v>126</v>
      </c>
      <c r="K136" s="107" t="s">
        <v>1778</v>
      </c>
      <c r="L136" s="101">
        <v>56</v>
      </c>
      <c r="M136" s="95"/>
      <c r="N136" s="95"/>
      <c r="O136" s="94" t="s">
        <v>1748</v>
      </c>
      <c r="P136" s="96" t="str">
        <f>IF(ISBLANK(Q136),"",CONCATENATE(Q136,": ",VLOOKUP(Q136,Status!A:C,3,FALSE),IF(ISBLANK(R136),"",CONCATENATE(CHAR(10),R136,": ",VLOOKUP(R136,Status!A:C,3,FALSE),IF(ISBLANK(S136),"",CONCATENATE(CHAR(10),S136,": ",VLOOKUP(S136,Status!A:C,3,FALSE)))))))</f>
        <v/>
      </c>
      <c r="Q136" s="102"/>
      <c r="R136" s="97"/>
      <c r="S136" s="102"/>
      <c r="T136" s="103" t="s">
        <v>348</v>
      </c>
      <c r="U136" s="104"/>
      <c r="V136" s="100"/>
      <c r="W136" s="60"/>
      <c r="X136" s="60"/>
      <c r="Y136" s="60"/>
      <c r="Z136" s="60"/>
      <c r="AA136" s="60"/>
      <c r="AB136" s="60"/>
      <c r="AC136" s="60"/>
      <c r="AD136" s="60"/>
      <c r="AE136" s="60"/>
      <c r="AF136" s="60"/>
      <c r="AG136" s="60"/>
      <c r="AH136" s="60"/>
      <c r="AI136" s="60"/>
    </row>
    <row r="137" spans="1:35" ht="14">
      <c r="A137" s="89" t="s">
        <v>1779</v>
      </c>
      <c r="B137" s="116" t="s">
        <v>1727</v>
      </c>
      <c r="C137" s="116" t="s">
        <v>1727</v>
      </c>
      <c r="D137" s="91">
        <v>1</v>
      </c>
      <c r="E137" s="90">
        <v>2</v>
      </c>
      <c r="F137" s="92">
        <v>0</v>
      </c>
      <c r="G137" s="90">
        <v>3</v>
      </c>
      <c r="H137" s="92">
        <v>8</v>
      </c>
      <c r="I137" s="90" t="s">
        <v>126</v>
      </c>
      <c r="J137" s="92" t="s">
        <v>1473</v>
      </c>
      <c r="K137" s="93" t="s">
        <v>1780</v>
      </c>
      <c r="L137" s="101">
        <v>99</v>
      </c>
      <c r="M137" s="95"/>
      <c r="N137" s="95"/>
      <c r="O137" s="94" t="s">
        <v>1748</v>
      </c>
      <c r="P137" s="96" t="str">
        <f>IF(ISBLANK(Q137),"",CONCATENATE(Q137,": ",VLOOKUP(Q137,Status!A:C,3,FALSE),IF(ISBLANK(R137),"",CONCATENATE(CHAR(10),R137,": ",VLOOKUP(R137,Status!A:C,3,FALSE),IF(ISBLANK(S137),"",CONCATENATE(CHAR(10),S137,": ",VLOOKUP(S137,Status!A:C,3,FALSE)))))))</f>
        <v>Atrophy: Cannot use weapon skills/attacks.</v>
      </c>
      <c r="Q137" s="102" t="s">
        <v>1676</v>
      </c>
      <c r="R137" s="97"/>
      <c r="S137" s="102"/>
      <c r="T137" s="103" t="s">
        <v>348</v>
      </c>
      <c r="U137" s="104"/>
      <c r="V137" s="100"/>
      <c r="W137" s="60"/>
      <c r="X137" s="60"/>
      <c r="Y137" s="60"/>
      <c r="Z137" s="60"/>
      <c r="AA137" s="60"/>
      <c r="AB137" s="60"/>
      <c r="AC137" s="60"/>
      <c r="AD137" s="60"/>
      <c r="AE137" s="60"/>
      <c r="AF137" s="60"/>
      <c r="AG137" s="60"/>
      <c r="AH137" s="60"/>
      <c r="AI137" s="60"/>
    </row>
    <row r="138" spans="1:35" ht="14">
      <c r="A138" s="105" t="s">
        <v>1781</v>
      </c>
      <c r="B138" s="117" t="s">
        <v>1727</v>
      </c>
      <c r="C138" s="117" t="s">
        <v>1727</v>
      </c>
      <c r="D138" s="91">
        <v>2</v>
      </c>
      <c r="E138" s="106">
        <v>1</v>
      </c>
      <c r="F138" s="92">
        <v>0</v>
      </c>
      <c r="G138" s="106">
        <v>2</v>
      </c>
      <c r="H138" s="92">
        <v>13</v>
      </c>
      <c r="I138" s="106">
        <v>2.5</v>
      </c>
      <c r="J138" s="92" t="s">
        <v>126</v>
      </c>
      <c r="K138" s="107" t="s">
        <v>1782</v>
      </c>
      <c r="L138" s="95"/>
      <c r="M138" s="95"/>
      <c r="N138" s="95"/>
      <c r="O138" s="94" t="s">
        <v>126</v>
      </c>
      <c r="P138" s="96" t="str">
        <f>IF(ISBLANK(Q138),"",CONCATENATE(Q138,": ",VLOOKUP(Q138,Status!A:C,3,FALSE),IF(ISBLANK(R138),"",CONCATENATE(CHAR(10),R138,": ",VLOOKUP(R138,Status!A:C,3,FALSE),IF(ISBLANK(S138),"",CONCATENATE(CHAR(10),S138,": ",VLOOKUP(S138,Status!A:C,3,FALSE)))))))</f>
        <v/>
      </c>
      <c r="Q138" s="102"/>
      <c r="R138" s="97"/>
      <c r="S138" s="97"/>
      <c r="T138" s="108"/>
      <c r="U138" s="109"/>
      <c r="V138" s="100"/>
      <c r="W138" s="60"/>
      <c r="X138" s="60"/>
      <c r="Y138" s="60"/>
      <c r="Z138" s="60"/>
      <c r="AA138" s="60"/>
      <c r="AB138" s="60"/>
      <c r="AC138" s="60"/>
      <c r="AD138" s="60"/>
      <c r="AE138" s="60"/>
      <c r="AF138" s="60"/>
      <c r="AG138" s="60"/>
      <c r="AH138" s="60"/>
      <c r="AI138" s="60"/>
    </row>
    <row r="139" spans="1:35" ht="14">
      <c r="A139" s="89" t="s">
        <v>1783</v>
      </c>
      <c r="B139" s="116" t="s">
        <v>1727</v>
      </c>
      <c r="C139" s="117" t="s">
        <v>1624</v>
      </c>
      <c r="D139" s="91">
        <v>1</v>
      </c>
      <c r="E139" s="90">
        <v>1</v>
      </c>
      <c r="F139" s="92">
        <v>0</v>
      </c>
      <c r="G139" s="90">
        <v>3</v>
      </c>
      <c r="H139" s="92">
        <v>13</v>
      </c>
      <c r="I139" s="90">
        <v>4</v>
      </c>
      <c r="J139" s="92" t="s">
        <v>1425</v>
      </c>
      <c r="K139" s="93" t="s">
        <v>1784</v>
      </c>
      <c r="L139" s="115"/>
      <c r="M139" s="95"/>
      <c r="N139" s="95"/>
      <c r="O139" s="94" t="s">
        <v>126</v>
      </c>
      <c r="P139" s="96" t="str">
        <f>IF(ISBLANK(Q139),"",CONCATENATE(Q139,": ",VLOOKUP(Q139,Status!A:C,3,FALSE),IF(ISBLANK(R139),"",CONCATENATE(CHAR(10),R139,": ",VLOOKUP(R139,Status!A:C,3,FALSE),IF(ISBLANK(S139),"",CONCATENATE(CHAR(10),S139,": ",VLOOKUP(S139,Status!A:C,3,FALSE)))))))</f>
        <v>Bleed Fire: Create Fire surfaces instead of Blood surfaces when hit.  -20% Fire Resistance.</v>
      </c>
      <c r="Q139" s="102" t="s">
        <v>1783</v>
      </c>
      <c r="R139" s="97"/>
      <c r="S139" s="97"/>
      <c r="T139" s="108"/>
      <c r="U139" s="109"/>
      <c r="V139" s="100"/>
      <c r="W139" s="60"/>
      <c r="X139" s="60"/>
      <c r="Y139" s="60"/>
      <c r="Z139" s="60"/>
      <c r="AA139" s="60"/>
      <c r="AB139" s="60"/>
      <c r="AC139" s="60"/>
      <c r="AD139" s="60"/>
      <c r="AE139" s="60"/>
      <c r="AF139" s="60"/>
      <c r="AG139" s="60"/>
      <c r="AH139" s="60"/>
      <c r="AI139" s="60"/>
    </row>
    <row r="140" spans="1:35" ht="28">
      <c r="A140" s="89" t="s">
        <v>1785</v>
      </c>
      <c r="B140" s="116" t="s">
        <v>1727</v>
      </c>
      <c r="C140" s="116" t="s">
        <v>1624</v>
      </c>
      <c r="D140" s="91">
        <v>2</v>
      </c>
      <c r="E140" s="90">
        <v>1</v>
      </c>
      <c r="F140" s="92">
        <v>1</v>
      </c>
      <c r="G140" s="90">
        <v>5</v>
      </c>
      <c r="H140" s="92" t="s">
        <v>126</v>
      </c>
      <c r="I140" s="90" t="s">
        <v>126</v>
      </c>
      <c r="J140" s="92" t="s">
        <v>126</v>
      </c>
      <c r="K140" s="93" t="s">
        <v>1786</v>
      </c>
      <c r="L140" s="95"/>
      <c r="M140" s="95"/>
      <c r="N140" s="95"/>
      <c r="O140" s="94" t="s">
        <v>126</v>
      </c>
      <c r="P140" s="96" t="str">
        <f>IF(ISBLANK(Q140),"",CONCATENATE(Q140,": ",VLOOKUP(Q140,Status!A:C,3,FALSE),IF(ISBLANK(R140),"",CONCATENATE(CHAR(10),R140,": ",VLOOKUP(R140,Status!A:C,3,FALSE),IF(ISBLANK(S140),"",CONCATENATE(CHAR(10),S140,": ",VLOOKUP(S140,Status!A:C,3,FALSE)))))))</f>
        <v>Flaming Skin: +100% Fire Resistance, -30% Water Resistance.  Immune to Burning and Warm.  Bleed Fire surface instead of Blood when hit.</v>
      </c>
      <c r="Q140" s="102" t="s">
        <v>1785</v>
      </c>
      <c r="R140" s="97"/>
      <c r="S140" s="97"/>
      <c r="T140" s="108"/>
      <c r="U140" s="109"/>
      <c r="V140" s="100"/>
      <c r="W140" s="60"/>
      <c r="X140" s="60"/>
      <c r="Y140" s="60"/>
      <c r="Z140" s="60"/>
      <c r="AA140" s="60"/>
      <c r="AB140" s="60"/>
      <c r="AC140" s="60"/>
      <c r="AD140" s="60"/>
      <c r="AE140" s="60"/>
      <c r="AF140" s="60"/>
      <c r="AG140" s="60"/>
      <c r="AH140" s="60"/>
      <c r="AI140" s="60"/>
    </row>
    <row r="141" spans="1:35" ht="14">
      <c r="A141" s="111" t="s">
        <v>1787</v>
      </c>
      <c r="B141" s="94" t="s">
        <v>1727</v>
      </c>
      <c r="C141" s="94" t="s">
        <v>1772</v>
      </c>
      <c r="D141" s="112" t="s">
        <v>126</v>
      </c>
      <c r="E141" s="94">
        <v>1</v>
      </c>
      <c r="F141" s="113">
        <v>0</v>
      </c>
      <c r="G141" s="94">
        <v>1</v>
      </c>
      <c r="H141" s="113">
        <v>13</v>
      </c>
      <c r="I141" s="94">
        <v>3</v>
      </c>
      <c r="J141" s="113" t="s">
        <v>126</v>
      </c>
      <c r="K141" s="114" t="s">
        <v>1788</v>
      </c>
      <c r="L141" s="95"/>
      <c r="M141" s="95"/>
      <c r="N141" s="95"/>
      <c r="O141" s="94" t="s">
        <v>126</v>
      </c>
      <c r="P141" s="96" t="str">
        <f>IF(ISBLANK(Q141),"",CONCATENATE(Q141,": ",VLOOKUP(Q141,Status!A:C,3,FALSE),IF(ISBLANK(R141),"",CONCATENATE(CHAR(10),R141,": ",VLOOKUP(R141,Status!A:C,3,FALSE),IF(ISBLANK(S141),"",CONCATENATE(CHAR(10),S141,": ",VLOOKUP(S141,Status!A:C,3,FALSE)))))))</f>
        <v/>
      </c>
      <c r="Q141" s="102"/>
      <c r="R141" s="97"/>
      <c r="S141" s="97"/>
      <c r="T141" s="108"/>
      <c r="U141" s="109"/>
      <c r="V141" s="100"/>
      <c r="W141" s="60"/>
      <c r="X141" s="60"/>
      <c r="Y141" s="60"/>
      <c r="Z141" s="60"/>
      <c r="AA141" s="60"/>
      <c r="AB141" s="60"/>
      <c r="AC141" s="60"/>
      <c r="AD141" s="60"/>
      <c r="AE141" s="60"/>
      <c r="AF141" s="60"/>
      <c r="AG141" s="60"/>
      <c r="AH141" s="60"/>
      <c r="AI141" s="60"/>
    </row>
    <row r="142" spans="1:35" ht="28">
      <c r="A142" s="105" t="s">
        <v>1789</v>
      </c>
      <c r="B142" s="117" t="s">
        <v>1624</v>
      </c>
      <c r="C142" s="117" t="s">
        <v>1624</v>
      </c>
      <c r="D142" s="91">
        <v>3</v>
      </c>
      <c r="E142" s="106">
        <v>3</v>
      </c>
      <c r="F142" s="92">
        <v>2</v>
      </c>
      <c r="G142" s="106">
        <v>6</v>
      </c>
      <c r="H142" s="92">
        <v>13</v>
      </c>
      <c r="I142" s="106">
        <v>1</v>
      </c>
      <c r="J142" s="92" t="s">
        <v>1425</v>
      </c>
      <c r="K142" s="107" t="s">
        <v>1790</v>
      </c>
      <c r="L142" s="101">
        <v>119</v>
      </c>
      <c r="M142" s="95"/>
      <c r="N142" s="95"/>
      <c r="O142" s="94" t="s">
        <v>1427</v>
      </c>
      <c r="P142" s="96" t="str">
        <f>IF(ISBLANK(Q142),"",CONCATENATE(Q142,": ",VLOOKUP(Q142,Status!A:C,3,FALSE),IF(ISBLANK(R142),"",CONCATENATE(CHAR(10),R142,": ",VLOOKUP(R142,Status!A:C,3,FALSE),IF(ISBLANK(S142),"",CONCATENATE(CHAR(10),S142,": ",VLOOKUP(S142,Status!A:C,3,FALSE)))))))</f>
        <v>Necrofire: Take 36 Fire damage each turn.  Cannot be extinguised.  -15% Fire Resistance, +20% Water Resistance.  Immune to: Frozen, Chilled, Wet, Warm.  Removed by Mass Cleanse Wounds.</v>
      </c>
      <c r="Q142" s="102" t="s">
        <v>1791</v>
      </c>
      <c r="R142" s="97"/>
      <c r="S142" s="102"/>
      <c r="T142" s="103" t="s">
        <v>348</v>
      </c>
      <c r="U142" s="104"/>
      <c r="V142" s="100"/>
      <c r="W142" s="60"/>
      <c r="X142" s="60"/>
      <c r="Y142" s="60"/>
      <c r="Z142" s="60"/>
      <c r="AA142" s="60"/>
      <c r="AB142" s="60"/>
      <c r="AC142" s="60"/>
      <c r="AD142" s="60"/>
      <c r="AE142" s="60"/>
      <c r="AF142" s="60"/>
      <c r="AG142" s="60"/>
      <c r="AH142" s="60"/>
      <c r="AI142" s="60"/>
    </row>
    <row r="143" spans="1:35" ht="70">
      <c r="A143" s="105" t="s">
        <v>1792</v>
      </c>
      <c r="B143" s="117" t="s">
        <v>1624</v>
      </c>
      <c r="C143" s="117" t="s">
        <v>1624</v>
      </c>
      <c r="D143" s="91">
        <v>2</v>
      </c>
      <c r="E143" s="106">
        <v>3</v>
      </c>
      <c r="F143" s="92">
        <v>0</v>
      </c>
      <c r="G143" s="106">
        <v>3</v>
      </c>
      <c r="H143" s="92">
        <v>8</v>
      </c>
      <c r="I143" s="106" t="s">
        <v>126</v>
      </c>
      <c r="J143" s="92" t="s">
        <v>1425</v>
      </c>
      <c r="K143" s="107" t="s">
        <v>1793</v>
      </c>
      <c r="L143" s="101">
        <v>95</v>
      </c>
      <c r="M143" s="95"/>
      <c r="N143" s="95"/>
      <c r="O143" s="94" t="s">
        <v>1427</v>
      </c>
      <c r="P143" s="96" t="str">
        <f>IF(ISBLANK(Q143),"",CONCATENATE(Q143,": ",VLOOKUP(Q143,Status!A:C,3,FALSE),IF(ISBLANK(R143),"",CONCATENATE(CHAR(10),R143,": ",VLOOKUP(R143,Status!A:C,3,FALSE),IF(ISBLANK(S143),"",CONCATENATE(CHAR(10),S143,": ",VLOOKUP(S143,Status!A:C,3,FALSE)))))))</f>
        <v>Burning: Take 35 Fire damage each turn.  Removed by Armour of Frost, Blessed Steam (cloud), Cleanse Wounds, First Aid, Fortify, Mass Cleanse Wounds, Petrifying Touch, Rain, Restoration, and Steam Cloud (cloud).
Blinded: -35% Accruacy.  Skill and attack range is limited to a maximum of 3m.  Prevents performing attacks of opportunity.  Removed by First Aid and Peace of Mind.</v>
      </c>
      <c r="Q143" s="102" t="s">
        <v>1505</v>
      </c>
      <c r="R143" s="102" t="s">
        <v>1428</v>
      </c>
      <c r="S143" s="102"/>
      <c r="T143" s="103" t="s">
        <v>348</v>
      </c>
      <c r="U143" s="104"/>
      <c r="V143" s="100"/>
      <c r="W143" s="60"/>
      <c r="X143" s="60"/>
      <c r="Y143" s="60"/>
      <c r="Z143" s="60"/>
      <c r="AA143" s="60"/>
      <c r="AB143" s="60"/>
      <c r="AC143" s="60"/>
      <c r="AD143" s="60"/>
      <c r="AE143" s="60"/>
      <c r="AF143" s="60"/>
      <c r="AG143" s="60"/>
      <c r="AH143" s="60"/>
      <c r="AI143" s="60"/>
    </row>
    <row r="144" spans="1:35" ht="42">
      <c r="A144" s="105" t="s">
        <v>1794</v>
      </c>
      <c r="B144" s="117" t="s">
        <v>1624</v>
      </c>
      <c r="C144" s="117" t="s">
        <v>1624</v>
      </c>
      <c r="D144" s="91">
        <v>2</v>
      </c>
      <c r="E144" s="106">
        <v>2</v>
      </c>
      <c r="F144" s="92">
        <v>0</v>
      </c>
      <c r="G144" s="106">
        <v>4</v>
      </c>
      <c r="H144" s="92">
        <v>13</v>
      </c>
      <c r="I144" s="106">
        <v>3</v>
      </c>
      <c r="J144" s="92" t="s">
        <v>1425</v>
      </c>
      <c r="K144" s="107" t="s">
        <v>1795</v>
      </c>
      <c r="L144" s="101">
        <v>79</v>
      </c>
      <c r="M144" s="95"/>
      <c r="N144" s="95"/>
      <c r="O144" s="94" t="s">
        <v>1427</v>
      </c>
      <c r="P144" s="96" t="str">
        <f>IF(ISBLANK(Q144),"",CONCATENATE(Q144,": ",VLOOKUP(Q144,Status!A:C,3,FALSE),IF(ISBLANK(R144),"",CONCATENATE(CHAR(10),R144,": ",VLOOKUP(R144,Status!A:C,3,FALSE),IF(ISBLANK(S144),"",CONCATENATE(CHAR(10),S144,": ",VLOOKUP(S144,Status!A:C,3,FALSE)))))))</f>
        <v>Burning: Take 35 Fire damage each turn.  Removed by Armour of Frost, Blessed Steam (cloud), Cleanse Wounds, First Aid, Fortify, Mass Cleanse Wounds, Petrifying Touch, Rain, Restoration, and Steam Cloud (cloud).</v>
      </c>
      <c r="Q144" s="102" t="s">
        <v>1505</v>
      </c>
      <c r="R144" s="97"/>
      <c r="S144" s="102"/>
      <c r="T144" s="103" t="s">
        <v>348</v>
      </c>
      <c r="U144" s="104"/>
      <c r="V144" s="100"/>
      <c r="W144" s="60"/>
      <c r="X144" s="60"/>
      <c r="Y144" s="60"/>
      <c r="Z144" s="60"/>
      <c r="AA144" s="60"/>
      <c r="AB144" s="60"/>
      <c r="AC144" s="60"/>
      <c r="AD144" s="60"/>
      <c r="AE144" s="60"/>
      <c r="AF144" s="60"/>
      <c r="AG144" s="60"/>
      <c r="AH144" s="60"/>
      <c r="AI144" s="60"/>
    </row>
    <row r="145" spans="1:35" ht="14">
      <c r="A145" s="89" t="s">
        <v>1796</v>
      </c>
      <c r="B145" s="90" t="s">
        <v>1624</v>
      </c>
      <c r="C145" s="90" t="s">
        <v>1624</v>
      </c>
      <c r="D145" s="119">
        <v>3</v>
      </c>
      <c r="E145" s="90">
        <v>1</v>
      </c>
      <c r="F145" s="92">
        <v>0</v>
      </c>
      <c r="G145" s="90">
        <v>3</v>
      </c>
      <c r="H145" s="92" t="s">
        <v>126</v>
      </c>
      <c r="I145" s="90" t="s">
        <v>126</v>
      </c>
      <c r="J145" s="92" t="s">
        <v>126</v>
      </c>
      <c r="K145" s="93" t="s">
        <v>1797</v>
      </c>
      <c r="L145" s="101">
        <v>21</v>
      </c>
      <c r="M145" s="95"/>
      <c r="N145" s="95"/>
      <c r="O145" s="94" t="s">
        <v>126</v>
      </c>
      <c r="P145" s="96" t="str">
        <f>IF(ISBLANK(Q145),"",CONCATENATE(Q145,": ",VLOOKUP(Q145,Status!A:C,3,FALSE),IF(ISBLANK(R145),"",CONCATENATE(CHAR(10),R145,": ",VLOOKUP(R145,Status!A:C,3,FALSE),IF(ISBLANK(S145),"",CONCATENATE(CHAR(10),S145,": ",VLOOKUP(S145,Status!A:C,3,FALSE)))))))</f>
        <v>Firebrand [Aura]: Adds 21 Fire damage to your weapon and the weapons of your allies within 8m.</v>
      </c>
      <c r="Q145" s="102" t="s">
        <v>1798</v>
      </c>
      <c r="R145" s="97"/>
      <c r="S145" s="102"/>
      <c r="T145" s="103" t="s">
        <v>348</v>
      </c>
      <c r="U145" s="104"/>
      <c r="V145" s="100"/>
      <c r="W145" s="60"/>
      <c r="X145" s="60"/>
      <c r="Y145" s="60"/>
      <c r="Z145" s="60"/>
      <c r="AA145" s="60"/>
      <c r="AB145" s="60"/>
      <c r="AC145" s="60"/>
      <c r="AD145" s="60"/>
      <c r="AE145" s="60"/>
      <c r="AF145" s="60"/>
      <c r="AG145" s="60"/>
      <c r="AH145" s="60"/>
      <c r="AI145" s="60"/>
    </row>
    <row r="146" spans="1:35" ht="42">
      <c r="A146" s="89" t="s">
        <v>1799</v>
      </c>
      <c r="B146" s="116" t="s">
        <v>1624</v>
      </c>
      <c r="C146" s="116" t="s">
        <v>1624</v>
      </c>
      <c r="D146" s="91">
        <v>3</v>
      </c>
      <c r="E146" s="90">
        <v>1</v>
      </c>
      <c r="F146" s="92">
        <v>0</v>
      </c>
      <c r="G146" s="90">
        <v>5</v>
      </c>
      <c r="H146" s="92">
        <v>13</v>
      </c>
      <c r="I146" s="90" t="s">
        <v>126</v>
      </c>
      <c r="J146" s="92" t="s">
        <v>126</v>
      </c>
      <c r="K146" s="93" t="s">
        <v>1800</v>
      </c>
      <c r="L146" s="95"/>
      <c r="M146" s="95"/>
      <c r="N146" s="95"/>
      <c r="O146" s="94" t="s">
        <v>126</v>
      </c>
      <c r="P146" s="96" t="str">
        <f>IF(ISBLANK(Q146),"",CONCATENATE(Q146,": ",VLOOKUP(Q146,Status!A:C,3,FALSE),IF(ISBLANK(R146),"",CONCATENATE(CHAR(10),R146,": ",VLOOKUP(R146,Status!A:C,3,FALSE),IF(ISBLANK(S146),"",CONCATENATE(CHAR(10),S146,": ",VLOOKUP(S146,Status!A:C,3,FALSE)))))))</f>
        <v>Flaming Crescendo: When this chararcter dies or the status expires, character explodes dealing ~151 Fire damage to itself and all characters within a 3m radius.  Creates a Fire surface in affected area.</v>
      </c>
      <c r="Q146" s="102" t="s">
        <v>1799</v>
      </c>
      <c r="R146" s="97"/>
      <c r="S146" s="97"/>
      <c r="T146" s="108"/>
      <c r="U146" s="109"/>
      <c r="V146" s="100"/>
      <c r="W146" s="60"/>
      <c r="X146" s="60"/>
      <c r="Y146" s="60"/>
      <c r="Z146" s="60"/>
      <c r="AA146" s="60"/>
      <c r="AB146" s="60"/>
      <c r="AC146" s="60"/>
      <c r="AD146" s="60"/>
      <c r="AE146" s="60"/>
      <c r="AF146" s="60"/>
      <c r="AG146" s="60"/>
      <c r="AH146" s="60"/>
      <c r="AI146" s="60"/>
    </row>
    <row r="147" spans="1:35" ht="22">
      <c r="A147" s="89" t="s">
        <v>1801</v>
      </c>
      <c r="B147" s="116" t="s">
        <v>1624</v>
      </c>
      <c r="C147" s="116" t="s">
        <v>1624</v>
      </c>
      <c r="D147" s="91">
        <v>2</v>
      </c>
      <c r="E147" s="90">
        <v>1</v>
      </c>
      <c r="F147" s="92">
        <v>0</v>
      </c>
      <c r="G147" s="90">
        <v>5</v>
      </c>
      <c r="H147" s="92" t="s">
        <v>126</v>
      </c>
      <c r="I147" s="90" t="s">
        <v>126</v>
      </c>
      <c r="J147" s="92" t="s">
        <v>126</v>
      </c>
      <c r="K147" s="93" t="s">
        <v>1802</v>
      </c>
      <c r="L147" s="95"/>
      <c r="M147" s="95"/>
      <c r="N147" s="95"/>
      <c r="O147" s="94" t="s">
        <v>126</v>
      </c>
      <c r="P147" s="96" t="str">
        <f>IF(ISBLANK(Q147),"",CONCATENATE(Q147,": ",VLOOKUP(Q147,Status!A:C,3,FALSE),IF(ISBLANK(R147),"",CONCATENATE(CHAR(10),R147,": ",VLOOKUP(R147,Status!A:C,3,FALSE),IF(ISBLANK(S147),"",CONCATENATE(CHAR(10),S147,": ",VLOOKUP(S147,Status!A:C,3,FALSE)))))))</f>
        <v>Flaming Tongues: Deal 120 Fire damage to enemies that come within 3m of you.</v>
      </c>
      <c r="Q147" s="102" t="s">
        <v>1801</v>
      </c>
      <c r="R147" s="97"/>
      <c r="S147" s="97"/>
      <c r="T147" s="108"/>
      <c r="U147" s="109"/>
      <c r="V147" s="100"/>
      <c r="W147" s="60"/>
      <c r="X147" s="60"/>
      <c r="Y147" s="60"/>
      <c r="Z147" s="60"/>
      <c r="AA147" s="60"/>
      <c r="AB147" s="60"/>
      <c r="AC147" s="60"/>
      <c r="AD147" s="60"/>
      <c r="AE147" s="60"/>
      <c r="AF147" s="60"/>
      <c r="AG147" s="60"/>
      <c r="AH147" s="60"/>
      <c r="AI147" s="60"/>
    </row>
    <row r="148" spans="1:35" ht="28">
      <c r="A148" s="89" t="s">
        <v>1803</v>
      </c>
      <c r="B148" s="116" t="s">
        <v>1624</v>
      </c>
      <c r="C148" s="116" t="s">
        <v>1624</v>
      </c>
      <c r="D148" s="91">
        <v>1</v>
      </c>
      <c r="E148" s="90">
        <v>1</v>
      </c>
      <c r="F148" s="92">
        <v>0</v>
      </c>
      <c r="G148" s="90">
        <v>3</v>
      </c>
      <c r="H148" s="92">
        <v>13</v>
      </c>
      <c r="I148" s="90" t="s">
        <v>126</v>
      </c>
      <c r="J148" s="92" t="s">
        <v>126</v>
      </c>
      <c r="K148" s="93" t="s">
        <v>1804</v>
      </c>
      <c r="L148" s="95"/>
      <c r="M148" s="95"/>
      <c r="N148" s="95"/>
      <c r="O148" s="94" t="s">
        <v>126</v>
      </c>
      <c r="P148" s="96" t="str">
        <f>IF(ISBLANK(Q148),"",CONCATENATE(Q148,": ",VLOOKUP(Q148,Status!A:C,3,FALSE),IF(ISBLANK(R148),"",CONCATENATE(CHAR(10),R148,": ",VLOOKUP(R148,Status!A:C,3,FALSE),IF(ISBLANK(S148),"",CONCATENATE(CHAR(10),S148,": ",VLOOKUP(S148,Status!A:C,3,FALSE)))))))</f>
        <v>Hasted: +2 Movement, +1 Start AP, +1 AP Recovery.  Removes Slowed and Crippled.  Removed by Slowed.</v>
      </c>
      <c r="Q148" s="102" t="s">
        <v>1616</v>
      </c>
      <c r="R148" s="97"/>
      <c r="S148" s="97"/>
      <c r="T148" s="108"/>
      <c r="U148" s="109"/>
      <c r="V148" s="100"/>
      <c r="W148" s="60"/>
      <c r="X148" s="60"/>
      <c r="Y148" s="60"/>
      <c r="Z148" s="60"/>
      <c r="AA148" s="60"/>
      <c r="AB148" s="60"/>
      <c r="AC148" s="60"/>
      <c r="AD148" s="60"/>
      <c r="AE148" s="60"/>
      <c r="AF148" s="60"/>
      <c r="AG148" s="60"/>
      <c r="AH148" s="60"/>
      <c r="AI148" s="60"/>
    </row>
    <row r="149" spans="1:35" ht="14">
      <c r="A149" s="105" t="s">
        <v>1805</v>
      </c>
      <c r="B149" s="117" t="s">
        <v>1624</v>
      </c>
      <c r="C149" s="117" t="s">
        <v>1624</v>
      </c>
      <c r="D149" s="91">
        <v>1</v>
      </c>
      <c r="E149" s="106">
        <v>1</v>
      </c>
      <c r="F149" s="92">
        <v>0</v>
      </c>
      <c r="G149" s="106">
        <v>2</v>
      </c>
      <c r="H149" s="92" t="s">
        <v>126</v>
      </c>
      <c r="I149" s="106">
        <v>13</v>
      </c>
      <c r="J149" s="92" t="s">
        <v>126</v>
      </c>
      <c r="K149" s="107" t="s">
        <v>1806</v>
      </c>
      <c r="L149" s="101">
        <v>32</v>
      </c>
      <c r="M149" s="95"/>
      <c r="N149" s="95"/>
      <c r="O149" s="94" t="s">
        <v>1427</v>
      </c>
      <c r="P149" s="96" t="str">
        <f>IF(ISBLANK(Q149),"",CONCATENATE(Q149,": ",VLOOKUP(Q149,Status!A:C,3,FALSE),IF(ISBLANK(R149),"",CONCATENATE(CHAR(10),R149,": ",VLOOKUP(R149,Status!A:C,3,FALSE),IF(ISBLANK(S149),"",CONCATENATE(CHAR(10),S149,": ",VLOOKUP(S149,Status!A:C,3,FALSE)))))))</f>
        <v/>
      </c>
      <c r="Q149" s="102"/>
      <c r="R149" s="97"/>
      <c r="S149" s="102"/>
      <c r="T149" s="103" t="s">
        <v>348</v>
      </c>
      <c r="U149" s="104"/>
      <c r="V149" s="100"/>
      <c r="W149" s="60"/>
      <c r="X149" s="60"/>
      <c r="Y149" s="60"/>
      <c r="Z149" s="60"/>
      <c r="AA149" s="60"/>
      <c r="AB149" s="60"/>
      <c r="AC149" s="60"/>
      <c r="AD149" s="60"/>
      <c r="AE149" s="60"/>
      <c r="AF149" s="60"/>
      <c r="AG149" s="60"/>
      <c r="AH149" s="60"/>
      <c r="AI149" s="60"/>
    </row>
    <row r="150" spans="1:35" ht="42">
      <c r="A150" s="89" t="s">
        <v>1807</v>
      </c>
      <c r="B150" s="116" t="s">
        <v>1624</v>
      </c>
      <c r="C150" s="116" t="s">
        <v>1624</v>
      </c>
      <c r="D150" s="91">
        <v>2</v>
      </c>
      <c r="E150" s="90">
        <v>3</v>
      </c>
      <c r="F150" s="92">
        <v>0</v>
      </c>
      <c r="G150" s="90">
        <v>3</v>
      </c>
      <c r="H150" s="92">
        <v>21</v>
      </c>
      <c r="I150" s="90" t="s">
        <v>126</v>
      </c>
      <c r="J150" s="92" t="s">
        <v>1425</v>
      </c>
      <c r="K150" s="93" t="s">
        <v>1808</v>
      </c>
      <c r="L150" s="101">
        <v>119</v>
      </c>
      <c r="M150" s="95"/>
      <c r="N150" s="95"/>
      <c r="O150" s="94" t="s">
        <v>1427</v>
      </c>
      <c r="P150" s="96" t="str">
        <f>IF(ISBLANK(Q150),"",CONCATENATE(Q150,": ",VLOOKUP(Q150,Status!A:C,3,FALSE),IF(ISBLANK(R150),"",CONCATENATE(CHAR(10),R150,": ",VLOOKUP(R150,Status!A:C,3,FALSE),IF(ISBLANK(S150),"",CONCATENATE(CHAR(10),S150,": ",VLOOKUP(S150,Status!A:C,3,FALSE)))))))</f>
        <v>Burning: Take 35 Fire damage each turn.  Removed by Armour of Frost, Blessed Steam (cloud), Cleanse Wounds, First Aid, Fortify, Mass Cleanse Wounds, Petrifying Touch, Rain, Restoration, and Steam Cloud (cloud).</v>
      </c>
      <c r="Q150" s="102" t="s">
        <v>1505</v>
      </c>
      <c r="R150" s="97"/>
      <c r="S150" s="102"/>
      <c r="T150" s="103" t="s">
        <v>348</v>
      </c>
      <c r="U150" s="104"/>
      <c r="V150" s="100"/>
      <c r="W150" s="60"/>
      <c r="X150" s="60"/>
      <c r="Y150" s="60"/>
      <c r="Z150" s="60"/>
      <c r="AA150" s="60"/>
      <c r="AB150" s="60"/>
      <c r="AC150" s="60"/>
      <c r="AD150" s="60"/>
      <c r="AE150" s="60"/>
      <c r="AF150" s="60"/>
      <c r="AG150" s="60"/>
      <c r="AH150" s="60"/>
      <c r="AI150" s="60"/>
    </row>
    <row r="151" spans="1:35" ht="28">
      <c r="A151" s="89" t="s">
        <v>1809</v>
      </c>
      <c r="B151" s="116" t="s">
        <v>1624</v>
      </c>
      <c r="C151" s="116" t="s">
        <v>1624</v>
      </c>
      <c r="D151" s="91">
        <v>5</v>
      </c>
      <c r="E151" s="90">
        <v>4</v>
      </c>
      <c r="F151" s="92">
        <v>3</v>
      </c>
      <c r="G151" s="90">
        <v>4</v>
      </c>
      <c r="H151" s="92">
        <v>13</v>
      </c>
      <c r="I151" s="90">
        <v>5</v>
      </c>
      <c r="J151" s="92" t="s">
        <v>1425</v>
      </c>
      <c r="K151" s="93" t="s">
        <v>1810</v>
      </c>
      <c r="L151" s="94">
        <v>20</v>
      </c>
      <c r="M151" s="95"/>
      <c r="N151" s="95"/>
      <c r="O151" s="94" t="s">
        <v>1427</v>
      </c>
      <c r="P151" s="96" t="str">
        <f>IF(ISBLANK(Q151),"",CONCATENATE(Q151,": ",VLOOKUP(Q151,Status!A:C,3,FALSE),IF(ISBLANK(R151),"",CONCATENATE(CHAR(10),R151,": ",VLOOKUP(R151,Status!A:C,3,FALSE),IF(ISBLANK(S151),"",CONCATENATE(CHAR(10),S151,": ",VLOOKUP(S151,Status!A:C,3,FALSE)))))))</f>
        <v/>
      </c>
      <c r="Q151" s="102"/>
      <c r="R151" s="97"/>
      <c r="S151" s="102"/>
      <c r="T151" s="103" t="s">
        <v>348</v>
      </c>
      <c r="U151" s="104"/>
      <c r="V151" s="100"/>
      <c r="W151" s="60"/>
      <c r="X151" s="60"/>
      <c r="Y151" s="60"/>
      <c r="Z151" s="60"/>
      <c r="AA151" s="60"/>
      <c r="AB151" s="60"/>
      <c r="AC151" s="60"/>
      <c r="AD151" s="60"/>
      <c r="AE151" s="60"/>
      <c r="AF151" s="60"/>
      <c r="AG151" s="60"/>
      <c r="AH151" s="60"/>
      <c r="AI151" s="60"/>
    </row>
    <row r="152" spans="1:35" ht="28">
      <c r="A152" s="89" t="s">
        <v>1811</v>
      </c>
      <c r="B152" s="116" t="s">
        <v>1624</v>
      </c>
      <c r="C152" s="116" t="s">
        <v>1624</v>
      </c>
      <c r="D152" s="91">
        <v>1</v>
      </c>
      <c r="E152" s="90">
        <v>1</v>
      </c>
      <c r="F152" s="92">
        <v>0</v>
      </c>
      <c r="G152" s="90">
        <v>3</v>
      </c>
      <c r="H152" s="92">
        <v>13</v>
      </c>
      <c r="I152" s="90" t="s">
        <v>126</v>
      </c>
      <c r="J152" s="92" t="s">
        <v>126</v>
      </c>
      <c r="K152" s="93" t="s">
        <v>1812</v>
      </c>
      <c r="L152" s="95"/>
      <c r="M152" s="95"/>
      <c r="N152" s="95"/>
      <c r="O152" s="94" t="s">
        <v>126</v>
      </c>
      <c r="P152" s="96" t="str">
        <f>IF(ISBLANK(Q152),"",CONCATENATE(Q152,": ",VLOOKUP(Q152,Status!A:C,3,FALSE),IF(ISBLANK(R152),"",CONCATENATE(CHAR(10),R152,": ",VLOOKUP(R152,Status!A:C,3,FALSE),IF(ISBLANK(S152),"",CONCATENATE(CHAR(10),S152,": ",VLOOKUP(S152,Status!A:C,3,FALSE)))))))</f>
        <v>Clear-Minded: Increases Strength, Finesse, and Intelligence.  Increases Wits by about twice as much.  +20% Accuracy.  Cannot be Charmed.</v>
      </c>
      <c r="Q152" s="102" t="s">
        <v>1813</v>
      </c>
      <c r="R152" s="97"/>
      <c r="S152" s="97"/>
      <c r="T152" s="108"/>
      <c r="U152" s="109"/>
      <c r="V152" s="100"/>
      <c r="W152" s="60"/>
      <c r="X152" s="60"/>
      <c r="Y152" s="60"/>
      <c r="Z152" s="60"/>
      <c r="AA152" s="60"/>
      <c r="AB152" s="60"/>
      <c r="AC152" s="60"/>
      <c r="AD152" s="60"/>
      <c r="AE152" s="60"/>
      <c r="AF152" s="60"/>
      <c r="AG152" s="60"/>
      <c r="AH152" s="60"/>
      <c r="AI152" s="60"/>
    </row>
    <row r="153" spans="1:35" ht="42">
      <c r="A153" s="105" t="s">
        <v>1814</v>
      </c>
      <c r="B153" s="117" t="s">
        <v>1624</v>
      </c>
      <c r="C153" s="117" t="s">
        <v>1624</v>
      </c>
      <c r="D153" s="91">
        <v>1</v>
      </c>
      <c r="E153" s="106">
        <v>2</v>
      </c>
      <c r="F153" s="92">
        <v>0</v>
      </c>
      <c r="G153" s="106">
        <v>3</v>
      </c>
      <c r="H153" s="92">
        <v>13</v>
      </c>
      <c r="I153" s="106">
        <v>1</v>
      </c>
      <c r="J153" s="92" t="s">
        <v>1425</v>
      </c>
      <c r="K153" s="107" t="s">
        <v>1815</v>
      </c>
      <c r="L153" s="101">
        <v>21</v>
      </c>
      <c r="M153" s="95"/>
      <c r="N153" s="95"/>
      <c r="O153" s="94" t="s">
        <v>1427</v>
      </c>
      <c r="P153" s="96" t="str">
        <f>IF(ISBLANK(Q153),"",CONCATENATE(Q153,": ",VLOOKUP(Q153,Status!A:C,3,FALSE),IF(ISBLANK(R153),"",CONCATENATE(CHAR(10),R153,": ",VLOOKUP(R153,Status!A:C,3,FALSE),IF(ISBLANK(S153),"",CONCATENATE(CHAR(10),S153,": ",VLOOKUP(S153,Status!A:C,3,FALSE)))))))</f>
        <v>Burning: Take 35 Fire damage each turn.  Removed by Armour of Frost, Blessed Steam (cloud), Cleanse Wounds, First Aid, Fortify, Mass Cleanse Wounds, Petrifying Touch, Rain, Restoration, and Steam Cloud (cloud).</v>
      </c>
      <c r="Q153" s="102" t="s">
        <v>1505</v>
      </c>
      <c r="R153" s="97"/>
      <c r="S153" s="102"/>
      <c r="T153" s="103" t="s">
        <v>348</v>
      </c>
      <c r="U153" s="104"/>
      <c r="V153" s="100"/>
      <c r="W153" s="60"/>
      <c r="X153" s="60"/>
      <c r="Y153" s="60"/>
      <c r="Z153" s="60"/>
      <c r="AA153" s="60"/>
      <c r="AB153" s="60"/>
      <c r="AC153" s="60"/>
      <c r="AD153" s="60"/>
      <c r="AE153" s="60"/>
      <c r="AF153" s="60"/>
      <c r="AG153" s="60"/>
      <c r="AH153" s="60"/>
      <c r="AI153" s="60"/>
    </row>
    <row r="154" spans="1:35" ht="28">
      <c r="A154" s="89" t="s">
        <v>1816</v>
      </c>
      <c r="B154" s="116" t="s">
        <v>1624</v>
      </c>
      <c r="C154" s="116" t="s">
        <v>1624</v>
      </c>
      <c r="D154" s="91">
        <v>2</v>
      </c>
      <c r="E154" s="90">
        <v>2</v>
      </c>
      <c r="F154" s="92">
        <v>0</v>
      </c>
      <c r="G154" s="90">
        <v>3</v>
      </c>
      <c r="H154" s="92">
        <v>13</v>
      </c>
      <c r="I154" s="90" t="s">
        <v>126</v>
      </c>
      <c r="J154" s="92" t="s">
        <v>126</v>
      </c>
      <c r="K154" s="93" t="s">
        <v>1817</v>
      </c>
      <c r="L154" s="94" t="s">
        <v>1818</v>
      </c>
      <c r="M154" s="95"/>
      <c r="N154" s="95"/>
      <c r="O154" s="94" t="s">
        <v>1427</v>
      </c>
      <c r="P154" s="96" t="str">
        <f>IF(ISBLANK(Q154),"",CONCATENATE(Q154,": ",VLOOKUP(Q154,Status!A:C,3,FALSE),IF(ISBLANK(R154),"",CONCATENATE(CHAR(10),R154,": ",VLOOKUP(R154,Status!A:C,3,FALSE),IF(ISBLANK(S154),"",CONCATENATE(CHAR(10),S154,": ",VLOOKUP(S154,Status!A:C,3,FALSE)))))))</f>
        <v/>
      </c>
      <c r="Q154" s="102"/>
      <c r="R154" s="97"/>
      <c r="S154" s="102"/>
      <c r="T154" s="103" t="s">
        <v>348</v>
      </c>
      <c r="U154" s="104"/>
      <c r="V154" s="100"/>
      <c r="W154" s="60"/>
      <c r="X154" s="60"/>
      <c r="Y154" s="60"/>
      <c r="Z154" s="60"/>
      <c r="AA154" s="60"/>
      <c r="AB154" s="60"/>
      <c r="AC154" s="60"/>
      <c r="AD154" s="60"/>
      <c r="AE154" s="60"/>
      <c r="AF154" s="60"/>
      <c r="AG154" s="60"/>
      <c r="AH154" s="60"/>
      <c r="AI154" s="60"/>
    </row>
    <row r="155" spans="1:35" ht="28">
      <c r="A155" s="105" t="s">
        <v>1819</v>
      </c>
      <c r="B155" s="117" t="s">
        <v>1624</v>
      </c>
      <c r="C155" s="117" t="s">
        <v>1624</v>
      </c>
      <c r="D155" s="91">
        <v>3</v>
      </c>
      <c r="E155" s="106">
        <v>1</v>
      </c>
      <c r="F155" s="92">
        <v>1</v>
      </c>
      <c r="G155" s="106">
        <v>6</v>
      </c>
      <c r="H155" s="92">
        <v>13.5</v>
      </c>
      <c r="I155" s="106" t="s">
        <v>126</v>
      </c>
      <c r="J155" s="92" t="s">
        <v>126</v>
      </c>
      <c r="K155" s="107" t="s">
        <v>1820</v>
      </c>
      <c r="L155" s="95"/>
      <c r="M155" s="95"/>
      <c r="N155" s="95"/>
      <c r="O155" s="94" t="s">
        <v>126</v>
      </c>
      <c r="P155" s="96" t="str">
        <f>IF(ISBLANK(Q155),"",CONCATENATE(Q155,": ",VLOOKUP(Q155,Status!A:C,3,FALSE),IF(ISBLANK(R155),"",CONCATENATE(CHAR(10),R155,": ",VLOOKUP(R155,Status!A:C,3,FALSE),IF(ISBLANK(S155),"",CONCATENATE(CHAR(10),S155,": ",VLOOKUP(S155,Status!A:C,3,FALSE)))))))</f>
        <v/>
      </c>
      <c r="Q155" s="102"/>
      <c r="R155" s="97"/>
      <c r="S155" s="97"/>
      <c r="T155" s="108"/>
      <c r="U155" s="109"/>
      <c r="V155" s="100"/>
      <c r="W155" s="60"/>
      <c r="X155" s="60"/>
      <c r="Y155" s="60"/>
      <c r="Z155" s="60"/>
      <c r="AA155" s="60"/>
      <c r="AB155" s="60"/>
      <c r="AC155" s="60"/>
      <c r="AD155" s="60"/>
      <c r="AE155" s="60"/>
      <c r="AF155" s="60"/>
      <c r="AG155" s="60"/>
      <c r="AH155" s="60"/>
      <c r="AI155" s="60"/>
    </row>
    <row r="156" spans="1:35" ht="14">
      <c r="A156" s="105" t="s">
        <v>1821</v>
      </c>
      <c r="B156" s="117" t="s">
        <v>1624</v>
      </c>
      <c r="C156" s="117" t="s">
        <v>1624</v>
      </c>
      <c r="D156" s="91">
        <v>2</v>
      </c>
      <c r="E156" s="106">
        <v>3</v>
      </c>
      <c r="F156" s="92">
        <v>0</v>
      </c>
      <c r="G156" s="106">
        <v>6</v>
      </c>
      <c r="H156" s="92" t="s">
        <v>126</v>
      </c>
      <c r="I156" s="106">
        <v>4</v>
      </c>
      <c r="J156" s="92" t="s">
        <v>126</v>
      </c>
      <c r="K156" s="107" t="s">
        <v>1822</v>
      </c>
      <c r="L156" s="101">
        <v>139</v>
      </c>
      <c r="M156" s="95"/>
      <c r="N156" s="95"/>
      <c r="O156" s="94" t="s">
        <v>1427</v>
      </c>
      <c r="P156" s="96" t="str">
        <f>IF(ISBLANK(Q156),"",CONCATENATE(Q156,": ",VLOOKUP(Q156,Status!A:C,3,FALSE),IF(ISBLANK(R156),"",CONCATENATE(CHAR(10),R156,": ",VLOOKUP(R156,Status!A:C,3,FALSE),IF(ISBLANK(S156),"",CONCATENATE(CHAR(10),S156,": ",VLOOKUP(S156,Status!A:C,3,FALSE)))))))</f>
        <v/>
      </c>
      <c r="Q156" s="102"/>
      <c r="R156" s="97"/>
      <c r="S156" s="102"/>
      <c r="T156" s="103" t="s">
        <v>348</v>
      </c>
      <c r="U156" s="104"/>
      <c r="V156" s="100"/>
      <c r="W156" s="60"/>
      <c r="X156" s="60"/>
      <c r="Y156" s="60"/>
      <c r="Z156" s="60"/>
      <c r="AA156" s="60"/>
      <c r="AB156" s="60"/>
      <c r="AC156" s="60"/>
      <c r="AD156" s="60"/>
      <c r="AE156" s="60"/>
      <c r="AF156" s="60"/>
      <c r="AG156" s="60"/>
      <c r="AH156" s="60"/>
      <c r="AI156" s="60"/>
    </row>
    <row r="157" spans="1:35" ht="14">
      <c r="A157" s="89" t="s">
        <v>1823</v>
      </c>
      <c r="B157" s="116" t="s">
        <v>1824</v>
      </c>
      <c r="C157" s="90" t="s">
        <v>1422</v>
      </c>
      <c r="D157" s="91">
        <v>2</v>
      </c>
      <c r="E157" s="90">
        <v>1</v>
      </c>
      <c r="F157" s="92">
        <v>2</v>
      </c>
      <c r="G157" s="90">
        <v>5</v>
      </c>
      <c r="H157" s="92">
        <v>13</v>
      </c>
      <c r="I157" s="90">
        <v>4</v>
      </c>
      <c r="J157" s="92" t="s">
        <v>126</v>
      </c>
      <c r="K157" s="93" t="s">
        <v>1825</v>
      </c>
      <c r="L157" s="94" t="s">
        <v>126</v>
      </c>
      <c r="M157" s="95"/>
      <c r="N157" s="95"/>
      <c r="O157" s="94" t="s">
        <v>126</v>
      </c>
      <c r="P157" s="96" t="str">
        <f>IF(ISBLANK(Q157),"",CONCATENATE(Q157,": ",VLOOKUP(Q157,Status!A:C,3,FALSE),IF(ISBLANK(R157),"",CONCATENATE(CHAR(10),R157,": ",VLOOKUP(R157,Status!A:C,3,FALSE),IF(ISBLANK(S157),"",CONCATENATE(CHAR(10),S157,": ",VLOOKUP(S157,Status!A:C,3,FALSE)))))))</f>
        <v/>
      </c>
      <c r="Q157" s="102"/>
      <c r="R157" s="97"/>
      <c r="S157" s="97"/>
      <c r="T157" s="108"/>
      <c r="U157" s="109"/>
      <c r="V157" s="100"/>
      <c r="W157" s="60"/>
      <c r="X157" s="60"/>
      <c r="Y157" s="60"/>
      <c r="Z157" s="60"/>
      <c r="AA157" s="60"/>
      <c r="AB157" s="60"/>
      <c r="AC157" s="60"/>
      <c r="AD157" s="60"/>
      <c r="AE157" s="60"/>
      <c r="AF157" s="60"/>
      <c r="AG157" s="60"/>
      <c r="AH157" s="60"/>
      <c r="AI157" s="60"/>
    </row>
    <row r="158" spans="1:35" ht="14">
      <c r="A158" s="89" t="s">
        <v>1826</v>
      </c>
      <c r="B158" s="116" t="s">
        <v>1824</v>
      </c>
      <c r="C158" s="90" t="s">
        <v>1422</v>
      </c>
      <c r="D158" s="91">
        <v>1</v>
      </c>
      <c r="E158" s="90">
        <v>1</v>
      </c>
      <c r="F158" s="92">
        <v>0</v>
      </c>
      <c r="G158" s="90">
        <v>5</v>
      </c>
      <c r="H158" s="92" t="s">
        <v>126</v>
      </c>
      <c r="I158" s="90">
        <v>3</v>
      </c>
      <c r="J158" s="92" t="s">
        <v>126</v>
      </c>
      <c r="K158" s="93" t="s">
        <v>1827</v>
      </c>
      <c r="L158" s="95"/>
      <c r="M158" s="95"/>
      <c r="N158" s="95"/>
      <c r="O158" s="94" t="s">
        <v>126</v>
      </c>
      <c r="P158" s="96" t="str">
        <f>IF(ISBLANK(Q158),"",CONCATENATE(Q158,": ",VLOOKUP(Q158,Status!A:C,3,FALSE),IF(ISBLANK(R158),"",CONCATENATE(CHAR(10),R158,": ",VLOOKUP(R158,Status!A:C,3,FALSE),IF(ISBLANK(S158),"",CONCATENATE(CHAR(10),S158,": ",VLOOKUP(S158,Status!A:C,3,FALSE)))))))</f>
        <v/>
      </c>
      <c r="Q158" s="102"/>
      <c r="R158" s="97"/>
      <c r="S158" s="97"/>
      <c r="T158" s="108"/>
      <c r="U158" s="109"/>
      <c r="V158" s="100"/>
      <c r="W158" s="60"/>
      <c r="X158" s="60"/>
      <c r="Y158" s="60"/>
      <c r="Z158" s="60"/>
      <c r="AA158" s="60"/>
      <c r="AB158" s="60"/>
      <c r="AC158" s="60"/>
      <c r="AD158" s="60"/>
      <c r="AE158" s="60"/>
      <c r="AF158" s="60"/>
      <c r="AG158" s="60"/>
      <c r="AH158" s="60"/>
      <c r="AI158" s="60"/>
    </row>
    <row r="159" spans="1:35" ht="14">
      <c r="A159" s="105" t="s">
        <v>1828</v>
      </c>
      <c r="B159" s="117" t="s">
        <v>1824</v>
      </c>
      <c r="C159" s="116" t="s">
        <v>1537</v>
      </c>
      <c r="D159" s="91">
        <v>1</v>
      </c>
      <c r="E159" s="106">
        <v>1</v>
      </c>
      <c r="F159" s="92">
        <v>0</v>
      </c>
      <c r="G159" s="106">
        <v>5</v>
      </c>
      <c r="H159" s="92" t="s">
        <v>126</v>
      </c>
      <c r="I159" s="106" t="s">
        <v>126</v>
      </c>
      <c r="J159" s="92" t="s">
        <v>126</v>
      </c>
      <c r="K159" s="107" t="s">
        <v>1829</v>
      </c>
      <c r="L159" s="101">
        <v>41</v>
      </c>
      <c r="M159" s="95"/>
      <c r="N159" s="95"/>
      <c r="O159" s="94" t="s">
        <v>126</v>
      </c>
      <c r="P159" s="96" t="str">
        <f>IF(ISBLANK(Q159),"",CONCATENATE(Q159,": ",VLOOKUP(Q159,Status!A:C,3,FALSE),IF(ISBLANK(R159),"",CONCATENATE(CHAR(10),R159,": ",VLOOKUP(R159,Status!A:C,3,FALSE),IF(ISBLANK(S159),"",CONCATENATE(CHAR(10),S159,": ",VLOOKUP(S159,Status!A:C,3,FALSE)))))))</f>
        <v>Venom Coated: Adds 41 Poison damage to weapon attacks and weapon skills.</v>
      </c>
      <c r="Q159" s="102" t="s">
        <v>1830</v>
      </c>
      <c r="R159" s="97"/>
      <c r="S159" s="102"/>
      <c r="T159" s="103" t="s">
        <v>348</v>
      </c>
      <c r="U159" s="104"/>
      <c r="V159" s="100"/>
      <c r="W159" s="60"/>
      <c r="X159" s="60"/>
      <c r="Y159" s="60"/>
      <c r="Z159" s="60"/>
      <c r="AA159" s="60"/>
      <c r="AB159" s="60"/>
      <c r="AC159" s="60"/>
      <c r="AD159" s="60"/>
      <c r="AE159" s="60"/>
      <c r="AF159" s="60"/>
      <c r="AG159" s="60"/>
      <c r="AH159" s="60"/>
      <c r="AI159" s="60"/>
    </row>
    <row r="160" spans="1:35" ht="28">
      <c r="A160" s="105" t="s">
        <v>1831</v>
      </c>
      <c r="B160" s="117" t="s">
        <v>1824</v>
      </c>
      <c r="C160" s="116" t="s">
        <v>1537</v>
      </c>
      <c r="D160" s="91">
        <v>2</v>
      </c>
      <c r="E160" s="106">
        <v>2</v>
      </c>
      <c r="F160" s="92">
        <v>1</v>
      </c>
      <c r="G160" s="106">
        <v>5</v>
      </c>
      <c r="H160" s="92" t="s">
        <v>126</v>
      </c>
      <c r="I160" s="106" t="s">
        <v>126</v>
      </c>
      <c r="J160" s="92" t="s">
        <v>126</v>
      </c>
      <c r="K160" s="107" t="s">
        <v>1832</v>
      </c>
      <c r="L160" s="101">
        <v>41</v>
      </c>
      <c r="M160" s="95"/>
      <c r="N160" s="95"/>
      <c r="O160" s="94" t="s">
        <v>126</v>
      </c>
      <c r="P160" s="96" t="str">
        <f>IF(ISBLANK(Q160),"",CONCATENATE(Q160,": ",VLOOKUP(Q160,Status!A:C,3,FALSE),IF(ISBLANK(R160),"",CONCATENATE(CHAR(10),R160,": ",VLOOKUP(R160,Status!A:C,3,FALSE),IF(ISBLANK(S160),"",CONCATENATE(CHAR(10),S160,": ",VLOOKUP(S160,Status!A:C,3,FALSE)))))))</f>
        <v>Venom Aura: Grant Venom Coated to allies within 8m and self.
Venom Coated: Adds 41 Poison damage to weapon attacks and weapon skills.</v>
      </c>
      <c r="Q160" s="102" t="s">
        <v>1833</v>
      </c>
      <c r="R160" s="102" t="s">
        <v>1830</v>
      </c>
      <c r="S160" s="102"/>
      <c r="T160" s="103" t="s">
        <v>348</v>
      </c>
      <c r="U160" s="104"/>
      <c r="V160" s="100"/>
      <c r="W160" s="60"/>
      <c r="X160" s="60"/>
      <c r="Y160" s="60"/>
      <c r="Z160" s="60"/>
      <c r="AA160" s="60"/>
      <c r="AB160" s="60"/>
      <c r="AC160" s="60"/>
      <c r="AD160" s="60"/>
      <c r="AE160" s="60"/>
      <c r="AF160" s="60"/>
      <c r="AG160" s="60"/>
      <c r="AH160" s="60"/>
      <c r="AI160" s="60"/>
    </row>
    <row r="161" spans="1:35" ht="14">
      <c r="A161" s="89" t="s">
        <v>1834</v>
      </c>
      <c r="B161" s="116" t="s">
        <v>1824</v>
      </c>
      <c r="C161" s="117" t="s">
        <v>1618</v>
      </c>
      <c r="D161" s="91">
        <v>1</v>
      </c>
      <c r="E161" s="90">
        <v>1</v>
      </c>
      <c r="F161" s="92">
        <v>0</v>
      </c>
      <c r="G161" s="90">
        <v>5</v>
      </c>
      <c r="H161" s="92">
        <v>2</v>
      </c>
      <c r="I161" s="90" t="s">
        <v>126</v>
      </c>
      <c r="J161" s="92" t="s">
        <v>126</v>
      </c>
      <c r="K161" s="93" t="s">
        <v>1835</v>
      </c>
      <c r="L161" s="95"/>
      <c r="M161" s="95"/>
      <c r="N161" s="95"/>
      <c r="O161" s="94" t="s">
        <v>126</v>
      </c>
      <c r="P161" s="96" t="str">
        <f>IF(ISBLANK(Q161),"",CONCATENATE(Q161,": ",VLOOKUP(Q161,Status!A:C,3,FALSE),IF(ISBLANK(R161),"",CONCATENATE(CHAR(10),R161,": ",VLOOKUP(R161,Status!A:C,3,FALSE),IF(ISBLANK(S161),"",CONCATENATE(CHAR(10),S161,": ",VLOOKUP(S161,Status!A:C,3,FALSE)))))))</f>
        <v>Vampire: +50% Life Steal</v>
      </c>
      <c r="Q161" s="102" t="s">
        <v>1836</v>
      </c>
      <c r="R161" s="97"/>
      <c r="S161" s="97"/>
      <c r="T161" s="108"/>
      <c r="U161" s="109"/>
      <c r="V161" s="100"/>
      <c r="W161" s="60"/>
      <c r="X161" s="60"/>
      <c r="Y161" s="60"/>
      <c r="Z161" s="60"/>
      <c r="AA161" s="60"/>
      <c r="AB161" s="60"/>
      <c r="AC161" s="60"/>
      <c r="AD161" s="60"/>
      <c r="AE161" s="60"/>
      <c r="AF161" s="60"/>
      <c r="AG161" s="60"/>
      <c r="AH161" s="60"/>
      <c r="AI161" s="60"/>
    </row>
    <row r="162" spans="1:35" ht="14">
      <c r="A162" s="105" t="s">
        <v>1837</v>
      </c>
      <c r="B162" s="117" t="s">
        <v>1824</v>
      </c>
      <c r="C162" s="117" t="s">
        <v>1618</v>
      </c>
      <c r="D162" s="91">
        <v>2</v>
      </c>
      <c r="E162" s="106">
        <v>1</v>
      </c>
      <c r="F162" s="92">
        <v>1</v>
      </c>
      <c r="G162" s="106">
        <v>5</v>
      </c>
      <c r="H162" s="92" t="s">
        <v>126</v>
      </c>
      <c r="I162" s="106" t="s">
        <v>126</v>
      </c>
      <c r="J162" s="92" t="s">
        <v>126</v>
      </c>
      <c r="K162" s="107" t="s">
        <v>1838</v>
      </c>
      <c r="L162" s="95"/>
      <c r="M162" s="95"/>
      <c r="N162" s="95"/>
      <c r="O162" s="94" t="s">
        <v>126</v>
      </c>
      <c r="P162" s="96" t="str">
        <f>IF(ISBLANK(Q162),"",CONCATENATE(Q162,": ",VLOOKUP(Q162,Status!A:C,3,FALSE),IF(ISBLANK(R162),"",CONCATENATE(CHAR(10),R162,": ",VLOOKUP(R162,Status!A:C,3,FALSE),IF(ISBLANK(S162),"",CONCATENATE(CHAR(10),S162,": ",VLOOKUP(S162,Status!A:C,3,FALSE)))))))</f>
        <v>Vampire [Aura]: +50% Life Steal for all allies within 13m.</v>
      </c>
      <c r="Q162" s="102" t="s">
        <v>1839</v>
      </c>
      <c r="R162" s="97"/>
      <c r="S162" s="97"/>
      <c r="T162" s="108"/>
      <c r="U162" s="109"/>
      <c r="V162" s="100"/>
      <c r="W162" s="60"/>
      <c r="X162" s="60"/>
      <c r="Y162" s="60"/>
      <c r="Z162" s="60"/>
      <c r="AA162" s="60"/>
      <c r="AB162" s="60"/>
      <c r="AC162" s="60"/>
      <c r="AD162" s="60"/>
      <c r="AE162" s="60"/>
      <c r="AF162" s="60"/>
      <c r="AG162" s="60"/>
      <c r="AH162" s="60"/>
      <c r="AI162" s="60"/>
    </row>
    <row r="163" spans="1:35" ht="28">
      <c r="A163" s="105" t="s">
        <v>1840</v>
      </c>
      <c r="B163" s="117" t="s">
        <v>1824</v>
      </c>
      <c r="C163" s="117" t="s">
        <v>1624</v>
      </c>
      <c r="D163" s="91">
        <v>2</v>
      </c>
      <c r="E163" s="106">
        <v>2</v>
      </c>
      <c r="F163" s="92">
        <v>1</v>
      </c>
      <c r="G163" s="106">
        <v>5</v>
      </c>
      <c r="H163" s="92">
        <v>13</v>
      </c>
      <c r="I163" s="106">
        <v>9.5</v>
      </c>
      <c r="J163" s="92" t="s">
        <v>126</v>
      </c>
      <c r="K163" s="107" t="s">
        <v>1841</v>
      </c>
      <c r="L163" s="95"/>
      <c r="M163" s="95"/>
      <c r="N163" s="95"/>
      <c r="O163" s="94" t="s">
        <v>126</v>
      </c>
      <c r="P163" s="96" t="str">
        <f>IF(ISBLANK(Q163),"",CONCATENATE(Q163,": ",VLOOKUP(Q163,Status!A:C,3,FALSE),IF(ISBLANK(R163),"",CONCATENATE(CHAR(10),R163,": ",VLOOKUP(R163,Status!A:C,3,FALSE),IF(ISBLANK(S163),"",CONCATENATE(CHAR(10),S163,": ",VLOOKUP(S163,Status!A:C,3,FALSE)))))))</f>
        <v/>
      </c>
      <c r="Q163" s="102"/>
      <c r="R163" s="97"/>
      <c r="S163" s="97"/>
      <c r="T163" s="108"/>
      <c r="U163" s="109"/>
      <c r="V163" s="100"/>
      <c r="W163" s="60"/>
      <c r="X163" s="60"/>
      <c r="Y163" s="60"/>
      <c r="Z163" s="60"/>
      <c r="AA163" s="60"/>
      <c r="AB163" s="60"/>
      <c r="AC163" s="60"/>
      <c r="AD163" s="60"/>
      <c r="AE163" s="60"/>
      <c r="AF163" s="60"/>
      <c r="AG163" s="60"/>
      <c r="AH163" s="60"/>
      <c r="AI163" s="60"/>
    </row>
    <row r="164" spans="1:35" ht="14">
      <c r="A164" s="89" t="s">
        <v>1842</v>
      </c>
      <c r="B164" s="116" t="s">
        <v>1824</v>
      </c>
      <c r="C164" s="117" t="s">
        <v>1624</v>
      </c>
      <c r="D164" s="91">
        <v>1</v>
      </c>
      <c r="E164" s="90">
        <v>1</v>
      </c>
      <c r="F164" s="92">
        <v>0</v>
      </c>
      <c r="G164" s="90">
        <v>1</v>
      </c>
      <c r="H164" s="92">
        <v>13</v>
      </c>
      <c r="I164" s="90" t="s">
        <v>126</v>
      </c>
      <c r="J164" s="92" t="s">
        <v>126</v>
      </c>
      <c r="K164" s="93" t="s">
        <v>1843</v>
      </c>
      <c r="L164" s="95"/>
      <c r="M164" s="95"/>
      <c r="N164" s="95"/>
      <c r="O164" s="94" t="s">
        <v>126</v>
      </c>
      <c r="P164" s="96" t="str">
        <f>IF(ISBLANK(Q164),"",CONCATENATE(Q164,": ",VLOOKUP(Q164,Status!A:C,3,FALSE),IF(ISBLANK(R164),"",CONCATENATE(CHAR(10),R164,": ",VLOOKUP(R164,Status!A:C,3,FALSE),IF(ISBLANK(S164),"",CONCATENATE(CHAR(10),S164,": ",VLOOKUP(S164,Status!A:C,3,FALSE)))))))</f>
        <v/>
      </c>
      <c r="Q164" s="102"/>
      <c r="R164" s="97"/>
      <c r="S164" s="97"/>
      <c r="T164" s="108"/>
      <c r="U164" s="109"/>
      <c r="V164" s="100"/>
      <c r="W164" s="60"/>
      <c r="X164" s="60"/>
      <c r="Y164" s="60"/>
      <c r="Z164" s="60"/>
      <c r="AA164" s="60"/>
      <c r="AB164" s="60"/>
      <c r="AC164" s="60"/>
      <c r="AD164" s="60"/>
      <c r="AE164" s="60"/>
      <c r="AF164" s="60"/>
      <c r="AG164" s="60"/>
      <c r="AH164" s="60"/>
      <c r="AI164" s="60"/>
    </row>
    <row r="165" spans="1:35" ht="14">
      <c r="A165" s="89" t="s">
        <v>1844</v>
      </c>
      <c r="B165" s="116" t="s">
        <v>1824</v>
      </c>
      <c r="C165" s="116" t="s">
        <v>1824</v>
      </c>
      <c r="D165" s="91">
        <v>1</v>
      </c>
      <c r="E165" s="90">
        <v>0</v>
      </c>
      <c r="F165" s="92">
        <v>0</v>
      </c>
      <c r="G165" s="90">
        <v>4</v>
      </c>
      <c r="H165" s="92" t="s">
        <v>126</v>
      </c>
      <c r="I165" s="90" t="s">
        <v>126</v>
      </c>
      <c r="J165" s="92" t="s">
        <v>126</v>
      </c>
      <c r="K165" s="93" t="s">
        <v>1845</v>
      </c>
      <c r="L165" s="95"/>
      <c r="M165" s="95"/>
      <c r="N165" s="95"/>
      <c r="O165" s="94" t="s">
        <v>126</v>
      </c>
      <c r="P165" s="96" t="str">
        <f>IF(ISBLANK(Q165),"",CONCATENATE(Q165,": ",VLOOKUP(Q165,Status!A:C,3,FALSE),IF(ISBLANK(R165),"",CONCATENATE(CHAR(10),R165,": ",VLOOKUP(R165,Status!A:C,3,FALSE),IF(ISBLANK(S165),"",CONCATENATE(CHAR(10),S165,": ",VLOOKUP(S165,Status!A:C,3,FALSE)))))))</f>
        <v/>
      </c>
      <c r="Q165" s="102"/>
      <c r="R165" s="97"/>
      <c r="S165" s="97"/>
      <c r="T165" s="108"/>
      <c r="U165" s="109"/>
      <c r="V165" s="100"/>
      <c r="W165" s="60"/>
      <c r="X165" s="60"/>
      <c r="Y165" s="60"/>
      <c r="Z165" s="60"/>
      <c r="AA165" s="60"/>
      <c r="AB165" s="60"/>
      <c r="AC165" s="60"/>
      <c r="AD165" s="60"/>
      <c r="AE165" s="60"/>
      <c r="AF165" s="60"/>
      <c r="AG165" s="60"/>
      <c r="AH165" s="60"/>
      <c r="AI165" s="60"/>
    </row>
    <row r="166" spans="1:35" ht="14">
      <c r="A166" s="105" t="s">
        <v>1846</v>
      </c>
      <c r="B166" s="117" t="s">
        <v>1824</v>
      </c>
      <c r="C166" s="117" t="s">
        <v>1824</v>
      </c>
      <c r="D166" s="91">
        <v>1</v>
      </c>
      <c r="E166" s="106">
        <v>1</v>
      </c>
      <c r="F166" s="92">
        <v>0</v>
      </c>
      <c r="G166" s="106">
        <v>3</v>
      </c>
      <c r="H166" s="92">
        <v>8</v>
      </c>
      <c r="I166" s="106" t="s">
        <v>126</v>
      </c>
      <c r="J166" s="92" t="s">
        <v>126</v>
      </c>
      <c r="K166" s="107" t="s">
        <v>1847</v>
      </c>
      <c r="L166" s="94">
        <v>46</v>
      </c>
      <c r="M166" s="94"/>
      <c r="N166" s="94" t="s">
        <v>320</v>
      </c>
      <c r="O166" s="94" t="s">
        <v>1585</v>
      </c>
      <c r="P166" s="96" t="str">
        <f>IF(ISBLANK(Q166),"",CONCATENATE(Q166,": ",VLOOKUP(Q166,Status!A:C,3,FALSE),IF(ISBLANK(R166),"",CONCATENATE(CHAR(10),R166,": ",VLOOKUP(R166,Status!A:C,3,FALSE),IF(ISBLANK(S166),"",CONCATENATE(CHAR(10),S166,": ",VLOOKUP(S166,Status!A:C,3,FALSE)))))))</f>
        <v/>
      </c>
      <c r="Q166" s="102"/>
      <c r="R166" s="97"/>
      <c r="S166" s="102"/>
      <c r="T166" s="103" t="s">
        <v>348</v>
      </c>
      <c r="U166" s="104"/>
      <c r="V166" s="100"/>
      <c r="W166" s="60"/>
      <c r="X166" s="60"/>
      <c r="Y166" s="60"/>
      <c r="Z166" s="60"/>
      <c r="AA166" s="60"/>
      <c r="AB166" s="60"/>
      <c r="AC166" s="60"/>
      <c r="AD166" s="60"/>
      <c r="AE166" s="60"/>
      <c r="AF166" s="60"/>
      <c r="AG166" s="60"/>
      <c r="AH166" s="60"/>
      <c r="AI166" s="60"/>
    </row>
    <row r="167" spans="1:35" ht="14">
      <c r="A167" s="89" t="s">
        <v>1848</v>
      </c>
      <c r="B167" s="116" t="s">
        <v>1824</v>
      </c>
      <c r="C167" s="116" t="s">
        <v>1824</v>
      </c>
      <c r="D167" s="91">
        <v>1</v>
      </c>
      <c r="E167" s="90">
        <v>1</v>
      </c>
      <c r="F167" s="92">
        <v>0</v>
      </c>
      <c r="G167" s="90">
        <v>3</v>
      </c>
      <c r="H167" s="92">
        <v>13</v>
      </c>
      <c r="I167" s="90" t="s">
        <v>126</v>
      </c>
      <c r="J167" s="92" t="s">
        <v>1425</v>
      </c>
      <c r="K167" s="93" t="s">
        <v>1849</v>
      </c>
      <c r="L167" s="101">
        <v>63</v>
      </c>
      <c r="M167" s="95"/>
      <c r="N167" s="95"/>
      <c r="O167" s="94" t="s">
        <v>1850</v>
      </c>
      <c r="P167" s="96" t="str">
        <f>IF(ISBLANK(Q167),"",CONCATENATE(Q167,": ",VLOOKUP(Q167,Status!A:C,3,FALSE),IF(ISBLANK(R167),"",CONCATENATE(CHAR(10),R167,": ",VLOOKUP(R167,Status!A:C,3,FALSE),IF(ISBLANK(S167),"",CONCATENATE(CHAR(10),S167,": ",VLOOKUP(S167,Status!A:C,3,FALSE)))))))</f>
        <v>Sleeping: Cannot move or act.  -100% Dodging.  Removed by damage, Peace of Mind, or Enrage.</v>
      </c>
      <c r="Q167" s="102" t="s">
        <v>1851</v>
      </c>
      <c r="R167" s="97"/>
      <c r="S167" s="102"/>
      <c r="T167" s="103" t="s">
        <v>348</v>
      </c>
      <c r="U167" s="104"/>
      <c r="V167" s="100"/>
      <c r="W167" s="60"/>
      <c r="X167" s="60"/>
      <c r="Y167" s="60"/>
      <c r="Z167" s="60"/>
      <c r="AA167" s="60"/>
      <c r="AB167" s="60"/>
      <c r="AC167" s="60"/>
      <c r="AD167" s="60"/>
      <c r="AE167" s="60"/>
      <c r="AF167" s="60"/>
      <c r="AG167" s="60"/>
      <c r="AH167" s="60"/>
      <c r="AI167" s="60"/>
    </row>
    <row r="168" spans="1:35" ht="14">
      <c r="A168" s="89" t="s">
        <v>1852</v>
      </c>
      <c r="B168" s="116" t="s">
        <v>1824</v>
      </c>
      <c r="C168" s="116" t="s">
        <v>1824</v>
      </c>
      <c r="D168" s="91">
        <v>2</v>
      </c>
      <c r="E168" s="90">
        <v>1</v>
      </c>
      <c r="F168" s="92">
        <v>0</v>
      </c>
      <c r="G168" s="90">
        <v>4</v>
      </c>
      <c r="H168" s="92">
        <v>13</v>
      </c>
      <c r="I168" s="90" t="s">
        <v>126</v>
      </c>
      <c r="J168" s="92" t="s">
        <v>126</v>
      </c>
      <c r="K168" s="93" t="s">
        <v>1853</v>
      </c>
      <c r="L168" s="95"/>
      <c r="M168" s="95"/>
      <c r="N168" s="95"/>
      <c r="O168" s="94" t="s">
        <v>126</v>
      </c>
      <c r="P168" s="96" t="str">
        <f>IF(ISBLANK(Q168),"",CONCATENATE(Q168,": ",VLOOKUP(Q168,Status!A:C,3,FALSE),IF(ISBLANK(R168),"",CONCATENATE(CHAR(10),R168,": ",VLOOKUP(R168,Status!A:C,3,FALSE),IF(ISBLANK(S168),"",CONCATENATE(CHAR(10),S168,": ",VLOOKUP(S168,Status!A:C,3,FALSE)))))))</f>
        <v/>
      </c>
      <c r="Q168" s="102"/>
      <c r="R168" s="97"/>
      <c r="S168" s="97"/>
      <c r="T168" s="108"/>
      <c r="U168" s="109"/>
      <c r="V168" s="100"/>
      <c r="W168" s="60"/>
      <c r="X168" s="60"/>
      <c r="Y168" s="60"/>
      <c r="Z168" s="60"/>
      <c r="AA168" s="60"/>
      <c r="AB168" s="60"/>
      <c r="AC168" s="60"/>
      <c r="AD168" s="60"/>
      <c r="AE168" s="60"/>
      <c r="AF168" s="60"/>
      <c r="AG168" s="60"/>
      <c r="AH168" s="60"/>
      <c r="AI168" s="60"/>
    </row>
    <row r="169" spans="1:35" ht="56">
      <c r="A169" s="105" t="s">
        <v>1854</v>
      </c>
      <c r="B169" s="117" t="s">
        <v>1824</v>
      </c>
      <c r="C169" s="117" t="s">
        <v>1824</v>
      </c>
      <c r="D169" s="91">
        <v>2</v>
      </c>
      <c r="E169" s="106">
        <v>3</v>
      </c>
      <c r="F169" s="92">
        <v>0</v>
      </c>
      <c r="G169" s="106">
        <v>4</v>
      </c>
      <c r="H169" s="113" t="s">
        <v>1526</v>
      </c>
      <c r="I169" s="106" t="s">
        <v>126</v>
      </c>
      <c r="J169" s="92" t="s">
        <v>1473</v>
      </c>
      <c r="K169" s="107" t="s">
        <v>1855</v>
      </c>
      <c r="L169" s="94">
        <v>81</v>
      </c>
      <c r="M169" s="94"/>
      <c r="N169" s="94" t="s">
        <v>320</v>
      </c>
      <c r="O169" s="94" t="s">
        <v>1585</v>
      </c>
      <c r="P169" s="96" t="str">
        <f>IF(ISBLANK(Q169),"",CONCATENATE(Q169,": ",VLOOKUP(Q169,Status!A:C,3,FALSE),IF(ISBLANK(R169),"",CONCATENATE(CHAR(10),R169,": ",VLOOKUP(R169,Status!A:C,3,FALSE),IF(ISBLANK(S169),"",CONCATENATE(CHAR(10),S169,": ",VLOOKUP(S169,Status!A:C,3,FALSE)))))))</f>
        <v>Diseased: -X Constitution, -35% Damage dealt.  Removed by Bless, Cleanse Wounds, First Aid, Fortify, and Mass Cleanse Wounds.
Decaying: 100% of healing you receive will instead deal Physical damage to you.  Removed by Bless and Fortify.</v>
      </c>
      <c r="Q169" s="102" t="s">
        <v>1681</v>
      </c>
      <c r="R169" s="102" t="s">
        <v>1682</v>
      </c>
      <c r="S169" s="102"/>
      <c r="T169" s="103" t="s">
        <v>348</v>
      </c>
      <c r="U169" s="104"/>
      <c r="V169" s="100"/>
      <c r="W169" s="60"/>
      <c r="X169" s="60"/>
      <c r="Y169" s="60"/>
      <c r="Z169" s="60"/>
      <c r="AA169" s="60"/>
      <c r="AB169" s="60"/>
      <c r="AC169" s="60"/>
      <c r="AD169" s="60"/>
      <c r="AE169" s="60"/>
      <c r="AF169" s="60"/>
      <c r="AG169" s="60"/>
      <c r="AH169" s="60"/>
      <c r="AI169" s="60"/>
    </row>
    <row r="170" spans="1:35" ht="14">
      <c r="A170" s="89" t="s">
        <v>1856</v>
      </c>
      <c r="B170" s="116" t="s">
        <v>1824</v>
      </c>
      <c r="C170" s="116" t="s">
        <v>1824</v>
      </c>
      <c r="D170" s="91">
        <v>3</v>
      </c>
      <c r="E170" s="90">
        <v>4</v>
      </c>
      <c r="F170" s="92">
        <v>2</v>
      </c>
      <c r="G170" s="90">
        <v>6</v>
      </c>
      <c r="H170" s="113" t="s">
        <v>1526</v>
      </c>
      <c r="I170" s="90" t="s">
        <v>126</v>
      </c>
      <c r="J170" s="92" t="s">
        <v>126</v>
      </c>
      <c r="K170" s="93" t="s">
        <v>1857</v>
      </c>
      <c r="L170" s="94">
        <v>30</v>
      </c>
      <c r="M170" s="94"/>
      <c r="N170" s="94" t="s">
        <v>320</v>
      </c>
      <c r="O170" s="94" t="s">
        <v>1585</v>
      </c>
      <c r="P170" s="96" t="str">
        <f>IF(ISBLANK(Q170),"",CONCATENATE(Q170,": ",VLOOKUP(Q170,Status!A:C,3,FALSE),IF(ISBLANK(R170),"",CONCATENATE(CHAR(10),R170,": ",VLOOKUP(R170,Status!A:C,3,FALSE),IF(ISBLANK(S170),"",CONCATENATE(CHAR(10),S170,": ",VLOOKUP(S170,Status!A:C,3,FALSE)))))))</f>
        <v/>
      </c>
      <c r="Q170" s="102"/>
      <c r="R170" s="97"/>
      <c r="S170" s="102"/>
      <c r="T170" s="103" t="s">
        <v>348</v>
      </c>
      <c r="U170" s="104"/>
      <c r="V170" s="100"/>
      <c r="W170" s="60"/>
      <c r="X170" s="60"/>
      <c r="Y170" s="60"/>
      <c r="Z170" s="60"/>
      <c r="AA170" s="60"/>
      <c r="AB170" s="60"/>
      <c r="AC170" s="60"/>
      <c r="AD170" s="60"/>
      <c r="AE170" s="60"/>
      <c r="AF170" s="60"/>
      <c r="AG170" s="60"/>
      <c r="AH170" s="60"/>
      <c r="AI170" s="60"/>
    </row>
    <row r="171" spans="1:35" ht="14">
      <c r="A171" s="105" t="s">
        <v>1858</v>
      </c>
      <c r="B171" s="117" t="s">
        <v>1824</v>
      </c>
      <c r="C171" s="117" t="s">
        <v>1824</v>
      </c>
      <c r="D171" s="91">
        <v>3</v>
      </c>
      <c r="E171" s="106">
        <v>3</v>
      </c>
      <c r="F171" s="92">
        <v>1</v>
      </c>
      <c r="G171" s="106">
        <v>2</v>
      </c>
      <c r="H171" s="92" t="s">
        <v>126</v>
      </c>
      <c r="I171" s="106">
        <v>8</v>
      </c>
      <c r="J171" s="92" t="s">
        <v>126</v>
      </c>
      <c r="K171" s="107" t="s">
        <v>1859</v>
      </c>
      <c r="L171" s="94">
        <v>67</v>
      </c>
      <c r="M171" s="94"/>
      <c r="N171" s="94" t="s">
        <v>320</v>
      </c>
      <c r="O171" s="94" t="s">
        <v>1585</v>
      </c>
      <c r="P171" s="96" t="str">
        <f>IF(ISBLANK(Q171),"",CONCATENATE(Q171,": ",VLOOKUP(Q171,Status!A:C,3,FALSE),IF(ISBLANK(R171),"",CONCATENATE(CHAR(10),R171,": ",VLOOKUP(R171,Status!A:C,3,FALSE),IF(ISBLANK(S171),"",CONCATENATE(CHAR(10),S171,": ",VLOOKUP(S171,Status!A:C,3,FALSE)))))))</f>
        <v/>
      </c>
      <c r="Q171" s="102"/>
      <c r="R171" s="97"/>
      <c r="S171" s="102"/>
      <c r="T171" s="103" t="s">
        <v>348</v>
      </c>
      <c r="U171" s="104"/>
      <c r="V171" s="100"/>
      <c r="W171" s="60"/>
      <c r="X171" s="60"/>
      <c r="Y171" s="60"/>
      <c r="Z171" s="60"/>
      <c r="AA171" s="60"/>
      <c r="AB171" s="60"/>
      <c r="AC171" s="60"/>
      <c r="AD171" s="60"/>
      <c r="AE171" s="60"/>
      <c r="AF171" s="60"/>
      <c r="AG171" s="60"/>
      <c r="AH171" s="60"/>
      <c r="AI171" s="60"/>
    </row>
    <row r="172" spans="1:35" ht="28">
      <c r="A172" s="89" t="s">
        <v>1860</v>
      </c>
      <c r="B172" s="116" t="s">
        <v>1824</v>
      </c>
      <c r="C172" s="116" t="s">
        <v>1824</v>
      </c>
      <c r="D172" s="91">
        <v>2</v>
      </c>
      <c r="E172" s="90">
        <v>2</v>
      </c>
      <c r="F172" s="92">
        <v>0</v>
      </c>
      <c r="G172" s="90">
        <v>4</v>
      </c>
      <c r="H172" s="113" t="s">
        <v>1526</v>
      </c>
      <c r="I172" s="90" t="s">
        <v>126</v>
      </c>
      <c r="J172" s="92" t="s">
        <v>1425</v>
      </c>
      <c r="K172" s="93" t="s">
        <v>1861</v>
      </c>
      <c r="L172" s="94">
        <v>86</v>
      </c>
      <c r="M172" s="94"/>
      <c r="N172" s="94" t="s">
        <v>320</v>
      </c>
      <c r="O172" s="94" t="s">
        <v>1585</v>
      </c>
      <c r="P172" s="96" t="str">
        <f>IF(ISBLANK(Q172),"",CONCATENATE(Q172,": ",VLOOKUP(Q172,Status!A:C,3,FALSE),IF(ISBLANK(R172),"",CONCATENATE(CHAR(10),R172,": ",VLOOKUP(R172,Status!A:C,3,FALSE),IF(ISBLANK(S172),"",CONCATENATE(CHAR(10),S172,": ",VLOOKUP(S172,Status!A:C,3,FALSE)))))))</f>
        <v>Silenced: Unable to use non-weapon skills.  Removed by Blessed Smoke Cloud (cloud) and First Aid.</v>
      </c>
      <c r="Q172" s="102" t="s">
        <v>1670</v>
      </c>
      <c r="R172" s="97"/>
      <c r="S172" s="102"/>
      <c r="T172" s="103" t="s">
        <v>348</v>
      </c>
      <c r="U172" s="104"/>
      <c r="V172" s="100"/>
      <c r="W172" s="60"/>
      <c r="X172" s="60"/>
      <c r="Y172" s="60"/>
      <c r="Z172" s="60"/>
      <c r="AA172" s="60"/>
      <c r="AB172" s="60"/>
      <c r="AC172" s="60"/>
      <c r="AD172" s="60"/>
      <c r="AE172" s="60"/>
      <c r="AF172" s="60"/>
      <c r="AG172" s="60"/>
      <c r="AH172" s="60"/>
      <c r="AI172" s="60"/>
    </row>
    <row r="173" spans="1:35" ht="28">
      <c r="A173" s="89" t="s">
        <v>1862</v>
      </c>
      <c r="B173" s="116" t="s">
        <v>1824</v>
      </c>
      <c r="C173" s="116" t="s">
        <v>1824</v>
      </c>
      <c r="D173" s="91">
        <v>5</v>
      </c>
      <c r="E173" s="90">
        <v>2</v>
      </c>
      <c r="F173" s="92">
        <v>3</v>
      </c>
      <c r="G173" s="90">
        <v>0</v>
      </c>
      <c r="H173" s="113" t="s">
        <v>1526</v>
      </c>
      <c r="I173" s="90" t="s">
        <v>126</v>
      </c>
      <c r="J173" s="92" t="s">
        <v>126</v>
      </c>
      <c r="K173" s="93" t="s">
        <v>1863</v>
      </c>
      <c r="L173" s="94">
        <v>75</v>
      </c>
      <c r="M173" s="94"/>
      <c r="N173" s="94" t="s">
        <v>320</v>
      </c>
      <c r="O173" s="94" t="s">
        <v>1585</v>
      </c>
      <c r="P173" s="96" t="str">
        <f>IF(ISBLANK(Q173),"",CONCATENATE(Q173,": ",VLOOKUP(Q173,Status!A:C,3,FALSE),IF(ISBLANK(R173),"",CONCATENATE(CHAR(10),R173,": ",VLOOKUP(R173,Status!A:C,3,FALSE),IF(ISBLANK(S173),"",CONCATENATE(CHAR(10),S173,": ",VLOOKUP(S173,Status!A:C,3,FALSE)))))))</f>
        <v/>
      </c>
      <c r="Q173" s="102"/>
      <c r="R173" s="97"/>
      <c r="S173" s="102"/>
      <c r="T173" s="103" t="s">
        <v>348</v>
      </c>
      <c r="U173" s="104"/>
      <c r="V173" s="100"/>
      <c r="W173" s="60"/>
      <c r="X173" s="60"/>
      <c r="Y173" s="60"/>
      <c r="Z173" s="60"/>
      <c r="AA173" s="60"/>
      <c r="AB173" s="60"/>
      <c r="AC173" s="60"/>
      <c r="AD173" s="60"/>
      <c r="AE173" s="60"/>
      <c r="AF173" s="60"/>
      <c r="AG173" s="60"/>
      <c r="AH173" s="60"/>
      <c r="AI173" s="60"/>
    </row>
    <row r="174" spans="1:35" ht="22">
      <c r="A174" s="105" t="s">
        <v>1864</v>
      </c>
      <c r="B174" s="117" t="s">
        <v>1824</v>
      </c>
      <c r="C174" s="117" t="s">
        <v>1824</v>
      </c>
      <c r="D174" s="91">
        <v>2</v>
      </c>
      <c r="E174" s="106">
        <v>2</v>
      </c>
      <c r="F174" s="92">
        <v>0</v>
      </c>
      <c r="G174" s="106">
        <v>5</v>
      </c>
      <c r="H174" s="113" t="s">
        <v>1526</v>
      </c>
      <c r="I174" s="106" t="s">
        <v>126</v>
      </c>
      <c r="J174" s="92" t="s">
        <v>126</v>
      </c>
      <c r="K174" s="107" t="s">
        <v>1865</v>
      </c>
      <c r="L174" s="94">
        <v>54</v>
      </c>
      <c r="M174" s="94"/>
      <c r="N174" s="94" t="s">
        <v>320</v>
      </c>
      <c r="O174" s="94" t="s">
        <v>1585</v>
      </c>
      <c r="P174" s="96" t="str">
        <f>IF(ISBLANK(Q174),"",CONCATENATE(Q174,": ",VLOOKUP(Q174,Status!A:C,3,FALSE),IF(ISBLANK(R174),"",CONCATENATE(CHAR(10),R174,": ",VLOOKUP(R174,Status!A:C,3,FALSE),IF(ISBLANK(S174),"",CONCATENATE(CHAR(10),S174,": ",VLOOKUP(S174,Status!A:C,3,FALSE)))))))</f>
        <v>Ruptured Tendons: Take 16 Piercing damage for each step taken when you move.</v>
      </c>
      <c r="Q174" s="102" t="s">
        <v>1866</v>
      </c>
      <c r="R174" s="97"/>
      <c r="S174" s="102"/>
      <c r="T174" s="103" t="s">
        <v>348</v>
      </c>
      <c r="U174" s="104"/>
      <c r="V174" s="100"/>
      <c r="W174" s="60"/>
      <c r="X174" s="60"/>
      <c r="Y174" s="60"/>
      <c r="Z174" s="60"/>
      <c r="AA174" s="60"/>
      <c r="AB174" s="60"/>
      <c r="AC174" s="60"/>
      <c r="AD174" s="60"/>
      <c r="AE174" s="60"/>
      <c r="AF174" s="60"/>
      <c r="AG174" s="60"/>
      <c r="AH174" s="60"/>
      <c r="AI174" s="60"/>
    </row>
    <row r="175" spans="1:35" ht="28">
      <c r="A175" s="89" t="s">
        <v>1867</v>
      </c>
      <c r="B175" s="116" t="s">
        <v>1824</v>
      </c>
      <c r="C175" s="116" t="s">
        <v>1824</v>
      </c>
      <c r="D175" s="91">
        <v>2</v>
      </c>
      <c r="E175" s="90">
        <v>2</v>
      </c>
      <c r="F175" s="92">
        <v>0</v>
      </c>
      <c r="G175" s="90">
        <v>3</v>
      </c>
      <c r="H175" s="113" t="s">
        <v>1526</v>
      </c>
      <c r="I175" s="90" t="s">
        <v>126</v>
      </c>
      <c r="J175" s="92" t="s">
        <v>1473</v>
      </c>
      <c r="K175" s="93" t="s">
        <v>1868</v>
      </c>
      <c r="L175" s="94">
        <v>71</v>
      </c>
      <c r="M175" s="94"/>
      <c r="N175" s="94" t="s">
        <v>320</v>
      </c>
      <c r="O175" s="94" t="s">
        <v>1585</v>
      </c>
      <c r="P175" s="96" t="str">
        <f>IF(ISBLANK(Q175),"",CONCATENATE(Q175,": ",VLOOKUP(Q175,Status!A:C,3,FALSE),IF(ISBLANK(R175),"",CONCATENATE(CHAR(10),R175,": ",VLOOKUP(R175,Status!A:C,3,FALSE),IF(ISBLANK(S175),"",CONCATENATE(CHAR(10),S175,": ",VLOOKUP(S175,Status!A:C,3,FALSE)))))))</f>
        <v>Bleeding: Take 28 Piercing damage each turn.  Removed by Cleanse Wounds, First Aid, Fortify, Mass Cleanse Wounds, Petrifying Touch, and Restoration.</v>
      </c>
      <c r="Q175" s="102" t="s">
        <v>1685</v>
      </c>
      <c r="R175" s="97"/>
      <c r="S175" s="102"/>
      <c r="T175" s="103" t="s">
        <v>348</v>
      </c>
      <c r="U175" s="104"/>
      <c r="V175" s="100"/>
      <c r="W175" s="60"/>
      <c r="X175" s="60"/>
      <c r="Y175" s="60"/>
      <c r="Z175" s="60"/>
      <c r="AA175" s="60"/>
      <c r="AB175" s="60"/>
      <c r="AC175" s="60"/>
      <c r="AD175" s="60"/>
      <c r="AE175" s="60"/>
      <c r="AF175" s="60"/>
      <c r="AG175" s="60"/>
      <c r="AH175" s="60"/>
      <c r="AI175" s="60"/>
    </row>
    <row r="176" spans="1:35" ht="14">
      <c r="A176" s="105" t="s">
        <v>1869</v>
      </c>
      <c r="B176" s="117" t="s">
        <v>1824</v>
      </c>
      <c r="C176" s="117" t="s">
        <v>1824</v>
      </c>
      <c r="D176" s="91">
        <v>2</v>
      </c>
      <c r="E176" s="106">
        <v>2</v>
      </c>
      <c r="F176" s="92">
        <v>0</v>
      </c>
      <c r="G176" s="106">
        <v>3</v>
      </c>
      <c r="H176" s="113" t="s">
        <v>1526</v>
      </c>
      <c r="I176" s="106" t="s">
        <v>126</v>
      </c>
      <c r="J176" s="92" t="s">
        <v>1473</v>
      </c>
      <c r="K176" s="107" t="s">
        <v>1870</v>
      </c>
      <c r="L176" s="94">
        <v>54</v>
      </c>
      <c r="M176" s="94"/>
      <c r="N176" s="94" t="s">
        <v>320</v>
      </c>
      <c r="O176" s="94" t="s">
        <v>1585</v>
      </c>
      <c r="P176" s="96" t="str">
        <f>IF(ISBLANK(Q176),"",CONCATENATE(Q176,": ",VLOOKUP(Q176,Status!A:C,3,FALSE),IF(ISBLANK(R176),"",CONCATENATE(CHAR(10),R176,": ",VLOOKUP(R176,Status!A:C,3,FALSE),IF(ISBLANK(S176),"",CONCATENATE(CHAR(10),S176,": ",VLOOKUP(S176,Status!A:C,3,FALSE)))))))</f>
        <v>Atrophy: Cannot use weapon skills/attacks.</v>
      </c>
      <c r="Q176" s="102" t="s">
        <v>1676</v>
      </c>
      <c r="R176" s="97"/>
      <c r="S176" s="102"/>
      <c r="T176" s="103" t="s">
        <v>348</v>
      </c>
      <c r="U176" s="104"/>
      <c r="V176" s="100"/>
      <c r="W176" s="60"/>
      <c r="X176" s="60"/>
      <c r="Y176" s="60"/>
      <c r="Z176" s="60"/>
      <c r="AA176" s="60"/>
      <c r="AB176" s="60"/>
      <c r="AC176" s="60"/>
      <c r="AD176" s="60"/>
      <c r="AE176" s="60"/>
      <c r="AF176" s="60"/>
      <c r="AG176" s="60"/>
      <c r="AH176" s="60"/>
      <c r="AI176" s="60"/>
    </row>
    <row r="177" spans="1:35" ht="28">
      <c r="A177" s="89" t="s">
        <v>1871</v>
      </c>
      <c r="B177" s="116" t="s">
        <v>1824</v>
      </c>
      <c r="C177" s="116" t="s">
        <v>1824</v>
      </c>
      <c r="D177" s="91">
        <v>3</v>
      </c>
      <c r="E177" s="90">
        <v>3</v>
      </c>
      <c r="F177" s="92">
        <v>0</v>
      </c>
      <c r="G177" s="90">
        <v>4</v>
      </c>
      <c r="H177" s="113" t="s">
        <v>1526</v>
      </c>
      <c r="I177" s="90" t="s">
        <v>126</v>
      </c>
      <c r="J177" s="92" t="s">
        <v>1872</v>
      </c>
      <c r="K177" s="93" t="s">
        <v>1873</v>
      </c>
      <c r="L177" s="94">
        <v>59</v>
      </c>
      <c r="M177" s="94"/>
      <c r="N177" s="94" t="s">
        <v>320</v>
      </c>
      <c r="O177" s="94" t="s">
        <v>1585</v>
      </c>
      <c r="P177" s="96" t="str">
        <f>IF(ISBLANK(Q177),"",CONCATENATE(Q177,": ",VLOOKUP(Q177,Status!A:C,3,FALSE),IF(ISBLANK(R177),"",CONCATENATE(CHAR(10),R177,": ",VLOOKUP(R177,Status!A:C,3,FALSE),IF(ISBLANK(S177),"",CONCATENATE(CHAR(10),S177,": ",VLOOKUP(S177,Status!A:C,3,FALSE)))))))</f>
        <v>Terrified: Character cannot be controlled and will run away.  -20% Dodging.  Removed by Peace of Mind and Enrage.</v>
      </c>
      <c r="Q177" s="102" t="s">
        <v>1874</v>
      </c>
      <c r="R177" s="97"/>
      <c r="S177" s="102"/>
      <c r="T177" s="103" t="s">
        <v>348</v>
      </c>
      <c r="U177" s="104"/>
      <c r="V177" s="100"/>
      <c r="W177" s="60"/>
      <c r="X177" s="60"/>
      <c r="Y177" s="60"/>
      <c r="Z177" s="60"/>
      <c r="AA177" s="60"/>
      <c r="AB177" s="60"/>
      <c r="AC177" s="60"/>
      <c r="AD177" s="60"/>
      <c r="AE177" s="60"/>
      <c r="AF177" s="60"/>
      <c r="AG177" s="60"/>
      <c r="AH177" s="60"/>
      <c r="AI177" s="60"/>
    </row>
    <row r="178" spans="1:35" ht="14">
      <c r="A178" s="105" t="s">
        <v>1875</v>
      </c>
      <c r="B178" s="117" t="s">
        <v>1824</v>
      </c>
      <c r="C178" s="117" t="s">
        <v>1824</v>
      </c>
      <c r="D178" s="91">
        <v>1</v>
      </c>
      <c r="E178" s="106">
        <v>2</v>
      </c>
      <c r="F178" s="92">
        <v>0</v>
      </c>
      <c r="G178" s="106">
        <v>1</v>
      </c>
      <c r="H178" s="92">
        <v>8</v>
      </c>
      <c r="I178" s="106" t="s">
        <v>126</v>
      </c>
      <c r="J178" s="92" t="s">
        <v>126</v>
      </c>
      <c r="K178" s="107" t="s">
        <v>1876</v>
      </c>
      <c r="L178" s="94">
        <v>46</v>
      </c>
      <c r="M178" s="94"/>
      <c r="N178" s="94" t="s">
        <v>320</v>
      </c>
      <c r="O178" s="94" t="s">
        <v>1585</v>
      </c>
      <c r="P178" s="96" t="str">
        <f>IF(ISBLANK(Q178),"",CONCATENATE(Q178,": ",VLOOKUP(Q178,Status!A:C,3,FALSE),IF(ISBLANK(R178),"",CONCATENATE(CHAR(10),R178,": ",VLOOKUP(R178,Status!A:C,3,FALSE),IF(ISBLANK(S178),"",CONCATENATE(CHAR(10),S178,": ",VLOOKUP(S178,Status!A:C,3,FALSE)))))))</f>
        <v/>
      </c>
      <c r="Q178" s="102"/>
      <c r="R178" s="97"/>
      <c r="S178" s="102"/>
      <c r="T178" s="103" t="s">
        <v>348</v>
      </c>
      <c r="U178" s="104"/>
      <c r="V178" s="100"/>
      <c r="W178" s="60"/>
      <c r="X178" s="60"/>
      <c r="Y178" s="60"/>
      <c r="Z178" s="60"/>
      <c r="AA178" s="60"/>
      <c r="AB178" s="60"/>
      <c r="AC178" s="60"/>
      <c r="AD178" s="60"/>
      <c r="AE178" s="60"/>
      <c r="AF178" s="60"/>
      <c r="AG178" s="60"/>
      <c r="AH178" s="60"/>
      <c r="AI178" s="60"/>
    </row>
    <row r="179" spans="1:35" ht="28">
      <c r="A179" s="105" t="s">
        <v>1877</v>
      </c>
      <c r="B179" s="117" t="s">
        <v>1824</v>
      </c>
      <c r="C179" s="117" t="s">
        <v>1824</v>
      </c>
      <c r="D179" s="91">
        <v>3</v>
      </c>
      <c r="E179" s="106">
        <v>2</v>
      </c>
      <c r="F179" s="92">
        <v>0</v>
      </c>
      <c r="G179" s="106">
        <v>6</v>
      </c>
      <c r="H179" s="92">
        <v>13</v>
      </c>
      <c r="I179" s="106" t="s">
        <v>126</v>
      </c>
      <c r="J179" s="92" t="s">
        <v>126</v>
      </c>
      <c r="K179" s="107" t="s">
        <v>1878</v>
      </c>
      <c r="L179" s="95"/>
      <c r="M179" s="95"/>
      <c r="N179" s="95"/>
      <c r="O179" s="94" t="s">
        <v>126</v>
      </c>
      <c r="P179" s="96" t="str">
        <f>IF(ISBLANK(Q179),"",CONCATENATE(Q179,": ",VLOOKUP(Q179,Status!A:C,3,FALSE),IF(ISBLANK(R179),"",CONCATENATE(CHAR(10),R179,": ",VLOOKUP(R179,Status!A:C,3,FALSE),IF(ISBLANK(S179),"",CONCATENATE(CHAR(10),S179,": ",VLOOKUP(S179,Status!A:C,3,FALSE)))))))</f>
        <v/>
      </c>
      <c r="Q179" s="102"/>
      <c r="R179" s="97"/>
      <c r="S179" s="97"/>
      <c r="T179" s="108"/>
      <c r="U179" s="109"/>
      <c r="V179" s="100"/>
      <c r="W179" s="60"/>
      <c r="X179" s="60"/>
      <c r="Y179" s="60"/>
      <c r="Z179" s="60"/>
      <c r="AA179" s="60"/>
      <c r="AB179" s="60"/>
      <c r="AC179" s="60"/>
      <c r="AD179" s="60"/>
      <c r="AE179" s="60"/>
      <c r="AF179" s="60"/>
      <c r="AG179" s="60"/>
      <c r="AH179" s="60"/>
      <c r="AI179" s="60"/>
    </row>
    <row r="180" spans="1:35" ht="14">
      <c r="A180" s="111" t="s">
        <v>1879</v>
      </c>
      <c r="B180" s="94" t="s">
        <v>1880</v>
      </c>
      <c r="C180" s="94" t="s">
        <v>1881</v>
      </c>
      <c r="D180" s="112" t="s">
        <v>126</v>
      </c>
      <c r="E180" s="94">
        <v>1</v>
      </c>
      <c r="F180" s="113">
        <v>0</v>
      </c>
      <c r="G180" s="94">
        <v>1</v>
      </c>
      <c r="H180" s="113">
        <v>8.5</v>
      </c>
      <c r="I180" s="94" t="s">
        <v>126</v>
      </c>
      <c r="J180" s="113" t="s">
        <v>126</v>
      </c>
      <c r="K180" s="114" t="s">
        <v>1665</v>
      </c>
      <c r="L180" s="95"/>
      <c r="M180" s="95"/>
      <c r="N180" s="95"/>
      <c r="O180" s="94" t="s">
        <v>126</v>
      </c>
      <c r="P180" s="96" t="str">
        <f>IF(ISBLANK(Q180),"",CONCATENATE(Q180,": ",VLOOKUP(Q180,Status!A:C,3,FALSE),IF(ISBLANK(R180),"",CONCATENATE(CHAR(10),R180,": ",VLOOKUP(R180,Status!A:C,3,FALSE),IF(ISBLANK(S180),"",CONCATENATE(CHAR(10),S180,": ",VLOOKUP(S180,Status!A:C,3,FALSE)))))))</f>
        <v/>
      </c>
      <c r="Q180" s="102"/>
      <c r="R180" s="97"/>
      <c r="S180" s="97"/>
      <c r="T180" s="108"/>
      <c r="U180" s="109"/>
      <c r="V180" s="100"/>
      <c r="W180" s="60"/>
      <c r="X180" s="60"/>
      <c r="Y180" s="60"/>
      <c r="Z180" s="60"/>
      <c r="AA180" s="60"/>
      <c r="AB180" s="60"/>
      <c r="AC180" s="60"/>
      <c r="AD180" s="60"/>
      <c r="AE180" s="60"/>
      <c r="AF180" s="60"/>
      <c r="AG180" s="60"/>
      <c r="AH180" s="60"/>
      <c r="AI180" s="60"/>
    </row>
    <row r="181" spans="1:35" ht="14">
      <c r="A181" s="111" t="s">
        <v>1882</v>
      </c>
      <c r="B181" s="94" t="s">
        <v>1880</v>
      </c>
      <c r="C181" s="94" t="s">
        <v>1883</v>
      </c>
      <c r="D181" s="112" t="s">
        <v>126</v>
      </c>
      <c r="E181" s="94">
        <v>1</v>
      </c>
      <c r="F181" s="113">
        <v>0</v>
      </c>
      <c r="G181" s="94">
        <v>0</v>
      </c>
      <c r="H181" s="113" t="s">
        <v>126</v>
      </c>
      <c r="I181" s="94">
        <v>3</v>
      </c>
      <c r="J181" s="113" t="s">
        <v>126</v>
      </c>
      <c r="K181" s="114" t="s">
        <v>1884</v>
      </c>
      <c r="L181" s="94">
        <v>182</v>
      </c>
      <c r="M181" s="95"/>
      <c r="N181" s="95"/>
      <c r="O181" s="94" t="s">
        <v>1427</v>
      </c>
      <c r="P181" s="96" t="str">
        <f>IF(ISBLANK(Q181),"",CONCATENATE(Q181,": ",VLOOKUP(Q181,Status!A:C,3,FALSE),IF(ISBLANK(R181),"",CONCATENATE(CHAR(10),R181,": ",VLOOKUP(R181,Status!A:C,3,FALSE),IF(ISBLANK(S181),"",CONCATENATE(CHAR(10),S181,": ",VLOOKUP(S181,Status!A:C,3,FALSE)))))))</f>
        <v/>
      </c>
      <c r="Q181" s="102"/>
      <c r="R181" s="97"/>
      <c r="S181" s="102"/>
      <c r="T181" s="103" t="s">
        <v>348</v>
      </c>
      <c r="U181" s="109"/>
      <c r="V181" s="100"/>
      <c r="W181" s="60"/>
      <c r="X181" s="60"/>
      <c r="Y181" s="60"/>
      <c r="Z181" s="60"/>
      <c r="AA181" s="60"/>
      <c r="AB181" s="60"/>
      <c r="AC181" s="60"/>
      <c r="AD181" s="60"/>
      <c r="AE181" s="60"/>
      <c r="AF181" s="60"/>
      <c r="AG181" s="60"/>
      <c r="AH181" s="60"/>
      <c r="AI181" s="60"/>
    </row>
    <row r="182" spans="1:35" ht="14">
      <c r="A182" s="111" t="s">
        <v>1885</v>
      </c>
      <c r="B182" s="94" t="s">
        <v>1880</v>
      </c>
      <c r="C182" s="94" t="s">
        <v>1886</v>
      </c>
      <c r="D182" s="112" t="s">
        <v>126</v>
      </c>
      <c r="E182" s="94">
        <v>2</v>
      </c>
      <c r="F182" s="113">
        <v>0</v>
      </c>
      <c r="G182" s="94">
        <v>3</v>
      </c>
      <c r="H182" s="113">
        <v>13</v>
      </c>
      <c r="I182" s="94" t="s">
        <v>126</v>
      </c>
      <c r="J182" s="113" t="s">
        <v>126</v>
      </c>
      <c r="K182" s="114" t="s">
        <v>1665</v>
      </c>
      <c r="L182" s="95"/>
      <c r="M182" s="95"/>
      <c r="N182" s="95"/>
      <c r="O182" s="94" t="s">
        <v>126</v>
      </c>
      <c r="P182" s="96" t="str">
        <f>IF(ISBLANK(Q182),"",CONCATENATE(Q182,": ",VLOOKUP(Q182,Status!A:C,3,FALSE),IF(ISBLANK(R182),"",CONCATENATE(CHAR(10),R182,": ",VLOOKUP(R182,Status!A:C,3,FALSE),IF(ISBLANK(S182),"",CONCATENATE(CHAR(10),S182,": ",VLOOKUP(S182,Status!A:C,3,FALSE)))))))</f>
        <v/>
      </c>
      <c r="Q182" s="102"/>
      <c r="R182" s="97"/>
      <c r="S182" s="97"/>
      <c r="T182" s="108"/>
      <c r="U182" s="109"/>
      <c r="V182" s="100"/>
      <c r="W182" s="60"/>
      <c r="X182" s="60"/>
      <c r="Y182" s="60"/>
      <c r="Z182" s="60"/>
      <c r="AA182" s="60"/>
      <c r="AB182" s="60"/>
      <c r="AC182" s="60"/>
      <c r="AD182" s="60"/>
      <c r="AE182" s="60"/>
      <c r="AF182" s="60"/>
      <c r="AG182" s="60"/>
      <c r="AH182" s="60"/>
      <c r="AI182" s="60"/>
    </row>
    <row r="183" spans="1:35" ht="22">
      <c r="A183" s="111" t="s">
        <v>1887</v>
      </c>
      <c r="B183" s="94" t="s">
        <v>1880</v>
      </c>
      <c r="C183" s="94" t="s">
        <v>1886</v>
      </c>
      <c r="D183" s="112" t="s">
        <v>126</v>
      </c>
      <c r="E183" s="94">
        <v>2</v>
      </c>
      <c r="F183" s="113">
        <v>0</v>
      </c>
      <c r="G183" s="94">
        <v>3</v>
      </c>
      <c r="H183" s="113">
        <v>3</v>
      </c>
      <c r="I183" s="94" t="s">
        <v>126</v>
      </c>
      <c r="J183" s="113" t="s">
        <v>126</v>
      </c>
      <c r="K183" s="114" t="s">
        <v>1888</v>
      </c>
      <c r="L183" s="95"/>
      <c r="M183" s="95"/>
      <c r="N183" s="95"/>
      <c r="O183" s="94" t="s">
        <v>126</v>
      </c>
      <c r="P183" s="96" t="str">
        <f>IF(ISBLANK(Q183),"",CONCATENATE(Q183,": ",VLOOKUP(Q183,Status!A:C,3,FALSE),IF(ISBLANK(R183),"",CONCATENATE(CHAR(10),R183,": ",VLOOKUP(R183,Status!A:C,3,FALSE),IF(ISBLANK(S183),"",CONCATENATE(CHAR(10),S183,": ",VLOOKUP(S183,Status!A:C,3,FALSE)))))))</f>
        <v>Consumed Corpse: +30% Damage dealt</v>
      </c>
      <c r="Q183" s="102" t="s">
        <v>1889</v>
      </c>
      <c r="R183" s="97"/>
      <c r="S183" s="97"/>
      <c r="T183" s="108"/>
      <c r="U183" s="109"/>
      <c r="V183" s="100"/>
      <c r="W183" s="60"/>
      <c r="X183" s="60"/>
      <c r="Y183" s="60"/>
      <c r="Z183" s="60"/>
      <c r="AA183" s="60"/>
      <c r="AB183" s="60"/>
      <c r="AC183" s="60"/>
      <c r="AD183" s="60"/>
      <c r="AE183" s="60"/>
      <c r="AF183" s="60"/>
      <c r="AG183" s="60"/>
      <c r="AH183" s="60"/>
      <c r="AI183" s="60"/>
    </row>
    <row r="184" spans="1:35" ht="42">
      <c r="A184" s="111" t="s">
        <v>1890</v>
      </c>
      <c r="B184" s="94" t="s">
        <v>1880</v>
      </c>
      <c r="C184" s="94" t="s">
        <v>1891</v>
      </c>
      <c r="D184" s="112" t="s">
        <v>126</v>
      </c>
      <c r="E184" s="94">
        <v>2</v>
      </c>
      <c r="F184" s="113">
        <v>0</v>
      </c>
      <c r="G184" s="94">
        <v>5</v>
      </c>
      <c r="H184" s="113">
        <v>11.5</v>
      </c>
      <c r="I184" s="94" t="s">
        <v>126</v>
      </c>
      <c r="J184" s="113" t="s">
        <v>1425</v>
      </c>
      <c r="K184" s="114" t="s">
        <v>1892</v>
      </c>
      <c r="L184" s="120"/>
      <c r="M184" s="95"/>
      <c r="N184" s="95"/>
      <c r="O184" s="94" t="s">
        <v>1748</v>
      </c>
      <c r="P184" s="96" t="str">
        <f>IF(ISBLANK(Q184),"",CONCATENATE(Q184,": ",VLOOKUP(Q184,Status!A:C,3,FALSE),IF(ISBLANK(R184),"",CONCATENATE(CHAR(10),R184,": ",VLOOKUP(R184,Status!A:C,3,FALSE),IF(ISBLANK(S184),"",CONCATENATE(CHAR(10),S184,": ",VLOOKUP(S184,Status!A:C,3,FALSE)))))))</f>
        <v>Burning: Take 35 Fire damage each turn.  Removed by Armour of Frost, Blessed Steam (cloud), Cleanse Wounds, First Aid, Fortify, Mass Cleanse Wounds, Petrifying Touch, Rain, Restoration, and Steam Cloud (cloud).</v>
      </c>
      <c r="Q184" s="102" t="s">
        <v>1505</v>
      </c>
      <c r="R184" s="97"/>
      <c r="S184" s="97"/>
      <c r="T184" s="108"/>
      <c r="U184" s="109"/>
      <c r="V184" s="100"/>
      <c r="W184" s="60"/>
      <c r="X184" s="60"/>
      <c r="Y184" s="60"/>
      <c r="Z184" s="60"/>
      <c r="AA184" s="60"/>
      <c r="AB184" s="60"/>
      <c r="AC184" s="60"/>
      <c r="AD184" s="60"/>
      <c r="AE184" s="60"/>
      <c r="AF184" s="60"/>
      <c r="AG184" s="60"/>
      <c r="AH184" s="60"/>
      <c r="AI184" s="60"/>
    </row>
    <row r="185" spans="1:35" ht="14">
      <c r="A185" s="111" t="s">
        <v>1893</v>
      </c>
      <c r="B185" s="94" t="s">
        <v>1880</v>
      </c>
      <c r="C185" s="94" t="s">
        <v>1894</v>
      </c>
      <c r="D185" s="112" t="s">
        <v>126</v>
      </c>
      <c r="E185" s="94">
        <v>2</v>
      </c>
      <c r="F185" s="113">
        <v>0</v>
      </c>
      <c r="G185" s="94">
        <v>4</v>
      </c>
      <c r="H185" s="113">
        <v>7</v>
      </c>
      <c r="I185" s="94" t="s">
        <v>126</v>
      </c>
      <c r="J185" s="113" t="s">
        <v>126</v>
      </c>
      <c r="K185" s="114" t="s">
        <v>1895</v>
      </c>
      <c r="L185" s="110">
        <v>71</v>
      </c>
      <c r="M185" s="95"/>
      <c r="N185" s="95"/>
      <c r="O185" s="94" t="s">
        <v>1427</v>
      </c>
      <c r="P185" s="96" t="str">
        <f>IF(ISBLANK(Q185),"",CONCATENATE(Q185,": ",VLOOKUP(Q185,Status!A:C,3,FALSE),IF(ISBLANK(R185),"",CONCATENATE(CHAR(10),R185,": ",VLOOKUP(R185,Status!A:C,3,FALSE),IF(ISBLANK(S185),"",CONCATENATE(CHAR(10),S185,": ",VLOOKUP(S185,Status!A:C,3,FALSE)))))))</f>
        <v/>
      </c>
      <c r="Q185" s="102"/>
      <c r="R185" s="97"/>
      <c r="S185" s="102"/>
      <c r="T185" s="103" t="s">
        <v>348</v>
      </c>
      <c r="U185" s="109"/>
      <c r="V185" s="100"/>
      <c r="W185" s="60"/>
      <c r="X185" s="60"/>
      <c r="Y185" s="60"/>
      <c r="Z185" s="60"/>
      <c r="AA185" s="60"/>
      <c r="AB185" s="60"/>
      <c r="AC185" s="60"/>
      <c r="AD185" s="60"/>
      <c r="AE185" s="60"/>
      <c r="AF185" s="60"/>
      <c r="AG185" s="60"/>
      <c r="AH185" s="60"/>
      <c r="AI185" s="60"/>
    </row>
    <row r="186" spans="1:35" ht="28">
      <c r="A186" s="111" t="s">
        <v>1896</v>
      </c>
      <c r="B186" s="94" t="s">
        <v>1880</v>
      </c>
      <c r="C186" s="94" t="s">
        <v>1894</v>
      </c>
      <c r="D186" s="112" t="s">
        <v>126</v>
      </c>
      <c r="E186" s="94">
        <v>1</v>
      </c>
      <c r="F186" s="113">
        <v>0</v>
      </c>
      <c r="G186" s="94">
        <v>3</v>
      </c>
      <c r="H186" s="113">
        <v>2</v>
      </c>
      <c r="I186" s="94" t="s">
        <v>126</v>
      </c>
      <c r="J186" s="113" t="s">
        <v>1425</v>
      </c>
      <c r="K186" s="114" t="s">
        <v>1897</v>
      </c>
      <c r="L186" s="110">
        <v>101</v>
      </c>
      <c r="M186" s="95"/>
      <c r="N186" s="95"/>
      <c r="O186" s="94" t="s">
        <v>1427</v>
      </c>
      <c r="P186" s="96" t="str">
        <f>IF(ISBLANK(Q186),"",CONCATENATE(Q186,": ",VLOOKUP(Q186,Status!A:C,3,FALSE),IF(ISBLANK(R186),"",CONCATENATE(CHAR(10),R186,": ",VLOOKUP(R186,Status!A:C,3,FALSE),IF(ISBLANK(S186),"",CONCATENATE(CHAR(10),S186,": ",VLOOKUP(S186,Status!A:C,3,FALSE)))))))</f>
        <v>Blinded: -35% Accruacy.  Skill and attack range is limited to a maximum of 3m.  Prevents performing attacks of opportunity.  Removed by First Aid and Peace of Mind.</v>
      </c>
      <c r="Q186" s="102" t="s">
        <v>1428</v>
      </c>
      <c r="R186" s="97"/>
      <c r="S186" s="102"/>
      <c r="T186" s="103" t="s">
        <v>348</v>
      </c>
      <c r="U186" s="109"/>
      <c r="V186" s="100"/>
      <c r="W186" s="60"/>
      <c r="X186" s="60"/>
      <c r="Y186" s="60"/>
      <c r="Z186" s="60"/>
      <c r="AA186" s="60"/>
      <c r="AB186" s="60"/>
      <c r="AC186" s="60"/>
      <c r="AD186" s="60"/>
      <c r="AE186" s="60"/>
      <c r="AF186" s="60"/>
      <c r="AG186" s="60"/>
      <c r="AH186" s="60"/>
      <c r="AI186" s="60"/>
    </row>
    <row r="187" spans="1:35" ht="14">
      <c r="A187" s="111" t="s">
        <v>1898</v>
      </c>
      <c r="B187" s="94" t="s">
        <v>1880</v>
      </c>
      <c r="C187" s="94" t="s">
        <v>1899</v>
      </c>
      <c r="D187" s="112" t="s">
        <v>126</v>
      </c>
      <c r="E187" s="94">
        <v>2</v>
      </c>
      <c r="F187" s="113">
        <v>0</v>
      </c>
      <c r="G187" s="94">
        <v>1</v>
      </c>
      <c r="H187" s="113">
        <v>13</v>
      </c>
      <c r="I187" s="94" t="s">
        <v>126</v>
      </c>
      <c r="J187" s="113" t="s">
        <v>126</v>
      </c>
      <c r="K187" s="114" t="s">
        <v>1900</v>
      </c>
      <c r="L187" s="94">
        <v>64</v>
      </c>
      <c r="M187" s="95"/>
      <c r="N187" s="95"/>
      <c r="O187" s="94" t="s">
        <v>1850</v>
      </c>
      <c r="P187" s="96" t="str">
        <f>IF(ISBLANK(Q187),"",CONCATENATE(Q187,": ",VLOOKUP(Q187,Status!A:C,3,FALSE),IF(ISBLANK(R187),"",CONCATENATE(CHAR(10),R187,": ",VLOOKUP(R187,Status!A:C,3,FALSE),IF(ISBLANK(S187),"",CONCATENATE(CHAR(10),S187,": ",VLOOKUP(S187,Status!A:C,3,FALSE)))))))</f>
        <v/>
      </c>
      <c r="Q187" s="97"/>
      <c r="R187" s="97"/>
      <c r="S187" s="97"/>
      <c r="T187" s="108"/>
      <c r="U187" s="109"/>
      <c r="V187" s="100"/>
      <c r="W187" s="60"/>
      <c r="X187" s="60"/>
      <c r="Y187" s="60"/>
      <c r="Z187" s="60"/>
      <c r="AA187" s="60"/>
      <c r="AB187" s="60"/>
      <c r="AC187" s="60"/>
      <c r="AD187" s="60"/>
      <c r="AE187" s="60"/>
      <c r="AF187" s="60"/>
      <c r="AG187" s="60"/>
      <c r="AH187" s="60"/>
      <c r="AI187" s="60"/>
    </row>
    <row r="188" spans="1:35" ht="28">
      <c r="A188" s="111" t="s">
        <v>1901</v>
      </c>
      <c r="B188" s="94" t="s">
        <v>1880</v>
      </c>
      <c r="C188" s="94" t="s">
        <v>1902</v>
      </c>
      <c r="D188" s="112" t="s">
        <v>126</v>
      </c>
      <c r="E188" s="94">
        <v>2</v>
      </c>
      <c r="F188" s="113">
        <v>0</v>
      </c>
      <c r="G188" s="94">
        <v>3</v>
      </c>
      <c r="H188" s="113">
        <v>2.5</v>
      </c>
      <c r="I188" s="94" t="s">
        <v>126</v>
      </c>
      <c r="J188" s="113" t="s">
        <v>1473</v>
      </c>
      <c r="K188" s="114" t="s">
        <v>1903</v>
      </c>
      <c r="L188" s="110">
        <v>53</v>
      </c>
      <c r="M188" s="95"/>
      <c r="N188" s="95"/>
      <c r="O188" s="94" t="s">
        <v>1850</v>
      </c>
      <c r="P188" s="96" t="str">
        <f>IF(ISBLANK(Q188),"",CONCATENATE(Q188,": ",VLOOKUP(Q188,Status!A:C,3,FALSE),IF(ISBLANK(R188),"",CONCATENATE(CHAR(10),R188,": ",VLOOKUP(R188,Status!A:C,3,FALSE),IF(ISBLANK(S188),"",CONCATENATE(CHAR(10),S188,": ",VLOOKUP(S188,Status!A:C,3,FALSE)))))))</f>
        <v>Bleeding: Take 28 Piercing damage each turn.  Removed by Cleanse Wounds, First Aid, Fortify, Mass Cleanse Wounds, Petrifying Touch, and Restoration.</v>
      </c>
      <c r="Q188" s="102" t="s">
        <v>1685</v>
      </c>
      <c r="R188" s="97"/>
      <c r="S188" s="102"/>
      <c r="T188" s="103" t="s">
        <v>348</v>
      </c>
      <c r="U188" s="109"/>
      <c r="V188" s="100"/>
      <c r="W188" s="60"/>
      <c r="X188" s="60"/>
      <c r="Y188" s="60"/>
      <c r="Z188" s="60"/>
      <c r="AA188" s="60"/>
      <c r="AB188" s="60"/>
      <c r="AC188" s="60"/>
      <c r="AD188" s="60"/>
      <c r="AE188" s="60"/>
      <c r="AF188" s="60"/>
      <c r="AG188" s="60"/>
      <c r="AH188" s="60"/>
      <c r="AI188" s="60"/>
    </row>
    <row r="189" spans="1:35" ht="28">
      <c r="A189" s="111" t="s">
        <v>1904</v>
      </c>
      <c r="B189" s="94" t="s">
        <v>1880</v>
      </c>
      <c r="C189" s="94" t="s">
        <v>1902</v>
      </c>
      <c r="D189" s="112" t="s">
        <v>126</v>
      </c>
      <c r="E189" s="94">
        <v>1</v>
      </c>
      <c r="F189" s="113">
        <v>0</v>
      </c>
      <c r="G189" s="94">
        <v>4</v>
      </c>
      <c r="H189" s="113" t="s">
        <v>126</v>
      </c>
      <c r="I189" s="94">
        <v>4</v>
      </c>
      <c r="J189" s="113" t="s">
        <v>1473</v>
      </c>
      <c r="K189" s="114" t="s">
        <v>1905</v>
      </c>
      <c r="L189" s="95"/>
      <c r="M189" s="95"/>
      <c r="N189" s="95"/>
      <c r="O189" s="94" t="s">
        <v>126</v>
      </c>
      <c r="P189" s="96" t="str">
        <f>IF(ISBLANK(Q189),"",CONCATENATE(Q189,": ",VLOOKUP(Q189,Status!A:C,3,FALSE),IF(ISBLANK(R189),"",CONCATENATE(CHAR(10),R189,": ",VLOOKUP(R189,Status!A:C,3,FALSE),IF(ISBLANK(S189),"",CONCATENATE(CHAR(10),S189,": ",VLOOKUP(S189,Status!A:C,3,FALSE)))))))</f>
        <v>Taunted: This character is controlled by the AI and will prefer to attack the inflictor.  Removed by Peace of Mind and Enrage.</v>
      </c>
      <c r="Q189" s="102" t="s">
        <v>1906</v>
      </c>
      <c r="R189" s="97"/>
      <c r="S189" s="97"/>
      <c r="T189" s="108"/>
      <c r="U189" s="109"/>
      <c r="V189" s="100"/>
      <c r="W189" s="60"/>
      <c r="X189" s="60"/>
      <c r="Y189" s="60"/>
      <c r="Z189" s="60"/>
      <c r="AA189" s="60"/>
      <c r="AB189" s="60"/>
      <c r="AC189" s="60"/>
      <c r="AD189" s="60"/>
      <c r="AE189" s="60"/>
      <c r="AF189" s="60"/>
      <c r="AG189" s="60"/>
      <c r="AH189" s="60"/>
      <c r="AI189" s="60"/>
    </row>
    <row r="190" spans="1:35" ht="14">
      <c r="A190" s="111" t="s">
        <v>1907</v>
      </c>
      <c r="B190" s="94" t="s">
        <v>1880</v>
      </c>
      <c r="C190" s="94" t="s">
        <v>1664</v>
      </c>
      <c r="D190" s="112" t="s">
        <v>126</v>
      </c>
      <c r="E190" s="94">
        <v>1</v>
      </c>
      <c r="F190" s="113">
        <v>0</v>
      </c>
      <c r="G190" s="94">
        <v>3</v>
      </c>
      <c r="H190" s="113">
        <v>13</v>
      </c>
      <c r="I190" s="94" t="s">
        <v>126</v>
      </c>
      <c r="J190" s="113" t="s">
        <v>126</v>
      </c>
      <c r="K190" s="114" t="s">
        <v>1908</v>
      </c>
      <c r="L190" s="95"/>
      <c r="M190" s="95"/>
      <c r="N190" s="95"/>
      <c r="O190" s="94" t="s">
        <v>126</v>
      </c>
      <c r="P190" s="96" t="str">
        <f>IF(ISBLANK(Q190),"",CONCATENATE(Q190,": ",VLOOKUP(Q190,Status!A:C,3,FALSE),IF(ISBLANK(R190),"",CONCATENATE(CHAR(10),R190,": ",VLOOKUP(R190,Status!A:C,3,FALSE),IF(ISBLANK(S190),"",CONCATENATE(CHAR(10),S190,": ",VLOOKUP(S190,Status!A:C,3,FALSE)))))))</f>
        <v/>
      </c>
      <c r="Q190" s="102"/>
      <c r="R190" s="97"/>
      <c r="S190" s="97"/>
      <c r="T190" s="108"/>
      <c r="U190" s="109"/>
      <c r="V190" s="100"/>
      <c r="W190" s="60"/>
      <c r="X190" s="60"/>
      <c r="Y190" s="60"/>
      <c r="Z190" s="60"/>
      <c r="AA190" s="60"/>
      <c r="AB190" s="60"/>
      <c r="AC190" s="60"/>
      <c r="AD190" s="60"/>
      <c r="AE190" s="60"/>
      <c r="AF190" s="60"/>
      <c r="AG190" s="60"/>
      <c r="AH190" s="60"/>
      <c r="AI190" s="60"/>
    </row>
    <row r="191" spans="1:35" ht="14">
      <c r="A191" s="111" t="s">
        <v>1909</v>
      </c>
      <c r="B191" s="94" t="s">
        <v>1880</v>
      </c>
      <c r="C191" s="94" t="s">
        <v>1910</v>
      </c>
      <c r="D191" s="112" t="s">
        <v>126</v>
      </c>
      <c r="E191" s="94">
        <v>1</v>
      </c>
      <c r="F191" s="113">
        <v>0</v>
      </c>
      <c r="G191" s="94">
        <v>0</v>
      </c>
      <c r="H191" s="113" t="s">
        <v>126</v>
      </c>
      <c r="I191" s="94">
        <v>4</v>
      </c>
      <c r="J191" s="113" t="s">
        <v>126</v>
      </c>
      <c r="K191" s="114" t="s">
        <v>1911</v>
      </c>
      <c r="L191" s="94">
        <v>155</v>
      </c>
      <c r="M191" s="95"/>
      <c r="N191" s="95"/>
      <c r="O191" s="94" t="s">
        <v>1427</v>
      </c>
      <c r="P191" s="96" t="str">
        <f>IF(ISBLANK(Q191),"",CONCATENATE(Q191,": ",VLOOKUP(Q191,Status!A:C,3,FALSE),IF(ISBLANK(R191),"",CONCATENATE(CHAR(10),R191,": ",VLOOKUP(R191,Status!A:C,3,FALSE),IF(ISBLANK(S191),"",CONCATENATE(CHAR(10),S191,": ",VLOOKUP(S191,Status!A:C,3,FALSE)))))))</f>
        <v/>
      </c>
      <c r="Q191" s="102"/>
      <c r="R191" s="97"/>
      <c r="S191" s="102"/>
      <c r="T191" s="103" t="s">
        <v>348</v>
      </c>
      <c r="U191" s="109"/>
      <c r="V191" s="100"/>
      <c r="W191" s="60"/>
      <c r="X191" s="60"/>
      <c r="Y191" s="60"/>
      <c r="Z191" s="60"/>
      <c r="AA191" s="60"/>
      <c r="AB191" s="60"/>
      <c r="AC191" s="60"/>
      <c r="AD191" s="60"/>
      <c r="AE191" s="60"/>
      <c r="AF191" s="60"/>
      <c r="AG191" s="60"/>
      <c r="AH191" s="60"/>
      <c r="AI191" s="60"/>
    </row>
    <row r="192" spans="1:35" ht="42">
      <c r="A192" s="105" t="s">
        <v>1912</v>
      </c>
      <c r="B192" s="117" t="s">
        <v>1913</v>
      </c>
      <c r="C192" s="106" t="s">
        <v>1422</v>
      </c>
      <c r="D192" s="91">
        <v>2</v>
      </c>
      <c r="E192" s="106">
        <v>1</v>
      </c>
      <c r="F192" s="92">
        <v>2</v>
      </c>
      <c r="G192" s="106">
        <v>3</v>
      </c>
      <c r="H192" s="92">
        <v>13</v>
      </c>
      <c r="I192" s="106" t="s">
        <v>126</v>
      </c>
      <c r="J192" s="92" t="s">
        <v>126</v>
      </c>
      <c r="K192" s="93" t="s">
        <v>1914</v>
      </c>
      <c r="L192" s="95"/>
      <c r="M192" s="95"/>
      <c r="N192" s="95"/>
      <c r="O192" s="94" t="s">
        <v>126</v>
      </c>
      <c r="P192" s="96" t="str">
        <f>IF(ISBLANK(Q192),"",CONCATENATE(Q192,": ",VLOOKUP(Q192,Status!A:C,3,FALSE),IF(ISBLANK(R192),"",CONCATENATE(CHAR(10),R192,": ",VLOOKUP(R192,Status!A:C,3,FALSE),IF(ISBLANK(S192),"",CONCATENATE(CHAR(10),S192,": ",VLOOKUP(S192,Status!A:C,3,FALSE)))))))</f>
        <v>Cursed Electric Infusion: Incarnate's damage type is Electric.  +3 Aerotheurge, +2 Source Points, -20% Earth Resistance, +120% Air Resistance, -20% Poison Resistance. Immune to Stunned and Shocked.</v>
      </c>
      <c r="Q192" s="102" t="s">
        <v>1912</v>
      </c>
      <c r="R192" s="97"/>
      <c r="S192" s="97"/>
      <c r="T192" s="108"/>
      <c r="U192" s="109"/>
      <c r="V192" s="100"/>
      <c r="W192" s="60"/>
      <c r="X192" s="60"/>
      <c r="Y192" s="60"/>
      <c r="Z192" s="60"/>
      <c r="AA192" s="60"/>
      <c r="AB192" s="60"/>
      <c r="AC192" s="60"/>
      <c r="AD192" s="60"/>
      <c r="AE192" s="60"/>
      <c r="AF192" s="60"/>
      <c r="AG192" s="60"/>
      <c r="AH192" s="60"/>
      <c r="AI192" s="60"/>
    </row>
    <row r="193" spans="1:35" ht="28">
      <c r="A193" s="89" t="s">
        <v>1915</v>
      </c>
      <c r="B193" s="117" t="s">
        <v>1913</v>
      </c>
      <c r="C193" s="90" t="s">
        <v>1422</v>
      </c>
      <c r="D193" s="119">
        <v>1</v>
      </c>
      <c r="E193" s="90">
        <v>1</v>
      </c>
      <c r="F193" s="92">
        <v>0</v>
      </c>
      <c r="G193" s="90">
        <v>3</v>
      </c>
      <c r="H193" s="92">
        <v>13</v>
      </c>
      <c r="I193" s="90" t="s">
        <v>126</v>
      </c>
      <c r="J193" s="92" t="s">
        <v>126</v>
      </c>
      <c r="K193" s="93" t="s">
        <v>1916</v>
      </c>
      <c r="L193" s="95"/>
      <c r="M193" s="95"/>
      <c r="N193" s="95"/>
      <c r="O193" s="94" t="s">
        <v>126</v>
      </c>
      <c r="P193" s="96" t="str">
        <f>IF(ISBLANK(Q193),"",CONCATENATE(Q193,": ",VLOOKUP(Q193,Status!A:C,3,FALSE),IF(ISBLANK(R193),"",CONCATENATE(CHAR(10),R193,": ",VLOOKUP(R193,Status!A:C,3,FALSE),IF(ISBLANK(S193),"",CONCATENATE(CHAR(10),S193,": ",VLOOKUP(S193,Status!A:C,3,FALSE)))))))</f>
        <v>Electric Infusion: Incarnate's damage type is Electric.  +3 Aerotheurge, -20% Earth Resistance, +100% Air Resistance, -20% Poison Resistance. Immune to Stunned and Shocked.</v>
      </c>
      <c r="Q193" s="102" t="s">
        <v>1915</v>
      </c>
      <c r="R193" s="97"/>
      <c r="S193" s="97"/>
      <c r="T193" s="108"/>
      <c r="U193" s="109"/>
      <c r="V193" s="100"/>
      <c r="W193" s="60"/>
      <c r="X193" s="60"/>
      <c r="Y193" s="60"/>
      <c r="Z193" s="60"/>
      <c r="AA193" s="60"/>
      <c r="AB193" s="60"/>
      <c r="AC193" s="60"/>
      <c r="AD193" s="60"/>
      <c r="AE193" s="60"/>
      <c r="AF193" s="60"/>
      <c r="AG193" s="60"/>
      <c r="AH193" s="60"/>
      <c r="AI193" s="60"/>
    </row>
    <row r="194" spans="1:35" ht="28">
      <c r="A194" s="89" t="s">
        <v>1917</v>
      </c>
      <c r="B194" s="117" t="s">
        <v>1913</v>
      </c>
      <c r="C194" s="116" t="s">
        <v>1537</v>
      </c>
      <c r="D194" s="91">
        <v>2</v>
      </c>
      <c r="E194" s="90">
        <v>1</v>
      </c>
      <c r="F194" s="92">
        <v>2</v>
      </c>
      <c r="G194" s="90">
        <v>3</v>
      </c>
      <c r="H194" s="92">
        <v>13</v>
      </c>
      <c r="I194" s="90" t="s">
        <v>126</v>
      </c>
      <c r="J194" s="92" t="s">
        <v>126</v>
      </c>
      <c r="K194" s="93" t="s">
        <v>1918</v>
      </c>
      <c r="L194" s="95"/>
      <c r="M194" s="95"/>
      <c r="N194" s="95"/>
      <c r="O194" s="94" t="s">
        <v>126</v>
      </c>
      <c r="P194" s="96" t="str">
        <f>IF(ISBLANK(Q194),"",CONCATENATE(Q194,": ",VLOOKUP(Q194,Status!A:C,3,FALSE),IF(ISBLANK(R194),"",CONCATENATE(CHAR(10),R194,": ",VLOOKUP(R194,Status!A:C,3,FALSE),IF(ISBLANK(S194),"",CONCATENATE(CHAR(10),S194,": ",VLOOKUP(S194,Status!A:C,3,FALSE)))))))</f>
        <v>Acid Infusion: Incarnate's damage type is Poison.  +3 Geomancer, +2 Source Points, +120% Poison Resistance, -20% Air Resistance.  Immune to Poisoned.</v>
      </c>
      <c r="Q194" s="102" t="s">
        <v>1917</v>
      </c>
      <c r="R194" s="97"/>
      <c r="S194" s="97"/>
      <c r="T194" s="108"/>
      <c r="U194" s="109"/>
      <c r="V194" s="100"/>
      <c r="W194" s="60"/>
      <c r="X194" s="60"/>
      <c r="Y194" s="60"/>
      <c r="Z194" s="60"/>
      <c r="AA194" s="60"/>
      <c r="AB194" s="60"/>
      <c r="AC194" s="60"/>
      <c r="AD194" s="60"/>
      <c r="AE194" s="60"/>
      <c r="AF194" s="60"/>
      <c r="AG194" s="60"/>
      <c r="AH194" s="60"/>
      <c r="AI194" s="60"/>
    </row>
    <row r="195" spans="1:35" ht="28">
      <c r="A195" s="89" t="s">
        <v>1919</v>
      </c>
      <c r="B195" s="117" t="s">
        <v>1913</v>
      </c>
      <c r="C195" s="116" t="s">
        <v>1537</v>
      </c>
      <c r="D195" s="119">
        <v>1</v>
      </c>
      <c r="E195" s="90">
        <v>1</v>
      </c>
      <c r="F195" s="92">
        <v>0</v>
      </c>
      <c r="G195" s="90">
        <v>3</v>
      </c>
      <c r="H195" s="92">
        <v>13</v>
      </c>
      <c r="I195" s="90" t="s">
        <v>126</v>
      </c>
      <c r="J195" s="92" t="s">
        <v>126</v>
      </c>
      <c r="K195" s="93" t="s">
        <v>1920</v>
      </c>
      <c r="L195" s="95"/>
      <c r="M195" s="95"/>
      <c r="N195" s="95"/>
      <c r="O195" s="94" t="s">
        <v>126</v>
      </c>
      <c r="P195" s="96" t="str">
        <f>IF(ISBLANK(Q195),"",CONCATENATE(Q195,": ",VLOOKUP(Q195,Status!A:C,3,FALSE),IF(ISBLANK(R195),"",CONCATENATE(CHAR(10),R195,": ",VLOOKUP(R195,Status!A:C,3,FALSE),IF(ISBLANK(S195),"",CONCATENATE(CHAR(10),S195,": ",VLOOKUP(S195,Status!A:C,3,FALSE)))))))</f>
        <v>Poison Infusion: Incarnate's damage type is Poison.  +3 Geomancer, -20% Air Resistance, +100% Poison Resistance.  Immune to Poisoned.</v>
      </c>
      <c r="Q195" s="102" t="s">
        <v>1919</v>
      </c>
      <c r="R195" s="97"/>
      <c r="S195" s="97"/>
      <c r="T195" s="108"/>
      <c r="U195" s="109"/>
      <c r="V195" s="100"/>
      <c r="W195" s="60"/>
      <c r="X195" s="60"/>
      <c r="Y195" s="60"/>
      <c r="Z195" s="60"/>
      <c r="AA195" s="60"/>
      <c r="AB195" s="60"/>
      <c r="AC195" s="60"/>
      <c r="AD195" s="60"/>
      <c r="AE195" s="60"/>
      <c r="AF195" s="60"/>
      <c r="AG195" s="60"/>
      <c r="AH195" s="60"/>
      <c r="AI195" s="60"/>
    </row>
    <row r="196" spans="1:35" ht="28">
      <c r="A196" s="89" t="s">
        <v>1921</v>
      </c>
      <c r="B196" s="117" t="s">
        <v>1913</v>
      </c>
      <c r="C196" s="116" t="s">
        <v>1618</v>
      </c>
      <c r="D196" s="91">
        <v>2</v>
      </c>
      <c r="E196" s="90">
        <v>3</v>
      </c>
      <c r="F196" s="92">
        <v>2</v>
      </c>
      <c r="G196" s="90">
        <v>3</v>
      </c>
      <c r="H196" s="92">
        <v>13</v>
      </c>
      <c r="I196" s="90" t="s">
        <v>126</v>
      </c>
      <c r="J196" s="92" t="s">
        <v>126</v>
      </c>
      <c r="K196" s="107" t="s">
        <v>1922</v>
      </c>
      <c r="L196" s="95"/>
      <c r="M196" s="95"/>
      <c r="N196" s="95"/>
      <c r="O196" s="94" t="s">
        <v>126</v>
      </c>
      <c r="P196" s="96" t="str">
        <f>IF(ISBLANK(Q196),"",CONCATENATE(Q196,": ",VLOOKUP(Q196,Status!A:C,3,FALSE),IF(ISBLANK(R196),"",CONCATENATE(CHAR(10),R196,": ",VLOOKUP(R196,Status!A:C,3,FALSE),IF(ISBLANK(S196),"",CONCATENATE(CHAR(10),S196,": ",VLOOKUP(S196,Status!A:C,3,FALSE)))))))</f>
        <v>Ice Infusion: Incarnate's damage type is Water.  +3 Hydrosophist, +2 Source Points, -20% Fire Resistance, +120% Water Resistance.  Immune to Frozen.</v>
      </c>
      <c r="Q196" s="102" t="s">
        <v>1921</v>
      </c>
      <c r="R196" s="97"/>
      <c r="S196" s="97"/>
      <c r="T196" s="108"/>
      <c r="U196" s="109"/>
      <c r="V196" s="100"/>
      <c r="W196" s="60"/>
      <c r="X196" s="60"/>
      <c r="Y196" s="60"/>
      <c r="Z196" s="60"/>
      <c r="AA196" s="60"/>
      <c r="AB196" s="60"/>
      <c r="AC196" s="60"/>
      <c r="AD196" s="60"/>
      <c r="AE196" s="60"/>
      <c r="AF196" s="60"/>
      <c r="AG196" s="60"/>
      <c r="AH196" s="60"/>
      <c r="AI196" s="60"/>
    </row>
    <row r="197" spans="1:35" ht="28">
      <c r="A197" s="105" t="s">
        <v>1923</v>
      </c>
      <c r="B197" s="117" t="s">
        <v>1913</v>
      </c>
      <c r="C197" s="117" t="s">
        <v>1618</v>
      </c>
      <c r="D197" s="119">
        <v>1</v>
      </c>
      <c r="E197" s="106">
        <v>1</v>
      </c>
      <c r="F197" s="92">
        <v>0</v>
      </c>
      <c r="G197" s="106">
        <v>3</v>
      </c>
      <c r="H197" s="92">
        <v>13</v>
      </c>
      <c r="I197" s="106" t="s">
        <v>126</v>
      </c>
      <c r="J197" s="92" t="s">
        <v>126</v>
      </c>
      <c r="K197" s="107" t="s">
        <v>1924</v>
      </c>
      <c r="L197" s="95"/>
      <c r="M197" s="95"/>
      <c r="N197" s="95"/>
      <c r="O197" s="94" t="s">
        <v>126</v>
      </c>
      <c r="P197" s="96" t="str">
        <f>IF(ISBLANK(Q197),"",CONCATENATE(Q197,": ",VLOOKUP(Q197,Status!A:C,3,FALSE),IF(ISBLANK(R197),"",CONCATENATE(CHAR(10),R197,": ",VLOOKUP(R197,Status!A:C,3,FALSE),IF(ISBLANK(S197),"",CONCATENATE(CHAR(10),S197,": ",VLOOKUP(S197,Status!A:C,3,FALSE)))))))</f>
        <v>Water Infusion: Incarnate's damage type is Water.  +3 Hydrosophist, -20% Fire Resistance, +100% Water Resistance.  Immune to Frozen.</v>
      </c>
      <c r="Q197" s="102" t="s">
        <v>1923</v>
      </c>
      <c r="R197" s="97"/>
      <c r="S197" s="97"/>
      <c r="T197" s="108"/>
      <c r="U197" s="109"/>
      <c r="V197" s="100"/>
      <c r="W197" s="60"/>
      <c r="X197" s="60"/>
      <c r="Y197" s="60"/>
      <c r="Z197" s="60"/>
      <c r="AA197" s="60"/>
      <c r="AB197" s="60"/>
      <c r="AC197" s="60"/>
      <c r="AD197" s="60"/>
      <c r="AE197" s="60"/>
      <c r="AF197" s="60"/>
      <c r="AG197" s="60"/>
      <c r="AH197" s="60"/>
      <c r="AI197" s="60"/>
    </row>
    <row r="198" spans="1:35" ht="22">
      <c r="A198" s="111" t="s">
        <v>1925</v>
      </c>
      <c r="B198" s="94" t="s">
        <v>1913</v>
      </c>
      <c r="C198" s="94" t="s">
        <v>1926</v>
      </c>
      <c r="D198" s="112" t="s">
        <v>126</v>
      </c>
      <c r="E198" s="94">
        <v>1</v>
      </c>
      <c r="F198" s="113">
        <v>0</v>
      </c>
      <c r="G198" s="94">
        <v>3</v>
      </c>
      <c r="H198" s="113" t="s">
        <v>126</v>
      </c>
      <c r="I198" s="94" t="s">
        <v>126</v>
      </c>
      <c r="J198" s="113" t="s">
        <v>126</v>
      </c>
      <c r="K198" s="114" t="s">
        <v>1927</v>
      </c>
      <c r="L198" s="95"/>
      <c r="M198" s="95"/>
      <c r="N198" s="95"/>
      <c r="O198" s="94" t="s">
        <v>126</v>
      </c>
      <c r="P198" s="96" t="str">
        <f>IF(ISBLANK(Q198),"",CONCATENATE(Q198,": ",VLOOKUP(Q198,Status!A:C,3,FALSE),IF(ISBLANK(R198),"",CONCATENATE(CHAR(10),R198,": ",VLOOKUP(R198,Status!A:C,3,FALSE),IF(ISBLANK(S198),"",CONCATENATE(CHAR(10),S198,": ",VLOOKUP(S198,Status!A:C,3,FALSE)))))))</f>
        <v>Demonic Tutelage: Deal 94 Physical damage to enemies that walk into a 3m radius around you.</v>
      </c>
      <c r="Q198" s="102" t="s">
        <v>1925</v>
      </c>
      <c r="R198" s="97"/>
      <c r="S198" s="97"/>
      <c r="T198" s="108"/>
      <c r="U198" s="109"/>
      <c r="V198" s="100"/>
      <c r="W198" s="60"/>
      <c r="X198" s="60"/>
      <c r="Y198" s="60"/>
      <c r="Z198" s="60"/>
      <c r="AA198" s="60"/>
      <c r="AB198" s="60"/>
      <c r="AC198" s="60"/>
      <c r="AD198" s="60"/>
      <c r="AE198" s="60"/>
      <c r="AF198" s="60"/>
      <c r="AG198" s="60"/>
      <c r="AH198" s="60"/>
      <c r="AI198" s="60"/>
    </row>
    <row r="199" spans="1:35" ht="28">
      <c r="A199" s="111" t="s">
        <v>1928</v>
      </c>
      <c r="B199" s="94" t="s">
        <v>1913</v>
      </c>
      <c r="C199" s="94" t="s">
        <v>1926</v>
      </c>
      <c r="D199" s="112" t="s">
        <v>126</v>
      </c>
      <c r="E199" s="94">
        <v>2</v>
      </c>
      <c r="F199" s="113">
        <v>0</v>
      </c>
      <c r="G199" s="94">
        <v>1</v>
      </c>
      <c r="H199" s="113">
        <v>13</v>
      </c>
      <c r="I199" s="94" t="s">
        <v>126</v>
      </c>
      <c r="J199" s="113" t="s">
        <v>1425</v>
      </c>
      <c r="K199" s="114" t="s">
        <v>1929</v>
      </c>
      <c r="L199" s="110">
        <v>132</v>
      </c>
      <c r="M199" s="95"/>
      <c r="N199" s="95"/>
      <c r="O199" s="94" t="s">
        <v>126</v>
      </c>
      <c r="P199" s="96" t="str">
        <f>IF(ISBLANK(Q199),"",CONCATENATE(Q199,": ",VLOOKUP(Q199,Status!A:C,3,FALSE),IF(ISBLANK(R199),"",CONCATENATE(CHAR(10),R199,": ",VLOOKUP(R199,Status!A:C,3,FALSE),IF(ISBLANK(S199),"",CONCATENATE(CHAR(10),S199,": ",VLOOKUP(S199,Status!A:C,3,FALSE)))))))</f>
        <v>Terrified: Character cannot be controlled and will run away.  -20% Dodging.  Removed by Peace of Mind and Enrage.</v>
      </c>
      <c r="Q199" s="102" t="s">
        <v>1874</v>
      </c>
      <c r="R199" s="97"/>
      <c r="S199" s="97"/>
      <c r="T199" s="108"/>
      <c r="U199" s="109"/>
      <c r="V199" s="100"/>
      <c r="W199" s="60"/>
      <c r="X199" s="60"/>
      <c r="Y199" s="60"/>
      <c r="Z199" s="60"/>
      <c r="AA199" s="60"/>
      <c r="AB199" s="60"/>
      <c r="AC199" s="60"/>
      <c r="AD199" s="60"/>
      <c r="AE199" s="60"/>
      <c r="AF199" s="60"/>
      <c r="AG199" s="60"/>
      <c r="AH199" s="60"/>
      <c r="AI199" s="60"/>
    </row>
    <row r="200" spans="1:35" ht="28">
      <c r="A200" s="105" t="s">
        <v>1930</v>
      </c>
      <c r="B200" s="117" t="s">
        <v>1913</v>
      </c>
      <c r="C200" s="117" t="s">
        <v>1624</v>
      </c>
      <c r="D200" s="119">
        <v>1</v>
      </c>
      <c r="E200" s="106">
        <v>1</v>
      </c>
      <c r="F200" s="92">
        <v>0</v>
      </c>
      <c r="G200" s="106">
        <v>3</v>
      </c>
      <c r="H200" s="92">
        <v>13</v>
      </c>
      <c r="I200" s="106" t="s">
        <v>126</v>
      </c>
      <c r="J200" s="92" t="s">
        <v>126</v>
      </c>
      <c r="K200" s="107" t="s">
        <v>1931</v>
      </c>
      <c r="L200" s="95"/>
      <c r="M200" s="95"/>
      <c r="N200" s="95"/>
      <c r="O200" s="94" t="s">
        <v>126</v>
      </c>
      <c r="P200" s="96" t="str">
        <f>IF(ISBLANK(Q200),"",CONCATENATE(Q200,": ",VLOOKUP(Q200,Status!A:C,3,FALSE),IF(ISBLANK(R200),"",CONCATENATE(CHAR(10),R200,": ",VLOOKUP(R200,Status!A:C,3,FALSE),IF(ISBLANK(S200),"",CONCATENATE(CHAR(10),S200,": ",VLOOKUP(S200,Status!A:C,3,FALSE)))))))</f>
        <v>Fire Infusion: Incarnate's damage type is Fire.  +5 Pyrokinetic, -20% Water Resistance, +100% Fire Resistance.  Immune to Burning.</v>
      </c>
      <c r="Q200" s="102" t="s">
        <v>1930</v>
      </c>
      <c r="R200" s="97"/>
      <c r="S200" s="97"/>
      <c r="T200" s="108"/>
      <c r="U200" s="109"/>
      <c r="V200" s="100"/>
      <c r="W200" s="60"/>
      <c r="X200" s="60"/>
      <c r="Y200" s="60"/>
      <c r="Z200" s="60"/>
      <c r="AA200" s="60"/>
      <c r="AB200" s="60"/>
      <c r="AC200" s="60"/>
      <c r="AD200" s="60"/>
      <c r="AE200" s="60"/>
      <c r="AF200" s="60"/>
      <c r="AG200" s="60"/>
      <c r="AH200" s="60"/>
      <c r="AI200" s="60"/>
    </row>
    <row r="201" spans="1:35" ht="28">
      <c r="A201" s="105" t="s">
        <v>1932</v>
      </c>
      <c r="B201" s="117" t="s">
        <v>1913</v>
      </c>
      <c r="C201" s="117" t="s">
        <v>1624</v>
      </c>
      <c r="D201" s="91">
        <v>2</v>
      </c>
      <c r="E201" s="106">
        <v>1</v>
      </c>
      <c r="F201" s="92">
        <v>2</v>
      </c>
      <c r="G201" s="106">
        <v>3</v>
      </c>
      <c r="H201" s="92">
        <v>13</v>
      </c>
      <c r="I201" s="106" t="s">
        <v>126</v>
      </c>
      <c r="J201" s="92" t="s">
        <v>126</v>
      </c>
      <c r="K201" s="107" t="s">
        <v>1933</v>
      </c>
      <c r="L201" s="95"/>
      <c r="M201" s="95"/>
      <c r="N201" s="95"/>
      <c r="O201" s="94" t="s">
        <v>126</v>
      </c>
      <c r="P201" s="96" t="str">
        <f>IF(ISBLANK(Q201),"",CONCATENATE(Q201,": ",VLOOKUP(Q201,Status!A:C,3,FALSE),IF(ISBLANK(R201),"",CONCATENATE(CHAR(10),R201,": ",VLOOKUP(R201,Status!A:C,3,FALSE),IF(ISBLANK(S201),"",CONCATENATE(CHAR(10),S201,": ",VLOOKUP(S201,Status!A:C,3,FALSE)))))))</f>
        <v>Necrofire Infusion: Incarnate's damage type is Fire.  +3 Pyrokinetic, +2 Source Points, -20% Water Resistance, +120% Fire Resistance.  Immune to Burning.</v>
      </c>
      <c r="Q201" s="102" t="s">
        <v>1932</v>
      </c>
      <c r="R201" s="97"/>
      <c r="S201" s="97"/>
      <c r="T201" s="108"/>
      <c r="U201" s="109"/>
      <c r="V201" s="100"/>
      <c r="W201" s="60"/>
      <c r="X201" s="60"/>
      <c r="Y201" s="60"/>
      <c r="Z201" s="60"/>
      <c r="AA201" s="60"/>
      <c r="AB201" s="60"/>
      <c r="AC201" s="60"/>
      <c r="AD201" s="60"/>
      <c r="AE201" s="60"/>
      <c r="AF201" s="60"/>
      <c r="AG201" s="60"/>
      <c r="AH201" s="60"/>
      <c r="AI201" s="60"/>
    </row>
    <row r="202" spans="1:35" ht="28">
      <c r="A202" s="105" t="s">
        <v>1934</v>
      </c>
      <c r="B202" s="106" t="s">
        <v>1913</v>
      </c>
      <c r="C202" s="106" t="s">
        <v>338</v>
      </c>
      <c r="D202" s="119" t="s">
        <v>126</v>
      </c>
      <c r="E202" s="106">
        <v>2</v>
      </c>
      <c r="F202" s="92">
        <v>0</v>
      </c>
      <c r="G202" s="106">
        <v>5</v>
      </c>
      <c r="H202" s="92">
        <v>13</v>
      </c>
      <c r="I202" s="106" t="s">
        <v>126</v>
      </c>
      <c r="J202" s="92" t="s">
        <v>126</v>
      </c>
      <c r="K202" s="107" t="s">
        <v>1935</v>
      </c>
      <c r="L202" s="95"/>
      <c r="M202" s="95"/>
      <c r="N202" s="95"/>
      <c r="O202" s="94" t="s">
        <v>126</v>
      </c>
      <c r="P202" s="96" t="str">
        <f>IF(ISBLANK(Q202),"",CONCATENATE(Q202,": ",VLOOKUP(Q202,Status!A:C,3,FALSE),IF(ISBLANK(R202),"",CONCATENATE(CHAR(10),R202,": ",VLOOKUP(R202,Status!A:C,3,FALSE),IF(ISBLANK(S202),"",CONCATENATE(CHAR(10),S202,": ",VLOOKUP(S202,Status!A:C,3,FALSE)))))))</f>
        <v/>
      </c>
      <c r="Q202" s="102"/>
      <c r="R202" s="97"/>
      <c r="S202" s="97"/>
      <c r="T202" s="108"/>
      <c r="U202" s="109"/>
      <c r="V202" s="100"/>
      <c r="W202" s="60"/>
      <c r="X202" s="60"/>
      <c r="Y202" s="60"/>
      <c r="Z202" s="60"/>
      <c r="AA202" s="60"/>
      <c r="AB202" s="60"/>
      <c r="AC202" s="60"/>
      <c r="AD202" s="60"/>
      <c r="AE202" s="60"/>
      <c r="AF202" s="60"/>
      <c r="AG202" s="60"/>
      <c r="AH202" s="60"/>
      <c r="AI202" s="60"/>
    </row>
    <row r="203" spans="1:35" ht="28">
      <c r="A203" s="105" t="s">
        <v>1936</v>
      </c>
      <c r="B203" s="106" t="s">
        <v>1913</v>
      </c>
      <c r="C203" s="106" t="s">
        <v>338</v>
      </c>
      <c r="D203" s="119" t="s">
        <v>126</v>
      </c>
      <c r="E203" s="106">
        <v>2</v>
      </c>
      <c r="F203" s="92">
        <v>0</v>
      </c>
      <c r="G203" s="106">
        <v>6</v>
      </c>
      <c r="H203" s="92">
        <v>13</v>
      </c>
      <c r="I203" s="106" t="s">
        <v>126</v>
      </c>
      <c r="J203" s="92" t="s">
        <v>126</v>
      </c>
      <c r="K203" s="107" t="s">
        <v>1937</v>
      </c>
      <c r="L203" s="95"/>
      <c r="M203" s="95"/>
      <c r="N203" s="95"/>
      <c r="O203" s="94" t="s">
        <v>126</v>
      </c>
      <c r="P203" s="96" t="str">
        <f>IF(ISBLANK(Q203),"",CONCATENATE(Q203,": ",VLOOKUP(Q203,Status!A:C,3,FALSE),IF(ISBLANK(R203),"",CONCATENATE(CHAR(10),R203,": ",VLOOKUP(R203,Status!A:C,3,FALSE),IF(ISBLANK(S203),"",CONCATENATE(CHAR(10),S203,": ",VLOOKUP(S203,Status!A:C,3,FALSE)))))))</f>
        <v/>
      </c>
      <c r="Q203" s="102"/>
      <c r="R203" s="97"/>
      <c r="S203" s="97"/>
      <c r="T203" s="108"/>
      <c r="U203" s="109"/>
      <c r="V203" s="100"/>
      <c r="W203" s="60"/>
      <c r="X203" s="60"/>
      <c r="Y203" s="60"/>
      <c r="Z203" s="60"/>
      <c r="AA203" s="60"/>
      <c r="AB203" s="60"/>
      <c r="AC203" s="60"/>
      <c r="AD203" s="60"/>
      <c r="AE203" s="60"/>
      <c r="AF203" s="60"/>
      <c r="AG203" s="60"/>
      <c r="AH203" s="60"/>
      <c r="AI203" s="60"/>
    </row>
    <row r="204" spans="1:35" ht="14">
      <c r="A204" s="121" t="s">
        <v>1938</v>
      </c>
      <c r="B204" s="106" t="s">
        <v>1913</v>
      </c>
      <c r="C204" s="106" t="s">
        <v>338</v>
      </c>
      <c r="D204" s="119" t="s">
        <v>126</v>
      </c>
      <c r="E204" s="106">
        <v>2</v>
      </c>
      <c r="F204" s="92">
        <v>0</v>
      </c>
      <c r="G204" s="106">
        <v>6</v>
      </c>
      <c r="H204" s="92"/>
      <c r="I204" s="106"/>
      <c r="J204" s="92" t="s">
        <v>126</v>
      </c>
      <c r="K204" s="122" t="s">
        <v>1939</v>
      </c>
      <c r="L204" s="95"/>
      <c r="M204" s="95"/>
      <c r="N204" s="95"/>
      <c r="O204" s="94" t="s">
        <v>126</v>
      </c>
      <c r="P204" s="96" t="str">
        <f>IF(ISBLANK(Q204),"",CONCATENATE(Q204,": ",VLOOKUP(Q204,Status!A:C,3,FALSE),IF(ISBLANK(R204),"",CONCATENATE(CHAR(10),R204,": ",VLOOKUP(R204,Status!A:C,3,FALSE),IF(ISBLANK(S204),"",CONCATENATE(CHAR(10),S204,": ",VLOOKUP(S204,Status!A:C,3,FALSE)))))))</f>
        <v/>
      </c>
      <c r="Q204" s="102"/>
      <c r="R204" s="97"/>
      <c r="S204" s="97"/>
      <c r="T204" s="108"/>
      <c r="U204" s="109"/>
      <c r="V204" s="100"/>
      <c r="W204" s="60"/>
      <c r="X204" s="60"/>
      <c r="Y204" s="60"/>
      <c r="Z204" s="60"/>
      <c r="AA204" s="60"/>
      <c r="AB204" s="60"/>
      <c r="AC204" s="60"/>
      <c r="AD204" s="60"/>
      <c r="AE204" s="60"/>
      <c r="AF204" s="60"/>
      <c r="AG204" s="60"/>
      <c r="AH204" s="60"/>
      <c r="AI204" s="60"/>
    </row>
    <row r="205" spans="1:35" ht="28">
      <c r="A205" s="111" t="s">
        <v>1940</v>
      </c>
      <c r="B205" s="94" t="s">
        <v>1913</v>
      </c>
      <c r="C205" s="94" t="s">
        <v>1913</v>
      </c>
      <c r="D205" s="112">
        <v>3</v>
      </c>
      <c r="E205" s="94">
        <v>1</v>
      </c>
      <c r="F205" s="113">
        <v>0</v>
      </c>
      <c r="G205" s="94">
        <v>1</v>
      </c>
      <c r="H205" s="113">
        <v>13</v>
      </c>
      <c r="I205" s="94" t="s">
        <v>126</v>
      </c>
      <c r="J205" s="113" t="s">
        <v>126</v>
      </c>
      <c r="K205" s="114" t="s">
        <v>1941</v>
      </c>
      <c r="L205" s="95"/>
      <c r="M205" s="95"/>
      <c r="N205" s="95"/>
      <c r="O205" s="94" t="s">
        <v>126</v>
      </c>
      <c r="P205" s="96" t="str">
        <f>IF(ISBLANK(Q205),"",CONCATENATE(Q205,": ",VLOOKUP(Q205,Status!A:C,3,FALSE),IF(ISBLANK(R205),"",CONCATENATE(CHAR(10),R205,": ",VLOOKUP(R205,Status!A:C,3,FALSE),IF(ISBLANK(S205),"",CONCATENATE(CHAR(10),S205,": ",VLOOKUP(S205,Status!A:C,3,FALSE)))))))</f>
        <v/>
      </c>
      <c r="Q205" s="102"/>
      <c r="R205" s="97"/>
      <c r="S205" s="97"/>
      <c r="T205" s="108"/>
      <c r="U205" s="109"/>
      <c r="V205" s="100"/>
      <c r="W205" s="60"/>
      <c r="X205" s="60"/>
      <c r="Y205" s="60"/>
      <c r="Z205" s="60"/>
      <c r="AA205" s="60"/>
      <c r="AB205" s="60"/>
      <c r="AC205" s="60"/>
      <c r="AD205" s="60"/>
      <c r="AE205" s="60"/>
      <c r="AF205" s="60"/>
      <c r="AG205" s="60"/>
      <c r="AH205" s="60"/>
      <c r="AI205" s="60"/>
    </row>
    <row r="206" spans="1:35" ht="126">
      <c r="A206" s="89" t="s">
        <v>1942</v>
      </c>
      <c r="B206" s="116" t="s">
        <v>1913</v>
      </c>
      <c r="C206" s="116" t="s">
        <v>1913</v>
      </c>
      <c r="D206" s="91">
        <v>1</v>
      </c>
      <c r="E206" s="90">
        <v>2</v>
      </c>
      <c r="F206" s="92">
        <v>0</v>
      </c>
      <c r="G206" s="90">
        <v>6</v>
      </c>
      <c r="H206" s="92">
        <v>13</v>
      </c>
      <c r="I206" s="90" t="s">
        <v>126</v>
      </c>
      <c r="J206" s="92" t="s">
        <v>126</v>
      </c>
      <c r="K206" s="93" t="s">
        <v>1943</v>
      </c>
      <c r="L206" s="95"/>
      <c r="M206" s="95"/>
      <c r="N206" s="95"/>
      <c r="O206" s="94" t="s">
        <v>126</v>
      </c>
      <c r="P206" s="96" t="str">
        <f>IF(ISBLANK(Q206),"",CONCATENATE(Q206,": ",VLOOKUP(Q206,Status!A:C,3,FALSE),IF(ISBLANK(R206),"",CONCATENATE(CHAR(10),R206,": ",VLOOKUP(R206,Status!A:C,3,FALSE),IF(ISBLANK(S206),"",CONCATENATE(CHAR(10),S206,": ",VLOOKUP(S206,Status!A:C,3,FALSE)))))))</f>
        <v/>
      </c>
      <c r="Q206" s="102"/>
      <c r="R206" s="97"/>
      <c r="S206" s="97"/>
      <c r="T206" s="108"/>
      <c r="U206" s="109"/>
      <c r="V206" s="100"/>
      <c r="W206" s="60"/>
      <c r="X206" s="60"/>
      <c r="Y206" s="60"/>
      <c r="Z206" s="60"/>
      <c r="AA206" s="60"/>
      <c r="AB206" s="60"/>
      <c r="AC206" s="60"/>
      <c r="AD206" s="60"/>
      <c r="AE206" s="60"/>
      <c r="AF206" s="60"/>
      <c r="AG206" s="60"/>
      <c r="AH206" s="60"/>
      <c r="AI206" s="60"/>
    </row>
    <row r="207" spans="1:35" ht="14">
      <c r="A207" s="105" t="s">
        <v>1944</v>
      </c>
      <c r="B207" s="117" t="s">
        <v>1913</v>
      </c>
      <c r="C207" s="117" t="s">
        <v>1913</v>
      </c>
      <c r="D207" s="91">
        <v>1</v>
      </c>
      <c r="E207" s="106">
        <v>2</v>
      </c>
      <c r="F207" s="92">
        <v>0</v>
      </c>
      <c r="G207" s="106">
        <v>1</v>
      </c>
      <c r="H207" s="92">
        <v>13</v>
      </c>
      <c r="I207" s="106">
        <v>1</v>
      </c>
      <c r="J207" s="92" t="s">
        <v>126</v>
      </c>
      <c r="K207" s="107" t="s">
        <v>1945</v>
      </c>
      <c r="L207" s="94">
        <v>49</v>
      </c>
      <c r="M207" s="95"/>
      <c r="N207" s="95"/>
      <c r="O207" s="94" t="s">
        <v>1427</v>
      </c>
      <c r="P207" s="96" t="str">
        <f>IF(ISBLANK(Q207),"",CONCATENATE(Q207,": ",VLOOKUP(Q207,Status!A:C,3,FALSE),IF(ISBLANK(R207),"",CONCATENATE(CHAR(10),R207,": ",VLOOKUP(R207,Status!A:C,3,FALSE),IF(ISBLANK(S207),"",CONCATENATE(CHAR(10),S207,": ",VLOOKUP(S207,Status!A:C,3,FALSE)))))))</f>
        <v/>
      </c>
      <c r="Q207" s="102"/>
      <c r="R207" s="97"/>
      <c r="S207" s="102"/>
      <c r="T207" s="103" t="s">
        <v>348</v>
      </c>
      <c r="U207" s="104"/>
      <c r="V207" s="100"/>
      <c r="W207" s="60"/>
      <c r="X207" s="60"/>
      <c r="Y207" s="60"/>
      <c r="Z207" s="60"/>
      <c r="AA207" s="60"/>
      <c r="AB207" s="60"/>
      <c r="AC207" s="60"/>
      <c r="AD207" s="60"/>
      <c r="AE207" s="60"/>
      <c r="AF207" s="60"/>
      <c r="AG207" s="60"/>
      <c r="AH207" s="60"/>
      <c r="AI207" s="60"/>
    </row>
    <row r="208" spans="1:35" ht="28">
      <c r="A208" s="105" t="s">
        <v>1946</v>
      </c>
      <c r="B208" s="117" t="s">
        <v>1913</v>
      </c>
      <c r="C208" s="117" t="s">
        <v>1913</v>
      </c>
      <c r="D208" s="91">
        <v>2</v>
      </c>
      <c r="E208" s="106">
        <v>3</v>
      </c>
      <c r="F208" s="92">
        <v>0</v>
      </c>
      <c r="G208" s="106">
        <v>5</v>
      </c>
      <c r="H208" s="92">
        <v>13</v>
      </c>
      <c r="I208" s="106" t="s">
        <v>126</v>
      </c>
      <c r="J208" s="92" t="s">
        <v>1425</v>
      </c>
      <c r="K208" s="107" t="s">
        <v>1947</v>
      </c>
      <c r="L208" s="95"/>
      <c r="M208" s="95"/>
      <c r="N208" s="95"/>
      <c r="O208" s="94" t="s">
        <v>126</v>
      </c>
      <c r="P208" s="96" t="str">
        <f>IF(ISBLANK(Q208),"",CONCATENATE(Q208,": ",VLOOKUP(Q208,Status!A:C,3,FALSE),IF(ISBLANK(R208),"",CONCATENATE(CHAR(10),R208,": ",VLOOKUP(R208,Status!A:C,3,FALSE),IF(ISBLANK(S208),"",CONCATENATE(CHAR(10),S208,": ",VLOOKUP(S208,Status!A:C,3,FALSE)))))))</f>
        <v>Charmed: Temporarily allied with the inflictor.  Character is not directly controlled by the player.  Removed by Enrage, Peace of Mind, or by killing the inflictor.</v>
      </c>
      <c r="Q208" s="102" t="s">
        <v>1948</v>
      </c>
      <c r="R208" s="97"/>
      <c r="S208" s="97"/>
      <c r="T208" s="108"/>
      <c r="U208" s="109"/>
      <c r="V208" s="100"/>
      <c r="W208" s="60"/>
      <c r="X208" s="60"/>
      <c r="Y208" s="60"/>
      <c r="Z208" s="60"/>
      <c r="AA208" s="60"/>
      <c r="AB208" s="60"/>
      <c r="AC208" s="60"/>
      <c r="AD208" s="60"/>
      <c r="AE208" s="60"/>
      <c r="AF208" s="60"/>
      <c r="AG208" s="60"/>
      <c r="AH208" s="60"/>
      <c r="AI208" s="60"/>
    </row>
    <row r="209" spans="1:35" ht="14">
      <c r="A209" s="105" t="s">
        <v>1949</v>
      </c>
      <c r="B209" s="117" t="s">
        <v>1913</v>
      </c>
      <c r="C209" s="117" t="s">
        <v>1913</v>
      </c>
      <c r="D209" s="91">
        <v>3</v>
      </c>
      <c r="E209" s="106">
        <v>2</v>
      </c>
      <c r="F209" s="92">
        <v>2</v>
      </c>
      <c r="G209" s="106">
        <v>10</v>
      </c>
      <c r="H209" s="92" t="s">
        <v>126</v>
      </c>
      <c r="I209" s="106">
        <v>13</v>
      </c>
      <c r="J209" s="92" t="s">
        <v>126</v>
      </c>
      <c r="K209" s="107" t="s">
        <v>1950</v>
      </c>
      <c r="L209" s="95"/>
      <c r="M209" s="95"/>
      <c r="N209" s="95"/>
      <c r="O209" s="94" t="s">
        <v>126</v>
      </c>
      <c r="P209" s="96" t="str">
        <f>IF(ISBLANK(Q209),"",CONCATENATE(Q209,": ",VLOOKUP(Q209,Status!A:C,3,FALSE),IF(ISBLANK(R209),"",CONCATENATE(CHAR(10),R209,": ",VLOOKUP(R209,Status!A:C,3,FALSE),IF(ISBLANK(S209),"",CONCATENATE(CHAR(10),S209,": ",VLOOKUP(S209,Status!A:C,3,FALSE)))))))</f>
        <v>Persisting: Cannot die from damage and won't die when the duration of the summon runs out.</v>
      </c>
      <c r="Q209" s="102" t="s">
        <v>1951</v>
      </c>
      <c r="R209" s="97"/>
      <c r="S209" s="97"/>
      <c r="T209" s="108"/>
      <c r="U209" s="109"/>
      <c r="V209" s="100"/>
      <c r="W209" s="60"/>
      <c r="X209" s="60"/>
      <c r="Y209" s="60"/>
      <c r="Z209" s="60"/>
      <c r="AA209" s="60"/>
      <c r="AB209" s="60"/>
      <c r="AC209" s="60"/>
      <c r="AD209" s="60"/>
      <c r="AE209" s="60"/>
      <c r="AF209" s="60"/>
      <c r="AG209" s="60"/>
      <c r="AH209" s="60"/>
      <c r="AI209" s="60"/>
    </row>
    <row r="210" spans="1:35" ht="42">
      <c r="A210" s="89" t="s">
        <v>1952</v>
      </c>
      <c r="B210" s="116" t="s">
        <v>1913</v>
      </c>
      <c r="C210" s="116" t="s">
        <v>1913</v>
      </c>
      <c r="D210" s="91">
        <v>1</v>
      </c>
      <c r="E210" s="90">
        <v>2</v>
      </c>
      <c r="F210" s="92">
        <v>0</v>
      </c>
      <c r="G210" s="90">
        <v>1</v>
      </c>
      <c r="H210" s="92">
        <v>13</v>
      </c>
      <c r="I210" s="90" t="s">
        <v>126</v>
      </c>
      <c r="J210" s="92" t="s">
        <v>126</v>
      </c>
      <c r="K210" s="93" t="s">
        <v>1953</v>
      </c>
      <c r="L210" s="95"/>
      <c r="M210" s="95"/>
      <c r="N210" s="95"/>
      <c r="O210" s="94" t="s">
        <v>126</v>
      </c>
      <c r="P210" s="96" t="str">
        <f>IF(ISBLANK(Q210),"",CONCATENATE(Q210,": ",VLOOKUP(Q210,Status!A:C,3,FALSE),IF(ISBLANK(R210),"",CONCATENATE(CHAR(10),R210,": ",VLOOKUP(R210,Status!A:C,3,FALSE),IF(ISBLANK(S210),"",CONCATENATE(CHAR(10),S210,": ",VLOOKUP(S210,Status!A:C,3,FALSE)))))))</f>
        <v/>
      </c>
      <c r="Q210" s="102"/>
      <c r="R210" s="97"/>
      <c r="S210" s="97"/>
      <c r="T210" s="108"/>
      <c r="U210" s="109"/>
      <c r="V210" s="100"/>
      <c r="W210" s="60"/>
      <c r="X210" s="60"/>
      <c r="Y210" s="60"/>
      <c r="Z210" s="60"/>
      <c r="AA210" s="60"/>
      <c r="AB210" s="60"/>
      <c r="AC210" s="60"/>
      <c r="AD210" s="60"/>
      <c r="AE210" s="60"/>
      <c r="AF210" s="60"/>
      <c r="AG210" s="60"/>
      <c r="AH210" s="60"/>
      <c r="AI210" s="60"/>
    </row>
    <row r="211" spans="1:35" ht="28">
      <c r="A211" s="105" t="s">
        <v>1954</v>
      </c>
      <c r="B211" s="117" t="s">
        <v>1913</v>
      </c>
      <c r="C211" s="117" t="s">
        <v>1913</v>
      </c>
      <c r="D211" s="91">
        <v>5</v>
      </c>
      <c r="E211" s="106">
        <v>4</v>
      </c>
      <c r="F211" s="92">
        <v>3</v>
      </c>
      <c r="G211" s="106">
        <v>5</v>
      </c>
      <c r="H211" s="92">
        <v>16.5</v>
      </c>
      <c r="I211" s="106">
        <v>9.5</v>
      </c>
      <c r="J211" s="92" t="s">
        <v>126</v>
      </c>
      <c r="K211" s="107" t="s">
        <v>1955</v>
      </c>
      <c r="L211" s="110">
        <v>159</v>
      </c>
      <c r="M211" s="95"/>
      <c r="N211" s="95"/>
      <c r="O211" s="94" t="s">
        <v>1427</v>
      </c>
      <c r="P211" s="96" t="str">
        <f>IF(ISBLANK(Q211),"",CONCATENATE(Q211,": ",VLOOKUP(Q211,Status!A:C,3,FALSE),IF(ISBLANK(R211),"",CONCATENATE(CHAR(10),R211,": ",VLOOKUP(R211,Status!A:C,3,FALSE),IF(ISBLANK(S211),"",CONCATENATE(CHAR(10),S211,": ",VLOOKUP(S211,Status!A:C,3,FALSE)))))))</f>
        <v>Healing: Restores 129 vitality per turn.</v>
      </c>
      <c r="Q211" s="102" t="s">
        <v>1742</v>
      </c>
      <c r="R211" s="97"/>
      <c r="S211" s="102"/>
      <c r="T211" s="103" t="s">
        <v>348</v>
      </c>
      <c r="U211" s="109"/>
      <c r="V211" s="100"/>
      <c r="W211" s="60"/>
      <c r="X211" s="60"/>
      <c r="Y211" s="60"/>
      <c r="Z211" s="60"/>
      <c r="AA211" s="60"/>
      <c r="AB211" s="60"/>
      <c r="AC211" s="60"/>
      <c r="AD211" s="60"/>
      <c r="AE211" s="60"/>
      <c r="AF211" s="60"/>
      <c r="AG211" s="60"/>
      <c r="AH211" s="60"/>
      <c r="AI211" s="60"/>
    </row>
    <row r="212" spans="1:35" ht="14">
      <c r="A212" s="105" t="s">
        <v>1899</v>
      </c>
      <c r="B212" s="117" t="s">
        <v>1913</v>
      </c>
      <c r="C212" s="117" t="s">
        <v>1913</v>
      </c>
      <c r="D212" s="91">
        <v>1</v>
      </c>
      <c r="E212" s="106">
        <v>1</v>
      </c>
      <c r="F212" s="92">
        <v>0</v>
      </c>
      <c r="G212" s="106">
        <v>3</v>
      </c>
      <c r="H212" s="92">
        <v>13</v>
      </c>
      <c r="I212" s="106" t="s">
        <v>126</v>
      </c>
      <c r="J212" s="92" t="s">
        <v>126</v>
      </c>
      <c r="K212" s="107" t="s">
        <v>1956</v>
      </c>
      <c r="L212" s="94">
        <v>134</v>
      </c>
      <c r="M212" s="95"/>
      <c r="N212" s="95"/>
      <c r="O212" s="94" t="s">
        <v>126</v>
      </c>
      <c r="P212" s="96" t="str">
        <f>IF(ISBLANK(Q212),"",CONCATENATE(Q212,": ",VLOOKUP(Q212,Status!A:C,3,FALSE),IF(ISBLANK(R212),"",CONCATENATE(CHAR(10),R212,": ",VLOOKUP(R212,Status!A:C,3,FALSE),IF(ISBLANK(S212),"",CONCATENATE(CHAR(10),S212,": ",VLOOKUP(S212,Status!A:C,3,FALSE)))))))</f>
        <v>Farsight Infusion: +25% Damage dealt, +134 Magic Armor</v>
      </c>
      <c r="Q212" s="102" t="s">
        <v>1899</v>
      </c>
      <c r="R212" s="97"/>
      <c r="S212" s="102"/>
      <c r="T212" s="103" t="s">
        <v>1546</v>
      </c>
      <c r="U212" s="109"/>
      <c r="V212" s="100"/>
      <c r="W212" s="60"/>
      <c r="X212" s="60"/>
      <c r="Y212" s="60"/>
      <c r="Z212" s="60"/>
      <c r="AA212" s="60"/>
      <c r="AB212" s="60"/>
      <c r="AC212" s="60"/>
      <c r="AD212" s="60"/>
      <c r="AE212" s="60"/>
      <c r="AF212" s="60"/>
      <c r="AG212" s="60"/>
      <c r="AH212" s="60"/>
      <c r="AI212" s="60"/>
    </row>
    <row r="213" spans="1:35" ht="14">
      <c r="A213" s="89" t="s">
        <v>1957</v>
      </c>
      <c r="B213" s="116" t="s">
        <v>1913</v>
      </c>
      <c r="C213" s="116" t="s">
        <v>1913</v>
      </c>
      <c r="D213" s="91">
        <v>3</v>
      </c>
      <c r="E213" s="90">
        <v>0</v>
      </c>
      <c r="F213" s="92">
        <v>1</v>
      </c>
      <c r="G213" s="90">
        <v>6</v>
      </c>
      <c r="H213" s="92">
        <v>16</v>
      </c>
      <c r="I213" s="90" t="s">
        <v>126</v>
      </c>
      <c r="J213" s="92" t="s">
        <v>126</v>
      </c>
      <c r="K213" s="93" t="s">
        <v>1958</v>
      </c>
      <c r="L213" s="95"/>
      <c r="M213" s="95"/>
      <c r="N213" s="95"/>
      <c r="O213" s="94" t="s">
        <v>126</v>
      </c>
      <c r="P213" s="96" t="str">
        <f>IF(ISBLANK(Q213),"",CONCATENATE(Q213,": ",VLOOKUP(Q213,Status!A:C,3,FALSE),IF(ISBLANK(R213),"",CONCATENATE(CHAR(10),R213,": ",VLOOKUP(R213,Status!A:C,3,FALSE),IF(ISBLANK(S213),"",CONCATENATE(CHAR(10),S213,": ",VLOOKUP(S213,Status!A:C,3,FALSE)))))))</f>
        <v/>
      </c>
      <c r="Q213" s="102"/>
      <c r="R213" s="97"/>
      <c r="S213" s="97"/>
      <c r="T213" s="108"/>
      <c r="U213" s="109"/>
      <c r="V213" s="100"/>
      <c r="W213" s="60"/>
      <c r="X213" s="60"/>
      <c r="Y213" s="60"/>
      <c r="Z213" s="60"/>
      <c r="AA213" s="60"/>
      <c r="AB213" s="60"/>
      <c r="AC213" s="60"/>
      <c r="AD213" s="60"/>
      <c r="AE213" s="60"/>
      <c r="AF213" s="60"/>
      <c r="AG213" s="60"/>
      <c r="AH213" s="60"/>
      <c r="AI213" s="60"/>
    </row>
    <row r="214" spans="1:35" ht="14">
      <c r="A214" s="89" t="s">
        <v>1959</v>
      </c>
      <c r="B214" s="116" t="s">
        <v>1913</v>
      </c>
      <c r="C214" s="116" t="s">
        <v>1913</v>
      </c>
      <c r="D214" s="91">
        <v>2</v>
      </c>
      <c r="E214" s="90">
        <v>1</v>
      </c>
      <c r="F214" s="92">
        <v>0</v>
      </c>
      <c r="G214" s="90">
        <v>3</v>
      </c>
      <c r="H214" s="92">
        <v>13</v>
      </c>
      <c r="I214" s="90" t="s">
        <v>126</v>
      </c>
      <c r="J214" s="92" t="s">
        <v>126</v>
      </c>
      <c r="K214" s="93" t="s">
        <v>1960</v>
      </c>
      <c r="L214" s="94">
        <v>134</v>
      </c>
      <c r="M214" s="95"/>
      <c r="N214" s="95"/>
      <c r="O214" s="94" t="s">
        <v>126</v>
      </c>
      <c r="P214" s="96" t="str">
        <f>IF(ISBLANK(Q214),"",CONCATENATE(Q214,": ",VLOOKUP(Q214,Status!A:C,3,FALSE),IF(ISBLANK(R214),"",CONCATENATE(CHAR(10),R214,": ",VLOOKUP(R214,Status!A:C,3,FALSE),IF(ISBLANK(S214),"",CONCATENATE(CHAR(10),S214,": ",VLOOKUP(S214,Status!A:C,3,FALSE)))))))</f>
        <v>Power Infusion: +25% Damage dealt, +134 Physical Armor</v>
      </c>
      <c r="Q214" s="102" t="s">
        <v>1959</v>
      </c>
      <c r="R214" s="97"/>
      <c r="S214" s="102"/>
      <c r="T214" s="103" t="s">
        <v>1546</v>
      </c>
      <c r="U214" s="109"/>
      <c r="V214" s="100"/>
      <c r="W214" s="60"/>
      <c r="X214" s="60"/>
      <c r="Y214" s="60"/>
      <c r="Z214" s="60"/>
      <c r="AA214" s="60"/>
      <c r="AB214" s="60"/>
      <c r="AC214" s="60"/>
      <c r="AD214" s="60"/>
      <c r="AE214" s="60"/>
      <c r="AF214" s="60"/>
      <c r="AG214" s="60"/>
      <c r="AH214" s="60"/>
      <c r="AI214" s="60"/>
    </row>
    <row r="215" spans="1:35" ht="14">
      <c r="A215" s="89" t="s">
        <v>1961</v>
      </c>
      <c r="B215" s="116" t="s">
        <v>1913</v>
      </c>
      <c r="C215" s="116" t="s">
        <v>1913</v>
      </c>
      <c r="D215" s="91">
        <v>2</v>
      </c>
      <c r="E215" s="90">
        <v>2</v>
      </c>
      <c r="F215" s="92">
        <v>0</v>
      </c>
      <c r="G215" s="90">
        <v>3</v>
      </c>
      <c r="H215" s="92">
        <v>13</v>
      </c>
      <c r="I215" s="90">
        <v>6</v>
      </c>
      <c r="J215" s="92" t="s">
        <v>126</v>
      </c>
      <c r="K215" s="93" t="s">
        <v>1962</v>
      </c>
      <c r="L215" s="94" t="s">
        <v>1963</v>
      </c>
      <c r="M215" s="95"/>
      <c r="N215" s="95"/>
      <c r="O215" s="94" t="s">
        <v>126</v>
      </c>
      <c r="P215" s="96" t="str">
        <f>IF(ISBLANK(Q215),"",CONCATENATE(Q215,": ",VLOOKUP(Q215,Status!A:C,3,FALSE),IF(ISBLANK(R215),"",CONCATENATE(CHAR(10),R215,": ",VLOOKUP(R215,Status!A:C,3,FALSE),IF(ISBLANK(S215),"",CONCATENATE(CHAR(10),S215,": ",VLOOKUP(S215,Status!A:C,3,FALSE)))))))</f>
        <v/>
      </c>
      <c r="Q215" s="102"/>
      <c r="R215" s="97"/>
      <c r="S215" s="102"/>
      <c r="T215" s="103" t="s">
        <v>1546</v>
      </c>
      <c r="U215" s="109"/>
      <c r="V215" s="100"/>
      <c r="W215" s="60"/>
      <c r="X215" s="60"/>
      <c r="Y215" s="60"/>
      <c r="Z215" s="60"/>
      <c r="AA215" s="60"/>
      <c r="AB215" s="60"/>
      <c r="AC215" s="60"/>
      <c r="AD215" s="60"/>
      <c r="AE215" s="60"/>
      <c r="AF215" s="60"/>
      <c r="AG215" s="60"/>
      <c r="AH215" s="60"/>
      <c r="AI215" s="60"/>
    </row>
    <row r="216" spans="1:35" ht="14">
      <c r="A216" s="105" t="s">
        <v>1964</v>
      </c>
      <c r="B216" s="117" t="s">
        <v>1913</v>
      </c>
      <c r="C216" s="117" t="s">
        <v>1913</v>
      </c>
      <c r="D216" s="91">
        <v>2</v>
      </c>
      <c r="E216" s="106">
        <v>1</v>
      </c>
      <c r="F216" s="92">
        <v>0</v>
      </c>
      <c r="G216" s="106">
        <v>3</v>
      </c>
      <c r="H216" s="92">
        <v>13</v>
      </c>
      <c r="I216" s="106" t="s">
        <v>126</v>
      </c>
      <c r="J216" s="92" t="s">
        <v>126</v>
      </c>
      <c r="K216" s="107" t="s">
        <v>1965</v>
      </c>
      <c r="L216" s="95"/>
      <c r="M216" s="95"/>
      <c r="N216" s="95"/>
      <c r="O216" s="94" t="s">
        <v>126</v>
      </c>
      <c r="P216" s="96" t="str">
        <f>IF(ISBLANK(Q216),"",CONCATENATE(Q216,": ",VLOOKUP(Q216,Status!A:C,3,FALSE),IF(ISBLANK(R216),"",CONCATENATE(CHAR(10),R216,": ",VLOOKUP(R216,Status!A:C,3,FALSE),IF(ISBLANK(S216),"",CONCATENATE(CHAR(10),S216,": ",VLOOKUP(S216,Status!A:C,3,FALSE)))))))</f>
        <v>Shadow Infusion: +1 Movement</v>
      </c>
      <c r="Q216" s="102" t="s">
        <v>1964</v>
      </c>
      <c r="R216" s="97"/>
      <c r="S216" s="97"/>
      <c r="T216" s="108"/>
      <c r="U216" s="109"/>
      <c r="V216" s="100"/>
      <c r="W216" s="60"/>
      <c r="X216" s="60"/>
      <c r="Y216" s="60"/>
      <c r="Z216" s="60"/>
      <c r="AA216" s="60"/>
      <c r="AB216" s="60"/>
      <c r="AC216" s="60"/>
      <c r="AD216" s="60"/>
      <c r="AE216" s="60"/>
      <c r="AF216" s="60"/>
      <c r="AG216" s="60"/>
      <c r="AH216" s="60"/>
      <c r="AI216" s="60"/>
    </row>
    <row r="217" spans="1:35" ht="14">
      <c r="A217" s="89" t="s">
        <v>1966</v>
      </c>
      <c r="B217" s="116" t="s">
        <v>1913</v>
      </c>
      <c r="C217" s="116" t="s">
        <v>1913</v>
      </c>
      <c r="D217" s="91">
        <v>2</v>
      </c>
      <c r="E217" s="90">
        <v>1</v>
      </c>
      <c r="F217" s="92">
        <v>0</v>
      </c>
      <c r="G217" s="90">
        <v>5</v>
      </c>
      <c r="H217" s="92">
        <v>13</v>
      </c>
      <c r="I217" s="90" t="s">
        <v>126</v>
      </c>
      <c r="J217" s="92" t="s">
        <v>126</v>
      </c>
      <c r="K217" s="93" t="s">
        <v>1967</v>
      </c>
      <c r="L217" s="95"/>
      <c r="M217" s="95"/>
      <c r="N217" s="95"/>
      <c r="O217" s="94" t="s">
        <v>126</v>
      </c>
      <c r="P217" s="96" t="str">
        <f>IF(ISBLANK(Q217),"",CONCATENATE(Q217,": ",VLOOKUP(Q217,Status!A:C,3,FALSE),IF(ISBLANK(R217),"",CONCATENATE(CHAR(10),R217,": ",VLOOKUP(R217,Status!A:C,3,FALSE),IF(ISBLANK(S217),"",CONCATENATE(CHAR(10),S217,": ",VLOOKUP(S217,Status!A:C,3,FALSE)))))))</f>
        <v>Soul Mate: Receive 100% of the healing that the caster receives.</v>
      </c>
      <c r="Q217" s="102" t="s">
        <v>1966</v>
      </c>
      <c r="R217" s="97"/>
      <c r="S217" s="97"/>
      <c r="T217" s="108"/>
      <c r="U217" s="109"/>
      <c r="V217" s="100"/>
      <c r="W217" s="60"/>
      <c r="X217" s="60"/>
      <c r="Y217" s="60"/>
      <c r="Z217" s="60"/>
      <c r="AA217" s="60"/>
      <c r="AB217" s="60"/>
      <c r="AC217" s="60"/>
      <c r="AD217" s="60"/>
      <c r="AE217" s="60"/>
      <c r="AF217" s="60"/>
      <c r="AG217" s="60"/>
      <c r="AH217" s="60"/>
      <c r="AI217" s="60"/>
    </row>
    <row r="218" spans="1:35" ht="28">
      <c r="A218" s="105" t="s">
        <v>1968</v>
      </c>
      <c r="B218" s="106" t="s">
        <v>1913</v>
      </c>
      <c r="C218" s="106" t="s">
        <v>1913</v>
      </c>
      <c r="D218" s="119" t="s">
        <v>126</v>
      </c>
      <c r="E218" s="106">
        <v>1</v>
      </c>
      <c r="F218" s="92">
        <v>1</v>
      </c>
      <c r="G218" s="106">
        <v>6</v>
      </c>
      <c r="H218" s="92" t="s">
        <v>126</v>
      </c>
      <c r="I218" s="106" t="s">
        <v>126</v>
      </c>
      <c r="J218" s="92" t="s">
        <v>126</v>
      </c>
      <c r="K218" s="107" t="s">
        <v>1969</v>
      </c>
      <c r="L218" s="94"/>
      <c r="M218" s="95"/>
      <c r="N218" s="95"/>
      <c r="O218" s="94" t="s">
        <v>126</v>
      </c>
      <c r="P218" s="96" t="str">
        <f>IF(ISBLANK(Q218),"",CONCATENATE(Q218,": ",VLOOKUP(Q218,Status!A:C,3,FALSE),IF(ISBLANK(R218),"",CONCATENATE(CHAR(10),R218,": ",VLOOKUP(R218,Status!A:C,3,FALSE),IF(ISBLANK(S218),"",CONCATENATE(CHAR(10),S218,": ",VLOOKUP(S218,Status!A:C,3,FALSE)))))))</f>
        <v xml:space="preserve">Inner Demon: Increases Intelligence by 3 and Magic Armor by 167.  Immune to Terrified. </v>
      </c>
      <c r="Q218" s="102" t="s">
        <v>1926</v>
      </c>
      <c r="R218" s="97"/>
      <c r="S218" s="97"/>
      <c r="T218" s="108"/>
      <c r="U218" s="109"/>
      <c r="V218" s="100"/>
      <c r="W218" s="60"/>
      <c r="X218" s="60"/>
      <c r="Y218" s="60"/>
      <c r="Z218" s="60"/>
      <c r="AA218" s="60"/>
      <c r="AB218" s="60"/>
      <c r="AC218" s="60"/>
      <c r="AD218" s="60"/>
      <c r="AE218" s="60"/>
      <c r="AF218" s="60"/>
      <c r="AG218" s="60"/>
      <c r="AH218" s="60"/>
      <c r="AI218" s="60"/>
    </row>
    <row r="219" spans="1:35" ht="14">
      <c r="A219" s="105" t="s">
        <v>1970</v>
      </c>
      <c r="B219" s="117" t="s">
        <v>1913</v>
      </c>
      <c r="C219" s="117" t="s">
        <v>1913</v>
      </c>
      <c r="D219" s="91">
        <v>2</v>
      </c>
      <c r="E219" s="106">
        <v>1</v>
      </c>
      <c r="F219" s="92">
        <v>0</v>
      </c>
      <c r="G219" s="106">
        <v>3</v>
      </c>
      <c r="H219" s="92">
        <v>13</v>
      </c>
      <c r="I219" s="106" t="s">
        <v>126</v>
      </c>
      <c r="J219" s="92" t="s">
        <v>126</v>
      </c>
      <c r="K219" s="107" t="s">
        <v>1971</v>
      </c>
      <c r="L219" s="95"/>
      <c r="M219" s="95"/>
      <c r="N219" s="95"/>
      <c r="O219" s="94" t="s">
        <v>126</v>
      </c>
      <c r="P219" s="96" t="str">
        <f>IF(ISBLANK(Q219),"",CONCATENATE(Q219,": ",VLOOKUP(Q219,Status!A:C,3,FALSE),IF(ISBLANK(R219),"",CONCATENATE(CHAR(10),R219,": ",VLOOKUP(R219,Status!A:C,3,FALSE),IF(ISBLANK(S219),"",CONCATENATE(CHAR(10),S219,": ",VLOOKUP(S219,Status!A:C,3,FALSE)))))))</f>
        <v>Supercharged: +70% Damage dealt</v>
      </c>
      <c r="Q219" s="102" t="s">
        <v>1972</v>
      </c>
      <c r="R219" s="97"/>
      <c r="S219" s="97"/>
      <c r="T219" s="108"/>
      <c r="U219" s="109"/>
      <c r="V219" s="100"/>
      <c r="W219" s="60"/>
      <c r="X219" s="60"/>
      <c r="Y219" s="60"/>
      <c r="Z219" s="60"/>
      <c r="AA219" s="60"/>
      <c r="AB219" s="60"/>
      <c r="AC219" s="60"/>
      <c r="AD219" s="60"/>
      <c r="AE219" s="60"/>
      <c r="AF219" s="60"/>
      <c r="AG219" s="60"/>
      <c r="AH219" s="60"/>
      <c r="AI219" s="60"/>
    </row>
    <row r="220" spans="1:35" ht="14">
      <c r="A220" s="89" t="s">
        <v>1973</v>
      </c>
      <c r="B220" s="116" t="s">
        <v>1913</v>
      </c>
      <c r="C220" s="116" t="s">
        <v>1913</v>
      </c>
      <c r="D220" s="91">
        <v>3</v>
      </c>
      <c r="E220" s="90">
        <v>1</v>
      </c>
      <c r="F220" s="92">
        <v>0</v>
      </c>
      <c r="G220" s="90">
        <v>3</v>
      </c>
      <c r="H220" s="92">
        <v>13</v>
      </c>
      <c r="I220" s="90" t="s">
        <v>126</v>
      </c>
      <c r="J220" s="92" t="s">
        <v>126</v>
      </c>
      <c r="K220" s="93" t="s">
        <v>1974</v>
      </c>
      <c r="L220" s="95"/>
      <c r="M220" s="95"/>
      <c r="N220" s="95"/>
      <c r="O220" s="94" t="s">
        <v>126</v>
      </c>
      <c r="P220" s="96" t="str">
        <f>IF(ISBLANK(Q220),"",CONCATENATE(Q220,": ",VLOOKUP(Q220,Status!A:C,3,FALSE),IF(ISBLANK(R220),"",CONCATENATE(CHAR(10),R220,": ",VLOOKUP(R220,Status!A:C,3,FALSE),IF(ISBLANK(S220),"",CONCATENATE(CHAR(10),S220,": ",VLOOKUP(S220,Status!A:C,3,FALSE)))))))</f>
        <v>Warp Infusion: +15% Dodging</v>
      </c>
      <c r="Q220" s="102" t="s">
        <v>1973</v>
      </c>
      <c r="R220" s="97"/>
      <c r="S220" s="97"/>
      <c r="T220" s="108"/>
      <c r="U220" s="109"/>
      <c r="V220" s="100"/>
      <c r="W220" s="60"/>
      <c r="X220" s="60"/>
      <c r="Y220" s="60"/>
      <c r="Z220" s="60"/>
      <c r="AA220" s="60"/>
      <c r="AB220" s="60"/>
      <c r="AC220" s="60"/>
      <c r="AD220" s="60"/>
      <c r="AE220" s="60"/>
      <c r="AF220" s="60"/>
      <c r="AG220" s="60"/>
      <c r="AH220" s="60"/>
      <c r="AI220" s="60"/>
    </row>
    <row r="221" spans="1:35" ht="28">
      <c r="A221" s="105" t="s">
        <v>1975</v>
      </c>
      <c r="B221" s="117" t="s">
        <v>1976</v>
      </c>
      <c r="C221" s="90" t="s">
        <v>1422</v>
      </c>
      <c r="D221" s="91">
        <v>1</v>
      </c>
      <c r="E221" s="106">
        <v>1</v>
      </c>
      <c r="F221" s="92">
        <v>0</v>
      </c>
      <c r="G221" s="106">
        <v>5</v>
      </c>
      <c r="H221" s="92" t="s">
        <v>126</v>
      </c>
      <c r="I221" s="106" t="s">
        <v>126</v>
      </c>
      <c r="J221" s="92" t="s">
        <v>126</v>
      </c>
      <c r="K221" s="107" t="s">
        <v>1977</v>
      </c>
      <c r="L221" s="95"/>
      <c r="M221" s="95"/>
      <c r="N221" s="95"/>
      <c r="O221" s="94" t="s">
        <v>126</v>
      </c>
      <c r="P221" s="96" t="str">
        <f>IF(ISBLANK(Q221),"",CONCATENATE(Q221,": ",VLOOKUP(Q221,Status!A:C,3,FALSE),IF(ISBLANK(R221),"",CONCATENATE(CHAR(10),R221,": ",VLOOKUP(R221,Status!A:C,3,FALSE),IF(ISBLANK(S221),"",CONCATENATE(CHAR(10),S221,": ",VLOOKUP(S221,Status!A:C,3,FALSE)))))))</f>
        <v>Breathing Bubble: Ignore the damage and effects of clouds on self.  Immune to Silenced and Suffocating.</v>
      </c>
      <c r="Q221" s="102" t="s">
        <v>1975</v>
      </c>
      <c r="R221" s="97"/>
      <c r="S221" s="97"/>
      <c r="T221" s="108"/>
      <c r="U221" s="109"/>
      <c r="V221" s="100"/>
      <c r="W221" s="60"/>
      <c r="X221" s="60"/>
      <c r="Y221" s="60"/>
      <c r="Z221" s="60"/>
      <c r="AA221" s="60"/>
      <c r="AB221" s="60"/>
      <c r="AC221" s="60"/>
      <c r="AD221" s="60"/>
      <c r="AE221" s="60"/>
      <c r="AF221" s="60"/>
      <c r="AG221" s="60"/>
      <c r="AH221" s="60"/>
      <c r="AI221" s="60"/>
    </row>
    <row r="222" spans="1:35" ht="28">
      <c r="A222" s="89" t="s">
        <v>1978</v>
      </c>
      <c r="B222" s="116" t="s">
        <v>1976</v>
      </c>
      <c r="C222" s="90" t="s">
        <v>1422</v>
      </c>
      <c r="D222" s="91">
        <v>2</v>
      </c>
      <c r="E222" s="90">
        <v>1</v>
      </c>
      <c r="F222" s="92">
        <v>1</v>
      </c>
      <c r="G222" s="90">
        <v>5</v>
      </c>
      <c r="H222" s="92" t="s">
        <v>126</v>
      </c>
      <c r="I222" s="90">
        <v>13</v>
      </c>
      <c r="J222" s="92" t="s">
        <v>126</v>
      </c>
      <c r="K222" s="93" t="s">
        <v>1979</v>
      </c>
      <c r="L222" s="95"/>
      <c r="M222" s="95"/>
      <c r="N222" s="95"/>
      <c r="O222" s="94" t="s">
        <v>126</v>
      </c>
      <c r="P222" s="96" t="str">
        <f>IF(ISBLANK(Q222),"",CONCATENATE(Q222,": ",VLOOKUP(Q222,Status!A:C,3,FALSE),IF(ISBLANK(R222),"",CONCATENATE(CHAR(10),R222,": ",VLOOKUP(R222,Status!A:C,3,FALSE),IF(ISBLANK(S222),"",CONCATENATE(CHAR(10),S222,": ",VLOOKUP(S222,Status!A:C,3,FALSE)))))))</f>
        <v>Breathing Bubble: Ignore the damage and effects of clouds on self.  Immune to Silenced and Suffocating.</v>
      </c>
      <c r="Q222" s="102" t="s">
        <v>1975</v>
      </c>
      <c r="R222" s="97"/>
      <c r="S222" s="97"/>
      <c r="T222" s="108"/>
      <c r="U222" s="109"/>
      <c r="V222" s="100"/>
      <c r="W222" s="60"/>
      <c r="X222" s="60"/>
      <c r="Y222" s="60"/>
      <c r="Z222" s="60"/>
      <c r="AA222" s="60"/>
      <c r="AB222" s="60"/>
      <c r="AC222" s="60"/>
      <c r="AD222" s="60"/>
      <c r="AE222" s="60"/>
      <c r="AF222" s="60"/>
      <c r="AG222" s="60"/>
      <c r="AH222" s="60"/>
      <c r="AI222" s="60"/>
    </row>
    <row r="223" spans="1:35" ht="28">
      <c r="A223" s="89" t="s">
        <v>1980</v>
      </c>
      <c r="B223" s="116" t="s">
        <v>1976</v>
      </c>
      <c r="C223" s="116" t="s">
        <v>1537</v>
      </c>
      <c r="D223" s="91">
        <v>2</v>
      </c>
      <c r="E223" s="90">
        <v>2</v>
      </c>
      <c r="F223" s="92">
        <v>1</v>
      </c>
      <c r="G223" s="90">
        <v>5</v>
      </c>
      <c r="H223" s="92" t="s">
        <v>126</v>
      </c>
      <c r="I223" s="90">
        <v>13</v>
      </c>
      <c r="J223" s="92" t="s">
        <v>126</v>
      </c>
      <c r="K223" s="93" t="s">
        <v>1981</v>
      </c>
      <c r="L223" s="94" t="s">
        <v>1620</v>
      </c>
      <c r="M223" s="95"/>
      <c r="N223" s="95"/>
      <c r="O223" s="94" t="s">
        <v>1427</v>
      </c>
      <c r="P223" s="96" t="str">
        <f>IF(ISBLANK(Q223),"",CONCATENATE(Q223,": ",VLOOKUP(Q223,Status!A:C,3,FALSE),IF(ISBLANK(R223),"",CONCATENATE(CHAR(10),R223,": ",VLOOKUP(R223,Status!A:C,3,FALSE),IF(ISBLANK(S223),"",CONCATENATE(CHAR(10),S223,": ",VLOOKUP(S223,Status!A:C,3,FALSE)))))))</f>
        <v/>
      </c>
      <c r="Q223" s="102"/>
      <c r="R223" s="97"/>
      <c r="S223" s="102"/>
      <c r="T223" s="103" t="s">
        <v>1546</v>
      </c>
      <c r="U223" s="109"/>
      <c r="V223" s="100"/>
      <c r="W223" s="60"/>
      <c r="X223" s="60"/>
      <c r="Y223" s="60"/>
      <c r="Z223" s="60"/>
      <c r="AA223" s="60"/>
      <c r="AB223" s="60"/>
      <c r="AC223" s="60"/>
      <c r="AD223" s="60"/>
      <c r="AE223" s="60"/>
      <c r="AF223" s="60"/>
      <c r="AG223" s="60"/>
      <c r="AH223" s="60"/>
      <c r="AI223" s="60"/>
    </row>
    <row r="224" spans="1:35" ht="28">
      <c r="A224" s="105" t="s">
        <v>1982</v>
      </c>
      <c r="B224" s="106" t="s">
        <v>1976</v>
      </c>
      <c r="C224" s="116" t="s">
        <v>1537</v>
      </c>
      <c r="D224" s="91">
        <v>1</v>
      </c>
      <c r="E224" s="106">
        <v>1</v>
      </c>
      <c r="F224" s="92">
        <v>0</v>
      </c>
      <c r="G224" s="106">
        <v>3</v>
      </c>
      <c r="H224" s="92" t="s">
        <v>126</v>
      </c>
      <c r="I224" s="106">
        <v>2</v>
      </c>
      <c r="J224" s="92" t="s">
        <v>126</v>
      </c>
      <c r="K224" s="107" t="s">
        <v>1983</v>
      </c>
      <c r="L224" s="94" t="s">
        <v>1620</v>
      </c>
      <c r="M224" s="95"/>
      <c r="N224" s="95"/>
      <c r="O224" s="94" t="s">
        <v>126</v>
      </c>
      <c r="P224" s="96" t="str">
        <f>IF(ISBLANK(Q224),"",CONCATENATE(Q224,": ",VLOOKUP(Q224,Status!A:C,3,FALSE),IF(ISBLANK(R224),"",CONCATENATE(CHAR(10),R224,": ",VLOOKUP(R224,Status!A:C,3,FALSE),IF(ISBLANK(S224),"",CONCATENATE(CHAR(10),S224,": ",VLOOKUP(S224,Status!A:C,3,FALSE)))))))</f>
        <v/>
      </c>
      <c r="Q224" s="102"/>
      <c r="R224" s="97"/>
      <c r="S224" s="102"/>
      <c r="T224" s="103" t="s">
        <v>1546</v>
      </c>
      <c r="U224" s="109"/>
      <c r="V224" s="100"/>
      <c r="W224" s="60"/>
      <c r="X224" s="60"/>
      <c r="Y224" s="60"/>
      <c r="Z224" s="60"/>
      <c r="AA224" s="60"/>
      <c r="AB224" s="60"/>
      <c r="AC224" s="60"/>
      <c r="AD224" s="60"/>
      <c r="AE224" s="60"/>
      <c r="AF224" s="60"/>
      <c r="AG224" s="60"/>
      <c r="AH224" s="60"/>
      <c r="AI224" s="60"/>
    </row>
    <row r="225" spans="1:35" ht="28">
      <c r="A225" s="105" t="s">
        <v>1984</v>
      </c>
      <c r="B225" s="117" t="s">
        <v>1976</v>
      </c>
      <c r="C225" s="117" t="s">
        <v>1618</v>
      </c>
      <c r="D225" s="91">
        <v>1</v>
      </c>
      <c r="E225" s="106">
        <v>2</v>
      </c>
      <c r="F225" s="92">
        <v>0</v>
      </c>
      <c r="G225" s="106">
        <v>5</v>
      </c>
      <c r="H225" s="92">
        <v>2</v>
      </c>
      <c r="I225" s="106" t="s">
        <v>126</v>
      </c>
      <c r="J225" s="92" t="s">
        <v>126</v>
      </c>
      <c r="K225" s="107" t="s">
        <v>1985</v>
      </c>
      <c r="L225" s="94">
        <v>194</v>
      </c>
      <c r="M225" s="95"/>
      <c r="N225" s="95"/>
      <c r="O225" s="94" t="s">
        <v>126</v>
      </c>
      <c r="P225" s="96" t="str">
        <f>IF(ISBLANK(Q225),"",CONCATENATE(Q225,": ",VLOOKUP(Q225,Status!A:C,3,FALSE),IF(ISBLANK(R225),"",CONCATENATE(CHAR(10),R225,": ",VLOOKUP(R225,Status!A:C,3,FALSE),IF(ISBLANK(S225),"",CONCATENATE(CHAR(10),S225,": ",VLOOKUP(S225,Status!A:C,3,FALSE)))))))</f>
        <v/>
      </c>
      <c r="Q225" s="102"/>
      <c r="R225" s="97"/>
      <c r="S225" s="102"/>
      <c r="T225" s="103" t="s">
        <v>1546</v>
      </c>
      <c r="U225" s="109"/>
      <c r="V225" s="100"/>
      <c r="W225" s="60"/>
      <c r="X225" s="60"/>
      <c r="Y225" s="60"/>
      <c r="Z225" s="60"/>
      <c r="AA225" s="60"/>
      <c r="AB225" s="60"/>
      <c r="AC225" s="60"/>
      <c r="AD225" s="60"/>
      <c r="AE225" s="60"/>
      <c r="AF225" s="60"/>
      <c r="AG225" s="60"/>
      <c r="AH225" s="60"/>
      <c r="AI225" s="60"/>
    </row>
    <row r="226" spans="1:35" ht="28">
      <c r="A226" s="89" t="s">
        <v>1986</v>
      </c>
      <c r="B226" s="116" t="s">
        <v>1976</v>
      </c>
      <c r="C226" s="117" t="s">
        <v>1618</v>
      </c>
      <c r="D226" s="91">
        <v>2</v>
      </c>
      <c r="E226" s="90">
        <v>1</v>
      </c>
      <c r="F226" s="92">
        <v>1</v>
      </c>
      <c r="G226" s="90">
        <v>5</v>
      </c>
      <c r="H226" s="92" t="s">
        <v>126</v>
      </c>
      <c r="I226" s="90">
        <v>8</v>
      </c>
      <c r="J226" s="92" t="s">
        <v>126</v>
      </c>
      <c r="K226" s="107" t="s">
        <v>1987</v>
      </c>
      <c r="L226" s="94">
        <v>194</v>
      </c>
      <c r="M226" s="95"/>
      <c r="N226" s="95"/>
      <c r="O226" s="94" t="s">
        <v>126</v>
      </c>
      <c r="P226" s="96" t="str">
        <f>IF(ISBLANK(Q226),"",CONCATENATE(Q226,": ",VLOOKUP(Q226,Status!A:C,3,FALSE),IF(ISBLANK(R226),"",CONCATENATE(CHAR(10),R226,": ",VLOOKUP(R226,Status!A:C,3,FALSE),IF(ISBLANK(S226),"",CONCATENATE(CHAR(10),S226,": ",VLOOKUP(S226,Status!A:C,3,FALSE)))))))</f>
        <v/>
      </c>
      <c r="Q226" s="102"/>
      <c r="R226" s="97"/>
      <c r="S226" s="102"/>
      <c r="T226" s="103" t="s">
        <v>1546</v>
      </c>
      <c r="U226" s="109"/>
      <c r="V226" s="100"/>
      <c r="W226" s="60"/>
      <c r="X226" s="60"/>
      <c r="Y226" s="60"/>
      <c r="Z226" s="60"/>
      <c r="AA226" s="60"/>
      <c r="AB226" s="60"/>
      <c r="AC226" s="60"/>
      <c r="AD226" s="60"/>
      <c r="AE226" s="60"/>
      <c r="AF226" s="60"/>
      <c r="AG226" s="60"/>
      <c r="AH226" s="60"/>
      <c r="AI226" s="60"/>
    </row>
    <row r="227" spans="1:35" ht="28">
      <c r="A227" s="89" t="s">
        <v>1988</v>
      </c>
      <c r="B227" s="116" t="s">
        <v>1976</v>
      </c>
      <c r="C227" s="117" t="s">
        <v>1624</v>
      </c>
      <c r="D227" s="91">
        <v>2</v>
      </c>
      <c r="E227" s="90">
        <v>1</v>
      </c>
      <c r="F227" s="92">
        <v>1</v>
      </c>
      <c r="G227" s="90">
        <v>5</v>
      </c>
      <c r="H227" s="92">
        <v>13</v>
      </c>
      <c r="I227" s="90">
        <v>5.5</v>
      </c>
      <c r="J227" s="92" t="s">
        <v>126</v>
      </c>
      <c r="K227" s="93" t="s">
        <v>1989</v>
      </c>
      <c r="L227" s="110"/>
      <c r="M227" s="95"/>
      <c r="N227" s="95"/>
      <c r="O227" s="94" t="s">
        <v>126</v>
      </c>
      <c r="P227" s="96" t="str">
        <f>IF(ISBLANK(Q227),"",CONCATENATE(Q227,": ",VLOOKUP(Q227,Status!A:C,3,FALSE),IF(ISBLANK(R227),"",CONCATENATE(CHAR(10),R227,": ",VLOOKUP(R227,Status!A:C,3,FALSE),IF(ISBLANK(S227),"",CONCATENATE(CHAR(10),S227,": ",VLOOKUP(S227,Status!A:C,3,FALSE)))))))</f>
        <v>Sparkmaster: When performing a melee attack, deal 79 Fire damage to a nearby enemy.  Forks to up to 2 additional enemies.</v>
      </c>
      <c r="Q227" s="102" t="s">
        <v>1990</v>
      </c>
      <c r="R227" s="97"/>
      <c r="S227" s="97"/>
      <c r="T227" s="108"/>
      <c r="U227" s="109"/>
      <c r="V227" s="100"/>
      <c r="W227" s="60"/>
      <c r="X227" s="60"/>
      <c r="Y227" s="60"/>
      <c r="Z227" s="60"/>
      <c r="AA227" s="60"/>
      <c r="AB227" s="60"/>
      <c r="AC227" s="60"/>
      <c r="AD227" s="60"/>
      <c r="AE227" s="60"/>
      <c r="AF227" s="60"/>
      <c r="AG227" s="60"/>
      <c r="AH227" s="60"/>
      <c r="AI227" s="60"/>
    </row>
    <row r="228" spans="1:35" ht="14">
      <c r="A228" s="105" t="s">
        <v>1991</v>
      </c>
      <c r="B228" s="117" t="s">
        <v>1976</v>
      </c>
      <c r="C228" s="117" t="s">
        <v>1624</v>
      </c>
      <c r="D228" s="91">
        <v>1</v>
      </c>
      <c r="E228" s="106">
        <v>1</v>
      </c>
      <c r="F228" s="92">
        <v>0</v>
      </c>
      <c r="G228" s="106">
        <v>5</v>
      </c>
      <c r="H228" s="92" t="s">
        <v>126</v>
      </c>
      <c r="I228" s="106" t="s">
        <v>126</v>
      </c>
      <c r="J228" s="92" t="s">
        <v>126</v>
      </c>
      <c r="K228" s="107" t="s">
        <v>1992</v>
      </c>
      <c r="L228" s="110"/>
      <c r="M228" s="95"/>
      <c r="N228" s="95"/>
      <c r="O228" s="94" t="s">
        <v>126</v>
      </c>
      <c r="P228" s="96" t="str">
        <f>IF(ISBLANK(Q228),"",CONCATENATE(Q228,": ",VLOOKUP(Q228,Status!A:C,3,FALSE),IF(ISBLANK(R228),"",CONCATENATE(CHAR(10),R228,": ",VLOOKUP(R228,Status!A:C,3,FALSE),IF(ISBLANK(S228),"",CONCATENATE(CHAR(10),S228,": ",VLOOKUP(S228,Status!A:C,3,FALSE)))))))</f>
        <v xml:space="preserve">Sparkstriker: When performing a melee attack, deal 79 Fire damage to a nearby enemy. </v>
      </c>
      <c r="Q228" s="102" t="s">
        <v>1993</v>
      </c>
      <c r="R228" s="97"/>
      <c r="S228" s="97"/>
      <c r="T228" s="108"/>
      <c r="U228" s="109"/>
      <c r="V228" s="100"/>
      <c r="W228" s="60"/>
      <c r="X228" s="60"/>
      <c r="Y228" s="60"/>
      <c r="Z228" s="60"/>
      <c r="AA228" s="60"/>
      <c r="AB228" s="60"/>
      <c r="AC228" s="60"/>
      <c r="AD228" s="60"/>
      <c r="AE228" s="60"/>
      <c r="AF228" s="60"/>
      <c r="AG228" s="60"/>
      <c r="AH228" s="60"/>
      <c r="AI228" s="60"/>
    </row>
    <row r="229" spans="1:35" ht="28">
      <c r="A229" s="89" t="s">
        <v>1994</v>
      </c>
      <c r="B229" s="116" t="s">
        <v>1976</v>
      </c>
      <c r="C229" s="116" t="s">
        <v>1976</v>
      </c>
      <c r="D229" s="91">
        <v>1</v>
      </c>
      <c r="E229" s="90">
        <v>2</v>
      </c>
      <c r="F229" s="92">
        <v>0</v>
      </c>
      <c r="G229" s="90">
        <v>5</v>
      </c>
      <c r="H229" s="92">
        <v>12</v>
      </c>
      <c r="I229" s="90" t="s">
        <v>126</v>
      </c>
      <c r="J229" s="92" t="s">
        <v>1473</v>
      </c>
      <c r="K229" s="93" t="s">
        <v>1995</v>
      </c>
      <c r="L229" s="101">
        <v>32</v>
      </c>
      <c r="M229" s="94"/>
      <c r="N229" s="94" t="s">
        <v>1996</v>
      </c>
      <c r="O229" s="94" t="s">
        <v>1585</v>
      </c>
      <c r="P229" s="96" t="str">
        <f>IF(ISBLANK(Q229),"",CONCATENATE(Q229,": ",VLOOKUP(Q229,Status!A:C,3,FALSE),IF(ISBLANK(R229),"",CONCATENATE(CHAR(10),R229,": ",VLOOKUP(R229,Status!A:C,3,FALSE),IF(ISBLANK(S229),"",CONCATENATE(CHAR(10),S229,": ",VLOOKUP(S229,Status!A:C,3,FALSE)))))))</f>
        <v>Knocked Down: Cannot move or act.  Removed by First Aid.</v>
      </c>
      <c r="Q229" s="102" t="s">
        <v>1476</v>
      </c>
      <c r="R229" s="97"/>
      <c r="S229" s="102"/>
      <c r="T229" s="103" t="s">
        <v>348</v>
      </c>
      <c r="U229" s="104"/>
      <c r="V229" s="100"/>
      <c r="W229" s="60"/>
      <c r="X229" s="60"/>
      <c r="Y229" s="60"/>
      <c r="Z229" s="60"/>
      <c r="AA229" s="60"/>
      <c r="AB229" s="60"/>
      <c r="AC229" s="60"/>
      <c r="AD229" s="60"/>
      <c r="AE229" s="60"/>
      <c r="AF229" s="60"/>
      <c r="AG229" s="60"/>
      <c r="AH229" s="60"/>
      <c r="AI229" s="60"/>
    </row>
    <row r="230" spans="1:35" ht="28">
      <c r="A230" s="105" t="s">
        <v>1997</v>
      </c>
      <c r="B230" s="117" t="s">
        <v>1976</v>
      </c>
      <c r="C230" s="117" t="s">
        <v>1976</v>
      </c>
      <c r="D230" s="91">
        <v>1</v>
      </c>
      <c r="E230" s="106">
        <v>2</v>
      </c>
      <c r="F230" s="92">
        <v>0</v>
      </c>
      <c r="G230" s="106">
        <v>4</v>
      </c>
      <c r="H230" s="92">
        <v>10</v>
      </c>
      <c r="I230" s="106" t="s">
        <v>126</v>
      </c>
      <c r="J230" s="92" t="s">
        <v>1473</v>
      </c>
      <c r="K230" s="107" t="s">
        <v>1998</v>
      </c>
      <c r="L230" s="94">
        <v>39</v>
      </c>
      <c r="M230" s="94"/>
      <c r="N230" s="94" t="s">
        <v>1996</v>
      </c>
      <c r="O230" s="94" t="s">
        <v>1585</v>
      </c>
      <c r="P230" s="96" t="str">
        <f>IF(ISBLANK(Q230),"",CONCATENATE(Q230,": ",VLOOKUP(Q230,Status!A:C,3,FALSE),IF(ISBLANK(R230),"",CONCATENATE(CHAR(10),R230,": ",VLOOKUP(R230,Status!A:C,3,FALSE),IF(ISBLANK(S230),"",CONCATENATE(CHAR(10),S230,": ",VLOOKUP(S230,Status!A:C,3,FALSE)))))))</f>
        <v>Knocked Down: Cannot move or act.  Removed by First Aid.</v>
      </c>
      <c r="Q230" s="102" t="s">
        <v>1476</v>
      </c>
      <c r="R230" s="97"/>
      <c r="S230" s="102"/>
      <c r="T230" s="103" t="s">
        <v>348</v>
      </c>
      <c r="U230" s="104"/>
      <c r="V230" s="100"/>
      <c r="W230" s="60"/>
      <c r="X230" s="60"/>
      <c r="Y230" s="60"/>
      <c r="Z230" s="60"/>
      <c r="AA230" s="60"/>
      <c r="AB230" s="60"/>
      <c r="AC230" s="60"/>
      <c r="AD230" s="60"/>
      <c r="AE230" s="60"/>
      <c r="AF230" s="60"/>
      <c r="AG230" s="60"/>
      <c r="AH230" s="60"/>
      <c r="AI230" s="60"/>
    </row>
    <row r="231" spans="1:35" ht="28">
      <c r="A231" s="89" t="s">
        <v>1999</v>
      </c>
      <c r="B231" s="116" t="s">
        <v>1976</v>
      </c>
      <c r="C231" s="116" t="s">
        <v>1976</v>
      </c>
      <c r="D231" s="91">
        <v>2</v>
      </c>
      <c r="E231" s="90">
        <v>2</v>
      </c>
      <c r="F231" s="92">
        <v>0</v>
      </c>
      <c r="G231" s="90">
        <v>3</v>
      </c>
      <c r="H231" s="92">
        <v>8</v>
      </c>
      <c r="I231" s="90" t="s">
        <v>126</v>
      </c>
      <c r="J231" s="92" t="s">
        <v>126</v>
      </c>
      <c r="K231" s="93" t="s">
        <v>2000</v>
      </c>
      <c r="L231" s="101">
        <v>46</v>
      </c>
      <c r="M231" s="95"/>
      <c r="N231" s="95"/>
      <c r="O231" s="94" t="s">
        <v>1585</v>
      </c>
      <c r="P231" s="96" t="str">
        <f>IF(ISBLANK(Q231),"",CONCATENATE(Q231,": ",VLOOKUP(Q231,Status!A:C,3,FALSE),IF(ISBLANK(R231),"",CONCATENATE(CHAR(10),R231,": ",VLOOKUP(R231,Status!A:C,3,FALSE),IF(ISBLANK(S231),"",CONCATENATE(CHAR(10),S231,": ",VLOOKUP(S231,Status!A:C,3,FALSE)))))))</f>
        <v/>
      </c>
      <c r="Q231" s="102"/>
      <c r="R231" s="97"/>
      <c r="S231" s="102"/>
      <c r="T231" s="103" t="s">
        <v>348</v>
      </c>
      <c r="U231" s="104"/>
      <c r="V231" s="100"/>
      <c r="W231" s="60"/>
      <c r="X231" s="60"/>
      <c r="Y231" s="60"/>
      <c r="Z231" s="60"/>
      <c r="AA231" s="60"/>
      <c r="AB231" s="60"/>
      <c r="AC231" s="60"/>
      <c r="AD231" s="60"/>
      <c r="AE231" s="60"/>
      <c r="AF231" s="60"/>
      <c r="AG231" s="60"/>
      <c r="AH231" s="60"/>
      <c r="AI231" s="60"/>
    </row>
    <row r="232" spans="1:35" ht="28">
      <c r="A232" s="89" t="s">
        <v>2001</v>
      </c>
      <c r="B232" s="116" t="s">
        <v>1976</v>
      </c>
      <c r="C232" s="116" t="s">
        <v>1976</v>
      </c>
      <c r="D232" s="91">
        <v>1</v>
      </c>
      <c r="E232" s="90">
        <v>2</v>
      </c>
      <c r="F232" s="92">
        <v>0</v>
      </c>
      <c r="G232" s="90">
        <v>2</v>
      </c>
      <c r="H232" s="92">
        <v>13</v>
      </c>
      <c r="I232" s="90" t="s">
        <v>126</v>
      </c>
      <c r="J232" s="92" t="s">
        <v>126</v>
      </c>
      <c r="K232" s="93" t="s">
        <v>2002</v>
      </c>
      <c r="L232" s="94">
        <v>114</v>
      </c>
      <c r="M232" s="94"/>
      <c r="N232" s="94" t="s">
        <v>133</v>
      </c>
      <c r="O232" s="94" t="s">
        <v>126</v>
      </c>
      <c r="P232" s="96" t="str">
        <f>IF(ISBLANK(Q232),"",CONCATENATE(Q232,": ",VLOOKUP(Q232,Status!A:C,3,FALSE),IF(ISBLANK(R232),"",CONCATENATE(CHAR(10),R232,": ",VLOOKUP(R232,Status!A:C,3,FALSE),IF(ISBLANK(S232),"",CONCATENATE(CHAR(10),S232,": ",VLOOKUP(S232,Status!A:C,3,FALSE)))))))</f>
        <v/>
      </c>
      <c r="Q232" s="102"/>
      <c r="R232" s="97"/>
      <c r="S232" s="102"/>
      <c r="T232" s="103" t="s">
        <v>348</v>
      </c>
      <c r="U232" s="109"/>
      <c r="V232" s="100"/>
      <c r="W232" s="60"/>
      <c r="X232" s="60"/>
      <c r="Y232" s="60"/>
      <c r="Z232" s="60"/>
      <c r="AA232" s="60"/>
      <c r="AB232" s="60"/>
      <c r="AC232" s="60"/>
      <c r="AD232" s="60"/>
      <c r="AE232" s="60"/>
      <c r="AF232" s="60"/>
      <c r="AG232" s="60"/>
      <c r="AH232" s="60"/>
      <c r="AI232" s="60"/>
    </row>
    <row r="233" spans="1:35" ht="70">
      <c r="A233" s="89" t="s">
        <v>2003</v>
      </c>
      <c r="B233" s="116" t="s">
        <v>1976</v>
      </c>
      <c r="C233" s="116" t="s">
        <v>1976</v>
      </c>
      <c r="D233" s="91">
        <v>3</v>
      </c>
      <c r="E233" s="90">
        <v>1</v>
      </c>
      <c r="F233" s="92">
        <v>0</v>
      </c>
      <c r="G233" s="90">
        <v>5</v>
      </c>
      <c r="H233" s="92">
        <v>13</v>
      </c>
      <c r="I233" s="90" t="s">
        <v>126</v>
      </c>
      <c r="J233" s="92" t="s">
        <v>126</v>
      </c>
      <c r="K233" s="93" t="s">
        <v>2004</v>
      </c>
      <c r="L233" s="95"/>
      <c r="M233" s="95"/>
      <c r="N233" s="95"/>
      <c r="O233" s="94" t="s">
        <v>126</v>
      </c>
      <c r="P233" s="96" t="str">
        <f>IF(ISBLANK(Q233),"",CONCATENATE(Q233,": ",VLOOKUP(Q233,Status!A:C,3,FALSE),IF(ISBLANK(R233),"",CONCATENATE(CHAR(10),R233,": ",VLOOKUP(R233,Status!A:C,3,FALSE),IF(ISBLANK(S233),"",CONCATENATE(CHAR(10),S233,": ",VLOOKUP(S233,Status!A:C,3,FALSE)))))))</f>
        <v>Challenged: If this character dies, the challenger will recover 129 vitality and gain the Challenge Won status for 1 turn.  If this status expires, this character will be healed to full vitality, and the challenger will take 120 Piercing damage and gain the Challenge Lost status for 1 turn.
Challenge Won: +15% Damage dealt, +107 Physical Armor, +107 Magic Armor
Challenge Lost: -15% Damage dealt</v>
      </c>
      <c r="Q233" s="102" t="s">
        <v>2005</v>
      </c>
      <c r="R233" s="102" t="s">
        <v>2006</v>
      </c>
      <c r="S233" s="102" t="s">
        <v>2007</v>
      </c>
      <c r="T233" s="108"/>
      <c r="U233" s="109"/>
      <c r="V233" s="100"/>
      <c r="W233" s="60"/>
      <c r="X233" s="60"/>
      <c r="Y233" s="60"/>
      <c r="Z233" s="60"/>
      <c r="AA233" s="60"/>
      <c r="AB233" s="60"/>
      <c r="AC233" s="60"/>
      <c r="AD233" s="60"/>
      <c r="AE233" s="60"/>
      <c r="AF233" s="60"/>
      <c r="AG233" s="60"/>
      <c r="AH233" s="60"/>
      <c r="AI233" s="60"/>
    </row>
    <row r="234" spans="1:35" ht="14">
      <c r="A234" s="105" t="s">
        <v>2008</v>
      </c>
      <c r="B234" s="117" t="s">
        <v>1976</v>
      </c>
      <c r="C234" s="117" t="s">
        <v>1976</v>
      </c>
      <c r="D234" s="91">
        <v>1</v>
      </c>
      <c r="E234" s="106">
        <v>2</v>
      </c>
      <c r="F234" s="92">
        <v>0</v>
      </c>
      <c r="G234" s="106">
        <v>3</v>
      </c>
      <c r="H234" s="92" t="s">
        <v>1530</v>
      </c>
      <c r="I234" s="106">
        <v>1</v>
      </c>
      <c r="J234" s="92" t="s">
        <v>1473</v>
      </c>
      <c r="K234" s="107" t="s">
        <v>2009</v>
      </c>
      <c r="L234" s="101">
        <v>74</v>
      </c>
      <c r="M234" s="94"/>
      <c r="N234" s="94" t="s">
        <v>1996</v>
      </c>
      <c r="O234" s="94" t="s">
        <v>1585</v>
      </c>
      <c r="P234" s="96" t="str">
        <f>IF(ISBLANK(Q234),"",CONCATENATE(Q234,": ",VLOOKUP(Q234,Status!A:C,3,FALSE),IF(ISBLANK(R234),"",CONCATENATE(CHAR(10),R234,": ",VLOOKUP(R234,Status!A:C,3,FALSE),IF(ISBLANK(S234),"",CONCATENATE(CHAR(10),S234,": ",VLOOKUP(S234,Status!A:C,3,FALSE)))))))</f>
        <v>Crippled: -100% Movement, -30% Dodging.  Removed by First Aid, Haste, and Petrifying Touch.</v>
      </c>
      <c r="Q234" s="102" t="s">
        <v>1551</v>
      </c>
      <c r="R234" s="97"/>
      <c r="S234" s="102"/>
      <c r="T234" s="103" t="s">
        <v>348</v>
      </c>
      <c r="U234" s="104"/>
      <c r="V234" s="100"/>
      <c r="W234" s="60"/>
      <c r="X234" s="60"/>
      <c r="Y234" s="60"/>
      <c r="Z234" s="60"/>
      <c r="AA234" s="60"/>
      <c r="AB234" s="60"/>
      <c r="AC234" s="60"/>
      <c r="AD234" s="60"/>
      <c r="AE234" s="60"/>
      <c r="AF234" s="60"/>
      <c r="AG234" s="60"/>
      <c r="AH234" s="60"/>
      <c r="AI234" s="60"/>
    </row>
    <row r="235" spans="1:35" ht="28">
      <c r="A235" s="105" t="s">
        <v>2010</v>
      </c>
      <c r="B235" s="117" t="s">
        <v>1976</v>
      </c>
      <c r="C235" s="117" t="s">
        <v>1976</v>
      </c>
      <c r="D235" s="91">
        <v>2</v>
      </c>
      <c r="E235" s="106">
        <v>2</v>
      </c>
      <c r="F235" s="92">
        <v>0</v>
      </c>
      <c r="G235" s="106">
        <v>5</v>
      </c>
      <c r="H235" s="92" t="s">
        <v>126</v>
      </c>
      <c r="I235" s="106" t="s">
        <v>126</v>
      </c>
      <c r="J235" s="92" t="s">
        <v>126</v>
      </c>
      <c r="K235" s="107" t="s">
        <v>2011</v>
      </c>
      <c r="L235" s="94"/>
      <c r="M235" s="94"/>
      <c r="N235" s="94" t="s">
        <v>133</v>
      </c>
      <c r="O235" s="94" t="s">
        <v>126</v>
      </c>
      <c r="P235" s="96" t="str">
        <f>IF(ISBLANK(Q235),"",CONCATENATE(Q235,": ",VLOOKUP(Q235,Status!A:C,3,FALSE),IF(ISBLANK(R235),"",CONCATENATE(CHAR(10),R235,": ",VLOOKUP(R235,Status!A:C,3,FALSE),IF(ISBLANK(S235),"",CONCATENATE(CHAR(10),S235,": ",VLOOKUP(S235,Status!A:C,3,FALSE)))))))</f>
        <v>Deflecting: Ranged attacks against you also deal their damage and effect back at their source.  Also +134 Physical Armor.</v>
      </c>
      <c r="Q235" s="102" t="s">
        <v>2012</v>
      </c>
      <c r="R235" s="97"/>
      <c r="S235" s="97"/>
      <c r="T235" s="108"/>
      <c r="U235" s="109"/>
      <c r="V235" s="100"/>
      <c r="W235" s="60"/>
      <c r="X235" s="60"/>
      <c r="Y235" s="60"/>
      <c r="Z235" s="60"/>
      <c r="AA235" s="60"/>
      <c r="AB235" s="60"/>
      <c r="AC235" s="60"/>
      <c r="AD235" s="60"/>
      <c r="AE235" s="60"/>
      <c r="AF235" s="60"/>
      <c r="AG235" s="60"/>
      <c r="AH235" s="60"/>
      <c r="AI235" s="60"/>
    </row>
    <row r="236" spans="1:35" ht="28">
      <c r="A236" s="89" t="s">
        <v>2013</v>
      </c>
      <c r="B236" s="116" t="s">
        <v>1976</v>
      </c>
      <c r="C236" s="116" t="s">
        <v>1976</v>
      </c>
      <c r="D236" s="91">
        <v>2</v>
      </c>
      <c r="E236" s="90">
        <v>2</v>
      </c>
      <c r="F236" s="92">
        <v>0</v>
      </c>
      <c r="G236" s="90">
        <v>5</v>
      </c>
      <c r="H236" s="92">
        <v>2</v>
      </c>
      <c r="I236" s="90" t="s">
        <v>126</v>
      </c>
      <c r="J236" s="92" t="s">
        <v>126</v>
      </c>
      <c r="K236" s="93" t="s">
        <v>2014</v>
      </c>
      <c r="L236" s="95"/>
      <c r="M236" s="95"/>
      <c r="N236" s="95"/>
      <c r="O236" s="94" t="s">
        <v>126</v>
      </c>
      <c r="P236" s="96" t="str">
        <f>IF(ISBLANK(Q236),"",CONCATENATE(Q236,": ",VLOOKUP(Q236,Status!A:C,3,FALSE),IF(ISBLANK(R236),"",CONCATENATE(CHAR(10),R236,": ",VLOOKUP(R236,Status!A:C,3,FALSE),IF(ISBLANK(S236),"",CONCATENATE(CHAR(10),S236,": ",VLOOKUP(S236,Status!A:C,3,FALSE)))))))</f>
        <v>Enraged: +100% Crit Chance.  Cannot use abilities that are not weapon-based.  Removed by Peace of Mind.</v>
      </c>
      <c r="Q236" s="102" t="s">
        <v>2015</v>
      </c>
      <c r="R236" s="97"/>
      <c r="S236" s="97"/>
      <c r="T236" s="108"/>
      <c r="U236" s="109"/>
      <c r="V236" s="100"/>
      <c r="W236" s="60"/>
      <c r="X236" s="60"/>
      <c r="Y236" s="60"/>
      <c r="Z236" s="60"/>
      <c r="AA236" s="60"/>
      <c r="AB236" s="60"/>
      <c r="AC236" s="60"/>
      <c r="AD236" s="60"/>
      <c r="AE236" s="60"/>
      <c r="AF236" s="60"/>
      <c r="AG236" s="60"/>
      <c r="AH236" s="60"/>
      <c r="AI236" s="60"/>
    </row>
    <row r="237" spans="1:35" ht="14">
      <c r="A237" s="105" t="s">
        <v>2016</v>
      </c>
      <c r="B237" s="117" t="s">
        <v>1976</v>
      </c>
      <c r="C237" s="117" t="s">
        <v>1976</v>
      </c>
      <c r="D237" s="91">
        <v>3</v>
      </c>
      <c r="E237" s="106">
        <v>2</v>
      </c>
      <c r="F237" s="92">
        <v>0</v>
      </c>
      <c r="G237" s="106">
        <v>6</v>
      </c>
      <c r="H237" s="92" t="s">
        <v>126</v>
      </c>
      <c r="I237" s="106" t="s">
        <v>126</v>
      </c>
      <c r="J237" s="92" t="s">
        <v>126</v>
      </c>
      <c r="K237" s="107" t="s">
        <v>2017</v>
      </c>
      <c r="L237" s="95"/>
      <c r="M237" s="95"/>
      <c r="N237" s="95"/>
      <c r="O237" s="94" t="s">
        <v>126</v>
      </c>
      <c r="P237" s="96" t="str">
        <f>IF(ISBLANK(Q237),"",CONCATENATE(Q237,": ",VLOOKUP(Q237,Status!A:C,3,FALSE),IF(ISBLANK(R237),"",CONCATENATE(CHAR(10),R237,": ",VLOOKUP(R237,Status!A:C,3,FALSE),IF(ISBLANK(S237),"",CONCATENATE(CHAR(10),S237,": ",VLOOKUP(S237,Status!A:C,3,FALSE)))))))</f>
        <v>Guardian Angel: 50% of the damage that allies within 4m of you would take is redirected to you.</v>
      </c>
      <c r="Q237" s="102" t="s">
        <v>2016</v>
      </c>
      <c r="R237" s="97"/>
      <c r="S237" s="97"/>
      <c r="T237" s="108"/>
      <c r="U237" s="109"/>
      <c r="V237" s="100"/>
      <c r="W237" s="60"/>
      <c r="X237" s="60"/>
      <c r="Y237" s="60"/>
      <c r="Z237" s="60"/>
      <c r="AA237" s="60"/>
      <c r="AB237" s="60"/>
      <c r="AC237" s="60"/>
      <c r="AD237" s="60"/>
      <c r="AE237" s="60"/>
      <c r="AF237" s="60"/>
      <c r="AG237" s="60"/>
      <c r="AH237" s="60"/>
      <c r="AI237" s="60"/>
    </row>
    <row r="238" spans="1:35" ht="14">
      <c r="A238" s="89" t="s">
        <v>2018</v>
      </c>
      <c r="B238" s="116" t="s">
        <v>1976</v>
      </c>
      <c r="C238" s="116" t="s">
        <v>1976</v>
      </c>
      <c r="D238" s="91">
        <v>3</v>
      </c>
      <c r="E238" s="90">
        <v>4</v>
      </c>
      <c r="F238" s="92">
        <v>2</v>
      </c>
      <c r="G238" s="90">
        <v>6</v>
      </c>
      <c r="H238" s="113" t="s">
        <v>1526</v>
      </c>
      <c r="I238" s="90" t="s">
        <v>126</v>
      </c>
      <c r="J238" s="92" t="s">
        <v>126</v>
      </c>
      <c r="K238" s="93" t="s">
        <v>2019</v>
      </c>
      <c r="L238" s="101">
        <v>32</v>
      </c>
      <c r="M238" s="94"/>
      <c r="N238" s="94" t="s">
        <v>1996</v>
      </c>
      <c r="O238" s="94" t="s">
        <v>1585</v>
      </c>
      <c r="P238" s="96" t="str">
        <f>IF(ISBLANK(Q238),"",CONCATENATE(Q238,": ",VLOOKUP(Q238,Status!A:C,3,FALSE),IF(ISBLANK(R238),"",CONCATENATE(CHAR(10),R238,": ",VLOOKUP(R238,Status!A:C,3,FALSE),IF(ISBLANK(S238),"",CONCATENATE(CHAR(10),S238,": ",VLOOKUP(S238,Status!A:C,3,FALSE)))))))</f>
        <v/>
      </c>
      <c r="Q238" s="102"/>
      <c r="R238" s="97"/>
      <c r="S238" s="102"/>
      <c r="T238" s="103" t="s">
        <v>348</v>
      </c>
      <c r="U238" s="104"/>
      <c r="V238" s="100"/>
      <c r="W238" s="60"/>
      <c r="X238" s="60"/>
      <c r="Y238" s="60"/>
      <c r="Z238" s="60"/>
      <c r="AA238" s="60"/>
      <c r="AB238" s="60"/>
      <c r="AC238" s="60"/>
      <c r="AD238" s="60"/>
      <c r="AE238" s="60"/>
      <c r="AF238" s="60"/>
      <c r="AG238" s="60"/>
      <c r="AH238" s="60"/>
      <c r="AI238" s="60"/>
    </row>
    <row r="239" spans="1:35" ht="28">
      <c r="A239" s="89" t="s">
        <v>2020</v>
      </c>
      <c r="B239" s="116" t="s">
        <v>1976</v>
      </c>
      <c r="C239" s="116" t="s">
        <v>1976</v>
      </c>
      <c r="D239" s="91">
        <v>5</v>
      </c>
      <c r="E239" s="90">
        <v>2</v>
      </c>
      <c r="F239" s="92">
        <v>1</v>
      </c>
      <c r="G239" s="90">
        <v>3</v>
      </c>
      <c r="H239" s="113" t="s">
        <v>1526</v>
      </c>
      <c r="I239" s="90" t="s">
        <v>126</v>
      </c>
      <c r="J239" s="92" t="s">
        <v>1473</v>
      </c>
      <c r="K239" s="93" t="s">
        <v>2021</v>
      </c>
      <c r="L239" s="101">
        <v>96</v>
      </c>
      <c r="M239" s="94"/>
      <c r="N239" s="94" t="s">
        <v>1996</v>
      </c>
      <c r="O239" s="94" t="s">
        <v>1585</v>
      </c>
      <c r="P239" s="96" t="str">
        <f>IF(ISBLANK(Q239),"",CONCATENATE(Q239,": ",VLOOKUP(Q239,Status!A:C,3,FALSE),IF(ISBLANK(R239),"",CONCATENATE(CHAR(10),R239,": ",VLOOKUP(R239,Status!A:C,3,FALSE),IF(ISBLANK(S239),"",CONCATENATE(CHAR(10),S239,": ",VLOOKUP(S239,Status!A:C,3,FALSE)))))))</f>
        <v>Knocked Down: Cannot move or act.  Removed by First Aid.</v>
      </c>
      <c r="Q239" s="102" t="s">
        <v>1476</v>
      </c>
      <c r="R239" s="97"/>
      <c r="S239" s="102"/>
      <c r="T239" s="103" t="s">
        <v>348</v>
      </c>
      <c r="U239" s="104"/>
      <c r="V239" s="100"/>
      <c r="W239" s="60"/>
      <c r="X239" s="60"/>
      <c r="Y239" s="60"/>
      <c r="Z239" s="60"/>
      <c r="AA239" s="60"/>
      <c r="AB239" s="60"/>
      <c r="AC239" s="60"/>
      <c r="AD239" s="60"/>
      <c r="AE239" s="60"/>
      <c r="AF239" s="60"/>
      <c r="AG239" s="60"/>
      <c r="AH239" s="60"/>
      <c r="AI239" s="60"/>
    </row>
    <row r="240" spans="1:35" ht="14">
      <c r="A240" s="105" t="s">
        <v>2022</v>
      </c>
      <c r="B240" s="117" t="s">
        <v>1976</v>
      </c>
      <c r="C240" s="117" t="s">
        <v>1976</v>
      </c>
      <c r="D240" s="91">
        <v>2</v>
      </c>
      <c r="E240" s="106">
        <v>1</v>
      </c>
      <c r="F240" s="92">
        <v>0</v>
      </c>
      <c r="G240" s="106">
        <v>4</v>
      </c>
      <c r="H240" s="92">
        <v>13</v>
      </c>
      <c r="I240" s="106">
        <v>2</v>
      </c>
      <c r="J240" s="92" t="s">
        <v>126</v>
      </c>
      <c r="K240" s="107" t="s">
        <v>2023</v>
      </c>
      <c r="L240" s="95"/>
      <c r="M240" s="95"/>
      <c r="N240" s="95"/>
      <c r="O240" s="94" t="s">
        <v>126</v>
      </c>
      <c r="P240" s="96" t="str">
        <f>IF(ISBLANK(Q240),"",CONCATENATE(Q240,": ",VLOOKUP(Q240,Status!A:C,3,FALSE),IF(ISBLANK(R240),"",CONCATENATE(CHAR(10),R240,": ",VLOOKUP(R240,Status!A:C,3,FALSE),IF(ISBLANK(S240),"",CONCATENATE(CHAR(10),S240,": ",VLOOKUP(S240,Status!A:C,3,FALSE)))))))</f>
        <v/>
      </c>
      <c r="Q240" s="102"/>
      <c r="R240" s="97"/>
      <c r="S240" s="97"/>
      <c r="T240" s="108"/>
      <c r="U240" s="109"/>
      <c r="V240" s="100"/>
      <c r="W240" s="60"/>
      <c r="X240" s="60"/>
      <c r="Y240" s="60"/>
      <c r="Z240" s="60"/>
      <c r="AA240" s="60"/>
      <c r="AB240" s="60"/>
      <c r="AC240" s="60"/>
      <c r="AD240" s="60"/>
      <c r="AE240" s="60"/>
      <c r="AF240" s="60"/>
      <c r="AG240" s="60"/>
      <c r="AH240" s="60"/>
      <c r="AI240" s="60"/>
    </row>
    <row r="241" spans="1:35" ht="28">
      <c r="A241" s="89" t="s">
        <v>2024</v>
      </c>
      <c r="B241" s="116" t="s">
        <v>1976</v>
      </c>
      <c r="C241" s="116" t="s">
        <v>1976</v>
      </c>
      <c r="D241" s="91">
        <v>2</v>
      </c>
      <c r="E241" s="90">
        <v>2</v>
      </c>
      <c r="F241" s="92">
        <v>0</v>
      </c>
      <c r="G241" s="90">
        <v>5</v>
      </c>
      <c r="H241" s="92" t="s">
        <v>126</v>
      </c>
      <c r="I241" s="90">
        <v>4</v>
      </c>
      <c r="J241" s="92" t="s">
        <v>126</v>
      </c>
      <c r="K241" s="93" t="s">
        <v>1905</v>
      </c>
      <c r="L241" s="95"/>
      <c r="M241" s="95"/>
      <c r="N241" s="95"/>
      <c r="O241" s="94" t="s">
        <v>126</v>
      </c>
      <c r="P241" s="96" t="str">
        <f>IF(ISBLANK(Q241),"",CONCATENATE(Q241,": ",VLOOKUP(Q241,Status!A:C,3,FALSE),IF(ISBLANK(R241),"",CONCATENATE(CHAR(10),R241,": ",VLOOKUP(R241,Status!A:C,3,FALSE),IF(ISBLANK(S241),"",CONCATENATE(CHAR(10),S241,": ",VLOOKUP(S241,Status!A:C,3,FALSE)))))))</f>
        <v>Taunted: This character is controlled by the AI and will prefer to attack the inflictor.  Removed by Peace of Mind and Enrage.</v>
      </c>
      <c r="Q241" s="102" t="s">
        <v>1906</v>
      </c>
      <c r="R241" s="97"/>
      <c r="S241" s="97"/>
      <c r="T241" s="108"/>
      <c r="U241" s="109"/>
      <c r="V241" s="100"/>
      <c r="W241" s="60"/>
      <c r="X241" s="60"/>
      <c r="Y241" s="60"/>
      <c r="Z241" s="60"/>
      <c r="AA241" s="60"/>
      <c r="AB241" s="60"/>
      <c r="AC241" s="60"/>
      <c r="AD241" s="60"/>
      <c r="AE241" s="60"/>
      <c r="AF241" s="60"/>
      <c r="AG241" s="60"/>
      <c r="AH241" s="60"/>
      <c r="AI241" s="60"/>
    </row>
    <row r="242" spans="1:35" ht="28">
      <c r="A242" s="105" t="s">
        <v>2025</v>
      </c>
      <c r="B242" s="117" t="s">
        <v>1976</v>
      </c>
      <c r="C242" s="117" t="s">
        <v>1976</v>
      </c>
      <c r="D242" s="91">
        <v>3</v>
      </c>
      <c r="E242" s="106">
        <v>2</v>
      </c>
      <c r="F242" s="92">
        <v>1</v>
      </c>
      <c r="G242" s="106">
        <v>4</v>
      </c>
      <c r="H242" s="92" t="s">
        <v>126</v>
      </c>
      <c r="I242" s="106">
        <v>4</v>
      </c>
      <c r="J242" s="92" t="s">
        <v>126</v>
      </c>
      <c r="K242" s="107" t="s">
        <v>2026</v>
      </c>
      <c r="L242" s="95"/>
      <c r="M242" s="95"/>
      <c r="N242" s="95"/>
      <c r="O242" s="94" t="s">
        <v>126</v>
      </c>
      <c r="P242" s="96" t="str">
        <f>IF(ISBLANK(Q242),"",CONCATENATE(Q242,": ",VLOOKUP(Q242,Status!A:C,3,FALSE),IF(ISBLANK(R242),"",CONCATENATE(CHAR(10),R242,": ",VLOOKUP(R242,Status!A:C,3,FALSE),IF(ISBLANK(S242),"",CONCATENATE(CHAR(10),S242,": ",VLOOKUP(S242,Status!A:C,3,FALSE)))))))</f>
        <v>Thick of the Fight: Increase Damage dealt by 10% for each character that was within 4m when the status was set (including you).</v>
      </c>
      <c r="Q242" s="102" t="s">
        <v>2027</v>
      </c>
      <c r="R242" s="97"/>
      <c r="S242" s="97"/>
      <c r="T242" s="108"/>
      <c r="U242" s="109"/>
      <c r="V242" s="100"/>
      <c r="W242" s="60"/>
      <c r="X242" s="60"/>
      <c r="Y242" s="60"/>
      <c r="Z242" s="60"/>
      <c r="AA242" s="60"/>
      <c r="AB242" s="60"/>
      <c r="AC242" s="60"/>
      <c r="AD242" s="60"/>
      <c r="AE242" s="60"/>
      <c r="AF242" s="60"/>
      <c r="AG242" s="60"/>
      <c r="AH242" s="60"/>
      <c r="AI242" s="60"/>
    </row>
    <row r="243" spans="1:35" ht="14">
      <c r="A243" s="105" t="s">
        <v>2028</v>
      </c>
      <c r="B243" s="117" t="s">
        <v>1976</v>
      </c>
      <c r="C243" s="117" t="s">
        <v>1976</v>
      </c>
      <c r="D243" s="91">
        <v>2</v>
      </c>
      <c r="E243" s="106">
        <v>2</v>
      </c>
      <c r="F243" s="92">
        <v>0</v>
      </c>
      <c r="G243" s="106">
        <v>3</v>
      </c>
      <c r="H243" s="92" t="s">
        <v>126</v>
      </c>
      <c r="I243" s="106">
        <v>4</v>
      </c>
      <c r="J243" s="92" t="s">
        <v>126</v>
      </c>
      <c r="K243" s="107" t="s">
        <v>2029</v>
      </c>
      <c r="L243" s="101">
        <v>64</v>
      </c>
      <c r="M243" s="94"/>
      <c r="N243" s="94" t="s">
        <v>1996</v>
      </c>
      <c r="O243" s="94" t="s">
        <v>1585</v>
      </c>
      <c r="P243" s="96" t="str">
        <f>IF(ISBLANK(Q243),"",CONCATENATE(Q243,": ",VLOOKUP(Q243,Status!A:C,3,FALSE),IF(ISBLANK(R243),"",CONCATENATE(CHAR(10),R243,": ",VLOOKUP(R243,Status!A:C,3,FALSE),IF(ISBLANK(S243),"",CONCATENATE(CHAR(10),S243,": ",VLOOKUP(S243,Status!A:C,3,FALSE)))))))</f>
        <v/>
      </c>
      <c r="Q243" s="102"/>
      <c r="R243" s="97"/>
      <c r="S243" s="102"/>
      <c r="T243" s="103" t="s">
        <v>348</v>
      </c>
      <c r="U243" s="104"/>
      <c r="V243" s="100"/>
      <c r="W243" s="60"/>
      <c r="X243" s="60"/>
      <c r="Y243" s="60"/>
      <c r="Z243" s="60"/>
      <c r="AA243" s="60"/>
      <c r="AB243" s="60"/>
      <c r="AC243" s="60"/>
      <c r="AD243" s="60"/>
      <c r="AE243" s="60"/>
      <c r="AF243" s="60"/>
      <c r="AG243" s="60"/>
      <c r="AH243" s="60"/>
      <c r="AI243" s="60"/>
    </row>
    <row r="244" spans="1:35" ht="14">
      <c r="A244" s="123"/>
      <c r="B244" s="124"/>
      <c r="C244" s="124"/>
      <c r="D244" s="125"/>
      <c r="E244" s="124"/>
      <c r="F244" s="126"/>
      <c r="G244" s="124"/>
      <c r="H244" s="126"/>
      <c r="I244" s="124"/>
      <c r="J244" s="126"/>
      <c r="L244" s="124"/>
      <c r="M244" s="124"/>
      <c r="N244" s="124"/>
      <c r="O244" s="124"/>
      <c r="P244" s="70" t="str">
        <f>IF(ISBLANK(Q244),"",CONCATENATE(Q244,": ",VLOOKUP(Q244,Status!A:C,3,FALSE),IF(ISBLANK(R244),"",CONCATENATE(CHAR(10),R244,": ",VLOOKUP(R244,Status!A:C,3,FALSE)))))</f>
        <v/>
      </c>
      <c r="Q244" s="127"/>
      <c r="R244" s="127"/>
      <c r="S244" s="127"/>
      <c r="T244" s="128"/>
      <c r="U244" s="60"/>
      <c r="V244" s="100"/>
      <c r="W244" s="60"/>
      <c r="X244" s="60"/>
      <c r="Y244" s="60"/>
      <c r="Z244" s="60"/>
      <c r="AA244" s="60"/>
      <c r="AB244" s="60"/>
      <c r="AC244" s="60"/>
      <c r="AD244" s="60"/>
      <c r="AE244" s="60"/>
      <c r="AF244" s="60"/>
      <c r="AG244" s="60"/>
      <c r="AH244" s="60"/>
      <c r="AI244" s="60"/>
    </row>
    <row r="245" spans="1:35" ht="14">
      <c r="A245" s="123"/>
      <c r="B245" s="124"/>
      <c r="C245" s="124"/>
      <c r="D245" s="125"/>
      <c r="E245" s="124"/>
      <c r="F245" s="126"/>
      <c r="G245" s="124"/>
      <c r="H245" s="126"/>
      <c r="I245" s="124"/>
      <c r="J245" s="126"/>
      <c r="K245" s="70"/>
      <c r="L245" s="124"/>
      <c r="M245" s="124"/>
      <c r="N245" s="124"/>
      <c r="O245" s="124"/>
      <c r="P245" s="70" t="str">
        <f>IF(ISBLANK(Q245),"",CONCATENATE(Q245,": ",VLOOKUP(Q245,Status!A:C,3,FALSE),IF(ISBLANK(R245),"",CONCATENATE(CHAR(10),R245,": ",VLOOKUP(R245,Status!A:C,3,FALSE)))))</f>
        <v/>
      </c>
      <c r="Q245" s="127"/>
      <c r="R245" s="127"/>
      <c r="S245" s="127"/>
      <c r="T245" s="128"/>
      <c r="U245" s="60"/>
      <c r="V245" s="100"/>
      <c r="W245" s="60"/>
      <c r="X245" s="60"/>
      <c r="Y245" s="60"/>
      <c r="Z245" s="60"/>
      <c r="AA245" s="60"/>
      <c r="AB245" s="60"/>
      <c r="AC245" s="60"/>
      <c r="AD245" s="60"/>
      <c r="AE245" s="60"/>
      <c r="AF245" s="60"/>
      <c r="AG245" s="60"/>
      <c r="AH245" s="60"/>
      <c r="AI245" s="60"/>
    </row>
    <row r="246" spans="1:35" ht="14">
      <c r="A246" s="123"/>
      <c r="B246" s="124"/>
      <c r="C246" s="124"/>
      <c r="D246" s="125"/>
      <c r="E246" s="124"/>
      <c r="F246" s="126"/>
      <c r="G246" s="124"/>
      <c r="H246" s="126"/>
      <c r="I246" s="124"/>
      <c r="J246" s="126"/>
      <c r="K246" s="70"/>
      <c r="L246" s="124"/>
      <c r="M246" s="124"/>
      <c r="N246" s="124"/>
      <c r="O246" s="124"/>
      <c r="P246" s="70" t="str">
        <f>IF(ISBLANK(Q246),"",CONCATENATE(Q246,": ",VLOOKUP(Q246,Status!A:C,3,FALSE),IF(ISBLANK(R246),"",CONCATENATE(CHAR(10),R246,": ",VLOOKUP(R246,Status!A:C,3,FALSE)))))</f>
        <v/>
      </c>
      <c r="Q246" s="127"/>
      <c r="R246" s="127"/>
      <c r="S246" s="127"/>
      <c r="T246" s="128"/>
      <c r="U246" s="60"/>
      <c r="V246" s="100"/>
      <c r="W246" s="60"/>
      <c r="X246" s="60"/>
      <c r="Y246" s="60"/>
      <c r="Z246" s="60"/>
      <c r="AA246" s="60"/>
      <c r="AB246" s="60"/>
      <c r="AC246" s="60"/>
      <c r="AD246" s="60"/>
      <c r="AE246" s="60"/>
      <c r="AF246" s="60"/>
      <c r="AG246" s="60"/>
      <c r="AH246" s="60"/>
      <c r="AI246" s="60"/>
    </row>
    <row r="247" spans="1:35" ht="14">
      <c r="A247" s="123"/>
      <c r="B247" s="124"/>
      <c r="C247" s="124"/>
      <c r="D247" s="125"/>
      <c r="E247" s="124"/>
      <c r="F247" s="126"/>
      <c r="G247" s="124"/>
      <c r="H247" s="126"/>
      <c r="I247" s="124"/>
      <c r="J247" s="126"/>
      <c r="K247" s="70"/>
      <c r="L247" s="124"/>
      <c r="M247" s="124"/>
      <c r="N247" s="124"/>
      <c r="O247" s="124"/>
      <c r="P247" s="70" t="str">
        <f>IF(ISBLANK(Q247),"",CONCATENATE(Q247,": ",VLOOKUP(Q247,Status!A:C,3,FALSE),IF(ISBLANK(R247),"",CONCATENATE(CHAR(10),R247,": ",VLOOKUP(R247,Status!A:C,3,FALSE)))))</f>
        <v/>
      </c>
      <c r="Q247" s="127"/>
      <c r="R247" s="127"/>
      <c r="S247" s="127"/>
      <c r="T247" s="128"/>
      <c r="U247" s="60"/>
      <c r="V247" s="100"/>
      <c r="W247" s="60"/>
      <c r="X247" s="60"/>
      <c r="Y247" s="60"/>
      <c r="Z247" s="60"/>
      <c r="AA247" s="60"/>
      <c r="AB247" s="60"/>
      <c r="AC247" s="60"/>
      <c r="AD247" s="60"/>
      <c r="AE247" s="60"/>
      <c r="AF247" s="60"/>
      <c r="AG247" s="60"/>
      <c r="AH247" s="60"/>
      <c r="AI247" s="60"/>
    </row>
    <row r="248" spans="1:35" ht="14">
      <c r="A248" s="123"/>
      <c r="B248" s="124"/>
      <c r="C248" s="124"/>
      <c r="D248" s="125"/>
      <c r="E248" s="124"/>
      <c r="F248" s="126"/>
      <c r="G248" s="124"/>
      <c r="H248" s="126"/>
      <c r="I248" s="124"/>
      <c r="J248" s="126"/>
      <c r="K248" s="70"/>
      <c r="L248" s="124"/>
      <c r="M248" s="124"/>
      <c r="N248" s="124"/>
      <c r="O248" s="124"/>
      <c r="P248" s="70" t="str">
        <f>IF(ISBLANK(Q248),"",CONCATENATE(Q248,": ",VLOOKUP(Q248,Status!A:C,3,FALSE),IF(ISBLANK(R248),"",CONCATENATE(CHAR(10),R248,": ",VLOOKUP(R248,Status!A:C,3,FALSE)))))</f>
        <v/>
      </c>
      <c r="Q248" s="127"/>
      <c r="R248" s="127"/>
      <c r="S248" s="127"/>
      <c r="T248" s="128"/>
      <c r="U248" s="60"/>
      <c r="V248" s="100"/>
      <c r="W248" s="60"/>
      <c r="X248" s="60"/>
      <c r="Y248" s="60"/>
      <c r="Z248" s="60"/>
      <c r="AA248" s="60"/>
      <c r="AB248" s="60"/>
      <c r="AC248" s="60"/>
      <c r="AD248" s="60"/>
      <c r="AE248" s="60"/>
      <c r="AF248" s="60"/>
      <c r="AG248" s="60"/>
      <c r="AH248" s="60"/>
      <c r="AI248" s="60"/>
    </row>
    <row r="249" spans="1:35" ht="14">
      <c r="A249" s="123"/>
      <c r="B249" s="124"/>
      <c r="C249" s="124"/>
      <c r="D249" s="125"/>
      <c r="E249" s="124"/>
      <c r="F249" s="126"/>
      <c r="G249" s="124"/>
      <c r="H249" s="126"/>
      <c r="I249" s="124"/>
      <c r="J249" s="126"/>
      <c r="K249" s="70"/>
      <c r="L249" s="124"/>
      <c r="M249" s="124"/>
      <c r="N249" s="124"/>
      <c r="O249" s="124"/>
      <c r="P249" s="70" t="str">
        <f>IF(ISBLANK(Q249),"",CONCATENATE(Q249,": ",VLOOKUP(Q249,Status!A:C,3,FALSE),IF(ISBLANK(R249),"",CONCATENATE(CHAR(10),R249,": ",VLOOKUP(R249,Status!A:C,3,FALSE)))))</f>
        <v/>
      </c>
      <c r="Q249" s="127"/>
      <c r="R249" s="127"/>
      <c r="S249" s="127"/>
      <c r="T249" s="128"/>
      <c r="U249" s="60"/>
      <c r="V249" s="100"/>
      <c r="W249" s="60"/>
      <c r="X249" s="60"/>
      <c r="Y249" s="60"/>
      <c r="Z249" s="60"/>
      <c r="AA249" s="60"/>
      <c r="AB249" s="60"/>
      <c r="AC249" s="60"/>
      <c r="AD249" s="60"/>
      <c r="AE249" s="60"/>
      <c r="AF249" s="60"/>
      <c r="AG249" s="60"/>
      <c r="AH249" s="60"/>
      <c r="AI249" s="60"/>
    </row>
    <row r="250" spans="1:35" ht="14">
      <c r="A250" s="123"/>
      <c r="B250" s="124"/>
      <c r="C250" s="124"/>
      <c r="D250" s="125"/>
      <c r="E250" s="124"/>
      <c r="F250" s="126"/>
      <c r="G250" s="124"/>
      <c r="H250" s="126"/>
      <c r="I250" s="124"/>
      <c r="J250" s="126"/>
      <c r="K250" s="70"/>
      <c r="L250" s="124"/>
      <c r="M250" s="124"/>
      <c r="N250" s="124"/>
      <c r="O250" s="124"/>
      <c r="P250" s="70" t="str">
        <f>IF(ISBLANK(Q250),"",CONCATENATE(Q250,": ",VLOOKUP(Q250,Status!A:C,3,FALSE),IF(ISBLANK(R250),"",CONCATENATE(CHAR(10),R250,": ",VLOOKUP(R250,Status!A:C,3,FALSE)))))</f>
        <v/>
      </c>
      <c r="Q250" s="127"/>
      <c r="R250" s="127"/>
      <c r="S250" s="127"/>
      <c r="T250" s="128"/>
      <c r="U250" s="60"/>
      <c r="V250" s="100"/>
      <c r="W250" s="60"/>
      <c r="X250" s="60"/>
      <c r="Y250" s="60"/>
      <c r="Z250" s="60"/>
      <c r="AA250" s="60"/>
      <c r="AB250" s="60"/>
      <c r="AC250" s="60"/>
      <c r="AD250" s="60"/>
      <c r="AE250" s="60"/>
      <c r="AF250" s="60"/>
      <c r="AG250" s="60"/>
      <c r="AH250" s="60"/>
      <c r="AI250" s="60"/>
    </row>
  </sheetData>
  <conditionalFormatting sqref="K245">
    <cfRule type="expression" dxfId="25" priority="1">
      <formula>AND(K245&lt;&gt;"", #REF!="")</formula>
    </cfRule>
  </conditionalFormatting>
  <conditionalFormatting sqref="I56">
    <cfRule type="expression" dxfId="24" priority="2">
      <formula>AND(I56="", A56&lt;&gt;"")</formula>
    </cfRule>
  </conditionalFormatting>
  <conditionalFormatting sqref="I56">
    <cfRule type="expression" dxfId="23" priority="3">
      <formula>AND(A56&lt;&gt;"",NOT(ISNUMBER(I56)),I56&lt;&gt;"-")</formula>
    </cfRule>
  </conditionalFormatting>
  <conditionalFormatting sqref="H1:I55 H57:I250">
    <cfRule type="expression" dxfId="22" priority="4">
      <formula>AND(H1="", A1&lt;&gt;"")</formula>
    </cfRule>
  </conditionalFormatting>
  <conditionalFormatting sqref="J1:J223 J224:J250">
    <cfRule type="expression" dxfId="21" priority="5">
      <formula>AND(J1="", A1&lt;&gt;"")</formula>
    </cfRule>
  </conditionalFormatting>
  <conditionalFormatting sqref="O1:O223 O224:O250">
    <cfRule type="expression" dxfId="20" priority="6">
      <formula>AND(A1&lt;&gt;"",O1="")</formula>
    </cfRule>
  </conditionalFormatting>
  <conditionalFormatting sqref="A1:A223 A224:A250">
    <cfRule type="expression" dxfId="19" priority="7">
      <formula>AND(ISNUMBER(F1),F1&gt;0)</formula>
    </cfRule>
  </conditionalFormatting>
  <conditionalFormatting sqref="L1:L223 L224:L250">
    <cfRule type="expression" dxfId="18" priority="8">
      <formula>AND(L1&lt;&gt;"", ISNUMBER(F1),F1&gt;0)</formula>
    </cfRule>
  </conditionalFormatting>
  <conditionalFormatting sqref="M1:M250">
    <cfRule type="expression" dxfId="17" priority="9">
      <formula>AND(ISBLANK(M1),ISNUMBER(L1))</formula>
    </cfRule>
  </conditionalFormatting>
  <pageMargins left="0.7" right="0.7" top="0.75" bottom="0.75" header="0.3" footer="0.3"/>
  <legacyDrawing r:id="rId1"/>
  <tableParts count="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O1001"/>
  <sheetViews>
    <sheetView workbookViewId="0"/>
  </sheetViews>
  <sheetFormatPr baseColWidth="10" defaultColWidth="14.5" defaultRowHeight="15.75" customHeight="1"/>
  <cols>
    <col min="2" max="5" width="21.6640625" customWidth="1"/>
    <col min="7" max="7" width="13.1640625" customWidth="1"/>
    <col min="8" max="8" width="7" customWidth="1"/>
    <col min="10" max="10" width="118" customWidth="1"/>
    <col min="11" max="11" width="12.33203125" customWidth="1"/>
    <col min="12" max="12" width="11.5" customWidth="1"/>
    <col min="13" max="13" width="10.83203125" customWidth="1"/>
    <col min="14" max="14" width="12" customWidth="1"/>
    <col min="15" max="15" width="10.33203125" customWidth="1"/>
  </cols>
  <sheetData>
    <row r="1" spans="1:15" ht="15.75" customHeight="1">
      <c r="A1" s="7" t="s">
        <v>2030</v>
      </c>
      <c r="B1" s="129" t="s">
        <v>1422</v>
      </c>
      <c r="C1" s="129" t="s">
        <v>1537</v>
      </c>
      <c r="D1" s="129" t="s">
        <v>1618</v>
      </c>
      <c r="E1" s="129" t="s">
        <v>1624</v>
      </c>
      <c r="H1" s="130"/>
      <c r="K1" s="131" t="str">
        <f t="shared" ref="K1:O1" si="0">A1</f>
        <v>Non-Source</v>
      </c>
      <c r="L1" s="131" t="str">
        <f t="shared" si="0"/>
        <v>Aerotheurge</v>
      </c>
      <c r="M1" s="131" t="str">
        <f t="shared" si="0"/>
        <v>Geomancer</v>
      </c>
      <c r="N1" s="131" t="str">
        <f t="shared" si="0"/>
        <v>Hydrosophist</v>
      </c>
      <c r="O1" s="131" t="str">
        <f t="shared" si="0"/>
        <v>Pyrokinetic</v>
      </c>
    </row>
    <row r="2" spans="1:15">
      <c r="A2" s="129" t="s">
        <v>1574</v>
      </c>
      <c r="B2" t="str">
        <f ca="1">IFERROR(__xludf.DUMMYFUNCTION("filter(Skills!$A:$A,Skills!$B:$B=$A2,Skills!$C:$C=B$1,Skills!$F:$F=0)"),"Erratic Wisp")</f>
        <v>Erratic Wisp</v>
      </c>
      <c r="C2" t="str">
        <f ca="1">IFERROR(__xludf.DUMMYFUNCTION("filter(Skills!$A:$A,Skills!$B:$B=$A2,Skills!$C:$C=C$1,Skills!$F:$F=0)"),"Throw Dust")</f>
        <v>Throw Dust</v>
      </c>
      <c r="D2" t="str">
        <f ca="1">IFERROR(__xludf.DUMMYFUNCTION("filter(Skills!$A:$A,Skills!$B:$B=$A2,Skills!$C:$C=D$1,Skills!$F:$F=0)"),"Cryotherapy")</f>
        <v>Cryotherapy</v>
      </c>
      <c r="E2" t="str">
        <f ca="1">IFERROR(__xludf.DUMMYFUNCTION("filter(Skills!$A:$A,Skills!$B:$B=$A2,Skills!$C:$C=E$1,Skills!$F:$F=0)"),"Throw Explosive Trap")</f>
        <v>Throw Explosive Trap</v>
      </c>
      <c r="G2" s="50" t="s">
        <v>1422</v>
      </c>
      <c r="H2" s="7"/>
      <c r="K2" s="131" t="str">
        <f t="shared" ref="K2:K16" si="1">A2</f>
        <v>Huntsman</v>
      </c>
      <c r="L2" s="132">
        <f ca="1">VLOOKUP(B2,Skills!$A:$D,4,FALSE)</f>
        <v>1</v>
      </c>
      <c r="M2" s="132">
        <f ca="1">VLOOKUP(C2,Skills!$A:$D,4,FALSE)</f>
        <v>1</v>
      </c>
      <c r="N2" s="132">
        <f ca="1">VLOOKUP(D2,Skills!$A:$D,4,FALSE)</f>
        <v>1</v>
      </c>
      <c r="O2" s="132">
        <f ca="1">VLOOKUP(E2,Skills!$A:$D,4,FALSE)</f>
        <v>1</v>
      </c>
    </row>
    <row r="3" spans="1:15">
      <c r="A3" s="129" t="s">
        <v>1667</v>
      </c>
      <c r="B3" t="str">
        <f ca="1">IFERROR(__xludf.DUMMYFUNCTION("filter(Skills!$A:$A,Skills!$B:$B=$A3,Skills!$C:$C=B$1,Skills!$F:$F=0)"),"Vacuum Touch")</f>
        <v>Vacuum Touch</v>
      </c>
      <c r="C3" t="str">
        <f ca="1">IFERROR(__xludf.DUMMYFUNCTION("filter(Skills!$A:$A,Skills!$B:$B=$A3,Skills!$C:$C=C$1,Skills!$F:$F=0)"),"Corrosive Touch")</f>
        <v>Corrosive Touch</v>
      </c>
      <c r="D3" t="str">
        <f ca="1">IFERROR(__xludf.DUMMYFUNCTION("filter(Skills!$A:$A,Skills!$B:$B=$A3,Skills!$C:$C=D$1,Skills!$F:$F=0)"),"Raining Blood")</f>
        <v>Raining Blood</v>
      </c>
      <c r="E3" t="str">
        <f ca="1">IFERROR(__xludf.DUMMYFUNCTION("filter(Skills!$A:$A,Skills!$B:$B=$A3,Skills!$C:$C=E$1,Skills!$F:$F=0)"),"Corpse Explosion")</f>
        <v>Corpse Explosion</v>
      </c>
      <c r="G3" s="50" t="s">
        <v>1537</v>
      </c>
      <c r="H3" s="7"/>
      <c r="K3" s="131" t="str">
        <f t="shared" si="1"/>
        <v>Necromancer</v>
      </c>
      <c r="L3" s="132">
        <f ca="1">VLOOKUP(B3,Skills!$A:$D,4,FALSE)</f>
        <v>1</v>
      </c>
      <c r="M3" s="132">
        <f ca="1">VLOOKUP(C3,Skills!$A:$D,4,FALSE)</f>
        <v>1</v>
      </c>
      <c r="N3" s="132">
        <f ca="1">VLOOKUP(D3,Skills!$A:$D,4,FALSE)</f>
        <v>1</v>
      </c>
      <c r="O3" s="132">
        <f ca="1">VLOOKUP(E3,Skills!$A:$D,4,FALSE)</f>
        <v>1</v>
      </c>
    </row>
    <row r="4" spans="1:15">
      <c r="A4" s="129" t="s">
        <v>1727</v>
      </c>
      <c r="B4" t="str">
        <f ca="1">IFERROR(__xludf.DUMMYFUNCTION("filter(Skills!$A:$A,Skills!$B:$B=$A4,Skills!$C:$C=B$1,Skills!$F:$F=0)"),"Vaporize")</f>
        <v>Vaporize</v>
      </c>
      <c r="C4" t="str">
        <f ca="1">IFERROR(__xludf.DUMMYFUNCTION("filter(Skills!$A:$A,Skills!$B:$B=$A4,Skills!$C:$C=C$1,Skills!$F:$F=0)"),"Turn To Oil")</f>
        <v>Turn To Oil</v>
      </c>
      <c r="D4" t="str">
        <f ca="1">IFERROR(__xludf.DUMMYFUNCTION("filter(Skills!$A:$A,Skills!$B:$B=$A4,Skills!$C:$C=D$1,Skills!$F:$F=0)"),"Healing Tears")</f>
        <v>Healing Tears</v>
      </c>
      <c r="E4" t="str">
        <f ca="1">IFERROR(__xludf.DUMMYFUNCTION("filter(Skills!$A:$A,Skills!$B:$B=$A4,Skills!$C:$C=E$1,Skills!$F:$F=0)"),"Bleed Fire")</f>
        <v>Bleed Fire</v>
      </c>
      <c r="G4" s="129" t="s">
        <v>1574</v>
      </c>
      <c r="H4" s="7"/>
      <c r="K4" s="131" t="str">
        <f t="shared" si="1"/>
        <v>Polymorph</v>
      </c>
      <c r="L4" s="132">
        <f ca="1">VLOOKUP(B4,Skills!$A:$D,4,FALSE)</f>
        <v>1</v>
      </c>
      <c r="M4" s="132">
        <f ca="1">VLOOKUP(C4,Skills!$A:$D,4,FALSE)</f>
        <v>1</v>
      </c>
      <c r="N4" s="132">
        <f ca="1">VLOOKUP(D4,Skills!$A:$D,4,FALSE)</f>
        <v>1</v>
      </c>
      <c r="O4" s="132">
        <f ca="1">VLOOKUP(E4,Skills!$A:$D,4,FALSE)</f>
        <v>1</v>
      </c>
    </row>
    <row r="5" spans="1:15">
      <c r="A5" s="129" t="s">
        <v>1824</v>
      </c>
      <c r="B5" t="str">
        <f ca="1">IFERROR(__xludf.DUMMYFUNCTION("filter(Skills!$A:$A,Skills!$B:$B=$A5,Skills!$C:$C=B$1,Skills!$F:$F=0)"),"Smoke Cover")</f>
        <v>Smoke Cover</v>
      </c>
      <c r="C5" t="str">
        <f ca="1">IFERROR(__xludf.DUMMYFUNCTION("filter(Skills!$A:$A,Skills!$B:$B=$A5,Skills!$C:$C=C$1,Skills!$F:$F=0)"),"Venom Coating")</f>
        <v>Venom Coating</v>
      </c>
      <c r="D5" t="str">
        <f ca="1">IFERROR(__xludf.DUMMYFUNCTION("filter(Skills!$A:$A,Skills!$B:$B=$A5,Skills!$C:$C=D$1,Skills!$F:$F=0)"),"Vampiric Hunger")</f>
        <v>Vampiric Hunger</v>
      </c>
      <c r="E5" t="str">
        <f ca="1">IFERROR(__xludf.DUMMYFUNCTION("filter(Skills!$A:$A,Skills!$B:$B=$A5,Skills!$C:$C=E$1,Skills!$F:$F=0)"),"Sabotage")</f>
        <v>Sabotage</v>
      </c>
      <c r="G5" s="50" t="s">
        <v>1618</v>
      </c>
      <c r="H5" s="7"/>
      <c r="K5" s="131" t="str">
        <f t="shared" si="1"/>
        <v>Scoundrel</v>
      </c>
      <c r="L5" s="132">
        <f ca="1">VLOOKUP(B5,Skills!$A:$D,4,FALSE)</f>
        <v>1</v>
      </c>
      <c r="M5" s="132">
        <f ca="1">VLOOKUP(C5,Skills!$A:$D,4,FALSE)</f>
        <v>1</v>
      </c>
      <c r="N5" s="132">
        <f ca="1">VLOOKUP(D5,Skills!$A:$D,4,FALSE)</f>
        <v>1</v>
      </c>
      <c r="O5" s="132">
        <f ca="1">VLOOKUP(E5,Skills!$A:$D,4,FALSE)</f>
        <v>1</v>
      </c>
    </row>
    <row r="6" spans="1:15">
      <c r="A6" s="129" t="s">
        <v>1913</v>
      </c>
      <c r="B6" t="str">
        <f ca="1">IFERROR(__xludf.DUMMYFUNCTION("filter(Skills!$A:$A,Skills!$B:$B=$A6,Skills!$C:$C=B$1,Skills!$F:$F=0)"),"Electric Infusion")</f>
        <v>Electric Infusion</v>
      </c>
      <c r="C6" t="str">
        <f ca="1">IFERROR(__xludf.DUMMYFUNCTION("filter(Skills!$A:$A,Skills!$B:$B=$A6,Skills!$C:$C=C$1,Skills!$F:$F=0)"),"Poison Infusion")</f>
        <v>Poison Infusion</v>
      </c>
      <c r="D6" t="str">
        <f ca="1">IFERROR(__xludf.DUMMYFUNCTION("filter(Skills!$A:$A,Skills!$B:$B=$A6,Skills!$C:$C=D$1,Skills!$F:$F=0)"),"Water Infusion")</f>
        <v>Water Infusion</v>
      </c>
      <c r="E6" t="str">
        <f ca="1">IFERROR(__xludf.DUMMYFUNCTION("filter(Skills!$A:$A,Skills!$B:$B=$A6,Skills!$C:$C=E$1,Skills!$F:$F=0)"),"Fire Infusion")</f>
        <v>Fire Infusion</v>
      </c>
      <c r="G6" s="129" t="s">
        <v>1667</v>
      </c>
      <c r="H6" s="7"/>
      <c r="K6" s="131" t="str">
        <f t="shared" si="1"/>
        <v>Summoning</v>
      </c>
      <c r="L6" s="132">
        <f ca="1">VLOOKUP(B6,Skills!$A:$D,4,FALSE)</f>
        <v>1</v>
      </c>
      <c r="M6" s="132">
        <f ca="1">VLOOKUP(C6,Skills!$A:$D,4,FALSE)</f>
        <v>1</v>
      </c>
      <c r="N6" s="132">
        <f ca="1">VLOOKUP(D6,Skills!$A:$D,4,FALSE)</f>
        <v>1</v>
      </c>
      <c r="O6" s="132">
        <f ca="1">VLOOKUP(E6,Skills!$A:$D,4,FALSE)</f>
        <v>1</v>
      </c>
    </row>
    <row r="7" spans="1:15">
      <c r="A7" s="129" t="s">
        <v>1976</v>
      </c>
      <c r="B7" t="str">
        <f ca="1">IFERROR(__xludf.DUMMYFUNCTION("filter(Skills!$A:$A,Skills!$B:$B=$A7,Skills!$C:$C=B$1,Skills!$F:$F=0)"),"Breathing Bubble")</f>
        <v>Breathing Bubble</v>
      </c>
      <c r="C7" t="str">
        <f ca="1">IFERROR(__xludf.DUMMYFUNCTION("filter(Skills!$A:$A,Skills!$B:$B=$A7,Skills!$C:$C=C$1,Skills!$F:$F=0)"),"Oily Carapace")</f>
        <v>Oily Carapace</v>
      </c>
      <c r="D7" t="str">
        <f ca="1">IFERROR(__xludf.DUMMYFUNCTION("filter(Skills!$A:$A,Skills!$B:$B=$A7,Skills!$C:$C=D$1,Skills!$F:$F=0)"),"Cleanse Wounds")</f>
        <v>Cleanse Wounds</v>
      </c>
      <c r="E7" t="str">
        <f ca="1">IFERROR(__xludf.DUMMYFUNCTION("filter(Skills!$A:$A,Skills!$B:$B=$A7,Skills!$C:$C=E$1,Skills!$F:$F=0)"),"Sparking Swings")</f>
        <v>Sparking Swings</v>
      </c>
      <c r="G7" s="129" t="s">
        <v>1727</v>
      </c>
      <c r="H7" s="7"/>
      <c r="K7" s="131" t="str">
        <f t="shared" si="1"/>
        <v>Warfare</v>
      </c>
      <c r="L7" s="132">
        <f ca="1">VLOOKUP(B7,Skills!$A:$D,4,FALSE)</f>
        <v>1</v>
      </c>
      <c r="M7" s="132">
        <f ca="1">VLOOKUP(C7,Skills!$A:$D,4,FALSE)</f>
        <v>1</v>
      </c>
      <c r="N7" s="132">
        <f ca="1">VLOOKUP(D7,Skills!$A:$D,4,FALSE)</f>
        <v>1</v>
      </c>
      <c r="O7" s="132">
        <f ca="1">VLOOKUP(E7,Skills!$A:$D,4,FALSE)</f>
        <v>1</v>
      </c>
    </row>
    <row r="8" spans="1:15" ht="15.75" customHeight="1">
      <c r="A8" s="50"/>
      <c r="G8" s="50" t="s">
        <v>1624</v>
      </c>
      <c r="H8" s="7"/>
      <c r="K8" s="131">
        <f t="shared" si="1"/>
        <v>0</v>
      </c>
      <c r="L8" s="131">
        <f t="shared" ref="L8:O8" si="2">B8</f>
        <v>0</v>
      </c>
      <c r="M8" s="131">
        <f t="shared" si="2"/>
        <v>0</v>
      </c>
      <c r="N8" s="131">
        <f t="shared" si="2"/>
        <v>0</v>
      </c>
      <c r="O8" s="131">
        <f t="shared" si="2"/>
        <v>0</v>
      </c>
    </row>
    <row r="9" spans="1:15" ht="15.75" customHeight="1">
      <c r="A9" s="133"/>
      <c r="B9" s="134"/>
      <c r="C9" s="134"/>
      <c r="D9" s="134"/>
      <c r="E9" s="134"/>
      <c r="F9" s="135"/>
      <c r="G9" s="129" t="s">
        <v>1824</v>
      </c>
      <c r="H9" s="7"/>
      <c r="K9" s="131">
        <f t="shared" si="1"/>
        <v>0</v>
      </c>
      <c r="L9" s="131">
        <f t="shared" ref="L9:O9" si="3">B9</f>
        <v>0</v>
      </c>
      <c r="M9" s="131">
        <f t="shared" si="3"/>
        <v>0</v>
      </c>
      <c r="N9" s="131">
        <f t="shared" si="3"/>
        <v>0</v>
      </c>
      <c r="O9" s="131">
        <f t="shared" si="3"/>
        <v>0</v>
      </c>
    </row>
    <row r="10" spans="1:15" ht="15.75" customHeight="1">
      <c r="A10" s="133" t="s">
        <v>1405</v>
      </c>
      <c r="B10" s="134" t="s">
        <v>1422</v>
      </c>
      <c r="C10" s="134" t="s">
        <v>1537</v>
      </c>
      <c r="D10" s="134" t="s">
        <v>1618</v>
      </c>
      <c r="E10" s="134" t="s">
        <v>1624</v>
      </c>
      <c r="F10" s="135"/>
      <c r="G10" s="129" t="s">
        <v>1913</v>
      </c>
      <c r="H10" s="7"/>
      <c r="K10" s="131" t="str">
        <f t="shared" si="1"/>
        <v>Source</v>
      </c>
      <c r="L10" s="131" t="str">
        <f t="shared" ref="L10:O10" si="4">B10</f>
        <v>Aerotheurge</v>
      </c>
      <c r="M10" s="131" t="str">
        <f t="shared" si="4"/>
        <v>Geomancer</v>
      </c>
      <c r="N10" s="131" t="str">
        <f t="shared" si="4"/>
        <v>Hydrosophist</v>
      </c>
      <c r="O10" s="131" t="str">
        <f t="shared" si="4"/>
        <v>Pyrokinetic</v>
      </c>
    </row>
    <row r="11" spans="1:15">
      <c r="A11" s="134" t="s">
        <v>1574</v>
      </c>
      <c r="B11" s="135" t="str">
        <f ca="1">IFERROR(__xludf.DUMMYFUNCTION("filter(Skills!$A:$A,Skills!$B:$B=$A11,Skills!$C:$C=B$1,Skills!$F:$F&gt;0)"),"Evasive Aura")</f>
        <v>Evasive Aura</v>
      </c>
      <c r="C11" s="135" t="str">
        <f ca="1">IFERROR(__xludf.DUMMYFUNCTION("filter(Skills!$A:$A,Skills!$B:$B=$A11,Skills!$C:$C=C$1,Skills!$F:$F&gt;0)"),"Dust Blast")</f>
        <v>Dust Blast</v>
      </c>
      <c r="D11" s="135" t="str">
        <f ca="1">IFERROR(__xludf.DUMMYFUNCTION("filter(Skills!$A:$A,Skills!$B:$B=$A11,Skills!$C:$C=D$1,Skills!$F:$F&gt;0)"),"Mass Cryotherapy")</f>
        <v>Mass Cryotherapy</v>
      </c>
      <c r="E11" s="135" t="str">
        <f ca="1">IFERROR(__xludf.DUMMYFUNCTION("filter(Skills!$A:$A,Skills!$B:$B=$A11,Skills!$C:$C=E$1,Skills!$F:$F&gt;0)"),"Deploy Mass Traps")</f>
        <v>Deploy Mass Traps</v>
      </c>
      <c r="F11" s="135"/>
      <c r="G11" s="129" t="s">
        <v>1976</v>
      </c>
      <c r="H11" s="7"/>
      <c r="K11" s="131" t="str">
        <f t="shared" si="1"/>
        <v>Huntsman</v>
      </c>
      <c r="L11" s="132">
        <f ca="1">VLOOKUP(B11,Skills!$A:$D,4,FALSE)</f>
        <v>2</v>
      </c>
      <c r="M11" s="132">
        <f ca="1">VLOOKUP(C11,Skills!$A:$D,4,FALSE)</f>
        <v>2</v>
      </c>
      <c r="N11" s="132">
        <f ca="1">VLOOKUP(D11,Skills!$A:$D,4,FALSE)</f>
        <v>2</v>
      </c>
      <c r="O11" s="132">
        <f ca="1">VLOOKUP(E11,Skills!$A:$D,4,FALSE)</f>
        <v>2</v>
      </c>
    </row>
    <row r="12" spans="1:15">
      <c r="A12" s="134" t="s">
        <v>1667</v>
      </c>
      <c r="B12" s="135" t="str">
        <f ca="1">IFERROR(__xludf.DUMMYFUNCTION("filter(Skills!$A:$A,Skills!$B:$B=$A12,Skills!$C:$C=B$1,Skills!$F:$F&gt;0)"),"Vacuum Aura")</f>
        <v>Vacuum Aura</v>
      </c>
      <c r="C12" s="135" t="str">
        <f ca="1">IFERROR(__xludf.DUMMYFUNCTION("filter(Skills!$A:$A,Skills!$B:$B=$A12,Skills!$C:$C=C$1,Skills!$F:$F&gt;0)"),"Corrosive Spray")</f>
        <v>Corrosive Spray</v>
      </c>
      <c r="D12" s="135" t="str">
        <f ca="1">IFERROR(__xludf.DUMMYFUNCTION("filter(Skills!$A:$A,Skills!$B:$B=$A12,Skills!$C:$C=D$1,Skills!$F:$F&gt;0)"),"Blood Storm")</f>
        <v>Blood Storm</v>
      </c>
      <c r="E12" s="135" t="str">
        <f ca="1">IFERROR(__xludf.DUMMYFUNCTION("filter(Skills!$A:$A,Skills!$B:$B=$A12,Skills!$C:$C=E$1,Skills!$F:$F&gt;0)"),"Mass Corpse Explosion")</f>
        <v>Mass Corpse Explosion</v>
      </c>
      <c r="F12" s="135"/>
      <c r="H12" s="130"/>
      <c r="K12" s="131" t="str">
        <f t="shared" si="1"/>
        <v>Necromancer</v>
      </c>
      <c r="L12" s="132">
        <f ca="1">VLOOKUP(B12,Skills!$A:$D,4,FALSE)</f>
        <v>2</v>
      </c>
      <c r="M12" s="132">
        <f ca="1">VLOOKUP(C12,Skills!$A:$D,4,FALSE)</f>
        <v>2</v>
      </c>
      <c r="N12" s="132">
        <f ca="1">VLOOKUP(D12,Skills!$A:$D,4,FALSE)</f>
        <v>3</v>
      </c>
      <c r="O12" s="132">
        <f ca="1">VLOOKUP(E12,Skills!$A:$D,4,FALSE)</f>
        <v>2</v>
      </c>
    </row>
    <row r="13" spans="1:15">
      <c r="A13" s="134" t="s">
        <v>1727</v>
      </c>
      <c r="B13" s="135" t="str">
        <f ca="1">IFERROR(__xludf.DUMMYFUNCTION("filter(Skills!$A:$A,Skills!$B:$B=$A13,Skills!$C:$C=B$1,Skills!$F:$F&gt;0)"),"Jellyfish Skin")</f>
        <v>Jellyfish Skin</v>
      </c>
      <c r="C13" s="135" t="str">
        <f ca="1">IFERROR(__xludf.DUMMYFUNCTION("filter(Skills!$A:$A,Skills!$B:$B=$A13,Skills!$C:$C=C$1,Skills!$F:$F&gt;0)"),"Poisonous Skin")</f>
        <v>Poisonous Skin</v>
      </c>
      <c r="D13" s="135" t="str">
        <f ca="1">IFERROR(__xludf.DUMMYFUNCTION("filter(Skills!$A:$A,Skills!$B:$B=$A13,Skills!$C:$C=D$1,Skills!$F:$F&gt;0)"),"Icy Skin")</f>
        <v>Icy Skin</v>
      </c>
      <c r="E13" s="135" t="str">
        <f ca="1">IFERROR(__xludf.DUMMYFUNCTION("filter(Skills!$A:$A,Skills!$B:$B=$A13,Skills!$C:$C=E$1,Skills!$F:$F&gt;0)"),"Flaming Skin")</f>
        <v>Flaming Skin</v>
      </c>
      <c r="F13" s="135"/>
      <c r="H13" s="130"/>
      <c r="K13" s="131" t="str">
        <f t="shared" si="1"/>
        <v>Polymorph</v>
      </c>
      <c r="L13" s="132">
        <f ca="1">VLOOKUP(B13,Skills!$A:$D,4,FALSE)</f>
        <v>2</v>
      </c>
      <c r="M13" s="132">
        <f ca="1">VLOOKUP(C13,Skills!$A:$D,4,FALSE)</f>
        <v>2</v>
      </c>
      <c r="N13" s="132">
        <f ca="1">VLOOKUP(D13,Skills!$A:$D,4,FALSE)</f>
        <v>2</v>
      </c>
      <c r="O13" s="132">
        <f ca="1">VLOOKUP(E13,Skills!$A:$D,4,FALSE)</f>
        <v>2</v>
      </c>
    </row>
    <row r="14" spans="1:15">
      <c r="A14" s="134" t="s">
        <v>1824</v>
      </c>
      <c r="B14" s="135" t="str">
        <f ca="1">IFERROR(__xludf.DUMMYFUNCTION("filter(Skills!$A:$A,Skills!$B:$B=$A14,Skills!$C:$C=B$1,Skills!$F:$F&gt;0)"),"Blessed Cloud Smoke")</f>
        <v>Blessed Cloud Smoke</v>
      </c>
      <c r="C14" s="135" t="str">
        <f ca="1">IFERROR(__xludf.DUMMYFUNCTION("filter(Skills!$A:$A,Skills!$B:$B=$A14,Skills!$C:$C=C$1,Skills!$F:$F&gt;0)"),"Venomous Aura")</f>
        <v>Venomous Aura</v>
      </c>
      <c r="D14" s="135" t="str">
        <f ca="1">IFERROR(__xludf.DUMMYFUNCTION("filter(Skills!$A:$A,Skills!$B:$B=$A14,Skills!$C:$C=D$1,Skills!$F:$F&gt;0)"),"Vampiric Hunger Aura")</f>
        <v>Vampiric Hunger Aura</v>
      </c>
      <c r="E14" s="135" t="str">
        <f ca="1">IFERROR(__xludf.DUMMYFUNCTION("filter(Skills!$A:$A,Skills!$B:$B=$A14,Skills!$C:$C=E$1,Skills!$F:$F&gt;0)"),"Mass Sabotage")</f>
        <v>Mass Sabotage</v>
      </c>
      <c r="F14" s="135"/>
      <c r="H14" s="130"/>
      <c r="K14" s="131" t="str">
        <f t="shared" si="1"/>
        <v>Scoundrel</v>
      </c>
      <c r="L14" s="132">
        <f ca="1">VLOOKUP(B14,Skills!$A:$D,4,FALSE)</f>
        <v>2</v>
      </c>
      <c r="M14" s="132">
        <f ca="1">VLOOKUP(C14,Skills!$A:$D,4,FALSE)</f>
        <v>2</v>
      </c>
      <c r="N14" s="132">
        <f ca="1">VLOOKUP(D14,Skills!$A:$D,4,FALSE)</f>
        <v>2</v>
      </c>
      <c r="O14" s="132">
        <f ca="1">VLOOKUP(E14,Skills!$A:$D,4,FALSE)</f>
        <v>2</v>
      </c>
    </row>
    <row r="15" spans="1:15">
      <c r="A15" s="134" t="s">
        <v>1913</v>
      </c>
      <c r="B15" s="135" t="str">
        <f ca="1">IFERROR(__xludf.DUMMYFUNCTION("filter(Skills!$A:$A,Skills!$B:$B=$A15,Skills!$C:$C=B$1,Skills!$F:$F&gt;0)"),"Cursed Electric Infusion")</f>
        <v>Cursed Electric Infusion</v>
      </c>
      <c r="C15" s="135" t="str">
        <f ca="1">IFERROR(__xludf.DUMMYFUNCTION("filter(Skills!$A:$A,Skills!$B:$B=$A15,Skills!$C:$C=C$1,Skills!$F:$F&gt;0)"),"Acid Infusion")</f>
        <v>Acid Infusion</v>
      </c>
      <c r="D15" s="135" t="str">
        <f ca="1">IFERROR(__xludf.DUMMYFUNCTION("filter(Skills!$A:$A,Skills!$B:$B=$A15,Skills!$C:$C=D$1,Skills!$F:$F&gt;0)"),"Ice Infusion")</f>
        <v>Ice Infusion</v>
      </c>
      <c r="E15" s="135" t="str">
        <f ca="1">IFERROR(__xludf.DUMMYFUNCTION("filter(Skills!$A:$A,Skills!$B:$B=$A15,Skills!$C:$C=E$1,Skills!$F:$F&gt;0)"),"Necrofire Infusion")</f>
        <v>Necrofire Infusion</v>
      </c>
      <c r="F15" s="135"/>
      <c r="H15" s="130"/>
      <c r="K15" s="131" t="str">
        <f t="shared" si="1"/>
        <v>Summoning</v>
      </c>
      <c r="L15" s="132">
        <f ca="1">VLOOKUP(B15,Skills!$A:$D,4,FALSE)</f>
        <v>2</v>
      </c>
      <c r="M15" s="132">
        <f ca="1">VLOOKUP(C15,Skills!$A:$D,4,FALSE)</f>
        <v>2</v>
      </c>
      <c r="N15" s="132">
        <f ca="1">VLOOKUP(D15,Skills!$A:$D,4,FALSE)</f>
        <v>2</v>
      </c>
      <c r="O15" s="132">
        <f ca="1">VLOOKUP(E15,Skills!$A:$D,4,FALSE)</f>
        <v>2</v>
      </c>
    </row>
    <row r="16" spans="1:15">
      <c r="A16" s="134" t="s">
        <v>1976</v>
      </c>
      <c r="B16" s="135" t="str">
        <f ca="1">IFERROR(__xludf.DUMMYFUNCTION("filter(Skills!$A:$A,Skills!$B:$B=$A16,Skills!$C:$C=B$1,Skills!$F:$F&gt;0)"),"Mass Breathing Bubbles")</f>
        <v>Mass Breathing Bubbles</v>
      </c>
      <c r="C16" s="135" t="str">
        <f ca="1">IFERROR(__xludf.DUMMYFUNCTION("filter(Skills!$A:$A,Skills!$B:$B=$A16,Skills!$C:$C=C$1,Skills!$F:$F&gt;0)"),"Mass Oily Carapace")</f>
        <v>Mass Oily Carapace</v>
      </c>
      <c r="D16" s="135" t="str">
        <f ca="1">IFERROR(__xludf.DUMMYFUNCTION("filter(Skills!$A:$A,Skills!$B:$B=$A16,Skills!$C:$C=D$1,Skills!$F:$F&gt;0)"),"Mass Cleanse Wounds")</f>
        <v>Mass Cleanse Wounds</v>
      </c>
      <c r="E16" s="135" t="str">
        <f ca="1">IFERROR(__xludf.DUMMYFUNCTION("filter(Skills!$A:$A,Skills!$B:$B=$A16,Skills!$C:$C=E$1,Skills!$F:$F&gt;0)"),"Master Of Sparks")</f>
        <v>Master Of Sparks</v>
      </c>
      <c r="F16" s="135"/>
      <c r="H16" s="130"/>
      <c r="K16" s="131" t="str">
        <f t="shared" si="1"/>
        <v>Warfare</v>
      </c>
      <c r="L16" s="132">
        <f ca="1">VLOOKUP(B16,Skills!$A:$D,4,FALSE)</f>
        <v>2</v>
      </c>
      <c r="M16" s="132">
        <f ca="1">VLOOKUP(C16,Skills!$A:$D,4,FALSE)</f>
        <v>2</v>
      </c>
      <c r="N16" s="132">
        <f ca="1">VLOOKUP(D16,Skills!$A:$D,4,FALSE)</f>
        <v>2</v>
      </c>
      <c r="O16" s="132">
        <f ca="1">VLOOKUP(E16,Skills!$A:$D,4,FALSE)</f>
        <v>2</v>
      </c>
    </row>
    <row r="17" spans="1:8" ht="15.75" customHeight="1">
      <c r="A17" s="135"/>
      <c r="B17" s="135"/>
      <c r="C17" s="135"/>
      <c r="D17" s="135"/>
      <c r="E17" s="135"/>
      <c r="F17" s="135"/>
      <c r="H17" s="130"/>
    </row>
    <row r="18" spans="1:8" ht="15.75" customHeight="1">
      <c r="H18" s="130"/>
    </row>
    <row r="19" spans="1:8" ht="15.75" customHeight="1">
      <c r="H19" s="130"/>
    </row>
    <row r="20" spans="1:8">
      <c r="E20" s="136"/>
      <c r="H20" s="130"/>
    </row>
    <row r="21" spans="1:8">
      <c r="E21" s="136"/>
      <c r="H21" s="130"/>
    </row>
    <row r="22" spans="1:8" ht="15.75" customHeight="1">
      <c r="H22" s="130"/>
    </row>
    <row r="23" spans="1:8" ht="15.75" customHeight="1">
      <c r="H23" s="130"/>
    </row>
    <row r="24" spans="1:8" ht="15.75" customHeight="1">
      <c r="H24" s="130"/>
    </row>
    <row r="25" spans="1:8" ht="15.75" customHeight="1">
      <c r="H25" s="130"/>
    </row>
    <row r="26" spans="1:8" ht="15.75" customHeight="1">
      <c r="H26" s="130"/>
    </row>
    <row r="27" spans="1:8">
      <c r="E27" s="136"/>
      <c r="H27" s="130"/>
    </row>
    <row r="28" spans="1:8">
      <c r="E28" s="136"/>
      <c r="H28" s="130"/>
    </row>
    <row r="29" spans="1:8" ht="15.75" customHeight="1">
      <c r="H29" s="130"/>
    </row>
    <row r="30" spans="1:8" ht="15.75" customHeight="1">
      <c r="H30" s="130"/>
    </row>
    <row r="31" spans="1:8" ht="15.75" customHeight="1">
      <c r="H31" s="130"/>
    </row>
    <row r="32" spans="1:8" ht="15.75" customHeight="1">
      <c r="H32" s="130"/>
    </row>
    <row r="33" spans="8:8" ht="15.75" customHeight="1">
      <c r="H33" s="130"/>
    </row>
    <row r="34" spans="8:8" ht="15.75" customHeight="1">
      <c r="H34" s="130"/>
    </row>
    <row r="35" spans="8:8" ht="15.75" customHeight="1">
      <c r="H35" s="130"/>
    </row>
    <row r="36" spans="8:8" ht="15.75" customHeight="1">
      <c r="H36" s="130"/>
    </row>
    <row r="37" spans="8:8" ht="15.75" customHeight="1">
      <c r="H37" s="130"/>
    </row>
    <row r="38" spans="8:8" ht="15.75" customHeight="1">
      <c r="H38" s="130"/>
    </row>
    <row r="39" spans="8:8" ht="15.75" customHeight="1">
      <c r="H39" s="130"/>
    </row>
    <row r="40" spans="8:8" ht="15.75" customHeight="1">
      <c r="H40" s="130"/>
    </row>
    <row r="41" spans="8:8" ht="15.75" customHeight="1">
      <c r="H41" s="130"/>
    </row>
    <row r="42" spans="8:8" ht="15.75" customHeight="1">
      <c r="H42" s="130"/>
    </row>
    <row r="43" spans="8:8" ht="15.75" customHeight="1">
      <c r="H43" s="130"/>
    </row>
    <row r="44" spans="8:8" ht="15.75" customHeight="1">
      <c r="H44" s="130"/>
    </row>
    <row r="45" spans="8:8" ht="15.75" customHeight="1">
      <c r="H45" s="130"/>
    </row>
    <row r="46" spans="8:8" ht="15.75" customHeight="1">
      <c r="H46" s="130"/>
    </row>
    <row r="47" spans="8:8" ht="15.75" customHeight="1">
      <c r="H47" s="130"/>
    </row>
    <row r="48" spans="8:8" ht="15.75" customHeight="1">
      <c r="H48" s="130"/>
    </row>
    <row r="49" spans="8:8" ht="15.75" customHeight="1">
      <c r="H49" s="130"/>
    </row>
    <row r="50" spans="8:8" ht="15.75" customHeight="1">
      <c r="H50" s="130"/>
    </row>
    <row r="51" spans="8:8" ht="15.75" customHeight="1">
      <c r="H51" s="130"/>
    </row>
    <row r="52" spans="8:8" ht="15.75" customHeight="1">
      <c r="H52" s="130"/>
    </row>
    <row r="53" spans="8:8" ht="15.75" customHeight="1">
      <c r="H53" s="130"/>
    </row>
    <row r="54" spans="8:8" ht="15.75" customHeight="1">
      <c r="H54" s="130"/>
    </row>
    <row r="55" spans="8:8" ht="13">
      <c r="H55" s="130"/>
    </row>
    <row r="56" spans="8:8" ht="13">
      <c r="H56" s="130"/>
    </row>
    <row r="57" spans="8:8" ht="13">
      <c r="H57" s="130"/>
    </row>
    <row r="58" spans="8:8" ht="13">
      <c r="H58" s="130"/>
    </row>
    <row r="59" spans="8:8" ht="13">
      <c r="H59" s="130"/>
    </row>
    <row r="60" spans="8:8" ht="13">
      <c r="H60" s="130"/>
    </row>
    <row r="61" spans="8:8" ht="13">
      <c r="H61" s="130"/>
    </row>
    <row r="62" spans="8:8" ht="13">
      <c r="H62" s="130"/>
    </row>
    <row r="63" spans="8:8" ht="13">
      <c r="H63" s="130"/>
    </row>
    <row r="64" spans="8:8" ht="13">
      <c r="H64" s="130"/>
    </row>
    <row r="65" spans="8:8" ht="13">
      <c r="H65" s="130"/>
    </row>
    <row r="66" spans="8:8" ht="13">
      <c r="H66" s="130"/>
    </row>
    <row r="67" spans="8:8" ht="13">
      <c r="H67" s="130"/>
    </row>
    <row r="68" spans="8:8" ht="13">
      <c r="H68" s="130"/>
    </row>
    <row r="69" spans="8:8" ht="13">
      <c r="H69" s="130"/>
    </row>
    <row r="70" spans="8:8" ht="13">
      <c r="H70" s="130"/>
    </row>
    <row r="71" spans="8:8" ht="13">
      <c r="H71" s="130"/>
    </row>
    <row r="72" spans="8:8" ht="13">
      <c r="H72" s="130"/>
    </row>
    <row r="73" spans="8:8" ht="13">
      <c r="H73" s="130"/>
    </row>
    <row r="74" spans="8:8" ht="13">
      <c r="H74" s="130"/>
    </row>
    <row r="75" spans="8:8" ht="13">
      <c r="H75" s="130"/>
    </row>
    <row r="76" spans="8:8" ht="13">
      <c r="H76" s="130"/>
    </row>
    <row r="77" spans="8:8" ht="13">
      <c r="H77" s="130"/>
    </row>
    <row r="78" spans="8:8" ht="13">
      <c r="H78" s="130"/>
    </row>
    <row r="79" spans="8:8" ht="13">
      <c r="H79" s="130"/>
    </row>
    <row r="80" spans="8:8" ht="13">
      <c r="H80" s="130"/>
    </row>
    <row r="81" spans="8:8" ht="13">
      <c r="H81" s="130"/>
    </row>
    <row r="82" spans="8:8" ht="13">
      <c r="H82" s="130"/>
    </row>
    <row r="83" spans="8:8" ht="13">
      <c r="H83" s="130"/>
    </row>
    <row r="84" spans="8:8" ht="13">
      <c r="H84" s="130"/>
    </row>
    <row r="85" spans="8:8" ht="13">
      <c r="H85" s="130"/>
    </row>
    <row r="86" spans="8:8" ht="13">
      <c r="H86" s="130"/>
    </row>
    <row r="87" spans="8:8" ht="13">
      <c r="H87" s="130"/>
    </row>
    <row r="88" spans="8:8" ht="13">
      <c r="H88" s="130"/>
    </row>
    <row r="89" spans="8:8" ht="13">
      <c r="H89" s="130"/>
    </row>
    <row r="90" spans="8:8" ht="13">
      <c r="H90" s="130"/>
    </row>
    <row r="91" spans="8:8" ht="13">
      <c r="H91" s="130"/>
    </row>
    <row r="92" spans="8:8" ht="13">
      <c r="H92" s="130"/>
    </row>
    <row r="93" spans="8:8" ht="13">
      <c r="H93" s="130"/>
    </row>
    <row r="94" spans="8:8" ht="13">
      <c r="H94" s="130"/>
    </row>
    <row r="95" spans="8:8" ht="13">
      <c r="H95" s="130"/>
    </row>
    <row r="96" spans="8:8" ht="13">
      <c r="H96" s="130"/>
    </row>
    <row r="97" spans="8:8" ht="13">
      <c r="H97" s="130"/>
    </row>
    <row r="98" spans="8:8" ht="13">
      <c r="H98" s="130"/>
    </row>
    <row r="99" spans="8:8" ht="13">
      <c r="H99" s="130"/>
    </row>
    <row r="100" spans="8:8" ht="13">
      <c r="H100" s="130"/>
    </row>
    <row r="101" spans="8:8" ht="13">
      <c r="H101" s="130"/>
    </row>
    <row r="102" spans="8:8" ht="13">
      <c r="H102" s="130"/>
    </row>
    <row r="103" spans="8:8" ht="13">
      <c r="H103" s="130"/>
    </row>
    <row r="104" spans="8:8" ht="13">
      <c r="H104" s="130"/>
    </row>
    <row r="105" spans="8:8" ht="13">
      <c r="H105" s="130"/>
    </row>
    <row r="106" spans="8:8" ht="13">
      <c r="H106" s="130"/>
    </row>
    <row r="107" spans="8:8" ht="13">
      <c r="H107" s="130"/>
    </row>
    <row r="108" spans="8:8" ht="13">
      <c r="H108" s="130"/>
    </row>
    <row r="109" spans="8:8" ht="13">
      <c r="H109" s="130"/>
    </row>
    <row r="110" spans="8:8" ht="13">
      <c r="H110" s="130"/>
    </row>
    <row r="111" spans="8:8" ht="13">
      <c r="H111" s="130"/>
    </row>
    <row r="112" spans="8:8" ht="13">
      <c r="H112" s="130"/>
    </row>
    <row r="113" spans="8:8" ht="13">
      <c r="H113" s="130"/>
    </row>
    <row r="114" spans="8:8" ht="13">
      <c r="H114" s="130"/>
    </row>
    <row r="115" spans="8:8" ht="13">
      <c r="H115" s="130"/>
    </row>
    <row r="116" spans="8:8" ht="13">
      <c r="H116" s="130"/>
    </row>
    <row r="117" spans="8:8" ht="13">
      <c r="H117" s="130"/>
    </row>
    <row r="118" spans="8:8" ht="13">
      <c r="H118" s="130"/>
    </row>
    <row r="119" spans="8:8" ht="13">
      <c r="H119" s="130"/>
    </row>
    <row r="120" spans="8:8" ht="13">
      <c r="H120" s="130"/>
    </row>
    <row r="121" spans="8:8" ht="13">
      <c r="H121" s="130"/>
    </row>
    <row r="122" spans="8:8" ht="13">
      <c r="H122" s="130"/>
    </row>
    <row r="123" spans="8:8" ht="13">
      <c r="H123" s="130"/>
    </row>
    <row r="124" spans="8:8" ht="13">
      <c r="H124" s="130"/>
    </row>
    <row r="125" spans="8:8" ht="13">
      <c r="H125" s="130"/>
    </row>
    <row r="126" spans="8:8" ht="13">
      <c r="H126" s="130"/>
    </row>
    <row r="127" spans="8:8" ht="13">
      <c r="H127" s="130"/>
    </row>
    <row r="128" spans="8:8" ht="13">
      <c r="H128" s="130"/>
    </row>
    <row r="129" spans="8:8" ht="13">
      <c r="H129" s="130"/>
    </row>
    <row r="130" spans="8:8" ht="13">
      <c r="H130" s="130"/>
    </row>
    <row r="131" spans="8:8" ht="13">
      <c r="H131" s="130"/>
    </row>
    <row r="132" spans="8:8" ht="13">
      <c r="H132" s="130"/>
    </row>
    <row r="133" spans="8:8" ht="13">
      <c r="H133" s="130"/>
    </row>
    <row r="134" spans="8:8" ht="13">
      <c r="H134" s="130"/>
    </row>
    <row r="135" spans="8:8" ht="13">
      <c r="H135" s="130"/>
    </row>
    <row r="136" spans="8:8" ht="13">
      <c r="H136" s="130"/>
    </row>
    <row r="137" spans="8:8" ht="13">
      <c r="H137" s="130"/>
    </row>
    <row r="138" spans="8:8" ht="13">
      <c r="H138" s="130"/>
    </row>
    <row r="139" spans="8:8" ht="13">
      <c r="H139" s="130"/>
    </row>
    <row r="140" spans="8:8" ht="13">
      <c r="H140" s="130"/>
    </row>
    <row r="141" spans="8:8" ht="13">
      <c r="H141" s="130"/>
    </row>
    <row r="142" spans="8:8" ht="13">
      <c r="H142" s="130"/>
    </row>
    <row r="143" spans="8:8" ht="13">
      <c r="H143" s="130"/>
    </row>
    <row r="144" spans="8:8" ht="13">
      <c r="H144" s="130"/>
    </row>
    <row r="145" spans="8:8" ht="13">
      <c r="H145" s="130"/>
    </row>
    <row r="146" spans="8:8" ht="13">
      <c r="H146" s="130"/>
    </row>
    <row r="147" spans="8:8" ht="13">
      <c r="H147" s="130"/>
    </row>
    <row r="148" spans="8:8" ht="13">
      <c r="H148" s="130"/>
    </row>
    <row r="149" spans="8:8" ht="13">
      <c r="H149" s="130"/>
    </row>
    <row r="150" spans="8:8" ht="13">
      <c r="H150" s="130"/>
    </row>
    <row r="151" spans="8:8" ht="13">
      <c r="H151" s="130"/>
    </row>
    <row r="152" spans="8:8" ht="13">
      <c r="H152" s="130"/>
    </row>
    <row r="153" spans="8:8" ht="13">
      <c r="H153" s="130"/>
    </row>
    <row r="154" spans="8:8" ht="13">
      <c r="H154" s="130"/>
    </row>
    <row r="155" spans="8:8" ht="13">
      <c r="H155" s="130"/>
    </row>
    <row r="156" spans="8:8" ht="13">
      <c r="H156" s="130"/>
    </row>
    <row r="157" spans="8:8" ht="13">
      <c r="H157" s="130"/>
    </row>
    <row r="158" spans="8:8" ht="13">
      <c r="H158" s="130"/>
    </row>
    <row r="159" spans="8:8" ht="13">
      <c r="H159" s="130"/>
    </row>
    <row r="160" spans="8:8" ht="13">
      <c r="H160" s="130"/>
    </row>
    <row r="161" spans="8:8" ht="13">
      <c r="H161" s="130"/>
    </row>
    <row r="162" spans="8:8" ht="13">
      <c r="H162" s="130"/>
    </row>
    <row r="163" spans="8:8" ht="13">
      <c r="H163" s="130"/>
    </row>
    <row r="164" spans="8:8" ht="13">
      <c r="H164" s="130"/>
    </row>
    <row r="165" spans="8:8" ht="13">
      <c r="H165" s="130"/>
    </row>
    <row r="166" spans="8:8" ht="13">
      <c r="H166" s="130"/>
    </row>
    <row r="167" spans="8:8" ht="13">
      <c r="H167" s="130"/>
    </row>
    <row r="168" spans="8:8" ht="13">
      <c r="H168" s="130"/>
    </row>
    <row r="169" spans="8:8" ht="13">
      <c r="H169" s="130"/>
    </row>
    <row r="170" spans="8:8" ht="13">
      <c r="H170" s="130"/>
    </row>
    <row r="171" spans="8:8" ht="13">
      <c r="H171" s="130"/>
    </row>
    <row r="172" spans="8:8" ht="13">
      <c r="H172" s="130"/>
    </row>
    <row r="173" spans="8:8" ht="13">
      <c r="H173" s="130"/>
    </row>
    <row r="174" spans="8:8" ht="13">
      <c r="H174" s="130"/>
    </row>
    <row r="175" spans="8:8" ht="13">
      <c r="H175" s="130"/>
    </row>
    <row r="176" spans="8:8" ht="13">
      <c r="H176" s="130"/>
    </row>
    <row r="177" spans="8:8" ht="13">
      <c r="H177" s="130"/>
    </row>
    <row r="178" spans="8:8" ht="13">
      <c r="H178" s="130"/>
    </row>
    <row r="179" spans="8:8" ht="13">
      <c r="H179" s="130"/>
    </row>
    <row r="180" spans="8:8" ht="13">
      <c r="H180" s="130"/>
    </row>
    <row r="181" spans="8:8" ht="13">
      <c r="H181" s="130"/>
    </row>
    <row r="182" spans="8:8" ht="13">
      <c r="H182" s="130"/>
    </row>
    <row r="183" spans="8:8" ht="13">
      <c r="H183" s="130"/>
    </row>
    <row r="184" spans="8:8" ht="13">
      <c r="H184" s="130"/>
    </row>
    <row r="185" spans="8:8" ht="13">
      <c r="H185" s="130"/>
    </row>
    <row r="186" spans="8:8" ht="13">
      <c r="H186" s="130"/>
    </row>
    <row r="187" spans="8:8" ht="13">
      <c r="H187" s="130"/>
    </row>
    <row r="188" spans="8:8" ht="13">
      <c r="H188" s="130"/>
    </row>
    <row r="189" spans="8:8" ht="13">
      <c r="H189" s="130"/>
    </row>
    <row r="190" spans="8:8" ht="13">
      <c r="H190" s="130"/>
    </row>
    <row r="191" spans="8:8" ht="13">
      <c r="H191" s="130"/>
    </row>
    <row r="192" spans="8:8" ht="13">
      <c r="H192" s="130"/>
    </row>
    <row r="193" spans="8:8" ht="13">
      <c r="H193" s="130"/>
    </row>
    <row r="194" spans="8:8" ht="13">
      <c r="H194" s="130"/>
    </row>
    <row r="195" spans="8:8" ht="13">
      <c r="H195" s="130"/>
    </row>
    <row r="196" spans="8:8" ht="13">
      <c r="H196" s="130"/>
    </row>
    <row r="197" spans="8:8" ht="13">
      <c r="H197" s="130"/>
    </row>
    <row r="198" spans="8:8" ht="13">
      <c r="H198" s="130"/>
    </row>
    <row r="199" spans="8:8" ht="13">
      <c r="H199" s="130"/>
    </row>
    <row r="200" spans="8:8" ht="13">
      <c r="H200" s="130"/>
    </row>
    <row r="201" spans="8:8" ht="13">
      <c r="H201" s="130"/>
    </row>
    <row r="202" spans="8:8" ht="13">
      <c r="H202" s="130"/>
    </row>
    <row r="203" spans="8:8" ht="13">
      <c r="H203" s="130"/>
    </row>
    <row r="204" spans="8:8" ht="13">
      <c r="H204" s="130"/>
    </row>
    <row r="205" spans="8:8" ht="13">
      <c r="H205" s="130"/>
    </row>
    <row r="206" spans="8:8" ht="13">
      <c r="H206" s="130"/>
    </row>
    <row r="207" spans="8:8" ht="13">
      <c r="H207" s="130"/>
    </row>
    <row r="208" spans="8:8" ht="13">
      <c r="H208" s="130"/>
    </row>
    <row r="209" spans="8:8" ht="13">
      <c r="H209" s="130"/>
    </row>
    <row r="210" spans="8:8" ht="13">
      <c r="H210" s="130"/>
    </row>
    <row r="211" spans="8:8" ht="13">
      <c r="H211" s="130"/>
    </row>
    <row r="212" spans="8:8" ht="13">
      <c r="H212" s="130"/>
    </row>
    <row r="213" spans="8:8" ht="13">
      <c r="H213" s="130"/>
    </row>
    <row r="214" spans="8:8" ht="13">
      <c r="H214" s="130"/>
    </row>
    <row r="215" spans="8:8" ht="13">
      <c r="H215" s="130"/>
    </row>
    <row r="216" spans="8:8" ht="13">
      <c r="H216" s="130"/>
    </row>
    <row r="217" spans="8:8" ht="13">
      <c r="H217" s="130"/>
    </row>
    <row r="218" spans="8:8" ht="13">
      <c r="H218" s="130"/>
    </row>
    <row r="219" spans="8:8" ht="13">
      <c r="H219" s="130"/>
    </row>
    <row r="220" spans="8:8" ht="13">
      <c r="H220" s="130"/>
    </row>
    <row r="221" spans="8:8" ht="13">
      <c r="H221" s="130"/>
    </row>
    <row r="222" spans="8:8" ht="13">
      <c r="H222" s="130"/>
    </row>
    <row r="223" spans="8:8" ht="13">
      <c r="H223" s="130"/>
    </row>
    <row r="224" spans="8:8" ht="13">
      <c r="H224" s="130"/>
    </row>
    <row r="225" spans="8:8" ht="13">
      <c r="H225" s="130"/>
    </row>
    <row r="226" spans="8:8" ht="13">
      <c r="H226" s="130"/>
    </row>
    <row r="227" spans="8:8" ht="13">
      <c r="H227" s="130"/>
    </row>
    <row r="228" spans="8:8" ht="13">
      <c r="H228" s="130"/>
    </row>
    <row r="229" spans="8:8" ht="13">
      <c r="H229" s="130"/>
    </row>
    <row r="230" spans="8:8" ht="13">
      <c r="H230" s="130"/>
    </row>
    <row r="231" spans="8:8" ht="13">
      <c r="H231" s="130"/>
    </row>
    <row r="232" spans="8:8" ht="13">
      <c r="H232" s="130"/>
    </row>
    <row r="233" spans="8:8" ht="13">
      <c r="H233" s="130"/>
    </row>
    <row r="234" spans="8:8" ht="13">
      <c r="H234" s="130"/>
    </row>
    <row r="235" spans="8:8" ht="13">
      <c r="H235" s="130"/>
    </row>
    <row r="236" spans="8:8" ht="13">
      <c r="H236" s="130"/>
    </row>
    <row r="237" spans="8:8" ht="13">
      <c r="H237" s="130"/>
    </row>
    <row r="238" spans="8:8" ht="13">
      <c r="H238" s="130"/>
    </row>
    <row r="239" spans="8:8" ht="13">
      <c r="H239" s="130"/>
    </row>
    <row r="240" spans="8:8" ht="13">
      <c r="H240" s="130"/>
    </row>
    <row r="241" spans="8:8" ht="13">
      <c r="H241" s="130"/>
    </row>
    <row r="242" spans="8:8" ht="13">
      <c r="H242" s="130"/>
    </row>
    <row r="243" spans="8:8" ht="13">
      <c r="H243" s="130"/>
    </row>
    <row r="244" spans="8:8" ht="13">
      <c r="H244" s="130"/>
    </row>
    <row r="245" spans="8:8" ht="13">
      <c r="H245" s="130"/>
    </row>
    <row r="246" spans="8:8" ht="13">
      <c r="H246" s="130"/>
    </row>
    <row r="247" spans="8:8" ht="13">
      <c r="H247" s="130"/>
    </row>
    <row r="248" spans="8:8" ht="13">
      <c r="H248" s="130"/>
    </row>
    <row r="249" spans="8:8" ht="13">
      <c r="H249" s="130"/>
    </row>
    <row r="250" spans="8:8" ht="13">
      <c r="H250" s="130"/>
    </row>
    <row r="251" spans="8:8" ht="13">
      <c r="H251" s="130"/>
    </row>
    <row r="252" spans="8:8" ht="13">
      <c r="H252" s="130"/>
    </row>
    <row r="253" spans="8:8" ht="13">
      <c r="H253" s="130"/>
    </row>
    <row r="254" spans="8:8" ht="13">
      <c r="H254" s="130"/>
    </row>
    <row r="255" spans="8:8" ht="13">
      <c r="H255" s="130"/>
    </row>
    <row r="256" spans="8:8" ht="13">
      <c r="H256" s="130"/>
    </row>
    <row r="257" spans="8:8" ht="13">
      <c r="H257" s="130"/>
    </row>
    <row r="258" spans="8:8" ht="13">
      <c r="H258" s="130"/>
    </row>
    <row r="259" spans="8:8" ht="13">
      <c r="H259" s="130"/>
    </row>
    <row r="260" spans="8:8" ht="13">
      <c r="H260" s="130"/>
    </row>
    <row r="261" spans="8:8" ht="13">
      <c r="H261" s="130"/>
    </row>
    <row r="262" spans="8:8" ht="13">
      <c r="H262" s="130"/>
    </row>
    <row r="263" spans="8:8" ht="13">
      <c r="H263" s="130"/>
    </row>
    <row r="264" spans="8:8" ht="13">
      <c r="H264" s="130"/>
    </row>
    <row r="265" spans="8:8" ht="13">
      <c r="H265" s="130"/>
    </row>
    <row r="266" spans="8:8" ht="13">
      <c r="H266" s="130"/>
    </row>
    <row r="267" spans="8:8" ht="13">
      <c r="H267" s="130"/>
    </row>
    <row r="268" spans="8:8" ht="13">
      <c r="H268" s="130"/>
    </row>
    <row r="269" spans="8:8" ht="13">
      <c r="H269" s="130"/>
    </row>
    <row r="270" spans="8:8" ht="13">
      <c r="H270" s="130"/>
    </row>
    <row r="271" spans="8:8" ht="13">
      <c r="H271" s="130"/>
    </row>
    <row r="272" spans="8:8" ht="13">
      <c r="H272" s="130"/>
    </row>
    <row r="273" spans="8:8" ht="13">
      <c r="H273" s="130"/>
    </row>
    <row r="274" spans="8:8" ht="13">
      <c r="H274" s="130"/>
    </row>
    <row r="275" spans="8:8" ht="13">
      <c r="H275" s="130"/>
    </row>
    <row r="276" spans="8:8" ht="13">
      <c r="H276" s="130"/>
    </row>
    <row r="277" spans="8:8" ht="13">
      <c r="H277" s="130"/>
    </row>
    <row r="278" spans="8:8" ht="13">
      <c r="H278" s="130"/>
    </row>
    <row r="279" spans="8:8" ht="13">
      <c r="H279" s="130"/>
    </row>
    <row r="280" spans="8:8" ht="13">
      <c r="H280" s="130"/>
    </row>
    <row r="281" spans="8:8" ht="13">
      <c r="H281" s="130"/>
    </row>
    <row r="282" spans="8:8" ht="13">
      <c r="H282" s="130"/>
    </row>
    <row r="283" spans="8:8" ht="13">
      <c r="H283" s="130"/>
    </row>
    <row r="284" spans="8:8" ht="13">
      <c r="H284" s="130"/>
    </row>
    <row r="285" spans="8:8" ht="13">
      <c r="H285" s="130"/>
    </row>
    <row r="286" spans="8:8" ht="13">
      <c r="H286" s="130"/>
    </row>
    <row r="287" spans="8:8" ht="13">
      <c r="H287" s="130"/>
    </row>
    <row r="288" spans="8:8" ht="13">
      <c r="H288" s="130"/>
    </row>
    <row r="289" spans="8:8" ht="13">
      <c r="H289" s="130"/>
    </row>
    <row r="290" spans="8:8" ht="13">
      <c r="H290" s="130"/>
    </row>
    <row r="291" spans="8:8" ht="13">
      <c r="H291" s="130"/>
    </row>
    <row r="292" spans="8:8" ht="13">
      <c r="H292" s="130"/>
    </row>
    <row r="293" spans="8:8" ht="13">
      <c r="H293" s="130"/>
    </row>
    <row r="294" spans="8:8" ht="13">
      <c r="H294" s="130"/>
    </row>
    <row r="295" spans="8:8" ht="13">
      <c r="H295" s="130"/>
    </row>
    <row r="296" spans="8:8" ht="13">
      <c r="H296" s="130"/>
    </row>
    <row r="297" spans="8:8" ht="13">
      <c r="H297" s="130"/>
    </row>
    <row r="298" spans="8:8" ht="13">
      <c r="H298" s="130"/>
    </row>
    <row r="299" spans="8:8" ht="13">
      <c r="H299" s="130"/>
    </row>
    <row r="300" spans="8:8" ht="13">
      <c r="H300" s="130"/>
    </row>
    <row r="301" spans="8:8" ht="13">
      <c r="H301" s="130"/>
    </row>
    <row r="302" spans="8:8" ht="13">
      <c r="H302" s="130"/>
    </row>
    <row r="303" spans="8:8" ht="13">
      <c r="H303" s="130"/>
    </row>
    <row r="304" spans="8:8" ht="13">
      <c r="H304" s="130"/>
    </row>
    <row r="305" spans="8:8" ht="13">
      <c r="H305" s="130"/>
    </row>
    <row r="306" spans="8:8" ht="13">
      <c r="H306" s="130"/>
    </row>
    <row r="307" spans="8:8" ht="13">
      <c r="H307" s="130"/>
    </row>
    <row r="308" spans="8:8" ht="13">
      <c r="H308" s="130"/>
    </row>
    <row r="309" spans="8:8" ht="13">
      <c r="H309" s="130"/>
    </row>
    <row r="310" spans="8:8" ht="13">
      <c r="H310" s="130"/>
    </row>
    <row r="311" spans="8:8" ht="13">
      <c r="H311" s="130"/>
    </row>
    <row r="312" spans="8:8" ht="13">
      <c r="H312" s="130"/>
    </row>
    <row r="313" spans="8:8" ht="13">
      <c r="H313" s="130"/>
    </row>
    <row r="314" spans="8:8" ht="13">
      <c r="H314" s="130"/>
    </row>
    <row r="315" spans="8:8" ht="13">
      <c r="H315" s="130"/>
    </row>
    <row r="316" spans="8:8" ht="13">
      <c r="H316" s="130"/>
    </row>
    <row r="317" spans="8:8" ht="13">
      <c r="H317" s="130"/>
    </row>
    <row r="318" spans="8:8" ht="13">
      <c r="H318" s="130"/>
    </row>
    <row r="319" spans="8:8" ht="13">
      <c r="H319" s="130"/>
    </row>
    <row r="320" spans="8:8" ht="13">
      <c r="H320" s="130"/>
    </row>
    <row r="321" spans="8:8" ht="13">
      <c r="H321" s="130"/>
    </row>
    <row r="322" spans="8:8" ht="13">
      <c r="H322" s="130"/>
    </row>
    <row r="323" spans="8:8" ht="13">
      <c r="H323" s="130"/>
    </row>
    <row r="324" spans="8:8" ht="13">
      <c r="H324" s="130"/>
    </row>
    <row r="325" spans="8:8" ht="13">
      <c r="H325" s="130"/>
    </row>
    <row r="326" spans="8:8" ht="13">
      <c r="H326" s="130"/>
    </row>
    <row r="327" spans="8:8" ht="13">
      <c r="H327" s="130"/>
    </row>
    <row r="328" spans="8:8" ht="13">
      <c r="H328" s="130"/>
    </row>
    <row r="329" spans="8:8" ht="13">
      <c r="H329" s="130"/>
    </row>
    <row r="330" spans="8:8" ht="13">
      <c r="H330" s="130"/>
    </row>
    <row r="331" spans="8:8" ht="13">
      <c r="H331" s="130"/>
    </row>
    <row r="332" spans="8:8" ht="13">
      <c r="H332" s="130"/>
    </row>
    <row r="333" spans="8:8" ht="13">
      <c r="H333" s="130"/>
    </row>
    <row r="334" spans="8:8" ht="13">
      <c r="H334" s="130"/>
    </row>
    <row r="335" spans="8:8" ht="13">
      <c r="H335" s="130"/>
    </row>
    <row r="336" spans="8:8" ht="13">
      <c r="H336" s="130"/>
    </row>
    <row r="337" spans="8:8" ht="13">
      <c r="H337" s="130"/>
    </row>
    <row r="338" spans="8:8" ht="13">
      <c r="H338" s="130"/>
    </row>
    <row r="339" spans="8:8" ht="13">
      <c r="H339" s="130"/>
    </row>
    <row r="340" spans="8:8" ht="13">
      <c r="H340" s="130"/>
    </row>
    <row r="341" spans="8:8" ht="13">
      <c r="H341" s="130"/>
    </row>
    <row r="342" spans="8:8" ht="13">
      <c r="H342" s="130"/>
    </row>
    <row r="343" spans="8:8" ht="13">
      <c r="H343" s="130"/>
    </row>
    <row r="344" spans="8:8" ht="13">
      <c r="H344" s="130"/>
    </row>
    <row r="345" spans="8:8" ht="13">
      <c r="H345" s="130"/>
    </row>
    <row r="346" spans="8:8" ht="13">
      <c r="H346" s="130"/>
    </row>
    <row r="347" spans="8:8" ht="13">
      <c r="H347" s="130"/>
    </row>
    <row r="348" spans="8:8" ht="13">
      <c r="H348" s="130"/>
    </row>
    <row r="349" spans="8:8" ht="13">
      <c r="H349" s="130"/>
    </row>
    <row r="350" spans="8:8" ht="13">
      <c r="H350" s="130"/>
    </row>
    <row r="351" spans="8:8" ht="13">
      <c r="H351" s="130"/>
    </row>
    <row r="352" spans="8:8" ht="13">
      <c r="H352" s="130"/>
    </row>
    <row r="353" spans="8:8" ht="13">
      <c r="H353" s="130"/>
    </row>
    <row r="354" spans="8:8" ht="13">
      <c r="H354" s="130"/>
    </row>
    <row r="355" spans="8:8" ht="13">
      <c r="H355" s="130"/>
    </row>
    <row r="356" spans="8:8" ht="13">
      <c r="H356" s="130"/>
    </row>
    <row r="357" spans="8:8" ht="13">
      <c r="H357" s="130"/>
    </row>
    <row r="358" spans="8:8" ht="13">
      <c r="H358" s="130"/>
    </row>
    <row r="359" spans="8:8" ht="13">
      <c r="H359" s="130"/>
    </row>
    <row r="360" spans="8:8" ht="13">
      <c r="H360" s="130"/>
    </row>
    <row r="361" spans="8:8" ht="13">
      <c r="H361" s="130"/>
    </row>
    <row r="362" spans="8:8" ht="13">
      <c r="H362" s="130"/>
    </row>
    <row r="363" spans="8:8" ht="13">
      <c r="H363" s="130"/>
    </row>
    <row r="364" spans="8:8" ht="13">
      <c r="H364" s="130"/>
    </row>
    <row r="365" spans="8:8" ht="13">
      <c r="H365" s="130"/>
    </row>
    <row r="366" spans="8:8" ht="13">
      <c r="H366" s="130"/>
    </row>
    <row r="367" spans="8:8" ht="13">
      <c r="H367" s="130"/>
    </row>
    <row r="368" spans="8:8" ht="13">
      <c r="H368" s="130"/>
    </row>
    <row r="369" spans="8:8" ht="13">
      <c r="H369" s="130"/>
    </row>
    <row r="370" spans="8:8" ht="13">
      <c r="H370" s="130"/>
    </row>
    <row r="371" spans="8:8" ht="13">
      <c r="H371" s="130"/>
    </row>
    <row r="372" spans="8:8" ht="13">
      <c r="H372" s="130"/>
    </row>
    <row r="373" spans="8:8" ht="13">
      <c r="H373" s="130"/>
    </row>
    <row r="374" spans="8:8" ht="13">
      <c r="H374" s="130"/>
    </row>
    <row r="375" spans="8:8" ht="13">
      <c r="H375" s="130"/>
    </row>
    <row r="376" spans="8:8" ht="13">
      <c r="H376" s="130"/>
    </row>
    <row r="377" spans="8:8" ht="13">
      <c r="H377" s="130"/>
    </row>
    <row r="378" spans="8:8" ht="13">
      <c r="H378" s="130"/>
    </row>
    <row r="379" spans="8:8" ht="13">
      <c r="H379" s="130"/>
    </row>
    <row r="380" spans="8:8" ht="13">
      <c r="H380" s="130"/>
    </row>
    <row r="381" spans="8:8" ht="13">
      <c r="H381" s="130"/>
    </row>
    <row r="382" spans="8:8" ht="13">
      <c r="H382" s="130"/>
    </row>
    <row r="383" spans="8:8" ht="13">
      <c r="H383" s="130"/>
    </row>
    <row r="384" spans="8:8" ht="13">
      <c r="H384" s="130"/>
    </row>
    <row r="385" spans="8:8" ht="13">
      <c r="H385" s="130"/>
    </row>
    <row r="386" spans="8:8" ht="13">
      <c r="H386" s="130"/>
    </row>
    <row r="387" spans="8:8" ht="13">
      <c r="H387" s="130"/>
    </row>
    <row r="388" spans="8:8" ht="13">
      <c r="H388" s="130"/>
    </row>
    <row r="389" spans="8:8" ht="13">
      <c r="H389" s="130"/>
    </row>
    <row r="390" spans="8:8" ht="13">
      <c r="H390" s="130"/>
    </row>
    <row r="391" spans="8:8" ht="13">
      <c r="H391" s="130"/>
    </row>
    <row r="392" spans="8:8" ht="13">
      <c r="H392" s="130"/>
    </row>
    <row r="393" spans="8:8" ht="13">
      <c r="H393" s="130"/>
    </row>
    <row r="394" spans="8:8" ht="13">
      <c r="H394" s="130"/>
    </row>
    <row r="395" spans="8:8" ht="13">
      <c r="H395" s="130"/>
    </row>
    <row r="396" spans="8:8" ht="13">
      <c r="H396" s="130"/>
    </row>
    <row r="397" spans="8:8" ht="13">
      <c r="H397" s="130"/>
    </row>
    <row r="398" spans="8:8" ht="13">
      <c r="H398" s="130"/>
    </row>
    <row r="399" spans="8:8" ht="13">
      <c r="H399" s="130"/>
    </row>
    <row r="400" spans="8:8" ht="13">
      <c r="H400" s="130"/>
    </row>
    <row r="401" spans="8:8" ht="13">
      <c r="H401" s="130"/>
    </row>
    <row r="402" spans="8:8" ht="13">
      <c r="H402" s="130"/>
    </row>
    <row r="403" spans="8:8" ht="13">
      <c r="H403" s="130"/>
    </row>
    <row r="404" spans="8:8" ht="13">
      <c r="H404" s="130"/>
    </row>
    <row r="405" spans="8:8" ht="13">
      <c r="H405" s="130"/>
    </row>
    <row r="406" spans="8:8" ht="13">
      <c r="H406" s="130"/>
    </row>
    <row r="407" spans="8:8" ht="13">
      <c r="H407" s="130"/>
    </row>
    <row r="408" spans="8:8" ht="13">
      <c r="H408" s="130"/>
    </row>
    <row r="409" spans="8:8" ht="13">
      <c r="H409" s="130"/>
    </row>
    <row r="410" spans="8:8" ht="13">
      <c r="H410" s="130"/>
    </row>
    <row r="411" spans="8:8" ht="13">
      <c r="H411" s="130"/>
    </row>
    <row r="412" spans="8:8" ht="13">
      <c r="H412" s="130"/>
    </row>
    <row r="413" spans="8:8" ht="13">
      <c r="H413" s="130"/>
    </row>
    <row r="414" spans="8:8" ht="13">
      <c r="H414" s="130"/>
    </row>
    <row r="415" spans="8:8" ht="13">
      <c r="H415" s="130"/>
    </row>
    <row r="416" spans="8:8" ht="13">
      <c r="H416" s="130"/>
    </row>
    <row r="417" spans="8:8" ht="13">
      <c r="H417" s="130"/>
    </row>
    <row r="418" spans="8:8" ht="13">
      <c r="H418" s="130"/>
    </row>
    <row r="419" spans="8:8" ht="13">
      <c r="H419" s="130"/>
    </row>
    <row r="420" spans="8:8" ht="13">
      <c r="H420" s="130"/>
    </row>
    <row r="421" spans="8:8" ht="13">
      <c r="H421" s="130"/>
    </row>
    <row r="422" spans="8:8" ht="13">
      <c r="H422" s="130"/>
    </row>
    <row r="423" spans="8:8" ht="13">
      <c r="H423" s="130"/>
    </row>
    <row r="424" spans="8:8" ht="13">
      <c r="H424" s="130"/>
    </row>
    <row r="425" spans="8:8" ht="13">
      <c r="H425" s="130"/>
    </row>
    <row r="426" spans="8:8" ht="13">
      <c r="H426" s="130"/>
    </row>
    <row r="427" spans="8:8" ht="13">
      <c r="H427" s="130"/>
    </row>
    <row r="428" spans="8:8" ht="13">
      <c r="H428" s="130"/>
    </row>
    <row r="429" spans="8:8" ht="13">
      <c r="H429" s="130"/>
    </row>
    <row r="430" spans="8:8" ht="13">
      <c r="H430" s="130"/>
    </row>
    <row r="431" spans="8:8" ht="13">
      <c r="H431" s="130"/>
    </row>
    <row r="432" spans="8:8" ht="13">
      <c r="H432" s="130"/>
    </row>
    <row r="433" spans="8:8" ht="13">
      <c r="H433" s="130"/>
    </row>
    <row r="434" spans="8:8" ht="13">
      <c r="H434" s="130"/>
    </row>
    <row r="435" spans="8:8" ht="13">
      <c r="H435" s="130"/>
    </row>
    <row r="436" spans="8:8" ht="13">
      <c r="H436" s="130"/>
    </row>
    <row r="437" spans="8:8" ht="13">
      <c r="H437" s="130"/>
    </row>
    <row r="438" spans="8:8" ht="13">
      <c r="H438" s="130"/>
    </row>
    <row r="439" spans="8:8" ht="13">
      <c r="H439" s="130"/>
    </row>
    <row r="440" spans="8:8" ht="13">
      <c r="H440" s="130"/>
    </row>
    <row r="441" spans="8:8" ht="13">
      <c r="H441" s="130"/>
    </row>
    <row r="442" spans="8:8" ht="13">
      <c r="H442" s="130"/>
    </row>
    <row r="443" spans="8:8" ht="13">
      <c r="H443" s="130"/>
    </row>
    <row r="444" spans="8:8" ht="13">
      <c r="H444" s="130"/>
    </row>
    <row r="445" spans="8:8" ht="13">
      <c r="H445" s="130"/>
    </row>
    <row r="446" spans="8:8" ht="13">
      <c r="H446" s="130"/>
    </row>
    <row r="447" spans="8:8" ht="13">
      <c r="H447" s="130"/>
    </row>
    <row r="448" spans="8:8" ht="13">
      <c r="H448" s="130"/>
    </row>
    <row r="449" spans="8:8" ht="13">
      <c r="H449" s="130"/>
    </row>
    <row r="450" spans="8:8" ht="13">
      <c r="H450" s="130"/>
    </row>
    <row r="451" spans="8:8" ht="13">
      <c r="H451" s="130"/>
    </row>
    <row r="452" spans="8:8" ht="13">
      <c r="H452" s="130"/>
    </row>
    <row r="453" spans="8:8" ht="13">
      <c r="H453" s="130"/>
    </row>
    <row r="454" spans="8:8" ht="13">
      <c r="H454" s="130"/>
    </row>
    <row r="455" spans="8:8" ht="13">
      <c r="H455" s="130"/>
    </row>
    <row r="456" spans="8:8" ht="13">
      <c r="H456" s="130"/>
    </row>
    <row r="457" spans="8:8" ht="13">
      <c r="H457" s="130"/>
    </row>
    <row r="458" spans="8:8" ht="13">
      <c r="H458" s="130"/>
    </row>
    <row r="459" spans="8:8" ht="13">
      <c r="H459" s="130"/>
    </row>
    <row r="460" spans="8:8" ht="13">
      <c r="H460" s="130"/>
    </row>
    <row r="461" spans="8:8" ht="13">
      <c r="H461" s="130"/>
    </row>
    <row r="462" spans="8:8" ht="13">
      <c r="H462" s="130"/>
    </row>
    <row r="463" spans="8:8" ht="13">
      <c r="H463" s="130"/>
    </row>
    <row r="464" spans="8:8" ht="13">
      <c r="H464" s="130"/>
    </row>
    <row r="465" spans="8:8" ht="13">
      <c r="H465" s="130"/>
    </row>
    <row r="466" spans="8:8" ht="13">
      <c r="H466" s="130"/>
    </row>
    <row r="467" spans="8:8" ht="13">
      <c r="H467" s="130"/>
    </row>
    <row r="468" spans="8:8" ht="13">
      <c r="H468" s="130"/>
    </row>
    <row r="469" spans="8:8" ht="13">
      <c r="H469" s="130"/>
    </row>
    <row r="470" spans="8:8" ht="13">
      <c r="H470" s="130"/>
    </row>
    <row r="471" spans="8:8" ht="13">
      <c r="H471" s="130"/>
    </row>
    <row r="472" spans="8:8" ht="13">
      <c r="H472" s="130"/>
    </row>
    <row r="473" spans="8:8" ht="13">
      <c r="H473" s="130"/>
    </row>
    <row r="474" spans="8:8" ht="13">
      <c r="H474" s="130"/>
    </row>
    <row r="475" spans="8:8" ht="13">
      <c r="H475" s="130"/>
    </row>
    <row r="476" spans="8:8" ht="13">
      <c r="H476" s="130"/>
    </row>
    <row r="477" spans="8:8" ht="13">
      <c r="H477" s="130"/>
    </row>
    <row r="478" spans="8:8" ht="13">
      <c r="H478" s="130"/>
    </row>
    <row r="479" spans="8:8" ht="13">
      <c r="H479" s="130"/>
    </row>
    <row r="480" spans="8:8" ht="13">
      <c r="H480" s="130"/>
    </row>
    <row r="481" spans="8:8" ht="13">
      <c r="H481" s="130"/>
    </row>
    <row r="482" spans="8:8" ht="13">
      <c r="H482" s="130"/>
    </row>
    <row r="483" spans="8:8" ht="13">
      <c r="H483" s="130"/>
    </row>
    <row r="484" spans="8:8" ht="13">
      <c r="H484" s="130"/>
    </row>
    <row r="485" spans="8:8" ht="13">
      <c r="H485" s="130"/>
    </row>
    <row r="486" spans="8:8" ht="13">
      <c r="H486" s="130"/>
    </row>
    <row r="487" spans="8:8" ht="13">
      <c r="H487" s="130"/>
    </row>
    <row r="488" spans="8:8" ht="13">
      <c r="H488" s="130"/>
    </row>
    <row r="489" spans="8:8" ht="13">
      <c r="H489" s="130"/>
    </row>
    <row r="490" spans="8:8" ht="13">
      <c r="H490" s="130"/>
    </row>
    <row r="491" spans="8:8" ht="13">
      <c r="H491" s="130"/>
    </row>
    <row r="492" spans="8:8" ht="13">
      <c r="H492" s="130"/>
    </row>
    <row r="493" spans="8:8" ht="13">
      <c r="H493" s="130"/>
    </row>
    <row r="494" spans="8:8" ht="13">
      <c r="H494" s="130"/>
    </row>
    <row r="495" spans="8:8" ht="13">
      <c r="H495" s="130"/>
    </row>
    <row r="496" spans="8:8" ht="13">
      <c r="H496" s="130"/>
    </row>
    <row r="497" spans="8:8" ht="13">
      <c r="H497" s="130"/>
    </row>
    <row r="498" spans="8:8" ht="13">
      <c r="H498" s="130"/>
    </row>
    <row r="499" spans="8:8" ht="13">
      <c r="H499" s="130"/>
    </row>
    <row r="500" spans="8:8" ht="13">
      <c r="H500" s="130"/>
    </row>
    <row r="501" spans="8:8" ht="13">
      <c r="H501" s="130"/>
    </row>
    <row r="502" spans="8:8" ht="13">
      <c r="H502" s="130"/>
    </row>
    <row r="503" spans="8:8" ht="13">
      <c r="H503" s="130"/>
    </row>
    <row r="504" spans="8:8" ht="13">
      <c r="H504" s="130"/>
    </row>
    <row r="505" spans="8:8" ht="13">
      <c r="H505" s="130"/>
    </row>
    <row r="506" spans="8:8" ht="13">
      <c r="H506" s="130"/>
    </row>
    <row r="507" spans="8:8" ht="13">
      <c r="H507" s="130"/>
    </row>
    <row r="508" spans="8:8" ht="13">
      <c r="H508" s="130"/>
    </row>
    <row r="509" spans="8:8" ht="13">
      <c r="H509" s="130"/>
    </row>
    <row r="510" spans="8:8" ht="13">
      <c r="H510" s="130"/>
    </row>
    <row r="511" spans="8:8" ht="13">
      <c r="H511" s="130"/>
    </row>
    <row r="512" spans="8:8" ht="13">
      <c r="H512" s="130"/>
    </row>
    <row r="513" spans="8:8" ht="13">
      <c r="H513" s="130"/>
    </row>
    <row r="514" spans="8:8" ht="13">
      <c r="H514" s="130"/>
    </row>
    <row r="515" spans="8:8" ht="13">
      <c r="H515" s="130"/>
    </row>
    <row r="516" spans="8:8" ht="13">
      <c r="H516" s="130"/>
    </row>
    <row r="517" spans="8:8" ht="13">
      <c r="H517" s="130"/>
    </row>
    <row r="518" spans="8:8" ht="13">
      <c r="H518" s="130"/>
    </row>
    <row r="519" spans="8:8" ht="13">
      <c r="H519" s="130"/>
    </row>
    <row r="520" spans="8:8" ht="13">
      <c r="H520" s="130"/>
    </row>
    <row r="521" spans="8:8" ht="13">
      <c r="H521" s="130"/>
    </row>
    <row r="522" spans="8:8" ht="13">
      <c r="H522" s="130"/>
    </row>
    <row r="523" spans="8:8" ht="13">
      <c r="H523" s="130"/>
    </row>
    <row r="524" spans="8:8" ht="13">
      <c r="H524" s="130"/>
    </row>
    <row r="525" spans="8:8" ht="13">
      <c r="H525" s="130"/>
    </row>
    <row r="526" spans="8:8" ht="13">
      <c r="H526" s="130"/>
    </row>
    <row r="527" spans="8:8" ht="13">
      <c r="H527" s="130"/>
    </row>
    <row r="528" spans="8:8" ht="13">
      <c r="H528" s="130"/>
    </row>
    <row r="529" spans="8:8" ht="13">
      <c r="H529" s="130"/>
    </row>
    <row r="530" spans="8:8" ht="13">
      <c r="H530" s="130"/>
    </row>
    <row r="531" spans="8:8" ht="13">
      <c r="H531" s="130"/>
    </row>
    <row r="532" spans="8:8" ht="13">
      <c r="H532" s="130"/>
    </row>
    <row r="533" spans="8:8" ht="13">
      <c r="H533" s="130"/>
    </row>
    <row r="534" spans="8:8" ht="13">
      <c r="H534" s="130"/>
    </row>
    <row r="535" spans="8:8" ht="13">
      <c r="H535" s="130"/>
    </row>
    <row r="536" spans="8:8" ht="13">
      <c r="H536" s="130"/>
    </row>
    <row r="537" spans="8:8" ht="13">
      <c r="H537" s="130"/>
    </row>
    <row r="538" spans="8:8" ht="13">
      <c r="H538" s="130"/>
    </row>
    <row r="539" spans="8:8" ht="13">
      <c r="H539" s="130"/>
    </row>
    <row r="540" spans="8:8" ht="13">
      <c r="H540" s="130"/>
    </row>
    <row r="541" spans="8:8" ht="13">
      <c r="H541" s="130"/>
    </row>
    <row r="542" spans="8:8" ht="13">
      <c r="H542" s="130"/>
    </row>
    <row r="543" spans="8:8" ht="13">
      <c r="H543" s="130"/>
    </row>
    <row r="544" spans="8:8" ht="13">
      <c r="H544" s="130"/>
    </row>
    <row r="545" spans="8:8" ht="13">
      <c r="H545" s="130"/>
    </row>
    <row r="546" spans="8:8" ht="13">
      <c r="H546" s="130"/>
    </row>
    <row r="547" spans="8:8" ht="13">
      <c r="H547" s="130"/>
    </row>
    <row r="548" spans="8:8" ht="13">
      <c r="H548" s="130"/>
    </row>
    <row r="549" spans="8:8" ht="13">
      <c r="H549" s="130"/>
    </row>
    <row r="550" spans="8:8" ht="13">
      <c r="H550" s="130"/>
    </row>
    <row r="551" spans="8:8" ht="13">
      <c r="H551" s="130"/>
    </row>
    <row r="552" spans="8:8" ht="13">
      <c r="H552" s="130"/>
    </row>
    <row r="553" spans="8:8" ht="13">
      <c r="H553" s="130"/>
    </row>
    <row r="554" spans="8:8" ht="13">
      <c r="H554" s="130"/>
    </row>
    <row r="555" spans="8:8" ht="13">
      <c r="H555" s="130"/>
    </row>
    <row r="556" spans="8:8" ht="13">
      <c r="H556" s="130"/>
    </row>
    <row r="557" spans="8:8" ht="13">
      <c r="H557" s="130"/>
    </row>
    <row r="558" spans="8:8" ht="13">
      <c r="H558" s="130"/>
    </row>
    <row r="559" spans="8:8" ht="13">
      <c r="H559" s="130"/>
    </row>
    <row r="560" spans="8:8" ht="13">
      <c r="H560" s="130"/>
    </row>
    <row r="561" spans="8:8" ht="13">
      <c r="H561" s="130"/>
    </row>
    <row r="562" spans="8:8" ht="13">
      <c r="H562" s="130"/>
    </row>
    <row r="563" spans="8:8" ht="13">
      <c r="H563" s="130"/>
    </row>
    <row r="564" spans="8:8" ht="13">
      <c r="H564" s="130"/>
    </row>
    <row r="565" spans="8:8" ht="13">
      <c r="H565" s="130"/>
    </row>
    <row r="566" spans="8:8" ht="13">
      <c r="H566" s="130"/>
    </row>
    <row r="567" spans="8:8" ht="13">
      <c r="H567" s="130"/>
    </row>
    <row r="568" spans="8:8" ht="13">
      <c r="H568" s="130"/>
    </row>
    <row r="569" spans="8:8" ht="13">
      <c r="H569" s="130"/>
    </row>
    <row r="570" spans="8:8" ht="13">
      <c r="H570" s="130"/>
    </row>
    <row r="571" spans="8:8" ht="13">
      <c r="H571" s="130"/>
    </row>
    <row r="572" spans="8:8" ht="13">
      <c r="H572" s="130"/>
    </row>
    <row r="573" spans="8:8" ht="13">
      <c r="H573" s="130"/>
    </row>
    <row r="574" spans="8:8" ht="13">
      <c r="H574" s="130"/>
    </row>
    <row r="575" spans="8:8" ht="13">
      <c r="H575" s="130"/>
    </row>
    <row r="576" spans="8:8" ht="13">
      <c r="H576" s="130"/>
    </row>
    <row r="577" spans="8:8" ht="13">
      <c r="H577" s="130"/>
    </row>
    <row r="578" spans="8:8" ht="13">
      <c r="H578" s="130"/>
    </row>
    <row r="579" spans="8:8" ht="13">
      <c r="H579" s="130"/>
    </row>
    <row r="580" spans="8:8" ht="13">
      <c r="H580" s="130"/>
    </row>
    <row r="581" spans="8:8" ht="13">
      <c r="H581" s="130"/>
    </row>
    <row r="582" spans="8:8" ht="13">
      <c r="H582" s="130"/>
    </row>
    <row r="583" spans="8:8" ht="13">
      <c r="H583" s="130"/>
    </row>
    <row r="584" spans="8:8" ht="13">
      <c r="H584" s="130"/>
    </row>
    <row r="585" spans="8:8" ht="13">
      <c r="H585" s="130"/>
    </row>
    <row r="586" spans="8:8" ht="13">
      <c r="H586" s="130"/>
    </row>
    <row r="587" spans="8:8" ht="13">
      <c r="H587" s="130"/>
    </row>
    <row r="588" spans="8:8" ht="13">
      <c r="H588" s="130"/>
    </row>
    <row r="589" spans="8:8" ht="13">
      <c r="H589" s="130"/>
    </row>
    <row r="590" spans="8:8" ht="13">
      <c r="H590" s="130"/>
    </row>
    <row r="591" spans="8:8" ht="13">
      <c r="H591" s="130"/>
    </row>
    <row r="592" spans="8:8" ht="13">
      <c r="H592" s="130"/>
    </row>
    <row r="593" spans="8:8" ht="13">
      <c r="H593" s="130"/>
    </row>
    <row r="594" spans="8:8" ht="13">
      <c r="H594" s="130"/>
    </row>
    <row r="595" spans="8:8" ht="13">
      <c r="H595" s="130"/>
    </row>
    <row r="596" spans="8:8" ht="13">
      <c r="H596" s="130"/>
    </row>
    <row r="597" spans="8:8" ht="13">
      <c r="H597" s="130"/>
    </row>
    <row r="598" spans="8:8" ht="13">
      <c r="H598" s="130"/>
    </row>
    <row r="599" spans="8:8" ht="13">
      <c r="H599" s="130"/>
    </row>
    <row r="600" spans="8:8" ht="13">
      <c r="H600" s="130"/>
    </row>
    <row r="601" spans="8:8" ht="13">
      <c r="H601" s="130"/>
    </row>
    <row r="602" spans="8:8" ht="13">
      <c r="H602" s="130"/>
    </row>
    <row r="603" spans="8:8" ht="13">
      <c r="H603" s="130"/>
    </row>
    <row r="604" spans="8:8" ht="13">
      <c r="H604" s="130"/>
    </row>
    <row r="605" spans="8:8" ht="13">
      <c r="H605" s="130"/>
    </row>
    <row r="606" spans="8:8" ht="13">
      <c r="H606" s="130"/>
    </row>
    <row r="607" spans="8:8" ht="13">
      <c r="H607" s="130"/>
    </row>
    <row r="608" spans="8:8" ht="13">
      <c r="H608" s="130"/>
    </row>
    <row r="609" spans="8:8" ht="13">
      <c r="H609" s="130"/>
    </row>
    <row r="610" spans="8:8" ht="13">
      <c r="H610" s="130"/>
    </row>
    <row r="611" spans="8:8" ht="13">
      <c r="H611" s="130"/>
    </row>
    <row r="612" spans="8:8" ht="13">
      <c r="H612" s="130"/>
    </row>
    <row r="613" spans="8:8" ht="13">
      <c r="H613" s="130"/>
    </row>
    <row r="614" spans="8:8" ht="13">
      <c r="H614" s="130"/>
    </row>
    <row r="615" spans="8:8" ht="13">
      <c r="H615" s="130"/>
    </row>
    <row r="616" spans="8:8" ht="13">
      <c r="H616" s="130"/>
    </row>
    <row r="617" spans="8:8" ht="13">
      <c r="H617" s="130"/>
    </row>
    <row r="618" spans="8:8" ht="13">
      <c r="H618" s="130"/>
    </row>
    <row r="619" spans="8:8" ht="13">
      <c r="H619" s="130"/>
    </row>
    <row r="620" spans="8:8" ht="13">
      <c r="H620" s="130"/>
    </row>
    <row r="621" spans="8:8" ht="13">
      <c r="H621" s="130"/>
    </row>
    <row r="622" spans="8:8" ht="13">
      <c r="H622" s="130"/>
    </row>
    <row r="623" spans="8:8" ht="13">
      <c r="H623" s="130"/>
    </row>
    <row r="624" spans="8:8" ht="13">
      <c r="H624" s="130"/>
    </row>
    <row r="625" spans="8:8" ht="13">
      <c r="H625" s="130"/>
    </row>
    <row r="626" spans="8:8" ht="13">
      <c r="H626" s="130"/>
    </row>
    <row r="627" spans="8:8" ht="13">
      <c r="H627" s="130"/>
    </row>
    <row r="628" spans="8:8" ht="13">
      <c r="H628" s="130"/>
    </row>
    <row r="629" spans="8:8" ht="13">
      <c r="H629" s="130"/>
    </row>
    <row r="630" spans="8:8" ht="13">
      <c r="H630" s="130"/>
    </row>
    <row r="631" spans="8:8" ht="13">
      <c r="H631" s="130"/>
    </row>
    <row r="632" spans="8:8" ht="13">
      <c r="H632" s="130"/>
    </row>
    <row r="633" spans="8:8" ht="13">
      <c r="H633" s="130"/>
    </row>
    <row r="634" spans="8:8" ht="13">
      <c r="H634" s="130"/>
    </row>
    <row r="635" spans="8:8" ht="13">
      <c r="H635" s="130"/>
    </row>
    <row r="636" spans="8:8" ht="13">
      <c r="H636" s="130"/>
    </row>
    <row r="637" spans="8:8" ht="13">
      <c r="H637" s="130"/>
    </row>
    <row r="638" spans="8:8" ht="13">
      <c r="H638" s="130"/>
    </row>
    <row r="639" spans="8:8" ht="13">
      <c r="H639" s="130"/>
    </row>
    <row r="640" spans="8:8" ht="13">
      <c r="H640" s="130"/>
    </row>
    <row r="641" spans="8:8" ht="13">
      <c r="H641" s="130"/>
    </row>
    <row r="642" spans="8:8" ht="13">
      <c r="H642" s="130"/>
    </row>
    <row r="643" spans="8:8" ht="13">
      <c r="H643" s="130"/>
    </row>
    <row r="644" spans="8:8" ht="13">
      <c r="H644" s="130"/>
    </row>
    <row r="645" spans="8:8" ht="13">
      <c r="H645" s="130"/>
    </row>
    <row r="646" spans="8:8" ht="13">
      <c r="H646" s="130"/>
    </row>
    <row r="647" spans="8:8" ht="13">
      <c r="H647" s="130"/>
    </row>
    <row r="648" spans="8:8" ht="13">
      <c r="H648" s="130"/>
    </row>
    <row r="649" spans="8:8" ht="13">
      <c r="H649" s="130"/>
    </row>
    <row r="650" spans="8:8" ht="13">
      <c r="H650" s="130"/>
    </row>
    <row r="651" spans="8:8" ht="13">
      <c r="H651" s="130"/>
    </row>
    <row r="652" spans="8:8" ht="13">
      <c r="H652" s="130"/>
    </row>
    <row r="653" spans="8:8" ht="13">
      <c r="H653" s="130"/>
    </row>
    <row r="654" spans="8:8" ht="13">
      <c r="H654" s="130"/>
    </row>
    <row r="655" spans="8:8" ht="13">
      <c r="H655" s="130"/>
    </row>
    <row r="656" spans="8:8" ht="13">
      <c r="H656" s="130"/>
    </row>
    <row r="657" spans="8:8" ht="13">
      <c r="H657" s="130"/>
    </row>
    <row r="658" spans="8:8" ht="13">
      <c r="H658" s="130"/>
    </row>
    <row r="659" spans="8:8" ht="13">
      <c r="H659" s="130"/>
    </row>
    <row r="660" spans="8:8" ht="13">
      <c r="H660" s="130"/>
    </row>
    <row r="661" spans="8:8" ht="13">
      <c r="H661" s="130"/>
    </row>
    <row r="662" spans="8:8" ht="13">
      <c r="H662" s="130"/>
    </row>
    <row r="663" spans="8:8" ht="13">
      <c r="H663" s="130"/>
    </row>
    <row r="664" spans="8:8" ht="13">
      <c r="H664" s="130"/>
    </row>
    <row r="665" spans="8:8" ht="13">
      <c r="H665" s="130"/>
    </row>
    <row r="666" spans="8:8" ht="13">
      <c r="H666" s="130"/>
    </row>
    <row r="667" spans="8:8" ht="13">
      <c r="H667" s="130"/>
    </row>
    <row r="668" spans="8:8" ht="13">
      <c r="H668" s="130"/>
    </row>
    <row r="669" spans="8:8" ht="13">
      <c r="H669" s="130"/>
    </row>
    <row r="670" spans="8:8" ht="13">
      <c r="H670" s="130"/>
    </row>
    <row r="671" spans="8:8" ht="13">
      <c r="H671" s="130"/>
    </row>
    <row r="672" spans="8:8" ht="13">
      <c r="H672" s="130"/>
    </row>
    <row r="673" spans="8:8" ht="13">
      <c r="H673" s="130"/>
    </row>
    <row r="674" spans="8:8" ht="13">
      <c r="H674" s="130"/>
    </row>
    <row r="675" spans="8:8" ht="13">
      <c r="H675" s="130"/>
    </row>
    <row r="676" spans="8:8" ht="13">
      <c r="H676" s="130"/>
    </row>
    <row r="677" spans="8:8" ht="13">
      <c r="H677" s="130"/>
    </row>
    <row r="678" spans="8:8" ht="13">
      <c r="H678" s="130"/>
    </row>
    <row r="679" spans="8:8" ht="13">
      <c r="H679" s="130"/>
    </row>
    <row r="680" spans="8:8" ht="13">
      <c r="H680" s="130"/>
    </row>
    <row r="681" spans="8:8" ht="13">
      <c r="H681" s="130"/>
    </row>
    <row r="682" spans="8:8" ht="13">
      <c r="H682" s="130"/>
    </row>
    <row r="683" spans="8:8" ht="13">
      <c r="H683" s="130"/>
    </row>
    <row r="684" spans="8:8" ht="13">
      <c r="H684" s="130"/>
    </row>
    <row r="685" spans="8:8" ht="13">
      <c r="H685" s="130"/>
    </row>
    <row r="686" spans="8:8" ht="13">
      <c r="H686" s="130"/>
    </row>
    <row r="687" spans="8:8" ht="13">
      <c r="H687" s="130"/>
    </row>
    <row r="688" spans="8:8" ht="13">
      <c r="H688" s="130"/>
    </row>
    <row r="689" spans="8:8" ht="13">
      <c r="H689" s="130"/>
    </row>
    <row r="690" spans="8:8" ht="13">
      <c r="H690" s="130"/>
    </row>
    <row r="691" spans="8:8" ht="13">
      <c r="H691" s="130"/>
    </row>
    <row r="692" spans="8:8" ht="13">
      <c r="H692" s="130"/>
    </row>
    <row r="693" spans="8:8" ht="13">
      <c r="H693" s="130"/>
    </row>
    <row r="694" spans="8:8" ht="13">
      <c r="H694" s="130"/>
    </row>
    <row r="695" spans="8:8" ht="13">
      <c r="H695" s="130"/>
    </row>
    <row r="696" spans="8:8" ht="13">
      <c r="H696" s="130"/>
    </row>
    <row r="697" spans="8:8" ht="13">
      <c r="H697" s="130"/>
    </row>
    <row r="698" spans="8:8" ht="13">
      <c r="H698" s="130"/>
    </row>
    <row r="699" spans="8:8" ht="13">
      <c r="H699" s="130"/>
    </row>
    <row r="700" spans="8:8" ht="13">
      <c r="H700" s="130"/>
    </row>
    <row r="701" spans="8:8" ht="13">
      <c r="H701" s="130"/>
    </row>
    <row r="702" spans="8:8" ht="13">
      <c r="H702" s="130"/>
    </row>
    <row r="703" spans="8:8" ht="13">
      <c r="H703" s="130"/>
    </row>
    <row r="704" spans="8:8" ht="13">
      <c r="H704" s="130"/>
    </row>
    <row r="705" spans="8:8" ht="13">
      <c r="H705" s="130"/>
    </row>
    <row r="706" spans="8:8" ht="13">
      <c r="H706" s="130"/>
    </row>
    <row r="707" spans="8:8" ht="13">
      <c r="H707" s="130"/>
    </row>
    <row r="708" spans="8:8" ht="13">
      <c r="H708" s="130"/>
    </row>
    <row r="709" spans="8:8" ht="13">
      <c r="H709" s="130"/>
    </row>
    <row r="710" spans="8:8" ht="13">
      <c r="H710" s="130"/>
    </row>
    <row r="711" spans="8:8" ht="13">
      <c r="H711" s="130"/>
    </row>
    <row r="712" spans="8:8" ht="13">
      <c r="H712" s="130"/>
    </row>
    <row r="713" spans="8:8" ht="13">
      <c r="H713" s="130"/>
    </row>
    <row r="714" spans="8:8" ht="13">
      <c r="H714" s="130"/>
    </row>
    <row r="715" spans="8:8" ht="13">
      <c r="H715" s="130"/>
    </row>
    <row r="716" spans="8:8" ht="13">
      <c r="H716" s="130"/>
    </row>
    <row r="717" spans="8:8" ht="13">
      <c r="H717" s="130"/>
    </row>
    <row r="718" spans="8:8" ht="13">
      <c r="H718" s="130"/>
    </row>
    <row r="719" spans="8:8" ht="13">
      <c r="H719" s="130"/>
    </row>
    <row r="720" spans="8:8" ht="13">
      <c r="H720" s="130"/>
    </row>
    <row r="721" spans="8:8" ht="13">
      <c r="H721" s="130"/>
    </row>
    <row r="722" spans="8:8" ht="13">
      <c r="H722" s="130"/>
    </row>
    <row r="723" spans="8:8" ht="13">
      <c r="H723" s="130"/>
    </row>
    <row r="724" spans="8:8" ht="13">
      <c r="H724" s="130"/>
    </row>
    <row r="725" spans="8:8" ht="13">
      <c r="H725" s="130"/>
    </row>
    <row r="726" spans="8:8" ht="13">
      <c r="H726" s="130"/>
    </row>
    <row r="727" spans="8:8" ht="13">
      <c r="H727" s="130"/>
    </row>
    <row r="728" spans="8:8" ht="13">
      <c r="H728" s="130"/>
    </row>
    <row r="729" spans="8:8" ht="13">
      <c r="H729" s="130"/>
    </row>
    <row r="730" spans="8:8" ht="13">
      <c r="H730" s="130"/>
    </row>
    <row r="731" spans="8:8" ht="13">
      <c r="H731" s="130"/>
    </row>
    <row r="732" spans="8:8" ht="13">
      <c r="H732" s="130"/>
    </row>
    <row r="733" spans="8:8" ht="13">
      <c r="H733" s="130"/>
    </row>
    <row r="734" spans="8:8" ht="13">
      <c r="H734" s="130"/>
    </row>
    <row r="735" spans="8:8" ht="13">
      <c r="H735" s="130"/>
    </row>
    <row r="736" spans="8:8" ht="13">
      <c r="H736" s="130"/>
    </row>
    <row r="737" spans="8:8" ht="13">
      <c r="H737" s="130"/>
    </row>
    <row r="738" spans="8:8" ht="13">
      <c r="H738" s="130"/>
    </row>
    <row r="739" spans="8:8" ht="13">
      <c r="H739" s="130"/>
    </row>
    <row r="740" spans="8:8" ht="13">
      <c r="H740" s="130"/>
    </row>
    <row r="741" spans="8:8" ht="13">
      <c r="H741" s="130"/>
    </row>
    <row r="742" spans="8:8" ht="13">
      <c r="H742" s="130"/>
    </row>
    <row r="743" spans="8:8" ht="13">
      <c r="H743" s="130"/>
    </row>
    <row r="744" spans="8:8" ht="13">
      <c r="H744" s="130"/>
    </row>
    <row r="745" spans="8:8" ht="13">
      <c r="H745" s="130"/>
    </row>
    <row r="746" spans="8:8" ht="13">
      <c r="H746" s="130"/>
    </row>
    <row r="747" spans="8:8" ht="13">
      <c r="H747" s="130"/>
    </row>
    <row r="748" spans="8:8" ht="13">
      <c r="H748" s="130"/>
    </row>
    <row r="749" spans="8:8" ht="13">
      <c r="H749" s="130"/>
    </row>
    <row r="750" spans="8:8" ht="13">
      <c r="H750" s="130"/>
    </row>
    <row r="751" spans="8:8" ht="13">
      <c r="H751" s="130"/>
    </row>
    <row r="752" spans="8:8" ht="13">
      <c r="H752" s="130"/>
    </row>
    <row r="753" spans="8:8" ht="13">
      <c r="H753" s="130"/>
    </row>
    <row r="754" spans="8:8" ht="13">
      <c r="H754" s="130"/>
    </row>
    <row r="755" spans="8:8" ht="13">
      <c r="H755" s="130"/>
    </row>
    <row r="756" spans="8:8" ht="13">
      <c r="H756" s="130"/>
    </row>
    <row r="757" spans="8:8" ht="13">
      <c r="H757" s="130"/>
    </row>
    <row r="758" spans="8:8" ht="13">
      <c r="H758" s="130"/>
    </row>
    <row r="759" spans="8:8" ht="13">
      <c r="H759" s="130"/>
    </row>
    <row r="760" spans="8:8" ht="13">
      <c r="H760" s="130"/>
    </row>
    <row r="761" spans="8:8" ht="13">
      <c r="H761" s="130"/>
    </row>
    <row r="762" spans="8:8" ht="13">
      <c r="H762" s="130"/>
    </row>
    <row r="763" spans="8:8" ht="13">
      <c r="H763" s="130"/>
    </row>
    <row r="764" spans="8:8" ht="13">
      <c r="H764" s="130"/>
    </row>
    <row r="765" spans="8:8" ht="13">
      <c r="H765" s="130"/>
    </row>
    <row r="766" spans="8:8" ht="13">
      <c r="H766" s="130"/>
    </row>
    <row r="767" spans="8:8" ht="13">
      <c r="H767" s="130"/>
    </row>
    <row r="768" spans="8:8" ht="13">
      <c r="H768" s="130"/>
    </row>
    <row r="769" spans="8:8" ht="13">
      <c r="H769" s="130"/>
    </row>
    <row r="770" spans="8:8" ht="13">
      <c r="H770" s="130"/>
    </row>
    <row r="771" spans="8:8" ht="13">
      <c r="H771" s="130"/>
    </row>
    <row r="772" spans="8:8" ht="13">
      <c r="H772" s="130"/>
    </row>
    <row r="773" spans="8:8" ht="13">
      <c r="H773" s="130"/>
    </row>
    <row r="774" spans="8:8" ht="13">
      <c r="H774" s="130"/>
    </row>
    <row r="775" spans="8:8" ht="13">
      <c r="H775" s="130"/>
    </row>
    <row r="776" spans="8:8" ht="13">
      <c r="H776" s="130"/>
    </row>
    <row r="777" spans="8:8" ht="13">
      <c r="H777" s="130"/>
    </row>
    <row r="778" spans="8:8" ht="13">
      <c r="H778" s="130"/>
    </row>
    <row r="779" spans="8:8" ht="13">
      <c r="H779" s="130"/>
    </row>
    <row r="780" spans="8:8" ht="13">
      <c r="H780" s="130"/>
    </row>
    <row r="781" spans="8:8" ht="13">
      <c r="H781" s="130"/>
    </row>
    <row r="782" spans="8:8" ht="13">
      <c r="H782" s="130"/>
    </row>
    <row r="783" spans="8:8" ht="13">
      <c r="H783" s="130"/>
    </row>
    <row r="784" spans="8:8" ht="13">
      <c r="H784" s="130"/>
    </row>
    <row r="785" spans="8:8" ht="13">
      <c r="H785" s="130"/>
    </row>
    <row r="786" spans="8:8" ht="13">
      <c r="H786" s="130"/>
    </row>
    <row r="787" spans="8:8" ht="13">
      <c r="H787" s="130"/>
    </row>
    <row r="788" spans="8:8" ht="13">
      <c r="H788" s="130"/>
    </row>
    <row r="789" spans="8:8" ht="13">
      <c r="H789" s="130"/>
    </row>
    <row r="790" spans="8:8" ht="13">
      <c r="H790" s="130"/>
    </row>
    <row r="791" spans="8:8" ht="13">
      <c r="H791" s="130"/>
    </row>
    <row r="792" spans="8:8" ht="13">
      <c r="H792" s="130"/>
    </row>
    <row r="793" spans="8:8" ht="13">
      <c r="H793" s="130"/>
    </row>
    <row r="794" spans="8:8" ht="13">
      <c r="H794" s="130"/>
    </row>
    <row r="795" spans="8:8" ht="13">
      <c r="H795" s="130"/>
    </row>
    <row r="796" spans="8:8" ht="13">
      <c r="H796" s="130"/>
    </row>
    <row r="797" spans="8:8" ht="13">
      <c r="H797" s="130"/>
    </row>
    <row r="798" spans="8:8" ht="13">
      <c r="H798" s="130"/>
    </row>
    <row r="799" spans="8:8" ht="13">
      <c r="H799" s="130"/>
    </row>
    <row r="800" spans="8:8" ht="13">
      <c r="H800" s="130"/>
    </row>
    <row r="801" spans="8:8" ht="13">
      <c r="H801" s="130"/>
    </row>
    <row r="802" spans="8:8" ht="13">
      <c r="H802" s="130"/>
    </row>
    <row r="803" spans="8:8" ht="13">
      <c r="H803" s="130"/>
    </row>
    <row r="804" spans="8:8" ht="13">
      <c r="H804" s="130"/>
    </row>
    <row r="805" spans="8:8" ht="13">
      <c r="H805" s="130"/>
    </row>
    <row r="806" spans="8:8" ht="13">
      <c r="H806" s="130"/>
    </row>
    <row r="807" spans="8:8" ht="13">
      <c r="H807" s="130"/>
    </row>
    <row r="808" spans="8:8" ht="13">
      <c r="H808" s="130"/>
    </row>
    <row r="809" spans="8:8" ht="13">
      <c r="H809" s="130"/>
    </row>
    <row r="810" spans="8:8" ht="13">
      <c r="H810" s="130"/>
    </row>
    <row r="811" spans="8:8" ht="13">
      <c r="H811" s="130"/>
    </row>
    <row r="812" spans="8:8" ht="13">
      <c r="H812" s="130"/>
    </row>
    <row r="813" spans="8:8" ht="13">
      <c r="H813" s="130"/>
    </row>
    <row r="814" spans="8:8" ht="13">
      <c r="H814" s="130"/>
    </row>
    <row r="815" spans="8:8" ht="13">
      <c r="H815" s="130"/>
    </row>
    <row r="816" spans="8:8" ht="13">
      <c r="H816" s="130"/>
    </row>
    <row r="817" spans="8:8" ht="13">
      <c r="H817" s="130"/>
    </row>
    <row r="818" spans="8:8" ht="13">
      <c r="H818" s="130"/>
    </row>
    <row r="819" spans="8:8" ht="13">
      <c r="H819" s="130"/>
    </row>
    <row r="820" spans="8:8" ht="13">
      <c r="H820" s="130"/>
    </row>
    <row r="821" spans="8:8" ht="13">
      <c r="H821" s="130"/>
    </row>
    <row r="822" spans="8:8" ht="13">
      <c r="H822" s="130"/>
    </row>
    <row r="823" spans="8:8" ht="13">
      <c r="H823" s="130"/>
    </row>
    <row r="824" spans="8:8" ht="13">
      <c r="H824" s="130"/>
    </row>
    <row r="825" spans="8:8" ht="13">
      <c r="H825" s="130"/>
    </row>
    <row r="826" spans="8:8" ht="13">
      <c r="H826" s="130"/>
    </row>
    <row r="827" spans="8:8" ht="13">
      <c r="H827" s="130"/>
    </row>
    <row r="828" spans="8:8" ht="13">
      <c r="H828" s="130"/>
    </row>
    <row r="829" spans="8:8" ht="13">
      <c r="H829" s="130"/>
    </row>
    <row r="830" spans="8:8" ht="13">
      <c r="H830" s="130"/>
    </row>
    <row r="831" spans="8:8" ht="13">
      <c r="H831" s="130"/>
    </row>
    <row r="832" spans="8:8" ht="13">
      <c r="H832" s="130"/>
    </row>
    <row r="833" spans="8:8" ht="13">
      <c r="H833" s="130"/>
    </row>
    <row r="834" spans="8:8" ht="13">
      <c r="H834" s="130"/>
    </row>
    <row r="835" spans="8:8" ht="13">
      <c r="H835" s="130"/>
    </row>
    <row r="836" spans="8:8" ht="13">
      <c r="H836" s="130"/>
    </row>
    <row r="837" spans="8:8" ht="13">
      <c r="H837" s="130"/>
    </row>
    <row r="838" spans="8:8" ht="13">
      <c r="H838" s="130"/>
    </row>
    <row r="839" spans="8:8" ht="13">
      <c r="H839" s="130"/>
    </row>
    <row r="840" spans="8:8" ht="13">
      <c r="H840" s="130"/>
    </row>
    <row r="841" spans="8:8" ht="13">
      <c r="H841" s="130"/>
    </row>
    <row r="842" spans="8:8" ht="13">
      <c r="H842" s="130"/>
    </row>
    <row r="843" spans="8:8" ht="13">
      <c r="H843" s="130"/>
    </row>
    <row r="844" spans="8:8" ht="13">
      <c r="H844" s="130"/>
    </row>
    <row r="845" spans="8:8" ht="13">
      <c r="H845" s="130"/>
    </row>
    <row r="846" spans="8:8" ht="13">
      <c r="H846" s="130"/>
    </row>
    <row r="847" spans="8:8" ht="13">
      <c r="H847" s="130"/>
    </row>
    <row r="848" spans="8:8" ht="13">
      <c r="H848" s="130"/>
    </row>
    <row r="849" spans="8:8" ht="13">
      <c r="H849" s="130"/>
    </row>
    <row r="850" spans="8:8" ht="13">
      <c r="H850" s="130"/>
    </row>
    <row r="851" spans="8:8" ht="13">
      <c r="H851" s="130"/>
    </row>
    <row r="852" spans="8:8" ht="13">
      <c r="H852" s="130"/>
    </row>
    <row r="853" spans="8:8" ht="13">
      <c r="H853" s="130"/>
    </row>
    <row r="854" spans="8:8" ht="13">
      <c r="H854" s="130"/>
    </row>
    <row r="855" spans="8:8" ht="13">
      <c r="H855" s="130"/>
    </row>
    <row r="856" spans="8:8" ht="13">
      <c r="H856" s="130"/>
    </row>
    <row r="857" spans="8:8" ht="13">
      <c r="H857" s="130"/>
    </row>
    <row r="858" spans="8:8" ht="13">
      <c r="H858" s="130"/>
    </row>
    <row r="859" spans="8:8" ht="13">
      <c r="H859" s="130"/>
    </row>
    <row r="860" spans="8:8" ht="13">
      <c r="H860" s="130"/>
    </row>
    <row r="861" spans="8:8" ht="13">
      <c r="H861" s="130"/>
    </row>
    <row r="862" spans="8:8" ht="13">
      <c r="H862" s="130"/>
    </row>
    <row r="863" spans="8:8" ht="13">
      <c r="H863" s="130"/>
    </row>
    <row r="864" spans="8:8" ht="13">
      <c r="H864" s="130"/>
    </row>
    <row r="865" spans="8:8" ht="13">
      <c r="H865" s="130"/>
    </row>
    <row r="866" spans="8:8" ht="13">
      <c r="H866" s="130"/>
    </row>
    <row r="867" spans="8:8" ht="13">
      <c r="H867" s="130"/>
    </row>
    <row r="868" spans="8:8" ht="13">
      <c r="H868" s="130"/>
    </row>
    <row r="869" spans="8:8" ht="13">
      <c r="H869" s="130"/>
    </row>
    <row r="870" spans="8:8" ht="13">
      <c r="H870" s="130"/>
    </row>
    <row r="871" spans="8:8" ht="13">
      <c r="H871" s="130"/>
    </row>
    <row r="872" spans="8:8" ht="13">
      <c r="H872" s="130"/>
    </row>
    <row r="873" spans="8:8" ht="13">
      <c r="H873" s="130"/>
    </row>
    <row r="874" spans="8:8" ht="13">
      <c r="H874" s="130"/>
    </row>
    <row r="875" spans="8:8" ht="13">
      <c r="H875" s="130"/>
    </row>
    <row r="876" spans="8:8" ht="13">
      <c r="H876" s="130"/>
    </row>
    <row r="877" spans="8:8" ht="13">
      <c r="H877" s="130"/>
    </row>
    <row r="878" spans="8:8" ht="13">
      <c r="H878" s="130"/>
    </row>
    <row r="879" spans="8:8" ht="13">
      <c r="H879" s="130"/>
    </row>
    <row r="880" spans="8:8" ht="13">
      <c r="H880" s="130"/>
    </row>
    <row r="881" spans="8:8" ht="13">
      <c r="H881" s="130"/>
    </row>
    <row r="882" spans="8:8" ht="13">
      <c r="H882" s="130"/>
    </row>
    <row r="883" spans="8:8" ht="13">
      <c r="H883" s="130"/>
    </row>
    <row r="884" spans="8:8" ht="13">
      <c r="H884" s="130"/>
    </row>
    <row r="885" spans="8:8" ht="13">
      <c r="H885" s="130"/>
    </row>
    <row r="886" spans="8:8" ht="13">
      <c r="H886" s="130"/>
    </row>
    <row r="887" spans="8:8" ht="13">
      <c r="H887" s="130"/>
    </row>
    <row r="888" spans="8:8" ht="13">
      <c r="H888" s="130"/>
    </row>
    <row r="889" spans="8:8" ht="13">
      <c r="H889" s="130"/>
    </row>
    <row r="890" spans="8:8" ht="13">
      <c r="H890" s="130"/>
    </row>
    <row r="891" spans="8:8" ht="13">
      <c r="H891" s="130"/>
    </row>
    <row r="892" spans="8:8" ht="13">
      <c r="H892" s="130"/>
    </row>
    <row r="893" spans="8:8" ht="13">
      <c r="H893" s="130"/>
    </row>
    <row r="894" spans="8:8" ht="13">
      <c r="H894" s="130"/>
    </row>
    <row r="895" spans="8:8" ht="13">
      <c r="H895" s="130"/>
    </row>
    <row r="896" spans="8:8" ht="13">
      <c r="H896" s="130"/>
    </row>
    <row r="897" spans="8:8" ht="13">
      <c r="H897" s="130"/>
    </row>
    <row r="898" spans="8:8" ht="13">
      <c r="H898" s="130"/>
    </row>
    <row r="899" spans="8:8" ht="13">
      <c r="H899" s="130"/>
    </row>
    <row r="900" spans="8:8" ht="13">
      <c r="H900" s="130"/>
    </row>
    <row r="901" spans="8:8" ht="13">
      <c r="H901" s="130"/>
    </row>
    <row r="902" spans="8:8" ht="13">
      <c r="H902" s="130"/>
    </row>
    <row r="903" spans="8:8" ht="13">
      <c r="H903" s="130"/>
    </row>
    <row r="904" spans="8:8" ht="13">
      <c r="H904" s="130"/>
    </row>
    <row r="905" spans="8:8" ht="13">
      <c r="H905" s="130"/>
    </row>
    <row r="906" spans="8:8" ht="13">
      <c r="H906" s="130"/>
    </row>
    <row r="907" spans="8:8" ht="13">
      <c r="H907" s="130"/>
    </row>
    <row r="908" spans="8:8" ht="13">
      <c r="H908" s="130"/>
    </row>
    <row r="909" spans="8:8" ht="13">
      <c r="H909" s="130"/>
    </row>
    <row r="910" spans="8:8" ht="13">
      <c r="H910" s="130"/>
    </row>
    <row r="911" spans="8:8" ht="13">
      <c r="H911" s="130"/>
    </row>
    <row r="912" spans="8:8" ht="13">
      <c r="H912" s="130"/>
    </row>
    <row r="913" spans="8:8" ht="13">
      <c r="H913" s="130"/>
    </row>
    <row r="914" spans="8:8" ht="13">
      <c r="H914" s="130"/>
    </row>
    <row r="915" spans="8:8" ht="13">
      <c r="H915" s="130"/>
    </row>
    <row r="916" spans="8:8" ht="13">
      <c r="H916" s="130"/>
    </row>
    <row r="917" spans="8:8" ht="13">
      <c r="H917" s="130"/>
    </row>
    <row r="918" spans="8:8" ht="13">
      <c r="H918" s="130"/>
    </row>
    <row r="919" spans="8:8" ht="13">
      <c r="H919" s="130"/>
    </row>
    <row r="920" spans="8:8" ht="13">
      <c r="H920" s="130"/>
    </row>
    <row r="921" spans="8:8" ht="13">
      <c r="H921" s="130"/>
    </row>
    <row r="922" spans="8:8" ht="13">
      <c r="H922" s="130"/>
    </row>
    <row r="923" spans="8:8" ht="13">
      <c r="H923" s="130"/>
    </row>
    <row r="924" spans="8:8" ht="13">
      <c r="H924" s="130"/>
    </row>
    <row r="925" spans="8:8" ht="13">
      <c r="H925" s="130"/>
    </row>
    <row r="926" spans="8:8" ht="13">
      <c r="H926" s="130"/>
    </row>
    <row r="927" spans="8:8" ht="13">
      <c r="H927" s="130"/>
    </row>
    <row r="928" spans="8:8" ht="13">
      <c r="H928" s="130"/>
    </row>
    <row r="929" spans="8:8" ht="13">
      <c r="H929" s="130"/>
    </row>
    <row r="930" spans="8:8" ht="13">
      <c r="H930" s="130"/>
    </row>
    <row r="931" spans="8:8" ht="13">
      <c r="H931" s="130"/>
    </row>
    <row r="932" spans="8:8" ht="13">
      <c r="H932" s="130"/>
    </row>
    <row r="933" spans="8:8" ht="13">
      <c r="H933" s="130"/>
    </row>
    <row r="934" spans="8:8" ht="13">
      <c r="H934" s="130"/>
    </row>
    <row r="935" spans="8:8" ht="13">
      <c r="H935" s="130"/>
    </row>
    <row r="936" spans="8:8" ht="13">
      <c r="H936" s="130"/>
    </row>
    <row r="937" spans="8:8" ht="13">
      <c r="H937" s="130"/>
    </row>
    <row r="938" spans="8:8" ht="13">
      <c r="H938" s="130"/>
    </row>
    <row r="939" spans="8:8" ht="13">
      <c r="H939" s="130"/>
    </row>
    <row r="940" spans="8:8" ht="13">
      <c r="H940" s="130"/>
    </row>
    <row r="941" spans="8:8" ht="13">
      <c r="H941" s="130"/>
    </row>
    <row r="942" spans="8:8" ht="13">
      <c r="H942" s="130"/>
    </row>
    <row r="943" spans="8:8" ht="13">
      <c r="H943" s="130"/>
    </row>
    <row r="944" spans="8:8" ht="13">
      <c r="H944" s="130"/>
    </row>
    <row r="945" spans="8:8" ht="13">
      <c r="H945" s="130"/>
    </row>
    <row r="946" spans="8:8" ht="13">
      <c r="H946" s="130"/>
    </row>
    <row r="947" spans="8:8" ht="13">
      <c r="H947" s="130"/>
    </row>
    <row r="948" spans="8:8" ht="13">
      <c r="H948" s="130"/>
    </row>
    <row r="949" spans="8:8" ht="13">
      <c r="H949" s="130"/>
    </row>
    <row r="950" spans="8:8" ht="13">
      <c r="H950" s="130"/>
    </row>
    <row r="951" spans="8:8" ht="13">
      <c r="H951" s="130"/>
    </row>
    <row r="952" spans="8:8" ht="13">
      <c r="H952" s="130"/>
    </row>
    <row r="953" spans="8:8" ht="13">
      <c r="H953" s="130"/>
    </row>
    <row r="954" spans="8:8" ht="13">
      <c r="H954" s="130"/>
    </row>
    <row r="955" spans="8:8" ht="13">
      <c r="H955" s="130"/>
    </row>
    <row r="956" spans="8:8" ht="13">
      <c r="H956" s="130"/>
    </row>
    <row r="957" spans="8:8" ht="13">
      <c r="H957" s="130"/>
    </row>
    <row r="958" spans="8:8" ht="13">
      <c r="H958" s="130"/>
    </row>
    <row r="959" spans="8:8" ht="13">
      <c r="H959" s="130"/>
    </row>
    <row r="960" spans="8:8" ht="13">
      <c r="H960" s="130"/>
    </row>
    <row r="961" spans="8:8" ht="13">
      <c r="H961" s="130"/>
    </row>
    <row r="962" spans="8:8" ht="13">
      <c r="H962" s="130"/>
    </row>
    <row r="963" spans="8:8" ht="13">
      <c r="H963" s="130"/>
    </row>
    <row r="964" spans="8:8" ht="13">
      <c r="H964" s="130"/>
    </row>
    <row r="965" spans="8:8" ht="13">
      <c r="H965" s="130"/>
    </row>
    <row r="966" spans="8:8" ht="13">
      <c r="H966" s="130"/>
    </row>
    <row r="967" spans="8:8" ht="13">
      <c r="H967" s="130"/>
    </row>
    <row r="968" spans="8:8" ht="13">
      <c r="H968" s="130"/>
    </row>
    <row r="969" spans="8:8" ht="13">
      <c r="H969" s="130"/>
    </row>
    <row r="970" spans="8:8" ht="13">
      <c r="H970" s="130"/>
    </row>
    <row r="971" spans="8:8" ht="13">
      <c r="H971" s="130"/>
    </row>
    <row r="972" spans="8:8" ht="13">
      <c r="H972" s="130"/>
    </row>
    <row r="973" spans="8:8" ht="13">
      <c r="H973" s="130"/>
    </row>
    <row r="974" spans="8:8" ht="13">
      <c r="H974" s="130"/>
    </row>
    <row r="975" spans="8:8" ht="13">
      <c r="H975" s="130"/>
    </row>
    <row r="976" spans="8:8" ht="13">
      <c r="H976" s="130"/>
    </row>
    <row r="977" spans="8:8" ht="13">
      <c r="H977" s="130"/>
    </row>
    <row r="978" spans="8:8" ht="13">
      <c r="H978" s="130"/>
    </row>
    <row r="979" spans="8:8" ht="13">
      <c r="H979" s="130"/>
    </row>
    <row r="980" spans="8:8" ht="13">
      <c r="H980" s="130"/>
    </row>
    <row r="981" spans="8:8" ht="13">
      <c r="H981" s="130"/>
    </row>
    <row r="982" spans="8:8" ht="13">
      <c r="H982" s="130"/>
    </row>
    <row r="983" spans="8:8" ht="13">
      <c r="H983" s="130"/>
    </row>
    <row r="984" spans="8:8" ht="13">
      <c r="H984" s="130"/>
    </row>
    <row r="985" spans="8:8" ht="13">
      <c r="H985" s="130"/>
    </row>
    <row r="986" spans="8:8" ht="13">
      <c r="H986" s="130"/>
    </row>
    <row r="987" spans="8:8" ht="13">
      <c r="H987" s="130"/>
    </row>
    <row r="988" spans="8:8" ht="13">
      <c r="H988" s="130"/>
    </row>
    <row r="989" spans="8:8" ht="13">
      <c r="H989" s="130"/>
    </row>
    <row r="990" spans="8:8" ht="13">
      <c r="H990" s="130"/>
    </row>
    <row r="991" spans="8:8" ht="13">
      <c r="H991" s="130"/>
    </row>
    <row r="992" spans="8:8" ht="13">
      <c r="H992" s="130"/>
    </row>
    <row r="993" spans="8:8" ht="13">
      <c r="H993" s="130"/>
    </row>
    <row r="994" spans="8:8" ht="13">
      <c r="H994" s="130"/>
    </row>
    <row r="995" spans="8:8" ht="13">
      <c r="H995" s="130"/>
    </row>
    <row r="996" spans="8:8" ht="13">
      <c r="H996" s="130"/>
    </row>
    <row r="997" spans="8:8" ht="13">
      <c r="H997" s="130"/>
    </row>
    <row r="998" spans="8:8" ht="13">
      <c r="H998" s="130"/>
    </row>
    <row r="999" spans="8:8" ht="13">
      <c r="H999" s="130"/>
    </row>
    <row r="1000" spans="8:8" ht="13">
      <c r="H1000" s="130"/>
    </row>
    <row r="1001" spans="8:8" ht="13">
      <c r="H1001" s="130"/>
    </row>
  </sheetData>
  <conditionalFormatting sqref="B2:E7">
    <cfRule type="expression" dxfId="16" priority="1">
      <formula>AND(VLOOKUP(B$1,$G$2:$H$11,2,FALSE)&gt;=L2,VLOOKUP($A2,$G$2:$H$11,2,FALSE)&gt;=L2)</formula>
    </cfRule>
  </conditionalFormatting>
  <conditionalFormatting sqref="B11:E16">
    <cfRule type="expression" dxfId="15" priority="2">
      <formula>AND(VLOOKUP(B$10,$G$2:$H$11,2,FALSE)&gt;=L11,VLOOKUP($A11,$G$2:$H$11,2,FALSE)&gt;=L11)</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A5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75" customHeight="1"/>
  <cols>
    <col min="1" max="1" width="21.1640625" customWidth="1"/>
    <col min="2" max="2" width="4.33203125" customWidth="1"/>
    <col min="3" max="3" width="56.6640625" customWidth="1"/>
    <col min="4" max="4" width="4.33203125" customWidth="1"/>
    <col min="5" max="5" width="6.6640625" customWidth="1"/>
    <col min="6" max="6" width="72" customWidth="1"/>
    <col min="7" max="7" width="19.33203125" customWidth="1"/>
  </cols>
  <sheetData>
    <row r="1" spans="1:27" ht="15.75" customHeight="1">
      <c r="A1" s="137" t="s">
        <v>2031</v>
      </c>
      <c r="B1" s="138" t="s">
        <v>2032</v>
      </c>
      <c r="C1" s="137" t="s">
        <v>1410</v>
      </c>
      <c r="D1" s="83" t="s">
        <v>2033</v>
      </c>
      <c r="E1" s="83" t="s">
        <v>2034</v>
      </c>
      <c r="F1" s="137" t="s">
        <v>2035</v>
      </c>
      <c r="G1" s="83" t="s">
        <v>2036</v>
      </c>
      <c r="H1" s="55"/>
      <c r="I1" s="55"/>
      <c r="J1" s="55"/>
      <c r="K1" s="55"/>
      <c r="L1" s="55"/>
      <c r="M1" s="55"/>
      <c r="N1" s="55"/>
      <c r="O1" s="55"/>
      <c r="P1" s="55"/>
      <c r="Q1" s="55"/>
      <c r="R1" s="55"/>
      <c r="S1" s="55"/>
      <c r="T1" s="55"/>
      <c r="U1" s="55"/>
      <c r="V1" s="55"/>
      <c r="W1" s="55"/>
      <c r="X1" s="55"/>
      <c r="Y1" s="55"/>
      <c r="Z1" s="55"/>
      <c r="AA1" s="55"/>
    </row>
    <row r="2" spans="1:27" ht="15.75" customHeight="1">
      <c r="A2" s="137" t="s">
        <v>2037</v>
      </c>
      <c r="B2" s="104" t="s">
        <v>2038</v>
      </c>
      <c r="C2" s="114" t="s">
        <v>2039</v>
      </c>
      <c r="D2" s="94">
        <v>2</v>
      </c>
      <c r="E2" s="94" t="s">
        <v>126</v>
      </c>
      <c r="F2" s="114" t="s">
        <v>2040</v>
      </c>
      <c r="G2" s="94" t="s">
        <v>2041</v>
      </c>
      <c r="H2" s="60"/>
      <c r="I2" s="60"/>
      <c r="J2" s="60"/>
      <c r="K2" s="60"/>
      <c r="L2" s="60"/>
      <c r="M2" s="60"/>
      <c r="N2" s="60"/>
      <c r="O2" s="60"/>
      <c r="P2" s="60"/>
      <c r="Q2" s="60"/>
      <c r="R2" s="60"/>
      <c r="S2" s="60"/>
      <c r="T2" s="60"/>
      <c r="U2" s="60"/>
      <c r="V2" s="60"/>
      <c r="W2" s="60"/>
      <c r="X2" s="60"/>
      <c r="Y2" s="60"/>
      <c r="Z2" s="60"/>
      <c r="AA2" s="60"/>
    </row>
    <row r="3" spans="1:27" ht="15.75" customHeight="1">
      <c r="A3" s="137" t="s">
        <v>2041</v>
      </c>
      <c r="B3" s="104" t="s">
        <v>2042</v>
      </c>
      <c r="C3" s="114" t="s">
        <v>2039</v>
      </c>
      <c r="D3" s="94">
        <v>2</v>
      </c>
      <c r="E3" s="94" t="s">
        <v>126</v>
      </c>
      <c r="F3" s="96"/>
      <c r="G3" s="94" t="s">
        <v>2037</v>
      </c>
      <c r="H3" s="60"/>
      <c r="I3" s="60"/>
      <c r="J3" s="60"/>
      <c r="K3" s="60"/>
      <c r="L3" s="60"/>
      <c r="M3" s="60"/>
      <c r="N3" s="60"/>
      <c r="O3" s="60"/>
      <c r="P3" s="60"/>
      <c r="Q3" s="60"/>
      <c r="R3" s="60"/>
      <c r="S3" s="60"/>
      <c r="T3" s="60"/>
      <c r="U3" s="60"/>
      <c r="V3" s="60"/>
      <c r="W3" s="60"/>
      <c r="X3" s="60"/>
      <c r="Y3" s="60"/>
      <c r="Z3" s="60"/>
      <c r="AA3" s="60"/>
    </row>
    <row r="4" spans="1:27" ht="15.75" customHeight="1">
      <c r="A4" s="137" t="s">
        <v>2043</v>
      </c>
      <c r="B4" s="104" t="s">
        <v>2038</v>
      </c>
      <c r="C4" s="114" t="s">
        <v>2044</v>
      </c>
      <c r="D4" s="94">
        <v>2</v>
      </c>
      <c r="E4" s="94" t="s">
        <v>126</v>
      </c>
      <c r="F4" s="114" t="s">
        <v>2045</v>
      </c>
      <c r="G4" s="94" t="s">
        <v>2046</v>
      </c>
      <c r="H4" s="60"/>
      <c r="I4" s="60"/>
      <c r="J4" s="60"/>
      <c r="K4" s="60"/>
      <c r="L4" s="60"/>
      <c r="M4" s="60"/>
      <c r="N4" s="60"/>
      <c r="O4" s="60"/>
      <c r="P4" s="60"/>
      <c r="Q4" s="60"/>
      <c r="R4" s="60"/>
      <c r="S4" s="60"/>
      <c r="T4" s="60"/>
      <c r="U4" s="60"/>
      <c r="V4" s="60"/>
      <c r="W4" s="60"/>
      <c r="X4" s="60"/>
      <c r="Y4" s="60"/>
      <c r="Z4" s="60"/>
      <c r="AA4" s="60"/>
    </row>
    <row r="5" spans="1:27" ht="15.75" customHeight="1">
      <c r="A5" s="137" t="s">
        <v>2046</v>
      </c>
      <c r="B5" s="104" t="s">
        <v>2042</v>
      </c>
      <c r="C5" s="114" t="s">
        <v>2044</v>
      </c>
      <c r="D5" s="94">
        <v>2</v>
      </c>
      <c r="E5" s="94" t="s">
        <v>126</v>
      </c>
      <c r="F5" s="114"/>
      <c r="G5" s="94" t="s">
        <v>2047</v>
      </c>
      <c r="H5" s="60"/>
      <c r="I5" s="60"/>
      <c r="J5" s="60"/>
      <c r="K5" s="60"/>
      <c r="L5" s="60"/>
      <c r="M5" s="60"/>
      <c r="N5" s="60"/>
      <c r="O5" s="60"/>
      <c r="P5" s="60"/>
      <c r="Q5" s="60"/>
      <c r="R5" s="60"/>
      <c r="S5" s="60"/>
      <c r="T5" s="60"/>
      <c r="U5" s="60"/>
      <c r="V5" s="60"/>
      <c r="W5" s="60"/>
      <c r="X5" s="60"/>
      <c r="Y5" s="60"/>
      <c r="Z5" s="60"/>
      <c r="AA5" s="60"/>
    </row>
    <row r="6" spans="1:27" ht="15.75" customHeight="1">
      <c r="A6" s="137" t="s">
        <v>2048</v>
      </c>
      <c r="B6" s="104" t="s">
        <v>2038</v>
      </c>
      <c r="C6" s="114" t="s">
        <v>2049</v>
      </c>
      <c r="D6" s="94">
        <v>2</v>
      </c>
      <c r="E6" s="94" t="s">
        <v>126</v>
      </c>
      <c r="F6" s="114" t="s">
        <v>2050</v>
      </c>
      <c r="G6" s="94" t="s">
        <v>2051</v>
      </c>
      <c r="H6" s="60"/>
      <c r="I6" s="60"/>
      <c r="J6" s="60"/>
      <c r="K6" s="60"/>
      <c r="L6" s="60"/>
      <c r="M6" s="60"/>
      <c r="N6" s="60"/>
      <c r="O6" s="60"/>
      <c r="P6" s="60"/>
      <c r="Q6" s="60"/>
      <c r="R6" s="60"/>
      <c r="S6" s="60"/>
      <c r="T6" s="60"/>
      <c r="U6" s="60"/>
      <c r="V6" s="60"/>
      <c r="W6" s="60"/>
      <c r="X6" s="60"/>
      <c r="Y6" s="60"/>
      <c r="Z6" s="60"/>
      <c r="AA6" s="60"/>
    </row>
    <row r="7" spans="1:27" ht="15.75" customHeight="1">
      <c r="A7" s="137" t="s">
        <v>2052</v>
      </c>
      <c r="B7" s="104" t="s">
        <v>2038</v>
      </c>
      <c r="C7" s="114" t="s">
        <v>2053</v>
      </c>
      <c r="D7" s="94">
        <v>2</v>
      </c>
      <c r="E7" s="94" t="s">
        <v>126</v>
      </c>
      <c r="F7" s="114" t="s">
        <v>2054</v>
      </c>
      <c r="G7" s="94" t="s">
        <v>2051</v>
      </c>
      <c r="H7" s="60"/>
      <c r="I7" s="60"/>
      <c r="J7" s="60"/>
      <c r="K7" s="60"/>
      <c r="L7" s="60"/>
      <c r="M7" s="60"/>
      <c r="N7" s="60"/>
      <c r="O7" s="60"/>
      <c r="P7" s="60"/>
      <c r="Q7" s="60"/>
      <c r="R7" s="60"/>
      <c r="S7" s="60"/>
      <c r="T7" s="60"/>
      <c r="U7" s="60"/>
      <c r="V7" s="60"/>
      <c r="W7" s="60"/>
      <c r="X7" s="60"/>
      <c r="Y7" s="60"/>
      <c r="Z7" s="60"/>
      <c r="AA7" s="60"/>
    </row>
    <row r="8" spans="1:27" ht="15.75" customHeight="1">
      <c r="A8" s="137" t="s">
        <v>2055</v>
      </c>
      <c r="B8" s="104" t="s">
        <v>2038</v>
      </c>
      <c r="C8" s="114" t="s">
        <v>2056</v>
      </c>
      <c r="D8" s="94">
        <v>2</v>
      </c>
      <c r="E8" s="94" t="s">
        <v>126</v>
      </c>
      <c r="F8" s="114" t="s">
        <v>2054</v>
      </c>
      <c r="G8" s="94" t="s">
        <v>2057</v>
      </c>
      <c r="H8" s="60"/>
      <c r="I8" s="60"/>
      <c r="J8" s="60"/>
      <c r="K8" s="60"/>
      <c r="L8" s="60"/>
      <c r="M8" s="60"/>
      <c r="N8" s="60"/>
      <c r="O8" s="60"/>
      <c r="P8" s="60"/>
      <c r="Q8" s="60"/>
      <c r="R8" s="60"/>
      <c r="S8" s="60"/>
      <c r="T8" s="60"/>
      <c r="U8" s="60"/>
      <c r="V8" s="60"/>
      <c r="W8" s="60"/>
      <c r="X8" s="60"/>
      <c r="Y8" s="60"/>
      <c r="Z8" s="60"/>
      <c r="AA8" s="60"/>
    </row>
    <row r="9" spans="1:27" ht="15.75" customHeight="1">
      <c r="A9" s="137" t="s">
        <v>2057</v>
      </c>
      <c r="B9" s="104" t="s">
        <v>2042</v>
      </c>
      <c r="C9" s="114" t="s">
        <v>2056</v>
      </c>
      <c r="D9" s="94">
        <v>2</v>
      </c>
      <c r="E9" s="94" t="s">
        <v>126</v>
      </c>
      <c r="F9" s="114" t="s">
        <v>2058</v>
      </c>
      <c r="G9" s="94" t="s">
        <v>2055</v>
      </c>
      <c r="H9" s="60"/>
      <c r="I9" s="60"/>
      <c r="J9" s="60"/>
      <c r="K9" s="60"/>
      <c r="L9" s="60"/>
      <c r="M9" s="60"/>
      <c r="N9" s="60"/>
      <c r="O9" s="60"/>
      <c r="P9" s="60"/>
      <c r="Q9" s="60"/>
      <c r="R9" s="60"/>
      <c r="S9" s="60"/>
      <c r="T9" s="60"/>
      <c r="U9" s="60"/>
      <c r="V9" s="60"/>
      <c r="W9" s="60"/>
      <c r="X9" s="60"/>
      <c r="Y9" s="60"/>
      <c r="Z9" s="60"/>
      <c r="AA9" s="60"/>
    </row>
    <row r="10" spans="1:27" ht="15.75" customHeight="1">
      <c r="A10" s="137" t="s">
        <v>2059</v>
      </c>
      <c r="B10" s="104" t="s">
        <v>2042</v>
      </c>
      <c r="C10" s="114" t="s">
        <v>2060</v>
      </c>
      <c r="D10" s="94">
        <v>2</v>
      </c>
      <c r="E10" s="94" t="s">
        <v>126</v>
      </c>
      <c r="F10" s="96"/>
      <c r="G10" s="94" t="s">
        <v>2047</v>
      </c>
      <c r="H10" s="60"/>
      <c r="I10" s="60"/>
      <c r="J10" s="60"/>
      <c r="K10" s="60"/>
      <c r="L10" s="60"/>
      <c r="M10" s="60"/>
      <c r="N10" s="60"/>
      <c r="O10" s="60"/>
      <c r="P10" s="60"/>
      <c r="Q10" s="60"/>
      <c r="R10" s="60"/>
      <c r="S10" s="60"/>
      <c r="T10" s="60"/>
      <c r="U10" s="60"/>
      <c r="V10" s="60"/>
      <c r="W10" s="60"/>
      <c r="X10" s="60"/>
      <c r="Y10" s="60"/>
      <c r="Z10" s="60"/>
      <c r="AA10" s="60"/>
    </row>
    <row r="11" spans="1:27" ht="15.75" customHeight="1">
      <c r="A11" s="137" t="s">
        <v>2061</v>
      </c>
      <c r="B11" s="104" t="s">
        <v>2042</v>
      </c>
      <c r="C11" s="114" t="s">
        <v>2062</v>
      </c>
      <c r="D11" s="94">
        <v>2</v>
      </c>
      <c r="E11" s="95"/>
      <c r="F11" s="114"/>
      <c r="G11" s="94" t="s">
        <v>2063</v>
      </c>
      <c r="H11" s="60"/>
      <c r="I11" s="60"/>
      <c r="J11" s="60"/>
      <c r="K11" s="60"/>
      <c r="L11" s="60"/>
      <c r="M11" s="60"/>
      <c r="N11" s="60"/>
      <c r="O11" s="60"/>
      <c r="P11" s="60"/>
      <c r="Q11" s="60"/>
      <c r="R11" s="60"/>
      <c r="S11" s="60"/>
      <c r="T11" s="60"/>
      <c r="U11" s="60"/>
      <c r="V11" s="60"/>
      <c r="W11" s="60"/>
      <c r="X11" s="60"/>
      <c r="Y11" s="60"/>
      <c r="Z11" s="60"/>
      <c r="AA11" s="60"/>
    </row>
    <row r="12" spans="1:27" ht="15.75" customHeight="1">
      <c r="A12" s="137" t="s">
        <v>2063</v>
      </c>
      <c r="B12" s="104" t="s">
        <v>2038</v>
      </c>
      <c r="C12" s="114" t="s">
        <v>2064</v>
      </c>
      <c r="D12" s="94">
        <v>2</v>
      </c>
      <c r="E12" s="94" t="s">
        <v>126</v>
      </c>
      <c r="F12" s="114" t="s">
        <v>2065</v>
      </c>
      <c r="G12" s="94" t="s">
        <v>2061</v>
      </c>
      <c r="H12" s="60"/>
      <c r="I12" s="60"/>
      <c r="J12" s="60"/>
      <c r="K12" s="60"/>
      <c r="L12" s="60"/>
      <c r="M12" s="60"/>
      <c r="N12" s="60"/>
      <c r="O12" s="60"/>
      <c r="P12" s="60"/>
      <c r="Q12" s="60"/>
      <c r="R12" s="60"/>
      <c r="S12" s="60"/>
      <c r="T12" s="60"/>
      <c r="U12" s="60"/>
      <c r="V12" s="60"/>
      <c r="W12" s="60"/>
      <c r="X12" s="60"/>
      <c r="Y12" s="60"/>
      <c r="Z12" s="60"/>
      <c r="AA12" s="60"/>
    </row>
    <row r="13" spans="1:27" ht="15.75" customHeight="1">
      <c r="A13" s="137" t="s">
        <v>2066</v>
      </c>
      <c r="B13" s="104" t="s">
        <v>2038</v>
      </c>
      <c r="C13" s="114" t="s">
        <v>2067</v>
      </c>
      <c r="D13" s="94">
        <v>2</v>
      </c>
      <c r="E13" s="94" t="s">
        <v>126</v>
      </c>
      <c r="F13" s="114" t="s">
        <v>2054</v>
      </c>
      <c r="G13" s="94" t="s">
        <v>2051</v>
      </c>
      <c r="H13" s="60"/>
      <c r="I13" s="60"/>
      <c r="J13" s="60"/>
      <c r="K13" s="60"/>
      <c r="L13" s="60"/>
      <c r="M13" s="60"/>
      <c r="N13" s="60"/>
      <c r="O13" s="60"/>
      <c r="P13" s="60"/>
      <c r="Q13" s="60"/>
      <c r="R13" s="60"/>
      <c r="S13" s="60"/>
      <c r="T13" s="60"/>
      <c r="U13" s="60"/>
      <c r="V13" s="60"/>
      <c r="W13" s="60"/>
      <c r="X13" s="60"/>
      <c r="Y13" s="60"/>
      <c r="Z13" s="60"/>
      <c r="AA13" s="60"/>
    </row>
    <row r="14" spans="1:27" ht="15.75" customHeight="1">
      <c r="A14" s="137" t="s">
        <v>2068</v>
      </c>
      <c r="B14" s="104" t="s">
        <v>2038</v>
      </c>
      <c r="C14" s="114" t="s">
        <v>2069</v>
      </c>
      <c r="D14" s="94" t="s">
        <v>2070</v>
      </c>
      <c r="E14" s="94" t="s">
        <v>126</v>
      </c>
      <c r="F14" s="114" t="s">
        <v>2071</v>
      </c>
      <c r="G14" s="94" t="s">
        <v>2072</v>
      </c>
      <c r="H14" s="60"/>
      <c r="I14" s="60"/>
      <c r="J14" s="60"/>
      <c r="K14" s="60"/>
      <c r="L14" s="60"/>
      <c r="M14" s="60"/>
      <c r="N14" s="60"/>
      <c r="O14" s="60"/>
      <c r="P14" s="60"/>
      <c r="Q14" s="60"/>
      <c r="R14" s="60"/>
      <c r="S14" s="60"/>
      <c r="T14" s="60"/>
      <c r="U14" s="60"/>
      <c r="V14" s="60"/>
      <c r="W14" s="60"/>
      <c r="X14" s="60"/>
      <c r="Y14" s="60"/>
      <c r="Z14" s="60"/>
      <c r="AA14" s="60"/>
    </row>
    <row r="15" spans="1:27" ht="15.75" customHeight="1">
      <c r="A15" s="137" t="s">
        <v>2072</v>
      </c>
      <c r="B15" s="104" t="s">
        <v>2042</v>
      </c>
      <c r="C15" s="114" t="s">
        <v>2069</v>
      </c>
      <c r="D15" s="94" t="s">
        <v>2070</v>
      </c>
      <c r="E15" s="94" t="s">
        <v>126</v>
      </c>
      <c r="F15" s="114" t="s">
        <v>2073</v>
      </c>
      <c r="G15" s="94" t="s">
        <v>2068</v>
      </c>
      <c r="H15" s="60"/>
      <c r="I15" s="60"/>
      <c r="J15" s="60"/>
      <c r="K15" s="60"/>
      <c r="L15" s="60"/>
      <c r="M15" s="60"/>
      <c r="N15" s="60"/>
      <c r="O15" s="60"/>
      <c r="P15" s="60"/>
      <c r="Q15" s="60"/>
      <c r="R15" s="60"/>
      <c r="S15" s="60"/>
      <c r="T15" s="60"/>
      <c r="U15" s="60"/>
      <c r="V15" s="60"/>
      <c r="W15" s="60"/>
      <c r="X15" s="60"/>
      <c r="Y15" s="60"/>
      <c r="Z15" s="60"/>
      <c r="AA15" s="60"/>
    </row>
    <row r="16" spans="1:27" ht="15.75" customHeight="1">
      <c r="A16" s="137" t="s">
        <v>2074</v>
      </c>
      <c r="B16" s="104" t="s">
        <v>2038</v>
      </c>
      <c r="C16" s="114" t="s">
        <v>2075</v>
      </c>
      <c r="D16" s="94">
        <v>2</v>
      </c>
      <c r="E16" s="94" t="s">
        <v>1473</v>
      </c>
      <c r="F16" s="114" t="s">
        <v>2076</v>
      </c>
      <c r="G16" s="94" t="s">
        <v>2077</v>
      </c>
      <c r="H16" s="60"/>
      <c r="I16" s="60"/>
      <c r="J16" s="60"/>
      <c r="K16" s="60"/>
      <c r="L16" s="60"/>
      <c r="M16" s="60"/>
      <c r="N16" s="60"/>
      <c r="O16" s="60"/>
      <c r="P16" s="60"/>
      <c r="Q16" s="60"/>
      <c r="R16" s="60"/>
      <c r="S16" s="60"/>
      <c r="T16" s="60"/>
      <c r="U16" s="60"/>
      <c r="V16" s="60"/>
      <c r="W16" s="60"/>
      <c r="X16" s="60"/>
      <c r="Y16" s="60"/>
      <c r="Z16" s="60"/>
      <c r="AA16" s="60"/>
    </row>
    <row r="17" spans="1:27" ht="15.75" customHeight="1">
      <c r="A17" s="137" t="s">
        <v>2077</v>
      </c>
      <c r="B17" s="104" t="s">
        <v>2042</v>
      </c>
      <c r="C17" s="114" t="s">
        <v>2075</v>
      </c>
      <c r="D17" s="94">
        <v>2</v>
      </c>
      <c r="E17" s="94" t="s">
        <v>1473</v>
      </c>
      <c r="F17" s="96"/>
      <c r="G17" s="94" t="s">
        <v>2074</v>
      </c>
      <c r="H17" s="60"/>
      <c r="I17" s="60"/>
      <c r="J17" s="60"/>
      <c r="K17" s="60"/>
      <c r="L17" s="60"/>
      <c r="M17" s="60"/>
      <c r="N17" s="60"/>
      <c r="O17" s="60"/>
      <c r="P17" s="60"/>
      <c r="Q17" s="60"/>
      <c r="R17" s="60"/>
      <c r="S17" s="60"/>
      <c r="T17" s="60"/>
      <c r="U17" s="60"/>
      <c r="V17" s="60"/>
      <c r="W17" s="60"/>
      <c r="X17" s="60"/>
      <c r="Y17" s="60"/>
      <c r="Z17" s="60"/>
      <c r="AA17" s="60"/>
    </row>
    <row r="18" spans="1:27" ht="15.75" customHeight="1">
      <c r="A18" s="137" t="s">
        <v>2078</v>
      </c>
      <c r="B18" s="104" t="s">
        <v>126</v>
      </c>
      <c r="C18" s="139" t="s">
        <v>2079</v>
      </c>
      <c r="D18" s="94">
        <v>2</v>
      </c>
      <c r="E18" s="94" t="s">
        <v>1425</v>
      </c>
      <c r="F18" s="114" t="s">
        <v>2080</v>
      </c>
      <c r="G18" s="94" t="s">
        <v>2081</v>
      </c>
      <c r="H18" s="60"/>
      <c r="I18" s="60"/>
      <c r="J18" s="60"/>
      <c r="K18" s="60"/>
      <c r="L18" s="60"/>
      <c r="M18" s="60"/>
      <c r="N18" s="60"/>
      <c r="O18" s="60"/>
      <c r="P18" s="60"/>
      <c r="Q18" s="60"/>
      <c r="R18" s="60"/>
      <c r="S18" s="60"/>
      <c r="T18" s="60"/>
      <c r="U18" s="60"/>
      <c r="V18" s="60"/>
      <c r="W18" s="60"/>
      <c r="X18" s="60"/>
      <c r="Y18" s="60"/>
      <c r="Z18" s="60"/>
      <c r="AA18" s="60"/>
    </row>
    <row r="19" spans="1:27" ht="15.75" customHeight="1">
      <c r="A19" s="137" t="s">
        <v>2082</v>
      </c>
      <c r="B19" s="104" t="s">
        <v>2038</v>
      </c>
      <c r="C19" s="139" t="s">
        <v>2083</v>
      </c>
      <c r="D19" s="94">
        <v>2</v>
      </c>
      <c r="E19" s="94" t="s">
        <v>1425</v>
      </c>
      <c r="F19" s="114" t="s">
        <v>2084</v>
      </c>
      <c r="G19" s="94" t="s">
        <v>2085</v>
      </c>
      <c r="H19" s="60"/>
      <c r="I19" s="60"/>
      <c r="J19" s="60"/>
      <c r="K19" s="60"/>
      <c r="L19" s="60"/>
      <c r="M19" s="60"/>
      <c r="N19" s="60"/>
      <c r="O19" s="60"/>
      <c r="P19" s="60"/>
      <c r="Q19" s="60"/>
      <c r="R19" s="60"/>
      <c r="S19" s="60"/>
      <c r="T19" s="60"/>
      <c r="U19" s="60"/>
      <c r="V19" s="60"/>
      <c r="W19" s="60"/>
      <c r="X19" s="60"/>
      <c r="Y19" s="60"/>
      <c r="Z19" s="60"/>
      <c r="AA19" s="60"/>
    </row>
    <row r="20" spans="1:27" ht="15.75" customHeight="1">
      <c r="A20" s="137" t="s">
        <v>2085</v>
      </c>
      <c r="B20" s="104" t="s">
        <v>2042</v>
      </c>
      <c r="C20" s="140" t="s">
        <v>2086</v>
      </c>
      <c r="D20" s="94">
        <v>2</v>
      </c>
      <c r="E20" s="94" t="s">
        <v>1425</v>
      </c>
      <c r="F20" s="96"/>
      <c r="G20" s="94" t="s">
        <v>2082</v>
      </c>
      <c r="H20" s="60"/>
      <c r="I20" s="60"/>
      <c r="J20" s="60"/>
      <c r="K20" s="60"/>
      <c r="L20" s="60"/>
      <c r="M20" s="60"/>
      <c r="N20" s="60"/>
      <c r="O20" s="60"/>
      <c r="P20" s="60"/>
      <c r="Q20" s="60"/>
      <c r="R20" s="60"/>
      <c r="S20" s="60"/>
      <c r="T20" s="60"/>
      <c r="U20" s="60"/>
      <c r="V20" s="60"/>
      <c r="W20" s="60"/>
      <c r="X20" s="60"/>
      <c r="Y20" s="60"/>
      <c r="Z20" s="60"/>
      <c r="AA20" s="60"/>
    </row>
    <row r="21" spans="1:27" ht="15.75" customHeight="1">
      <c r="A21" s="137" t="s">
        <v>2087</v>
      </c>
      <c r="B21" s="104" t="s">
        <v>2038</v>
      </c>
      <c r="C21" s="114" t="s">
        <v>2088</v>
      </c>
      <c r="D21" s="94">
        <v>2</v>
      </c>
      <c r="E21" s="94" t="s">
        <v>126</v>
      </c>
      <c r="F21" s="114" t="s">
        <v>2089</v>
      </c>
      <c r="G21" s="94" t="s">
        <v>2051</v>
      </c>
      <c r="H21" s="60"/>
      <c r="I21" s="60"/>
      <c r="J21" s="60"/>
      <c r="K21" s="60"/>
      <c r="L21" s="60"/>
      <c r="M21" s="60"/>
      <c r="N21" s="60"/>
      <c r="O21" s="60"/>
      <c r="P21" s="60"/>
      <c r="Q21" s="60"/>
      <c r="R21" s="60"/>
      <c r="S21" s="60"/>
      <c r="T21" s="60"/>
      <c r="U21" s="60"/>
      <c r="V21" s="60"/>
      <c r="W21" s="60"/>
      <c r="X21" s="60"/>
      <c r="Y21" s="60"/>
      <c r="Z21" s="60"/>
      <c r="AA21" s="60"/>
    </row>
    <row r="22" spans="1:27" ht="15.75" customHeight="1">
      <c r="A22" s="137" t="s">
        <v>2090</v>
      </c>
      <c r="B22" s="104" t="s">
        <v>2038</v>
      </c>
      <c r="C22" s="114" t="s">
        <v>2091</v>
      </c>
      <c r="D22" s="94">
        <v>2</v>
      </c>
      <c r="E22" s="94" t="s">
        <v>126</v>
      </c>
      <c r="F22" s="114" t="s">
        <v>2092</v>
      </c>
      <c r="G22" s="94" t="s">
        <v>2051</v>
      </c>
      <c r="H22" s="60"/>
      <c r="I22" s="60"/>
      <c r="J22" s="60"/>
      <c r="K22" s="60"/>
      <c r="L22" s="60"/>
      <c r="M22" s="60"/>
      <c r="N22" s="60"/>
      <c r="O22" s="60"/>
      <c r="P22" s="60"/>
      <c r="Q22" s="60"/>
      <c r="R22" s="60"/>
      <c r="S22" s="60"/>
      <c r="T22" s="60"/>
      <c r="U22" s="60"/>
      <c r="V22" s="60"/>
      <c r="W22" s="60"/>
      <c r="X22" s="60"/>
      <c r="Y22" s="60"/>
      <c r="Z22" s="60"/>
      <c r="AA22" s="60"/>
    </row>
    <row r="23" spans="1:27" ht="15.75" customHeight="1">
      <c r="A23" s="137" t="s">
        <v>2093</v>
      </c>
      <c r="B23" s="104" t="s">
        <v>2038</v>
      </c>
      <c r="C23" s="114" t="s">
        <v>2094</v>
      </c>
      <c r="D23" s="94">
        <v>2</v>
      </c>
      <c r="E23" s="94" t="s">
        <v>126</v>
      </c>
      <c r="F23" s="114" t="s">
        <v>2095</v>
      </c>
      <c r="G23" s="94" t="s">
        <v>2051</v>
      </c>
      <c r="H23" s="60"/>
      <c r="I23" s="60"/>
      <c r="J23" s="60"/>
      <c r="K23" s="60"/>
      <c r="L23" s="60"/>
      <c r="M23" s="60"/>
      <c r="N23" s="60"/>
      <c r="O23" s="60"/>
      <c r="P23" s="60"/>
      <c r="Q23" s="60"/>
      <c r="R23" s="60"/>
      <c r="S23" s="60"/>
      <c r="T23" s="60"/>
      <c r="U23" s="60"/>
      <c r="V23" s="60"/>
      <c r="W23" s="60"/>
      <c r="X23" s="60"/>
      <c r="Y23" s="60"/>
      <c r="Z23" s="60"/>
      <c r="AA23" s="60"/>
    </row>
    <row r="24" spans="1:27" ht="15.75" customHeight="1">
      <c r="A24" s="137" t="s">
        <v>2096</v>
      </c>
      <c r="B24" s="104" t="s">
        <v>2038</v>
      </c>
      <c r="C24" s="139" t="s">
        <v>2097</v>
      </c>
      <c r="D24" s="94">
        <v>2</v>
      </c>
      <c r="E24" s="94" t="s">
        <v>1425</v>
      </c>
      <c r="F24" s="114" t="s">
        <v>2098</v>
      </c>
      <c r="G24" s="94" t="s">
        <v>2099</v>
      </c>
      <c r="H24" s="60"/>
      <c r="I24" s="60"/>
      <c r="J24" s="60"/>
      <c r="K24" s="60"/>
      <c r="L24" s="60"/>
      <c r="M24" s="60"/>
      <c r="N24" s="60"/>
      <c r="O24" s="60"/>
      <c r="P24" s="60"/>
      <c r="Q24" s="60"/>
      <c r="R24" s="60"/>
      <c r="S24" s="60"/>
      <c r="T24" s="60"/>
      <c r="U24" s="60"/>
      <c r="V24" s="60"/>
      <c r="W24" s="60"/>
      <c r="X24" s="60"/>
      <c r="Y24" s="60"/>
      <c r="Z24" s="60"/>
      <c r="AA24" s="60"/>
    </row>
    <row r="25" spans="1:27" ht="15.75" customHeight="1">
      <c r="A25" s="137" t="s">
        <v>2099</v>
      </c>
      <c r="B25" s="104" t="s">
        <v>2042</v>
      </c>
      <c r="C25" s="139" t="s">
        <v>2097</v>
      </c>
      <c r="D25" s="94">
        <v>2</v>
      </c>
      <c r="E25" s="94" t="s">
        <v>1425</v>
      </c>
      <c r="F25" s="114" t="s">
        <v>2100</v>
      </c>
      <c r="G25" s="94" t="s">
        <v>2096</v>
      </c>
      <c r="H25" s="60"/>
      <c r="I25" s="60"/>
      <c r="J25" s="60"/>
      <c r="K25" s="60"/>
      <c r="L25" s="60"/>
      <c r="M25" s="60"/>
      <c r="N25" s="60"/>
      <c r="O25" s="60"/>
      <c r="P25" s="60"/>
      <c r="Q25" s="60"/>
      <c r="R25" s="60"/>
      <c r="S25" s="60"/>
      <c r="T25" s="60"/>
      <c r="U25" s="60"/>
      <c r="V25" s="60"/>
      <c r="W25" s="60"/>
      <c r="X25" s="60"/>
      <c r="Y25" s="60"/>
      <c r="Z25" s="60"/>
      <c r="AA25" s="60"/>
    </row>
    <row r="26" spans="1:27" ht="15.75" customHeight="1">
      <c r="A26" s="137" t="s">
        <v>2101</v>
      </c>
      <c r="B26" s="104" t="s">
        <v>2042</v>
      </c>
      <c r="C26" s="114" t="s">
        <v>2102</v>
      </c>
      <c r="D26" s="94">
        <v>2</v>
      </c>
      <c r="E26" s="94" t="s">
        <v>1425</v>
      </c>
      <c r="F26" s="96"/>
      <c r="G26" s="94" t="s">
        <v>2047</v>
      </c>
      <c r="H26" s="60"/>
      <c r="I26" s="60"/>
      <c r="J26" s="60"/>
      <c r="K26" s="60"/>
      <c r="L26" s="60"/>
      <c r="M26" s="60"/>
      <c r="N26" s="60"/>
      <c r="O26" s="60"/>
      <c r="P26" s="60"/>
      <c r="Q26" s="60"/>
      <c r="R26" s="60"/>
      <c r="S26" s="60"/>
      <c r="T26" s="60"/>
      <c r="U26" s="60"/>
      <c r="V26" s="60"/>
      <c r="W26" s="60"/>
      <c r="X26" s="60"/>
      <c r="Y26" s="60"/>
      <c r="Z26" s="60"/>
      <c r="AA26" s="60"/>
    </row>
    <row r="27" spans="1:27" ht="15.75" customHeight="1">
      <c r="A27" s="137" t="s">
        <v>2103</v>
      </c>
      <c r="B27" s="104" t="s">
        <v>2042</v>
      </c>
      <c r="C27" s="114" t="s">
        <v>2075</v>
      </c>
      <c r="D27" s="94">
        <v>2</v>
      </c>
      <c r="E27" s="94" t="s">
        <v>1425</v>
      </c>
      <c r="F27" s="96"/>
      <c r="G27" s="94" t="s">
        <v>2104</v>
      </c>
      <c r="H27" s="60"/>
      <c r="I27" s="60"/>
      <c r="J27" s="60"/>
      <c r="K27" s="60"/>
      <c r="L27" s="60"/>
      <c r="M27" s="60"/>
      <c r="N27" s="60"/>
      <c r="O27" s="60"/>
      <c r="P27" s="60"/>
      <c r="Q27" s="60"/>
      <c r="R27" s="60"/>
      <c r="S27" s="60"/>
      <c r="T27" s="60"/>
      <c r="U27" s="60"/>
      <c r="V27" s="60"/>
      <c r="W27" s="60"/>
      <c r="X27" s="60"/>
      <c r="Y27" s="60"/>
      <c r="Z27" s="60"/>
      <c r="AA27" s="60"/>
    </row>
    <row r="28" spans="1:27" ht="15.75" customHeight="1">
      <c r="A28" s="137" t="s">
        <v>2104</v>
      </c>
      <c r="B28" s="104" t="s">
        <v>2038</v>
      </c>
      <c r="C28" s="114" t="s">
        <v>2075</v>
      </c>
      <c r="D28" s="94">
        <v>2</v>
      </c>
      <c r="E28" s="94" t="s">
        <v>1425</v>
      </c>
      <c r="F28" s="114" t="s">
        <v>2105</v>
      </c>
      <c r="G28" s="94" t="s">
        <v>2103</v>
      </c>
      <c r="H28" s="60"/>
      <c r="I28" s="60"/>
      <c r="J28" s="60"/>
      <c r="K28" s="60"/>
      <c r="L28" s="60"/>
      <c r="M28" s="60"/>
      <c r="N28" s="60"/>
      <c r="O28" s="60"/>
      <c r="P28" s="60"/>
      <c r="Q28" s="60"/>
      <c r="R28" s="60"/>
      <c r="S28" s="60"/>
      <c r="T28" s="60"/>
      <c r="U28" s="60"/>
      <c r="V28" s="60"/>
      <c r="W28" s="60"/>
      <c r="X28" s="60"/>
      <c r="Y28" s="60"/>
      <c r="Z28" s="60"/>
      <c r="AA28" s="60"/>
    </row>
    <row r="29" spans="1:27" ht="15.75" customHeight="1">
      <c r="A29" s="137" t="s">
        <v>2106</v>
      </c>
      <c r="B29" s="104" t="s">
        <v>2038</v>
      </c>
      <c r="C29" s="114" t="s">
        <v>2107</v>
      </c>
      <c r="D29" s="94">
        <v>2</v>
      </c>
      <c r="E29" s="94" t="s">
        <v>126</v>
      </c>
      <c r="F29" s="114" t="s">
        <v>2108</v>
      </c>
      <c r="G29" s="94" t="s">
        <v>2051</v>
      </c>
      <c r="H29" s="60"/>
      <c r="I29" s="60"/>
      <c r="J29" s="60"/>
      <c r="K29" s="60"/>
      <c r="L29" s="60"/>
      <c r="M29" s="60"/>
      <c r="N29" s="60"/>
      <c r="O29" s="60"/>
      <c r="P29" s="60"/>
      <c r="Q29" s="60"/>
      <c r="R29" s="60"/>
      <c r="S29" s="60"/>
      <c r="T29" s="60"/>
      <c r="U29" s="60"/>
      <c r="V29" s="60"/>
      <c r="W29" s="60"/>
      <c r="X29" s="60"/>
      <c r="Y29" s="60"/>
      <c r="Z29" s="60"/>
      <c r="AA29" s="60"/>
    </row>
    <row r="30" spans="1:27" ht="15.75" customHeight="1">
      <c r="A30" s="137" t="s">
        <v>2109</v>
      </c>
      <c r="B30" s="104" t="s">
        <v>126</v>
      </c>
      <c r="C30" s="114" t="s">
        <v>2110</v>
      </c>
      <c r="D30" s="94">
        <v>2</v>
      </c>
      <c r="E30" s="94" t="s">
        <v>1425</v>
      </c>
      <c r="F30" s="114" t="s">
        <v>2111</v>
      </c>
      <c r="G30" s="94" t="s">
        <v>2081</v>
      </c>
      <c r="H30" s="60"/>
      <c r="I30" s="60"/>
      <c r="J30" s="60"/>
      <c r="K30" s="60"/>
      <c r="L30" s="60"/>
      <c r="M30" s="60"/>
      <c r="N30" s="60"/>
      <c r="O30" s="60"/>
      <c r="P30" s="60"/>
      <c r="Q30" s="60"/>
      <c r="R30" s="60"/>
      <c r="S30" s="60"/>
      <c r="T30" s="60"/>
      <c r="U30" s="60"/>
      <c r="V30" s="60"/>
      <c r="W30" s="60"/>
      <c r="X30" s="60"/>
      <c r="Y30" s="60"/>
      <c r="Z30" s="60"/>
      <c r="AA30" s="60"/>
    </row>
    <row r="31" spans="1:27" ht="15.75" customHeight="1">
      <c r="A31" s="137" t="s">
        <v>2112</v>
      </c>
      <c r="B31" s="104" t="s">
        <v>2038</v>
      </c>
      <c r="C31" s="114" t="s">
        <v>2113</v>
      </c>
      <c r="D31" s="94">
        <v>2</v>
      </c>
      <c r="E31" s="94" t="s">
        <v>1425</v>
      </c>
      <c r="F31" s="114" t="s">
        <v>2114</v>
      </c>
      <c r="G31" s="94" t="s">
        <v>2115</v>
      </c>
      <c r="H31" s="60"/>
      <c r="I31" s="60"/>
      <c r="J31" s="60"/>
      <c r="K31" s="60"/>
      <c r="L31" s="60"/>
      <c r="M31" s="60"/>
      <c r="N31" s="60"/>
      <c r="O31" s="60"/>
      <c r="P31" s="60"/>
      <c r="Q31" s="60"/>
      <c r="R31" s="60"/>
      <c r="S31" s="60"/>
      <c r="T31" s="60"/>
      <c r="U31" s="60"/>
      <c r="V31" s="60"/>
      <c r="W31" s="60"/>
      <c r="X31" s="60"/>
      <c r="Y31" s="60"/>
      <c r="Z31" s="60"/>
      <c r="AA31" s="60"/>
    </row>
    <row r="32" spans="1:27" ht="15.75" customHeight="1">
      <c r="A32" s="137" t="s">
        <v>2115</v>
      </c>
      <c r="B32" s="104" t="s">
        <v>2042</v>
      </c>
      <c r="C32" s="141" t="s">
        <v>2113</v>
      </c>
      <c r="D32" s="94">
        <v>2</v>
      </c>
      <c r="E32" s="94" t="s">
        <v>1425</v>
      </c>
      <c r="F32" s="114" t="s">
        <v>2116</v>
      </c>
      <c r="G32" s="94" t="s">
        <v>2047</v>
      </c>
      <c r="H32" s="60"/>
      <c r="I32" s="60"/>
      <c r="J32" s="60"/>
      <c r="K32" s="60"/>
      <c r="L32" s="60"/>
      <c r="M32" s="60"/>
      <c r="N32" s="60"/>
      <c r="O32" s="60"/>
      <c r="P32" s="60"/>
      <c r="Q32" s="60"/>
      <c r="R32" s="60"/>
      <c r="S32" s="60"/>
      <c r="T32" s="60"/>
      <c r="U32" s="60"/>
      <c r="V32" s="60"/>
      <c r="W32" s="60"/>
      <c r="X32" s="60"/>
      <c r="Y32" s="60"/>
      <c r="Z32" s="60"/>
      <c r="AA32" s="60"/>
    </row>
    <row r="33" spans="1:27" ht="15.75" customHeight="1">
      <c r="A33" s="137" t="s">
        <v>2117</v>
      </c>
      <c r="B33" s="104" t="s">
        <v>2038</v>
      </c>
      <c r="C33" s="114" t="s">
        <v>2118</v>
      </c>
      <c r="D33" s="94">
        <v>2</v>
      </c>
      <c r="E33" s="94" t="s">
        <v>126</v>
      </c>
      <c r="F33" s="114" t="s">
        <v>2119</v>
      </c>
      <c r="G33" s="94" t="s">
        <v>2051</v>
      </c>
      <c r="H33" s="60"/>
      <c r="I33" s="60"/>
      <c r="J33" s="60"/>
      <c r="K33" s="60"/>
      <c r="L33" s="60"/>
      <c r="M33" s="60"/>
      <c r="N33" s="60"/>
      <c r="O33" s="60"/>
      <c r="P33" s="60"/>
      <c r="Q33" s="60"/>
      <c r="R33" s="60"/>
      <c r="S33" s="60"/>
      <c r="T33" s="60"/>
      <c r="U33" s="60"/>
      <c r="V33" s="60"/>
      <c r="W33" s="60"/>
      <c r="X33" s="60"/>
      <c r="Y33" s="60"/>
      <c r="Z33" s="60"/>
      <c r="AA33" s="60"/>
    </row>
    <row r="34" spans="1:27" ht="15.75" customHeight="1">
      <c r="A34" s="137" t="s">
        <v>2120</v>
      </c>
      <c r="B34" s="104" t="s">
        <v>2038</v>
      </c>
      <c r="C34" s="114" t="s">
        <v>2118</v>
      </c>
      <c r="D34" s="94">
        <v>2</v>
      </c>
      <c r="E34" s="94" t="s">
        <v>126</v>
      </c>
      <c r="F34" s="114" t="s">
        <v>2121</v>
      </c>
      <c r="G34" s="94" t="s">
        <v>2051</v>
      </c>
      <c r="H34" s="60"/>
      <c r="I34" s="60"/>
      <c r="J34" s="60"/>
      <c r="K34" s="60"/>
      <c r="L34" s="60"/>
      <c r="M34" s="60"/>
      <c r="N34" s="60"/>
      <c r="O34" s="60"/>
      <c r="P34" s="60"/>
      <c r="Q34" s="60"/>
      <c r="R34" s="60"/>
      <c r="S34" s="60"/>
      <c r="T34" s="60"/>
      <c r="U34" s="60"/>
      <c r="V34" s="60"/>
      <c r="W34" s="60"/>
      <c r="X34" s="60"/>
      <c r="Y34" s="60"/>
      <c r="Z34" s="60"/>
      <c r="AA34" s="60"/>
    </row>
    <row r="35" spans="1:27" ht="15.75" customHeight="1">
      <c r="A35" s="137" t="s">
        <v>2122</v>
      </c>
      <c r="B35" s="104" t="s">
        <v>2038</v>
      </c>
      <c r="C35" s="114" t="s">
        <v>2123</v>
      </c>
      <c r="D35" s="94" t="s">
        <v>2070</v>
      </c>
      <c r="E35" s="94" t="s">
        <v>126</v>
      </c>
      <c r="F35" s="114" t="s">
        <v>2124</v>
      </c>
      <c r="G35" s="94" t="s">
        <v>2051</v>
      </c>
      <c r="H35" s="60"/>
      <c r="I35" s="60"/>
      <c r="J35" s="60"/>
      <c r="K35" s="60"/>
      <c r="L35" s="60"/>
      <c r="M35" s="60"/>
      <c r="N35" s="60"/>
      <c r="O35" s="60"/>
      <c r="P35" s="60"/>
      <c r="Q35" s="60"/>
      <c r="R35" s="60"/>
      <c r="S35" s="60"/>
      <c r="T35" s="60"/>
      <c r="U35" s="60"/>
      <c r="V35" s="60"/>
      <c r="W35" s="60"/>
      <c r="X35" s="60"/>
      <c r="Y35" s="60"/>
      <c r="Z35" s="60"/>
      <c r="AA35" s="60"/>
    </row>
    <row r="36" spans="1:27" ht="15.75" customHeight="1">
      <c r="A36" s="137" t="s">
        <v>177</v>
      </c>
      <c r="B36" s="104" t="s">
        <v>2038</v>
      </c>
      <c r="C36" s="114" t="s">
        <v>2125</v>
      </c>
      <c r="D36" s="94" t="s">
        <v>2070</v>
      </c>
      <c r="E36" s="94" t="s">
        <v>126</v>
      </c>
      <c r="F36" s="114" t="s">
        <v>2126</v>
      </c>
      <c r="G36" s="94" t="s">
        <v>2051</v>
      </c>
      <c r="H36" s="60"/>
      <c r="I36" s="60"/>
      <c r="J36" s="60"/>
      <c r="K36" s="60"/>
      <c r="L36" s="60"/>
      <c r="M36" s="60"/>
      <c r="N36" s="60"/>
      <c r="O36" s="60"/>
      <c r="P36" s="60"/>
      <c r="Q36" s="60"/>
      <c r="R36" s="60"/>
      <c r="S36" s="60"/>
      <c r="T36" s="60"/>
      <c r="U36" s="60"/>
      <c r="V36" s="60"/>
      <c r="W36" s="60"/>
      <c r="X36" s="60"/>
      <c r="Y36" s="60"/>
      <c r="Z36" s="60"/>
      <c r="AA36" s="60"/>
    </row>
    <row r="37" spans="1:27" ht="15.75" customHeight="1">
      <c r="A37" s="137" t="s">
        <v>169</v>
      </c>
      <c r="B37" s="104" t="s">
        <v>2038</v>
      </c>
      <c r="C37" s="114" t="s">
        <v>2127</v>
      </c>
      <c r="D37" s="94" t="s">
        <v>2070</v>
      </c>
      <c r="E37" s="94" t="s">
        <v>1425</v>
      </c>
      <c r="F37" s="114" t="s">
        <v>2126</v>
      </c>
      <c r="G37" s="94" t="s">
        <v>2128</v>
      </c>
      <c r="H37" s="60"/>
      <c r="I37" s="60"/>
      <c r="J37" s="60"/>
      <c r="K37" s="60"/>
      <c r="L37" s="60"/>
      <c r="M37" s="60"/>
      <c r="N37" s="60"/>
      <c r="O37" s="60"/>
      <c r="P37" s="60"/>
      <c r="Q37" s="60"/>
      <c r="R37" s="60"/>
      <c r="S37" s="60"/>
      <c r="T37" s="60"/>
      <c r="U37" s="60"/>
      <c r="V37" s="60"/>
      <c r="W37" s="60"/>
      <c r="X37" s="60"/>
      <c r="Y37" s="60"/>
      <c r="Z37" s="60"/>
      <c r="AA37" s="60"/>
    </row>
    <row r="38" spans="1:27" ht="15.75" customHeight="1">
      <c r="A38" s="137" t="s">
        <v>2128</v>
      </c>
      <c r="B38" s="104" t="s">
        <v>2042</v>
      </c>
      <c r="C38" s="114" t="s">
        <v>2127</v>
      </c>
      <c r="D38" s="94" t="s">
        <v>2070</v>
      </c>
      <c r="E38" s="94" t="s">
        <v>1425</v>
      </c>
      <c r="F38" s="114" t="s">
        <v>2100</v>
      </c>
      <c r="G38" s="94" t="s">
        <v>169</v>
      </c>
      <c r="H38" s="60"/>
      <c r="I38" s="60"/>
      <c r="J38" s="60"/>
      <c r="K38" s="60"/>
      <c r="L38" s="60"/>
      <c r="M38" s="60"/>
      <c r="N38" s="60"/>
      <c r="O38" s="60"/>
      <c r="P38" s="60"/>
      <c r="Q38" s="60"/>
      <c r="R38" s="60"/>
      <c r="S38" s="60"/>
      <c r="T38" s="60"/>
      <c r="U38" s="60"/>
      <c r="V38" s="60"/>
      <c r="W38" s="60"/>
      <c r="X38" s="60"/>
      <c r="Y38" s="60"/>
      <c r="Z38" s="60"/>
      <c r="AA38" s="60"/>
    </row>
    <row r="39" spans="1:27" ht="15.75" customHeight="1">
      <c r="A39" s="137" t="s">
        <v>2129</v>
      </c>
      <c r="B39" s="104" t="s">
        <v>2042</v>
      </c>
      <c r="C39" s="114" t="s">
        <v>2130</v>
      </c>
      <c r="D39" s="94">
        <v>1</v>
      </c>
      <c r="E39" s="94" t="s">
        <v>126</v>
      </c>
      <c r="F39" s="96"/>
      <c r="G39" s="94" t="s">
        <v>2047</v>
      </c>
      <c r="H39" s="60"/>
      <c r="I39" s="60"/>
      <c r="J39" s="60"/>
      <c r="K39" s="60"/>
      <c r="L39" s="60"/>
      <c r="M39" s="60"/>
      <c r="N39" s="60"/>
      <c r="O39" s="60"/>
      <c r="P39" s="60"/>
      <c r="Q39" s="60"/>
      <c r="R39" s="60"/>
      <c r="S39" s="60"/>
      <c r="T39" s="60"/>
      <c r="U39" s="60"/>
      <c r="V39" s="60"/>
      <c r="W39" s="60"/>
      <c r="X39" s="60"/>
      <c r="Y39" s="60"/>
      <c r="Z39" s="60"/>
      <c r="AA39" s="60"/>
    </row>
    <row r="40" spans="1:27" ht="15.75" customHeight="1">
      <c r="A40" s="137" t="s">
        <v>2131</v>
      </c>
      <c r="B40" s="104" t="s">
        <v>2042</v>
      </c>
      <c r="C40" s="114" t="s">
        <v>2132</v>
      </c>
      <c r="D40" s="94" t="s">
        <v>2070</v>
      </c>
      <c r="E40" s="94" t="s">
        <v>126</v>
      </c>
      <c r="F40" s="114" t="s">
        <v>2076</v>
      </c>
      <c r="G40" s="94" t="s">
        <v>189</v>
      </c>
      <c r="H40" s="60"/>
      <c r="I40" s="60"/>
      <c r="J40" s="60"/>
      <c r="K40" s="60"/>
      <c r="L40" s="60"/>
      <c r="M40" s="60"/>
      <c r="N40" s="60"/>
      <c r="O40" s="60"/>
      <c r="P40" s="60"/>
      <c r="Q40" s="60"/>
      <c r="R40" s="60"/>
      <c r="S40" s="60"/>
      <c r="T40" s="60"/>
      <c r="U40" s="60"/>
      <c r="V40" s="60"/>
      <c r="W40" s="60"/>
      <c r="X40" s="60"/>
      <c r="Y40" s="60"/>
      <c r="Z40" s="60"/>
      <c r="AA40" s="60"/>
    </row>
    <row r="41" spans="1:27" ht="15.75" customHeight="1">
      <c r="A41" s="137" t="s">
        <v>189</v>
      </c>
      <c r="B41" s="104" t="s">
        <v>2038</v>
      </c>
      <c r="C41" s="114" t="s">
        <v>2069</v>
      </c>
      <c r="D41" s="94" t="s">
        <v>2070</v>
      </c>
      <c r="E41" s="94" t="s">
        <v>126</v>
      </c>
      <c r="F41" s="114" t="s">
        <v>2133</v>
      </c>
      <c r="G41" s="94" t="s">
        <v>2131</v>
      </c>
      <c r="H41" s="60"/>
      <c r="I41" s="60"/>
      <c r="J41" s="60"/>
      <c r="K41" s="60"/>
      <c r="L41" s="60"/>
      <c r="M41" s="60"/>
      <c r="N41" s="60"/>
      <c r="O41" s="60"/>
      <c r="P41" s="60"/>
      <c r="Q41" s="60"/>
      <c r="R41" s="60"/>
      <c r="S41" s="60"/>
      <c r="T41" s="60"/>
      <c r="U41" s="60"/>
      <c r="V41" s="60"/>
      <c r="W41" s="60"/>
      <c r="X41" s="60"/>
      <c r="Y41" s="60"/>
      <c r="Z41" s="60"/>
      <c r="AA41" s="60"/>
    </row>
    <row r="42" spans="1:27" ht="15.75" customHeight="1">
      <c r="A42" s="137" t="s">
        <v>2134</v>
      </c>
      <c r="B42" s="104" t="s">
        <v>2038</v>
      </c>
      <c r="C42" s="114" t="s">
        <v>2135</v>
      </c>
      <c r="D42" s="94" t="s">
        <v>2070</v>
      </c>
      <c r="E42" s="94" t="s">
        <v>126</v>
      </c>
      <c r="F42" s="114" t="s">
        <v>2126</v>
      </c>
      <c r="G42" s="94" t="s">
        <v>2051</v>
      </c>
      <c r="H42" s="60"/>
      <c r="I42" s="60"/>
      <c r="J42" s="60"/>
      <c r="K42" s="60"/>
      <c r="L42" s="60"/>
      <c r="M42" s="60"/>
      <c r="N42" s="60"/>
      <c r="O42" s="60"/>
      <c r="P42" s="60"/>
      <c r="Q42" s="60"/>
      <c r="R42" s="60"/>
      <c r="S42" s="60"/>
      <c r="T42" s="60"/>
      <c r="U42" s="60"/>
      <c r="V42" s="60"/>
      <c r="W42" s="60"/>
      <c r="X42" s="60"/>
      <c r="Y42" s="60"/>
      <c r="Z42" s="60"/>
      <c r="AA42" s="60"/>
    </row>
    <row r="43" spans="1:27" ht="15.75" customHeight="1">
      <c r="A43" s="142"/>
      <c r="B43" s="60"/>
      <c r="C43" s="70"/>
      <c r="D43" s="124"/>
      <c r="E43" s="124"/>
      <c r="F43" s="70"/>
      <c r="G43" s="124"/>
      <c r="H43" s="60"/>
      <c r="I43" s="60"/>
      <c r="J43" s="60"/>
      <c r="K43" s="60"/>
      <c r="L43" s="60"/>
      <c r="M43" s="60"/>
      <c r="N43" s="60"/>
      <c r="O43" s="60"/>
      <c r="P43" s="60"/>
      <c r="Q43" s="60"/>
      <c r="R43" s="60"/>
      <c r="S43" s="60"/>
      <c r="T43" s="60"/>
      <c r="U43" s="60"/>
      <c r="V43" s="60"/>
      <c r="W43" s="60"/>
      <c r="X43" s="60"/>
      <c r="Y43" s="60"/>
      <c r="Z43" s="60"/>
      <c r="AA43" s="60"/>
    </row>
    <row r="44" spans="1:27" ht="15.75" customHeight="1">
      <c r="A44" s="142"/>
      <c r="B44" s="60"/>
      <c r="C44" s="70"/>
      <c r="D44" s="124"/>
      <c r="E44" s="124"/>
      <c r="F44" s="70"/>
      <c r="G44" s="124"/>
      <c r="H44" s="60"/>
      <c r="I44" s="60"/>
      <c r="J44" s="60"/>
      <c r="K44" s="60"/>
      <c r="L44" s="60"/>
      <c r="M44" s="60"/>
      <c r="N44" s="60"/>
      <c r="O44" s="60"/>
      <c r="P44" s="60"/>
      <c r="Q44" s="60"/>
      <c r="R44" s="60"/>
      <c r="S44" s="60"/>
      <c r="T44" s="60"/>
      <c r="U44" s="60"/>
      <c r="V44" s="60"/>
      <c r="W44" s="60"/>
      <c r="X44" s="60"/>
      <c r="Y44" s="60"/>
      <c r="Z44" s="60"/>
      <c r="AA44" s="60"/>
    </row>
    <row r="45" spans="1:27" ht="15.75" customHeight="1">
      <c r="A45" s="142"/>
      <c r="B45" s="60"/>
      <c r="C45" s="70"/>
      <c r="D45" s="124"/>
      <c r="E45" s="124"/>
      <c r="F45" s="70"/>
      <c r="G45" s="124"/>
      <c r="H45" s="60"/>
      <c r="I45" s="60"/>
      <c r="J45" s="60"/>
      <c r="K45" s="60"/>
      <c r="L45" s="60"/>
      <c r="M45" s="60"/>
      <c r="N45" s="60"/>
      <c r="O45" s="60"/>
      <c r="P45" s="60"/>
      <c r="Q45" s="60"/>
      <c r="R45" s="60"/>
      <c r="S45" s="60"/>
      <c r="T45" s="60"/>
      <c r="U45" s="60"/>
      <c r="V45" s="60"/>
      <c r="W45" s="60"/>
      <c r="X45" s="60"/>
      <c r="Y45" s="60"/>
      <c r="Z45" s="60"/>
      <c r="AA45" s="60"/>
    </row>
    <row r="46" spans="1:27" ht="15.75" customHeight="1">
      <c r="A46" s="142"/>
      <c r="B46" s="60"/>
      <c r="C46" s="70"/>
      <c r="D46" s="124"/>
      <c r="E46" s="124"/>
      <c r="F46" s="70"/>
      <c r="G46" s="124"/>
      <c r="H46" s="60"/>
      <c r="I46" s="60"/>
      <c r="J46" s="60"/>
      <c r="K46" s="60"/>
      <c r="L46" s="60"/>
      <c r="M46" s="60"/>
      <c r="N46" s="60"/>
      <c r="O46" s="60"/>
      <c r="P46" s="60"/>
      <c r="Q46" s="60"/>
      <c r="R46" s="60"/>
      <c r="S46" s="60"/>
      <c r="T46" s="60"/>
      <c r="U46" s="60"/>
      <c r="V46" s="60"/>
      <c r="W46" s="60"/>
      <c r="X46" s="60"/>
      <c r="Y46" s="60"/>
      <c r="Z46" s="60"/>
      <c r="AA46" s="60"/>
    </row>
    <row r="47" spans="1:27" ht="15.75" customHeight="1">
      <c r="A47" s="142"/>
      <c r="B47" s="60"/>
      <c r="C47" s="70"/>
      <c r="D47" s="124"/>
      <c r="E47" s="124"/>
      <c r="F47" s="70"/>
      <c r="G47" s="124"/>
      <c r="H47" s="60"/>
      <c r="I47" s="60"/>
      <c r="J47" s="60"/>
      <c r="K47" s="60"/>
      <c r="L47" s="60"/>
      <c r="M47" s="60"/>
      <c r="N47" s="60"/>
      <c r="O47" s="60"/>
      <c r="P47" s="60"/>
      <c r="Q47" s="60"/>
      <c r="R47" s="60"/>
      <c r="S47" s="60"/>
      <c r="T47" s="60"/>
      <c r="U47" s="60"/>
      <c r="V47" s="60"/>
      <c r="W47" s="60"/>
      <c r="X47" s="60"/>
      <c r="Y47" s="60"/>
      <c r="Z47" s="60"/>
      <c r="AA47" s="60"/>
    </row>
    <row r="48" spans="1:27" ht="15.75" customHeight="1">
      <c r="A48" s="142"/>
      <c r="B48" s="60"/>
      <c r="C48" s="70"/>
      <c r="D48" s="124"/>
      <c r="E48" s="124"/>
      <c r="F48" s="70"/>
      <c r="G48" s="124"/>
      <c r="H48" s="60"/>
      <c r="I48" s="60"/>
      <c r="J48" s="60"/>
      <c r="K48" s="60"/>
      <c r="L48" s="60"/>
      <c r="M48" s="60"/>
      <c r="N48" s="60"/>
      <c r="O48" s="60"/>
      <c r="P48" s="60"/>
      <c r="Q48" s="60"/>
      <c r="R48" s="60"/>
      <c r="S48" s="60"/>
      <c r="T48" s="60"/>
      <c r="U48" s="60"/>
      <c r="V48" s="60"/>
      <c r="W48" s="60"/>
      <c r="X48" s="60"/>
      <c r="Y48" s="60"/>
      <c r="Z48" s="60"/>
      <c r="AA48" s="60"/>
    </row>
    <row r="49" spans="1:27" ht="15.75" customHeight="1">
      <c r="A49" s="142"/>
      <c r="B49" s="60"/>
      <c r="C49" s="70"/>
      <c r="D49" s="124"/>
      <c r="E49" s="124"/>
      <c r="F49" s="70"/>
      <c r="G49" s="124"/>
      <c r="H49" s="60"/>
      <c r="I49" s="60"/>
      <c r="J49" s="60"/>
      <c r="K49" s="60"/>
      <c r="L49" s="60"/>
      <c r="M49" s="60"/>
      <c r="N49" s="60"/>
      <c r="O49" s="60"/>
      <c r="P49" s="60"/>
      <c r="Q49" s="60"/>
      <c r="R49" s="60"/>
      <c r="S49" s="60"/>
      <c r="T49" s="60"/>
      <c r="U49" s="60"/>
      <c r="V49" s="60"/>
      <c r="W49" s="60"/>
      <c r="X49" s="60"/>
      <c r="Y49" s="60"/>
      <c r="Z49" s="60"/>
      <c r="AA49" s="60"/>
    </row>
    <row r="50" spans="1:27" ht="15.75" customHeight="1">
      <c r="A50" s="142"/>
      <c r="B50" s="60"/>
      <c r="C50" s="70"/>
      <c r="D50" s="124"/>
      <c r="E50" s="124"/>
      <c r="F50" s="70"/>
      <c r="G50" s="124"/>
      <c r="H50" s="60"/>
      <c r="I50" s="60"/>
      <c r="J50" s="60"/>
      <c r="K50" s="60"/>
      <c r="L50" s="60"/>
      <c r="M50" s="60"/>
      <c r="N50" s="60"/>
      <c r="O50" s="60"/>
      <c r="P50" s="60"/>
      <c r="Q50" s="60"/>
      <c r="R50" s="60"/>
      <c r="S50" s="60"/>
      <c r="T50" s="60"/>
      <c r="U50" s="60"/>
      <c r="V50" s="60"/>
      <c r="W50" s="60"/>
      <c r="X50" s="60"/>
      <c r="Y50" s="60"/>
      <c r="Z50" s="60"/>
      <c r="AA50" s="60"/>
    </row>
  </sheetData>
  <conditionalFormatting sqref="G1:G50">
    <cfRule type="expression" dxfId="14" priority="1">
      <formula>AND(A1&lt;&gt;"",G1="")</formula>
    </cfRule>
  </conditionalFormatting>
  <pageMargins left="0.7" right="0.7" top="0.75" bottom="0.75" header="0.3" footer="0.3"/>
  <legacyDrawing r:id="rId1"/>
  <tableParts count="1">
    <tablePart r:id="rId2"/>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A125"/>
  <sheetViews>
    <sheetView workbookViewId="0">
      <pane ySplit="1" topLeftCell="A2" activePane="bottomLeft" state="frozen"/>
      <selection pane="bottomLeft" activeCell="B3" sqref="B3"/>
    </sheetView>
  </sheetViews>
  <sheetFormatPr baseColWidth="10" defaultColWidth="14.5" defaultRowHeight="15.75" customHeight="1"/>
  <cols>
    <col min="1" max="1" width="18.5" customWidth="1"/>
    <col min="2" max="2" width="6.6640625" customWidth="1"/>
    <col min="3" max="3" width="120" customWidth="1"/>
    <col min="5" max="5" width="26.6640625" customWidth="1"/>
  </cols>
  <sheetData>
    <row r="1" spans="1:27" ht="15.75" customHeight="1">
      <c r="A1" s="143" t="s">
        <v>22</v>
      </c>
      <c r="B1" s="144" t="s">
        <v>2034</v>
      </c>
      <c r="C1" s="143" t="s">
        <v>373</v>
      </c>
      <c r="D1" s="142"/>
      <c r="E1" s="142"/>
      <c r="F1" s="142"/>
      <c r="G1" s="142"/>
      <c r="H1" s="142"/>
      <c r="I1" s="142"/>
      <c r="J1" s="142"/>
      <c r="K1" s="142"/>
      <c r="L1" s="142"/>
      <c r="M1" s="142"/>
      <c r="N1" s="142"/>
      <c r="O1" s="142"/>
      <c r="P1" s="142"/>
      <c r="Q1" s="142"/>
      <c r="R1" s="142"/>
      <c r="S1" s="142"/>
      <c r="T1" s="142"/>
      <c r="U1" s="142"/>
      <c r="V1" s="142"/>
      <c r="W1" s="142"/>
      <c r="X1" s="142"/>
      <c r="Y1" s="142"/>
      <c r="Z1" s="142"/>
      <c r="AA1" s="142"/>
    </row>
    <row r="2" spans="1:27" ht="15.75" customHeight="1">
      <c r="A2" s="69" t="s">
        <v>1596</v>
      </c>
      <c r="B2" s="145" t="s">
        <v>126</v>
      </c>
      <c r="C2" s="69" t="s">
        <v>2136</v>
      </c>
      <c r="D2" s="70"/>
      <c r="E2" s="69" t="s">
        <v>2137</v>
      </c>
      <c r="F2" s="70">
        <f>COUNTIF(B:B,"P")</f>
        <v>9</v>
      </c>
      <c r="G2" s="70"/>
      <c r="H2" s="70"/>
      <c r="I2" s="70"/>
      <c r="J2" s="70"/>
      <c r="K2" s="70"/>
      <c r="L2" s="70"/>
      <c r="M2" s="70"/>
      <c r="N2" s="70"/>
      <c r="O2" s="70"/>
      <c r="P2" s="70"/>
      <c r="Q2" s="70"/>
      <c r="R2" s="70"/>
      <c r="S2" s="70"/>
      <c r="T2" s="70"/>
      <c r="U2" s="70"/>
      <c r="V2" s="70"/>
      <c r="W2" s="70"/>
      <c r="X2" s="70"/>
      <c r="Y2" s="70"/>
      <c r="Z2" s="70"/>
      <c r="AA2" s="70"/>
    </row>
    <row r="3" spans="1:27" ht="15.75" customHeight="1">
      <c r="A3" s="69" t="s">
        <v>1675</v>
      </c>
      <c r="B3" s="145" t="s">
        <v>126</v>
      </c>
      <c r="C3" s="69" t="s">
        <v>2138</v>
      </c>
      <c r="D3" s="70"/>
      <c r="E3" s="69" t="s">
        <v>2139</v>
      </c>
      <c r="F3" s="146">
        <f>COUNTIF(B:B,"M")</f>
        <v>20</v>
      </c>
      <c r="G3" s="70"/>
      <c r="H3" s="70"/>
      <c r="I3" s="70"/>
      <c r="J3" s="70"/>
      <c r="K3" s="70"/>
      <c r="L3" s="70"/>
      <c r="M3" s="70"/>
      <c r="N3" s="70"/>
      <c r="O3" s="70"/>
      <c r="P3" s="70"/>
      <c r="Q3" s="70"/>
      <c r="R3" s="70"/>
      <c r="S3" s="70"/>
      <c r="T3" s="70"/>
      <c r="U3" s="70"/>
      <c r="V3" s="70"/>
      <c r="W3" s="70"/>
      <c r="X3" s="70"/>
      <c r="Y3" s="70"/>
      <c r="Z3" s="70"/>
      <c r="AA3" s="70"/>
    </row>
    <row r="4" spans="1:27" ht="15.75" customHeight="1">
      <c r="A4" s="69" t="s">
        <v>1917</v>
      </c>
      <c r="B4" s="145" t="s">
        <v>126</v>
      </c>
      <c r="C4" s="69" t="s">
        <v>2140</v>
      </c>
      <c r="D4" s="70"/>
      <c r="E4" s="70"/>
      <c r="F4" s="70"/>
      <c r="G4" s="70"/>
      <c r="H4" s="70"/>
      <c r="I4" s="70"/>
      <c r="J4" s="70"/>
      <c r="K4" s="70"/>
      <c r="L4" s="70"/>
      <c r="M4" s="70"/>
      <c r="N4" s="70"/>
      <c r="O4" s="70"/>
      <c r="P4" s="70"/>
      <c r="Q4" s="70"/>
      <c r="R4" s="70"/>
      <c r="S4" s="70"/>
      <c r="T4" s="70"/>
      <c r="U4" s="70"/>
      <c r="V4" s="70"/>
      <c r="W4" s="70"/>
      <c r="X4" s="70"/>
      <c r="Y4" s="70"/>
      <c r="Z4" s="70"/>
      <c r="AA4" s="70"/>
    </row>
    <row r="5" spans="1:27" ht="15.75" customHeight="1">
      <c r="A5" s="69" t="s">
        <v>1435</v>
      </c>
      <c r="B5" s="145" t="s">
        <v>126</v>
      </c>
      <c r="C5" s="147" t="s">
        <v>2141</v>
      </c>
      <c r="D5" s="70"/>
      <c r="E5" s="70"/>
      <c r="F5" s="70"/>
      <c r="G5" s="70"/>
      <c r="H5" s="70"/>
      <c r="I5" s="70"/>
      <c r="J5" s="70"/>
      <c r="K5" s="70"/>
      <c r="L5" s="70"/>
      <c r="M5" s="70"/>
      <c r="N5" s="70"/>
      <c r="O5" s="70"/>
      <c r="P5" s="70"/>
      <c r="Q5" s="70"/>
      <c r="R5" s="70"/>
      <c r="S5" s="70"/>
      <c r="T5" s="70"/>
      <c r="U5" s="70"/>
      <c r="V5" s="70"/>
      <c r="W5" s="70"/>
      <c r="X5" s="70"/>
      <c r="Y5" s="70"/>
      <c r="Z5" s="70"/>
      <c r="AA5" s="70"/>
    </row>
    <row r="6" spans="1:27" ht="15.75" customHeight="1">
      <c r="A6" s="69" t="s">
        <v>1749</v>
      </c>
      <c r="B6" s="145" t="s">
        <v>126</v>
      </c>
      <c r="C6" s="69" t="s">
        <v>2142</v>
      </c>
      <c r="D6" s="70"/>
      <c r="E6" s="70"/>
      <c r="F6" s="70"/>
      <c r="G6" s="70"/>
      <c r="H6" s="70"/>
      <c r="I6" s="70"/>
      <c r="J6" s="70"/>
      <c r="K6" s="70"/>
      <c r="L6" s="70"/>
      <c r="M6" s="70"/>
      <c r="N6" s="70"/>
      <c r="O6" s="70"/>
      <c r="P6" s="70"/>
      <c r="Q6" s="70"/>
      <c r="R6" s="70"/>
      <c r="S6" s="70"/>
      <c r="T6" s="70"/>
      <c r="U6" s="70"/>
      <c r="V6" s="70"/>
      <c r="W6" s="70"/>
      <c r="X6" s="70"/>
      <c r="Y6" s="70"/>
      <c r="Z6" s="70"/>
      <c r="AA6" s="70"/>
    </row>
    <row r="7" spans="1:27" ht="15.75" customHeight="1">
      <c r="A7" s="69" t="s">
        <v>1676</v>
      </c>
      <c r="B7" s="145" t="s">
        <v>1473</v>
      </c>
      <c r="C7" s="69" t="s">
        <v>2143</v>
      </c>
      <c r="D7" s="70"/>
      <c r="E7" s="70"/>
      <c r="F7" s="70"/>
      <c r="G7" s="70"/>
      <c r="H7" s="70"/>
      <c r="I7" s="70"/>
      <c r="J7" s="70"/>
      <c r="K7" s="70"/>
      <c r="L7" s="70"/>
      <c r="M7" s="70"/>
      <c r="N7" s="70"/>
      <c r="O7" s="70"/>
      <c r="P7" s="70"/>
      <c r="Q7" s="70"/>
      <c r="R7" s="70"/>
      <c r="S7" s="70"/>
      <c r="T7" s="70"/>
      <c r="U7" s="70"/>
      <c r="V7" s="70"/>
      <c r="W7" s="70"/>
      <c r="X7" s="70"/>
      <c r="Y7" s="70"/>
      <c r="Z7" s="70"/>
      <c r="AA7" s="70"/>
    </row>
    <row r="8" spans="1:27" ht="15.75" customHeight="1">
      <c r="A8" s="69" t="s">
        <v>1783</v>
      </c>
      <c r="B8" s="145" t="s">
        <v>1425</v>
      </c>
      <c r="C8" s="69" t="s">
        <v>2144</v>
      </c>
      <c r="D8" s="70"/>
      <c r="E8" s="70"/>
      <c r="F8" s="70"/>
      <c r="G8" s="70"/>
      <c r="H8" s="70"/>
      <c r="I8" s="70"/>
      <c r="J8" s="70"/>
      <c r="K8" s="70"/>
      <c r="L8" s="70"/>
      <c r="M8" s="70"/>
      <c r="N8" s="70"/>
      <c r="O8" s="70"/>
      <c r="P8" s="70"/>
      <c r="Q8" s="70"/>
      <c r="R8" s="70"/>
      <c r="S8" s="70"/>
      <c r="T8" s="70"/>
      <c r="U8" s="70"/>
      <c r="V8" s="70"/>
      <c r="W8" s="70"/>
      <c r="X8" s="70"/>
      <c r="Y8" s="70"/>
      <c r="Z8" s="70"/>
      <c r="AA8" s="70"/>
    </row>
    <row r="9" spans="1:27" ht="15.75" customHeight="1">
      <c r="A9" s="69" t="s">
        <v>1685</v>
      </c>
      <c r="B9" s="145" t="s">
        <v>1473</v>
      </c>
      <c r="C9" s="69" t="s">
        <v>2145</v>
      </c>
      <c r="D9" s="70"/>
      <c r="E9" s="70"/>
      <c r="F9" s="70"/>
      <c r="G9" s="70"/>
      <c r="H9" s="70"/>
      <c r="I9" s="70"/>
      <c r="J9" s="70"/>
      <c r="K9" s="70"/>
      <c r="L9" s="70"/>
      <c r="M9" s="70"/>
      <c r="N9" s="70"/>
      <c r="O9" s="70"/>
      <c r="P9" s="70"/>
      <c r="Q9" s="70"/>
      <c r="R9" s="70"/>
      <c r="S9" s="70"/>
      <c r="T9" s="70"/>
      <c r="U9" s="70"/>
      <c r="V9" s="70"/>
      <c r="W9" s="70"/>
      <c r="X9" s="70"/>
      <c r="Y9" s="70"/>
      <c r="Z9" s="70"/>
      <c r="AA9" s="70"/>
    </row>
    <row r="10" spans="1:27" ht="15.75" customHeight="1">
      <c r="A10" s="69" t="s">
        <v>1464</v>
      </c>
      <c r="B10" s="145" t="s">
        <v>126</v>
      </c>
      <c r="C10" s="147" t="s">
        <v>2146</v>
      </c>
      <c r="D10" s="70"/>
      <c r="E10" s="70"/>
      <c r="F10" s="70"/>
      <c r="G10" s="70"/>
      <c r="H10" s="70"/>
      <c r="I10" s="70"/>
      <c r="J10" s="70"/>
      <c r="K10" s="70"/>
      <c r="L10" s="70"/>
      <c r="M10" s="70"/>
      <c r="N10" s="70"/>
      <c r="O10" s="70"/>
      <c r="P10" s="70"/>
      <c r="Q10" s="70"/>
      <c r="R10" s="70"/>
      <c r="S10" s="70"/>
      <c r="T10" s="70"/>
      <c r="U10" s="70"/>
      <c r="V10" s="70"/>
      <c r="W10" s="70"/>
      <c r="X10" s="70"/>
      <c r="Y10" s="70"/>
      <c r="Z10" s="70"/>
      <c r="AA10" s="70"/>
    </row>
    <row r="11" spans="1:27" ht="15.75" customHeight="1">
      <c r="A11" s="69" t="s">
        <v>1428</v>
      </c>
      <c r="B11" s="145" t="s">
        <v>1425</v>
      </c>
      <c r="C11" s="69" t="s">
        <v>2147</v>
      </c>
      <c r="D11" s="70"/>
      <c r="E11" s="70"/>
      <c r="F11" s="70"/>
      <c r="G11" s="70"/>
      <c r="H11" s="70"/>
      <c r="I11" s="70"/>
      <c r="J11" s="70"/>
      <c r="K11" s="70"/>
      <c r="L11" s="70"/>
      <c r="M11" s="70"/>
      <c r="N11" s="70"/>
      <c r="O11" s="70"/>
      <c r="P11" s="70"/>
      <c r="Q11" s="70"/>
      <c r="R11" s="70"/>
      <c r="S11" s="70"/>
      <c r="T11" s="70"/>
      <c r="U11" s="70"/>
      <c r="V11" s="70"/>
      <c r="W11" s="70"/>
      <c r="X11" s="70"/>
      <c r="Y11" s="70"/>
      <c r="Z11" s="70"/>
      <c r="AA11" s="70"/>
    </row>
    <row r="12" spans="1:27" ht="15.75" customHeight="1">
      <c r="A12" s="69" t="s">
        <v>1424</v>
      </c>
      <c r="B12" s="145" t="s">
        <v>126</v>
      </c>
      <c r="C12" s="147" t="s">
        <v>2148</v>
      </c>
      <c r="D12" s="70"/>
      <c r="E12" s="70"/>
      <c r="F12" s="70"/>
      <c r="G12" s="70"/>
      <c r="H12" s="70"/>
      <c r="I12" s="70"/>
      <c r="J12" s="70"/>
      <c r="K12" s="70"/>
      <c r="L12" s="70"/>
      <c r="M12" s="70"/>
      <c r="N12" s="70"/>
      <c r="O12" s="70"/>
      <c r="P12" s="70"/>
      <c r="Q12" s="70"/>
      <c r="R12" s="70"/>
      <c r="S12" s="70"/>
      <c r="T12" s="70"/>
      <c r="U12" s="70"/>
      <c r="V12" s="70"/>
      <c r="W12" s="70"/>
      <c r="X12" s="70"/>
      <c r="Y12" s="70"/>
      <c r="Z12" s="70"/>
      <c r="AA12" s="70"/>
    </row>
    <row r="13" spans="1:27" ht="15.75" customHeight="1">
      <c r="A13" s="69" t="s">
        <v>2149</v>
      </c>
      <c r="B13" s="145" t="s">
        <v>126</v>
      </c>
      <c r="C13" s="148" t="s">
        <v>2150</v>
      </c>
      <c r="D13" s="70"/>
      <c r="E13" s="70"/>
      <c r="F13" s="70"/>
      <c r="G13" s="70"/>
      <c r="H13" s="70"/>
      <c r="I13" s="70"/>
      <c r="J13" s="70"/>
      <c r="K13" s="70"/>
      <c r="L13" s="70"/>
      <c r="M13" s="70"/>
      <c r="N13" s="70"/>
      <c r="O13" s="70"/>
      <c r="P13" s="70"/>
      <c r="Q13" s="70"/>
      <c r="R13" s="70"/>
      <c r="S13" s="70"/>
      <c r="T13" s="70"/>
      <c r="U13" s="70"/>
      <c r="V13" s="70"/>
      <c r="W13" s="70"/>
      <c r="X13" s="70"/>
      <c r="Y13" s="70"/>
      <c r="Z13" s="70"/>
      <c r="AA13" s="70"/>
    </row>
    <row r="14" spans="1:27" ht="15.75" customHeight="1">
      <c r="A14" s="69" t="s">
        <v>1975</v>
      </c>
      <c r="B14" s="145" t="s">
        <v>126</v>
      </c>
      <c r="C14" s="69" t="s">
        <v>2151</v>
      </c>
      <c r="D14" s="70"/>
      <c r="E14" s="70"/>
      <c r="F14" s="70"/>
      <c r="G14" s="70"/>
      <c r="H14" s="70"/>
      <c r="I14" s="70"/>
      <c r="J14" s="70"/>
      <c r="K14" s="70"/>
      <c r="L14" s="70"/>
      <c r="M14" s="70"/>
      <c r="N14" s="70"/>
      <c r="O14" s="70"/>
      <c r="P14" s="70"/>
      <c r="Q14" s="70"/>
      <c r="R14" s="70"/>
      <c r="S14" s="70"/>
      <c r="T14" s="70"/>
      <c r="U14" s="70"/>
      <c r="V14" s="70"/>
      <c r="W14" s="70"/>
      <c r="X14" s="70"/>
      <c r="Y14" s="70"/>
      <c r="Z14" s="70"/>
      <c r="AA14" s="70"/>
    </row>
    <row r="15" spans="1:27" ht="15.75" customHeight="1">
      <c r="A15" s="69" t="s">
        <v>1733</v>
      </c>
      <c r="B15" s="145" t="s">
        <v>126</v>
      </c>
      <c r="C15" s="147" t="s">
        <v>2152</v>
      </c>
      <c r="D15" s="70"/>
      <c r="E15" s="70"/>
      <c r="F15" s="70"/>
      <c r="G15" s="70"/>
      <c r="H15" s="70"/>
      <c r="I15" s="70"/>
      <c r="J15" s="70"/>
      <c r="K15" s="70"/>
      <c r="L15" s="70"/>
      <c r="M15" s="70"/>
      <c r="N15" s="70"/>
      <c r="O15" s="70"/>
      <c r="P15" s="70"/>
      <c r="Q15" s="70"/>
      <c r="R15" s="70"/>
      <c r="S15" s="70"/>
      <c r="T15" s="70"/>
      <c r="U15" s="70"/>
      <c r="V15" s="70"/>
      <c r="W15" s="70"/>
      <c r="X15" s="70"/>
      <c r="Y15" s="70"/>
      <c r="Z15" s="70"/>
      <c r="AA15" s="70"/>
    </row>
    <row r="16" spans="1:27" ht="15.75" customHeight="1">
      <c r="A16" s="69" t="s">
        <v>1505</v>
      </c>
      <c r="B16" s="145" t="s">
        <v>1425</v>
      </c>
      <c r="C16" s="69" t="s">
        <v>2153</v>
      </c>
      <c r="D16" s="70"/>
      <c r="E16" s="70"/>
      <c r="F16" s="70"/>
      <c r="G16" s="70"/>
      <c r="H16" s="70"/>
      <c r="I16" s="70"/>
      <c r="J16" s="70"/>
      <c r="K16" s="70"/>
      <c r="L16" s="70"/>
      <c r="M16" s="70"/>
      <c r="N16" s="70"/>
      <c r="O16" s="70"/>
      <c r="P16" s="70"/>
      <c r="Q16" s="70"/>
      <c r="R16" s="70"/>
      <c r="S16" s="70"/>
      <c r="T16" s="70"/>
      <c r="U16" s="70"/>
      <c r="V16" s="70"/>
      <c r="W16" s="70"/>
      <c r="X16" s="70"/>
      <c r="Y16" s="70"/>
      <c r="Z16" s="70"/>
      <c r="AA16" s="70"/>
    </row>
    <row r="17" spans="1:27" ht="15.75" customHeight="1">
      <c r="A17" s="69" t="s">
        <v>2007</v>
      </c>
      <c r="B17" s="145" t="s">
        <v>126</v>
      </c>
      <c r="C17" s="69" t="s">
        <v>2154</v>
      </c>
      <c r="D17" s="70"/>
      <c r="E17" s="70"/>
      <c r="F17" s="70"/>
      <c r="G17" s="70"/>
      <c r="H17" s="70"/>
      <c r="I17" s="70"/>
      <c r="J17" s="70"/>
      <c r="K17" s="70"/>
      <c r="L17" s="70"/>
      <c r="M17" s="70"/>
      <c r="N17" s="70"/>
      <c r="O17" s="70"/>
      <c r="P17" s="70"/>
      <c r="Q17" s="70"/>
      <c r="R17" s="70"/>
      <c r="S17" s="70"/>
      <c r="T17" s="70"/>
      <c r="U17" s="70"/>
      <c r="V17" s="70"/>
      <c r="W17" s="70"/>
      <c r="X17" s="70"/>
      <c r="Y17" s="70"/>
      <c r="Z17" s="70"/>
      <c r="AA17" s="70"/>
    </row>
    <row r="18" spans="1:27" ht="15.75" customHeight="1">
      <c r="A18" s="69" t="s">
        <v>2006</v>
      </c>
      <c r="B18" s="145" t="s">
        <v>126</v>
      </c>
      <c r="C18" s="147" t="s">
        <v>2155</v>
      </c>
      <c r="D18" s="70"/>
      <c r="E18" s="70"/>
      <c r="F18" s="70"/>
      <c r="G18" s="70"/>
      <c r="H18" s="70"/>
      <c r="I18" s="70"/>
      <c r="J18" s="70"/>
      <c r="K18" s="70"/>
      <c r="L18" s="70"/>
      <c r="M18" s="70"/>
      <c r="N18" s="70"/>
      <c r="O18" s="70"/>
      <c r="P18" s="70"/>
      <c r="Q18" s="70"/>
      <c r="R18" s="70"/>
      <c r="S18" s="70"/>
      <c r="T18" s="70"/>
      <c r="U18" s="70"/>
      <c r="V18" s="70"/>
      <c r="W18" s="70"/>
      <c r="X18" s="70"/>
      <c r="Y18" s="70"/>
      <c r="Z18" s="70"/>
      <c r="AA18" s="70"/>
    </row>
    <row r="19" spans="1:27" ht="15.75" customHeight="1">
      <c r="A19" s="69" t="s">
        <v>2005</v>
      </c>
      <c r="B19" s="145" t="s">
        <v>126</v>
      </c>
      <c r="C19" s="148" t="s">
        <v>2156</v>
      </c>
      <c r="D19" s="70"/>
      <c r="E19" s="70"/>
      <c r="F19" s="70"/>
      <c r="G19" s="70"/>
      <c r="H19" s="70"/>
      <c r="I19" s="70"/>
      <c r="J19" s="70"/>
      <c r="K19" s="70"/>
      <c r="L19" s="70"/>
      <c r="M19" s="70"/>
      <c r="N19" s="70"/>
      <c r="O19" s="70"/>
      <c r="P19" s="70"/>
      <c r="Q19" s="70"/>
      <c r="R19" s="70"/>
      <c r="S19" s="70"/>
      <c r="T19" s="70"/>
      <c r="U19" s="70"/>
      <c r="V19" s="70"/>
      <c r="W19" s="70"/>
      <c r="X19" s="70"/>
      <c r="Y19" s="70"/>
      <c r="Z19" s="70"/>
      <c r="AA19" s="70"/>
    </row>
    <row r="20" spans="1:27" ht="15.75" customHeight="1">
      <c r="A20" s="69" t="s">
        <v>1948</v>
      </c>
      <c r="B20" s="145" t="s">
        <v>1425</v>
      </c>
      <c r="C20" s="69" t="s">
        <v>2157</v>
      </c>
      <c r="D20" s="70"/>
      <c r="E20" s="70"/>
      <c r="F20" s="70"/>
      <c r="G20" s="70"/>
      <c r="H20" s="70"/>
      <c r="I20" s="70"/>
      <c r="J20" s="70"/>
      <c r="K20" s="70"/>
      <c r="L20" s="70"/>
      <c r="M20" s="70"/>
      <c r="N20" s="70"/>
      <c r="O20" s="70"/>
      <c r="P20" s="70"/>
      <c r="Q20" s="70"/>
      <c r="R20" s="70"/>
      <c r="S20" s="70"/>
      <c r="T20" s="70"/>
      <c r="U20" s="70"/>
      <c r="V20" s="70"/>
      <c r="W20" s="70"/>
      <c r="X20" s="70"/>
      <c r="Y20" s="70"/>
      <c r="Z20" s="70"/>
      <c r="AA20" s="70"/>
    </row>
    <row r="21" spans="1:27" ht="15.75" customHeight="1">
      <c r="A21" s="69" t="s">
        <v>1757</v>
      </c>
      <c r="B21" s="145" t="s">
        <v>1473</v>
      </c>
      <c r="C21" s="69" t="s">
        <v>2158</v>
      </c>
      <c r="D21" s="70"/>
      <c r="E21" s="70"/>
      <c r="F21" s="70"/>
      <c r="G21" s="70"/>
      <c r="H21" s="70"/>
      <c r="I21" s="70"/>
      <c r="J21" s="70"/>
      <c r="K21" s="70"/>
      <c r="L21" s="70"/>
      <c r="M21" s="70"/>
      <c r="N21" s="70"/>
      <c r="O21" s="70"/>
      <c r="P21" s="70"/>
      <c r="Q21" s="70"/>
      <c r="R21" s="70"/>
      <c r="S21" s="70"/>
      <c r="T21" s="70"/>
      <c r="U21" s="70"/>
      <c r="V21" s="70"/>
      <c r="W21" s="70"/>
      <c r="X21" s="70"/>
      <c r="Y21" s="70"/>
      <c r="Z21" s="70"/>
      <c r="AA21" s="70"/>
    </row>
    <row r="22" spans="1:27" ht="15.75" customHeight="1">
      <c r="A22" s="69" t="s">
        <v>1641</v>
      </c>
      <c r="B22" s="145" t="s">
        <v>1425</v>
      </c>
      <c r="C22" s="69" t="s">
        <v>2159</v>
      </c>
      <c r="D22" s="70"/>
      <c r="E22" s="70"/>
      <c r="F22" s="70"/>
      <c r="G22" s="70"/>
      <c r="H22" s="70"/>
      <c r="I22" s="70"/>
      <c r="J22" s="70"/>
      <c r="K22" s="70"/>
      <c r="L22" s="70"/>
      <c r="M22" s="70"/>
      <c r="N22" s="70"/>
      <c r="O22" s="70"/>
      <c r="P22" s="70"/>
      <c r="Q22" s="70"/>
      <c r="R22" s="70"/>
      <c r="S22" s="70"/>
      <c r="T22" s="70"/>
      <c r="U22" s="70"/>
      <c r="V22" s="70"/>
      <c r="W22" s="70"/>
      <c r="X22" s="70"/>
      <c r="Y22" s="70"/>
      <c r="Z22" s="70"/>
      <c r="AA22" s="70"/>
    </row>
    <row r="23" spans="1:27" ht="15.75" customHeight="1">
      <c r="A23" s="69" t="s">
        <v>1483</v>
      </c>
      <c r="B23" s="145" t="s">
        <v>126</v>
      </c>
      <c r="C23" s="69" t="s">
        <v>2160</v>
      </c>
      <c r="D23" s="70"/>
      <c r="E23" s="70"/>
      <c r="F23" s="70"/>
      <c r="G23" s="70"/>
      <c r="H23" s="70"/>
      <c r="I23" s="70"/>
      <c r="J23" s="70"/>
      <c r="K23" s="70"/>
      <c r="L23" s="70"/>
      <c r="M23" s="70"/>
      <c r="N23" s="70"/>
      <c r="O23" s="70"/>
      <c r="P23" s="70"/>
      <c r="Q23" s="70"/>
      <c r="R23" s="70"/>
      <c r="S23" s="70"/>
      <c r="T23" s="70"/>
      <c r="U23" s="70"/>
      <c r="V23" s="70"/>
      <c r="W23" s="70"/>
      <c r="X23" s="70"/>
      <c r="Y23" s="70"/>
      <c r="Z23" s="70"/>
      <c r="AA23" s="70"/>
    </row>
    <row r="24" spans="1:27" ht="15.75" customHeight="1">
      <c r="A24" s="69" t="s">
        <v>1813</v>
      </c>
      <c r="B24" s="145" t="s">
        <v>126</v>
      </c>
      <c r="C24" s="69" t="s">
        <v>2161</v>
      </c>
      <c r="D24" s="70"/>
      <c r="E24" s="70"/>
      <c r="F24" s="70"/>
      <c r="G24" s="70"/>
      <c r="H24" s="70"/>
      <c r="I24" s="70"/>
      <c r="J24" s="70"/>
      <c r="K24" s="70"/>
      <c r="L24" s="70"/>
      <c r="M24" s="70"/>
      <c r="N24" s="70"/>
      <c r="O24" s="70"/>
      <c r="P24" s="70"/>
      <c r="Q24" s="70"/>
      <c r="R24" s="70"/>
      <c r="S24" s="70"/>
      <c r="T24" s="70"/>
      <c r="U24" s="70"/>
      <c r="V24" s="70"/>
      <c r="W24" s="70"/>
      <c r="X24" s="70"/>
      <c r="Y24" s="70"/>
      <c r="Z24" s="70"/>
      <c r="AA24" s="70"/>
    </row>
    <row r="25" spans="1:27" ht="15.75" customHeight="1">
      <c r="A25" s="69" t="s">
        <v>1889</v>
      </c>
      <c r="B25" s="145" t="s">
        <v>126</v>
      </c>
      <c r="C25" s="147" t="s">
        <v>2162</v>
      </c>
      <c r="D25" s="70"/>
      <c r="E25" s="70"/>
      <c r="F25" s="70"/>
      <c r="G25" s="70"/>
      <c r="H25" s="70"/>
      <c r="I25" s="70"/>
      <c r="J25" s="70"/>
      <c r="K25" s="70"/>
      <c r="L25" s="70"/>
      <c r="M25" s="70"/>
      <c r="N25" s="70"/>
      <c r="O25" s="70"/>
      <c r="P25" s="70"/>
      <c r="Q25" s="70"/>
      <c r="R25" s="70"/>
      <c r="S25" s="70"/>
      <c r="T25" s="70"/>
      <c r="U25" s="70"/>
      <c r="V25" s="70"/>
      <c r="W25" s="70"/>
      <c r="X25" s="70"/>
      <c r="Y25" s="70"/>
      <c r="Z25" s="70"/>
      <c r="AA25" s="70"/>
    </row>
    <row r="26" spans="1:27" ht="15.75" customHeight="1">
      <c r="A26" s="69" t="s">
        <v>1551</v>
      </c>
      <c r="B26" s="145" t="s">
        <v>1473</v>
      </c>
      <c r="C26" s="69" t="s">
        <v>2163</v>
      </c>
      <c r="D26" s="70"/>
      <c r="E26" s="70"/>
      <c r="F26" s="70"/>
      <c r="G26" s="70"/>
      <c r="H26" s="70"/>
      <c r="I26" s="70"/>
      <c r="J26" s="70"/>
      <c r="K26" s="70"/>
      <c r="L26" s="70"/>
      <c r="M26" s="70"/>
      <c r="N26" s="70"/>
      <c r="O26" s="70"/>
      <c r="P26" s="70"/>
      <c r="Q26" s="70"/>
      <c r="R26" s="70"/>
      <c r="S26" s="70"/>
      <c r="T26" s="70"/>
      <c r="U26" s="70"/>
      <c r="V26" s="70"/>
      <c r="W26" s="70"/>
      <c r="X26" s="70"/>
      <c r="Y26" s="70"/>
      <c r="Z26" s="70"/>
      <c r="AA26" s="70"/>
    </row>
    <row r="27" spans="1:27" ht="15.75" customHeight="1">
      <c r="A27" s="69" t="s">
        <v>1467</v>
      </c>
      <c r="B27" s="145" t="s">
        <v>1425</v>
      </c>
      <c r="C27" s="69" t="s">
        <v>2164</v>
      </c>
      <c r="D27" s="70"/>
      <c r="E27" s="70"/>
      <c r="F27" s="70"/>
      <c r="G27" s="70"/>
      <c r="H27" s="70"/>
      <c r="I27" s="70"/>
      <c r="J27" s="70"/>
      <c r="K27" s="70"/>
      <c r="L27" s="70"/>
      <c r="M27" s="70"/>
      <c r="N27" s="70"/>
      <c r="O27" s="70"/>
      <c r="P27" s="70"/>
      <c r="Q27" s="70"/>
      <c r="R27" s="70"/>
      <c r="S27" s="70"/>
      <c r="T27" s="70"/>
      <c r="U27" s="70"/>
      <c r="V27" s="70"/>
      <c r="W27" s="70"/>
      <c r="X27" s="70"/>
      <c r="Y27" s="70"/>
      <c r="Z27" s="70"/>
      <c r="AA27" s="70"/>
    </row>
    <row r="28" spans="1:27" ht="15.75" customHeight="1">
      <c r="A28" s="69" t="s">
        <v>1912</v>
      </c>
      <c r="B28" s="145" t="s">
        <v>126</v>
      </c>
      <c r="C28" s="148" t="s">
        <v>2165</v>
      </c>
      <c r="D28" s="70"/>
      <c r="E28" s="70"/>
      <c r="F28" s="70"/>
      <c r="G28" s="70"/>
      <c r="H28" s="70"/>
      <c r="I28" s="70"/>
      <c r="J28" s="70"/>
      <c r="K28" s="70"/>
      <c r="L28" s="70"/>
      <c r="M28" s="70"/>
      <c r="N28" s="70"/>
      <c r="O28" s="70"/>
      <c r="P28" s="70"/>
      <c r="Q28" s="70"/>
      <c r="R28" s="70"/>
      <c r="S28" s="70"/>
      <c r="T28" s="70"/>
      <c r="U28" s="70"/>
      <c r="V28" s="70"/>
      <c r="W28" s="70"/>
      <c r="X28" s="70"/>
      <c r="Y28" s="70"/>
      <c r="Z28" s="70"/>
      <c r="AA28" s="70"/>
    </row>
    <row r="29" spans="1:27" ht="15.75" customHeight="1">
      <c r="A29" s="148" t="s">
        <v>1512</v>
      </c>
      <c r="B29" s="149" t="s">
        <v>1425</v>
      </c>
      <c r="C29" s="148" t="s">
        <v>2166</v>
      </c>
      <c r="D29" s="150"/>
      <c r="E29" s="150"/>
      <c r="F29" s="150"/>
      <c r="G29" s="150"/>
      <c r="H29" s="150"/>
      <c r="I29" s="150"/>
      <c r="J29" s="150"/>
      <c r="K29" s="150"/>
      <c r="L29" s="150"/>
      <c r="M29" s="150"/>
      <c r="N29" s="150"/>
      <c r="O29" s="150"/>
      <c r="P29" s="150"/>
      <c r="Q29" s="150"/>
      <c r="R29" s="150"/>
      <c r="S29" s="150"/>
      <c r="T29" s="150"/>
      <c r="U29" s="150"/>
      <c r="V29" s="150"/>
      <c r="W29" s="150"/>
      <c r="X29" s="150"/>
      <c r="Y29" s="150"/>
      <c r="Z29" s="150"/>
      <c r="AA29" s="150"/>
    </row>
    <row r="30" spans="1:27" ht="15.75" customHeight="1">
      <c r="A30" s="69" t="s">
        <v>1694</v>
      </c>
      <c r="B30" s="145" t="s">
        <v>126</v>
      </c>
      <c r="C30" s="69" t="s">
        <v>2167</v>
      </c>
      <c r="D30" s="70"/>
      <c r="E30" s="70"/>
      <c r="F30" s="70"/>
      <c r="G30" s="70"/>
      <c r="H30" s="70"/>
      <c r="I30" s="70"/>
      <c r="J30" s="70"/>
      <c r="K30" s="70"/>
      <c r="L30" s="70"/>
      <c r="M30" s="70"/>
      <c r="N30" s="70"/>
      <c r="O30" s="70"/>
      <c r="P30" s="70"/>
      <c r="Q30" s="70"/>
      <c r="R30" s="70"/>
      <c r="S30" s="70"/>
      <c r="T30" s="70"/>
      <c r="U30" s="70"/>
      <c r="V30" s="70"/>
      <c r="W30" s="70"/>
      <c r="X30" s="70"/>
      <c r="Y30" s="70"/>
      <c r="Z30" s="70"/>
      <c r="AA30" s="70"/>
    </row>
    <row r="31" spans="1:27" ht="15.75" customHeight="1">
      <c r="A31" s="69" t="s">
        <v>1682</v>
      </c>
      <c r="B31" s="145" t="s">
        <v>1473</v>
      </c>
      <c r="C31" s="69" t="s">
        <v>2168</v>
      </c>
      <c r="D31" s="70"/>
      <c r="E31" s="70"/>
      <c r="F31" s="70"/>
      <c r="G31" s="70"/>
      <c r="H31" s="70"/>
      <c r="I31" s="70"/>
      <c r="J31" s="70"/>
      <c r="K31" s="70"/>
      <c r="L31" s="70"/>
      <c r="M31" s="70"/>
      <c r="N31" s="70"/>
      <c r="O31" s="70"/>
      <c r="P31" s="70"/>
      <c r="Q31" s="70"/>
      <c r="R31" s="70"/>
      <c r="S31" s="70"/>
      <c r="T31" s="70"/>
      <c r="U31" s="70"/>
      <c r="V31" s="70"/>
      <c r="W31" s="70"/>
      <c r="X31" s="70"/>
      <c r="Y31" s="70"/>
      <c r="Z31" s="70"/>
      <c r="AA31" s="70"/>
    </row>
    <row r="32" spans="1:27" ht="15.75" customHeight="1">
      <c r="A32" s="69" t="s">
        <v>2012</v>
      </c>
      <c r="B32" s="145" t="s">
        <v>126</v>
      </c>
      <c r="C32" s="69" t="s">
        <v>2169</v>
      </c>
      <c r="D32" s="70"/>
      <c r="E32" s="70"/>
      <c r="F32" s="70"/>
      <c r="G32" s="70"/>
      <c r="H32" s="70"/>
      <c r="I32" s="70"/>
      <c r="J32" s="70"/>
      <c r="K32" s="70"/>
      <c r="L32" s="70"/>
      <c r="M32" s="70"/>
      <c r="N32" s="70"/>
      <c r="O32" s="70"/>
      <c r="P32" s="70"/>
      <c r="Q32" s="70"/>
      <c r="R32" s="70"/>
      <c r="S32" s="70"/>
      <c r="T32" s="70"/>
      <c r="U32" s="70"/>
      <c r="V32" s="70"/>
      <c r="W32" s="70"/>
      <c r="X32" s="70"/>
      <c r="Y32" s="70"/>
      <c r="Z32" s="70"/>
      <c r="AA32" s="70"/>
    </row>
    <row r="33" spans="1:27" ht="15.75" customHeight="1">
      <c r="A33" s="69" t="s">
        <v>1925</v>
      </c>
      <c r="B33" s="145" t="s">
        <v>126</v>
      </c>
      <c r="C33" s="69" t="s">
        <v>2170</v>
      </c>
      <c r="D33" s="70"/>
      <c r="E33" s="70"/>
      <c r="F33" s="70"/>
      <c r="G33" s="70"/>
      <c r="H33" s="70"/>
      <c r="I33" s="70"/>
      <c r="J33" s="70"/>
      <c r="K33" s="70"/>
      <c r="L33" s="70"/>
      <c r="M33" s="70"/>
      <c r="N33" s="70"/>
      <c r="O33" s="70"/>
      <c r="P33" s="70"/>
      <c r="Q33" s="70"/>
      <c r="R33" s="70"/>
      <c r="S33" s="70"/>
      <c r="T33" s="70"/>
      <c r="U33" s="70"/>
      <c r="V33" s="70"/>
      <c r="W33" s="70"/>
      <c r="X33" s="70"/>
      <c r="Y33" s="70"/>
      <c r="Z33" s="70"/>
      <c r="AA33" s="70"/>
    </row>
    <row r="34" spans="1:27" ht="15.75" customHeight="1">
      <c r="A34" s="69" t="s">
        <v>1681</v>
      </c>
      <c r="B34" s="145" t="s">
        <v>1473</v>
      </c>
      <c r="C34" s="69" t="s">
        <v>2171</v>
      </c>
      <c r="D34" s="70"/>
      <c r="E34" s="70"/>
      <c r="F34" s="70"/>
      <c r="G34" s="70"/>
      <c r="H34" s="70"/>
      <c r="I34" s="70"/>
      <c r="J34" s="70"/>
      <c r="K34" s="70"/>
      <c r="L34" s="70"/>
      <c r="M34" s="70"/>
      <c r="N34" s="70"/>
      <c r="O34" s="70"/>
      <c r="P34" s="70"/>
      <c r="Q34" s="70"/>
      <c r="R34" s="70"/>
      <c r="S34" s="70"/>
      <c r="T34" s="70"/>
      <c r="U34" s="70"/>
      <c r="V34" s="70"/>
      <c r="W34" s="70"/>
      <c r="X34" s="70"/>
      <c r="Y34" s="70"/>
      <c r="Z34" s="70"/>
      <c r="AA34" s="70"/>
    </row>
    <row r="35" spans="1:27" ht="15.75" customHeight="1">
      <c r="A35" s="69" t="s">
        <v>2172</v>
      </c>
      <c r="B35" s="145" t="s">
        <v>126</v>
      </c>
      <c r="C35" s="69" t="s">
        <v>2173</v>
      </c>
      <c r="D35" s="70"/>
      <c r="E35" s="70"/>
      <c r="F35" s="70"/>
      <c r="G35" s="70"/>
      <c r="H35" s="70"/>
      <c r="I35" s="70"/>
      <c r="J35" s="70"/>
      <c r="K35" s="70"/>
      <c r="L35" s="70"/>
      <c r="M35" s="70"/>
      <c r="N35" s="70"/>
      <c r="O35" s="70"/>
      <c r="P35" s="70"/>
      <c r="Q35" s="70"/>
      <c r="R35" s="70"/>
      <c r="S35" s="70"/>
      <c r="T35" s="70"/>
      <c r="U35" s="70"/>
      <c r="V35" s="70"/>
      <c r="W35" s="70"/>
      <c r="X35" s="70"/>
      <c r="Y35" s="70"/>
      <c r="Z35" s="70"/>
      <c r="AA35" s="70"/>
    </row>
    <row r="36" spans="1:27" ht="15.75" customHeight="1">
      <c r="A36" s="69" t="s">
        <v>1561</v>
      </c>
      <c r="B36" s="145" t="s">
        <v>126</v>
      </c>
      <c r="C36" s="69" t="s">
        <v>2174</v>
      </c>
      <c r="D36" s="70"/>
      <c r="E36" s="70"/>
      <c r="F36" s="70"/>
      <c r="G36" s="70"/>
      <c r="H36" s="70"/>
      <c r="I36" s="70"/>
      <c r="J36" s="70"/>
      <c r="K36" s="70"/>
      <c r="L36" s="70"/>
      <c r="M36" s="70"/>
      <c r="N36" s="70"/>
      <c r="O36" s="70"/>
      <c r="P36" s="70"/>
      <c r="Q36" s="70"/>
      <c r="R36" s="70"/>
      <c r="S36" s="70"/>
      <c r="T36" s="70"/>
      <c r="U36" s="70"/>
      <c r="V36" s="70"/>
      <c r="W36" s="70"/>
      <c r="X36" s="70"/>
      <c r="Y36" s="70"/>
      <c r="Z36" s="70"/>
      <c r="AA36" s="70"/>
    </row>
    <row r="37" spans="1:27" ht="15.75" customHeight="1">
      <c r="A37" s="69" t="s">
        <v>1915</v>
      </c>
      <c r="B37" s="145" t="s">
        <v>126</v>
      </c>
      <c r="C37" s="148" t="s">
        <v>2175</v>
      </c>
      <c r="D37" s="70"/>
      <c r="E37" s="70"/>
      <c r="F37" s="70"/>
      <c r="G37" s="70"/>
      <c r="H37" s="70"/>
      <c r="I37" s="70"/>
      <c r="J37" s="70"/>
      <c r="K37" s="70"/>
      <c r="L37" s="70"/>
      <c r="M37" s="70"/>
      <c r="N37" s="70"/>
      <c r="O37" s="70"/>
      <c r="P37" s="70"/>
      <c r="Q37" s="70"/>
      <c r="R37" s="70"/>
      <c r="S37" s="70"/>
      <c r="T37" s="70"/>
      <c r="U37" s="70"/>
      <c r="V37" s="70"/>
      <c r="W37" s="70"/>
      <c r="X37" s="70"/>
      <c r="Y37" s="70"/>
      <c r="Z37" s="70"/>
      <c r="AA37" s="70"/>
    </row>
    <row r="38" spans="1:27" ht="15.75" customHeight="1">
      <c r="A38" s="69" t="s">
        <v>1729</v>
      </c>
      <c r="B38" s="145" t="s">
        <v>126</v>
      </c>
      <c r="C38" s="147" t="s">
        <v>2176</v>
      </c>
      <c r="D38" s="70"/>
      <c r="E38" s="70"/>
      <c r="F38" s="70"/>
      <c r="G38" s="70"/>
      <c r="H38" s="70"/>
      <c r="I38" s="70"/>
      <c r="J38" s="70"/>
      <c r="K38" s="70"/>
      <c r="L38" s="70"/>
      <c r="M38" s="70"/>
      <c r="N38" s="70"/>
      <c r="O38" s="70"/>
      <c r="P38" s="70"/>
      <c r="Q38" s="70"/>
      <c r="R38" s="70"/>
      <c r="S38" s="70"/>
      <c r="T38" s="70"/>
      <c r="U38" s="70"/>
      <c r="V38" s="70"/>
      <c r="W38" s="70"/>
      <c r="X38" s="70"/>
      <c r="Y38" s="70"/>
      <c r="Z38" s="70"/>
      <c r="AA38" s="70"/>
    </row>
    <row r="39" spans="1:27" ht="15.75" customHeight="1">
      <c r="A39" s="69" t="s">
        <v>1498</v>
      </c>
      <c r="B39" s="145" t="s">
        <v>126</v>
      </c>
      <c r="C39" s="69" t="s">
        <v>2177</v>
      </c>
      <c r="D39" s="70"/>
      <c r="E39" s="70"/>
      <c r="F39" s="70"/>
      <c r="G39" s="69"/>
      <c r="H39" s="70"/>
      <c r="I39" s="70"/>
      <c r="J39" s="70"/>
      <c r="K39" s="70"/>
      <c r="L39" s="70"/>
      <c r="M39" s="70"/>
      <c r="N39" s="70"/>
      <c r="O39" s="70"/>
      <c r="P39" s="70"/>
      <c r="Q39" s="70"/>
      <c r="R39" s="70"/>
      <c r="S39" s="70"/>
      <c r="T39" s="70"/>
      <c r="U39" s="70"/>
      <c r="V39" s="70"/>
      <c r="W39" s="70"/>
      <c r="X39" s="70"/>
      <c r="Y39" s="70"/>
      <c r="Z39" s="70"/>
      <c r="AA39" s="70"/>
    </row>
    <row r="40" spans="1:27" ht="15.75" customHeight="1">
      <c r="A40" s="69" t="s">
        <v>2015</v>
      </c>
      <c r="B40" s="145" t="s">
        <v>126</v>
      </c>
      <c r="C40" s="147" t="s">
        <v>2178</v>
      </c>
      <c r="D40" s="70"/>
      <c r="E40" s="70"/>
      <c r="F40" s="70"/>
      <c r="G40" s="70"/>
      <c r="H40" s="70"/>
      <c r="I40" s="70"/>
      <c r="J40" s="70"/>
      <c r="K40" s="70"/>
      <c r="L40" s="70"/>
      <c r="M40" s="70"/>
      <c r="N40" s="70"/>
      <c r="O40" s="70"/>
      <c r="P40" s="70"/>
      <c r="Q40" s="70"/>
      <c r="R40" s="70"/>
      <c r="S40" s="70"/>
      <c r="T40" s="70"/>
      <c r="U40" s="70"/>
      <c r="V40" s="70"/>
      <c r="W40" s="70"/>
      <c r="X40" s="70"/>
      <c r="Y40" s="70"/>
      <c r="Z40" s="70"/>
      <c r="AA40" s="70"/>
    </row>
    <row r="41" spans="1:27" ht="15.75" customHeight="1">
      <c r="A41" s="69" t="s">
        <v>1572</v>
      </c>
      <c r="B41" s="145" t="s">
        <v>1425</v>
      </c>
      <c r="C41" s="147" t="s">
        <v>2179</v>
      </c>
      <c r="D41" s="70"/>
      <c r="E41" s="70"/>
      <c r="F41" s="70"/>
      <c r="G41" s="70"/>
      <c r="H41" s="70"/>
      <c r="I41" s="70"/>
      <c r="J41" s="70"/>
      <c r="K41" s="70"/>
      <c r="L41" s="70"/>
      <c r="M41" s="70"/>
      <c r="N41" s="70"/>
      <c r="O41" s="70"/>
      <c r="P41" s="70"/>
      <c r="Q41" s="70"/>
      <c r="R41" s="70"/>
      <c r="S41" s="70"/>
      <c r="T41" s="70"/>
      <c r="U41" s="70"/>
      <c r="V41" s="70"/>
      <c r="W41" s="70"/>
      <c r="X41" s="70"/>
      <c r="Y41" s="70"/>
      <c r="Z41" s="70"/>
      <c r="AA41" s="70"/>
    </row>
    <row r="42" spans="1:27" ht="15.75" customHeight="1">
      <c r="A42" s="69" t="s">
        <v>1573</v>
      </c>
      <c r="B42" s="145" t="s">
        <v>126</v>
      </c>
      <c r="C42" s="147" t="s">
        <v>2180</v>
      </c>
      <c r="D42" s="70"/>
      <c r="E42" s="70"/>
      <c r="F42" s="70"/>
      <c r="G42" s="70"/>
      <c r="H42" s="70"/>
      <c r="I42" s="70"/>
      <c r="J42" s="70"/>
      <c r="K42" s="70"/>
      <c r="L42" s="70"/>
      <c r="M42" s="70"/>
      <c r="N42" s="70"/>
      <c r="O42" s="70"/>
      <c r="P42" s="70"/>
      <c r="Q42" s="70"/>
      <c r="R42" s="70"/>
      <c r="S42" s="70"/>
      <c r="T42" s="70"/>
      <c r="U42" s="70"/>
      <c r="V42" s="70"/>
      <c r="W42" s="70"/>
      <c r="X42" s="70"/>
      <c r="Y42" s="70"/>
      <c r="Z42" s="70"/>
      <c r="AA42" s="70"/>
    </row>
    <row r="43" spans="1:27" ht="15.75" customHeight="1">
      <c r="A43" s="69" t="s">
        <v>1459</v>
      </c>
      <c r="B43" s="145" t="s">
        <v>126</v>
      </c>
      <c r="C43" s="147" t="s">
        <v>2181</v>
      </c>
      <c r="D43" s="70"/>
      <c r="E43" s="70"/>
      <c r="F43" s="70"/>
      <c r="G43" s="70"/>
      <c r="H43" s="70"/>
      <c r="I43" s="70"/>
      <c r="J43" s="70"/>
      <c r="K43" s="70"/>
      <c r="L43" s="70"/>
      <c r="M43" s="70"/>
      <c r="N43" s="70"/>
      <c r="O43" s="70"/>
      <c r="P43" s="70"/>
      <c r="Q43" s="70"/>
      <c r="R43" s="70"/>
      <c r="S43" s="70"/>
      <c r="T43" s="70"/>
      <c r="U43" s="70"/>
      <c r="V43" s="70"/>
      <c r="W43" s="70"/>
      <c r="X43" s="70"/>
      <c r="Y43" s="70"/>
      <c r="Z43" s="70"/>
      <c r="AA43" s="70"/>
    </row>
    <row r="44" spans="1:27" ht="15.75" customHeight="1">
      <c r="A44" s="69" t="s">
        <v>1576</v>
      </c>
      <c r="B44" s="145" t="s">
        <v>126</v>
      </c>
      <c r="C44" s="147" t="s">
        <v>2182</v>
      </c>
      <c r="D44" s="70"/>
      <c r="E44" s="70"/>
      <c r="F44" s="70"/>
      <c r="G44" s="70"/>
      <c r="H44" s="70"/>
      <c r="I44" s="70"/>
      <c r="J44" s="70"/>
      <c r="K44" s="70"/>
      <c r="L44" s="70"/>
      <c r="M44" s="70"/>
      <c r="N44" s="70"/>
      <c r="O44" s="70"/>
      <c r="P44" s="70"/>
      <c r="Q44" s="70"/>
      <c r="R44" s="70"/>
      <c r="S44" s="70"/>
      <c r="T44" s="70"/>
      <c r="U44" s="70"/>
      <c r="V44" s="70"/>
      <c r="W44" s="70"/>
      <c r="X44" s="70"/>
      <c r="Y44" s="70"/>
      <c r="Z44" s="70"/>
      <c r="AA44" s="70"/>
    </row>
    <row r="45" spans="1:27" ht="15.75" customHeight="1">
      <c r="A45" s="69" t="s">
        <v>1597</v>
      </c>
      <c r="B45" s="145" t="s">
        <v>126</v>
      </c>
      <c r="C45" s="147" t="s">
        <v>2183</v>
      </c>
      <c r="D45" s="70"/>
      <c r="E45" s="70"/>
      <c r="F45" s="70"/>
      <c r="G45" s="70"/>
      <c r="H45" s="70"/>
      <c r="I45" s="70"/>
      <c r="J45" s="70"/>
      <c r="K45" s="70"/>
      <c r="L45" s="70"/>
      <c r="M45" s="70"/>
      <c r="N45" s="70"/>
      <c r="O45" s="70"/>
      <c r="P45" s="70"/>
      <c r="Q45" s="70"/>
      <c r="R45" s="70"/>
      <c r="S45" s="70"/>
      <c r="T45" s="70"/>
      <c r="U45" s="70"/>
      <c r="V45" s="70"/>
      <c r="W45" s="70"/>
      <c r="X45" s="70"/>
      <c r="Y45" s="70"/>
      <c r="Z45" s="70"/>
      <c r="AA45" s="70"/>
    </row>
    <row r="46" spans="1:27" ht="15.75" customHeight="1">
      <c r="A46" s="69" t="s">
        <v>1899</v>
      </c>
      <c r="B46" s="145" t="s">
        <v>126</v>
      </c>
      <c r="C46" s="147" t="s">
        <v>2184</v>
      </c>
      <c r="D46" s="70"/>
      <c r="E46" s="70"/>
      <c r="F46" s="70"/>
      <c r="G46" s="70"/>
      <c r="H46" s="70"/>
      <c r="I46" s="70"/>
      <c r="J46" s="70"/>
      <c r="K46" s="70"/>
      <c r="L46" s="70"/>
      <c r="M46" s="70"/>
      <c r="N46" s="70"/>
      <c r="O46" s="70"/>
      <c r="P46" s="70"/>
      <c r="Q46" s="70"/>
      <c r="R46" s="70"/>
      <c r="S46" s="70"/>
      <c r="T46" s="70"/>
      <c r="U46" s="70"/>
      <c r="V46" s="70"/>
      <c r="W46" s="70"/>
      <c r="X46" s="70"/>
      <c r="Y46" s="70"/>
      <c r="Z46" s="70"/>
      <c r="AA46" s="70"/>
    </row>
    <row r="47" spans="1:27" ht="15.75" customHeight="1">
      <c r="A47" s="69" t="s">
        <v>1442</v>
      </c>
      <c r="B47" s="145" t="s">
        <v>126</v>
      </c>
      <c r="C47" s="147" t="s">
        <v>2185</v>
      </c>
      <c r="D47" s="70"/>
      <c r="E47" s="69"/>
      <c r="F47" s="70"/>
      <c r="G47" s="70"/>
      <c r="H47" s="70"/>
      <c r="I47" s="70"/>
      <c r="J47" s="70"/>
      <c r="K47" s="70"/>
      <c r="L47" s="70"/>
      <c r="M47" s="70"/>
      <c r="N47" s="70"/>
      <c r="O47" s="70"/>
      <c r="P47" s="70"/>
      <c r="Q47" s="70"/>
      <c r="R47" s="70"/>
      <c r="S47" s="70"/>
      <c r="T47" s="70"/>
      <c r="U47" s="70"/>
      <c r="V47" s="70"/>
      <c r="W47" s="70"/>
      <c r="X47" s="70"/>
      <c r="Y47" s="70"/>
      <c r="Z47" s="70"/>
      <c r="AA47" s="70"/>
    </row>
    <row r="48" spans="1:27" ht="15.75" customHeight="1">
      <c r="A48" s="69" t="s">
        <v>1930</v>
      </c>
      <c r="B48" s="145" t="s">
        <v>126</v>
      </c>
      <c r="C48" s="148" t="s">
        <v>2186</v>
      </c>
      <c r="D48" s="70"/>
      <c r="E48" s="69"/>
      <c r="F48" s="70"/>
      <c r="G48" s="70"/>
      <c r="H48" s="70"/>
      <c r="I48" s="70"/>
      <c r="J48" s="70"/>
      <c r="K48" s="70"/>
      <c r="L48" s="70"/>
      <c r="M48" s="70"/>
      <c r="N48" s="70"/>
      <c r="O48" s="70"/>
      <c r="P48" s="70"/>
      <c r="Q48" s="70"/>
      <c r="R48" s="70"/>
      <c r="S48" s="70"/>
      <c r="T48" s="70"/>
      <c r="U48" s="70"/>
      <c r="V48" s="70"/>
      <c r="W48" s="70"/>
      <c r="X48" s="70"/>
      <c r="Y48" s="70"/>
      <c r="Z48" s="70"/>
      <c r="AA48" s="70"/>
    </row>
    <row r="49" spans="1:27" ht="15.75" customHeight="1">
      <c r="A49" s="69" t="s">
        <v>1798</v>
      </c>
      <c r="B49" s="145" t="s">
        <v>126</v>
      </c>
      <c r="C49" s="69" t="s">
        <v>2187</v>
      </c>
      <c r="D49" s="70"/>
      <c r="E49" s="70"/>
      <c r="F49" s="70"/>
      <c r="G49" s="70"/>
      <c r="H49" s="70"/>
      <c r="I49" s="70"/>
      <c r="J49" s="70"/>
      <c r="K49" s="70"/>
      <c r="L49" s="70"/>
      <c r="M49" s="70"/>
      <c r="N49" s="70"/>
      <c r="O49" s="70"/>
      <c r="P49" s="70"/>
      <c r="Q49" s="70"/>
      <c r="R49" s="70"/>
      <c r="S49" s="70"/>
      <c r="T49" s="70"/>
      <c r="U49" s="70"/>
      <c r="V49" s="70"/>
      <c r="W49" s="70"/>
      <c r="X49" s="70"/>
      <c r="Y49" s="70"/>
      <c r="Z49" s="70"/>
      <c r="AA49" s="70"/>
    </row>
    <row r="50" spans="1:27" ht="15.75" customHeight="1">
      <c r="A50" s="69" t="s">
        <v>1799</v>
      </c>
      <c r="B50" s="145" t="s">
        <v>126</v>
      </c>
      <c r="C50" s="69" t="s">
        <v>2188</v>
      </c>
      <c r="D50" s="70"/>
      <c r="E50" s="70"/>
      <c r="F50" s="70"/>
      <c r="G50" s="70"/>
      <c r="H50" s="70"/>
      <c r="I50" s="70"/>
      <c r="J50" s="70"/>
      <c r="K50" s="70"/>
      <c r="L50" s="70"/>
      <c r="M50" s="70"/>
      <c r="N50" s="70"/>
      <c r="O50" s="70"/>
      <c r="P50" s="70"/>
      <c r="Q50" s="70"/>
      <c r="R50" s="70"/>
      <c r="S50" s="70"/>
      <c r="T50" s="70"/>
      <c r="U50" s="70"/>
      <c r="V50" s="70"/>
      <c r="W50" s="70"/>
      <c r="X50" s="70"/>
      <c r="Y50" s="70"/>
      <c r="Z50" s="70"/>
      <c r="AA50" s="70"/>
    </row>
    <row r="51" spans="1:27" ht="15.75" customHeight="1">
      <c r="A51" s="69" t="s">
        <v>1785</v>
      </c>
      <c r="B51" s="145" t="s">
        <v>126</v>
      </c>
      <c r="C51" s="147" t="s">
        <v>2189</v>
      </c>
      <c r="D51" s="70"/>
      <c r="E51" s="70"/>
      <c r="F51" s="70"/>
      <c r="G51" s="70"/>
      <c r="H51" s="70"/>
      <c r="I51" s="70"/>
      <c r="J51" s="70"/>
      <c r="K51" s="70"/>
      <c r="L51" s="70"/>
      <c r="M51" s="70"/>
      <c r="N51" s="70"/>
      <c r="O51" s="70"/>
      <c r="P51" s="70"/>
      <c r="Q51" s="70"/>
      <c r="R51" s="70"/>
      <c r="S51" s="70"/>
      <c r="T51" s="70"/>
      <c r="U51" s="70"/>
      <c r="V51" s="70"/>
      <c r="W51" s="70"/>
      <c r="X51" s="70"/>
      <c r="Y51" s="70"/>
      <c r="Z51" s="70"/>
      <c r="AA51" s="70"/>
    </row>
    <row r="52" spans="1:27" ht="15.75" customHeight="1">
      <c r="A52" s="69" t="s">
        <v>1801</v>
      </c>
      <c r="B52" s="145" t="s">
        <v>126</v>
      </c>
      <c r="C52" s="148" t="s">
        <v>2190</v>
      </c>
      <c r="D52" s="70"/>
      <c r="E52" s="69"/>
      <c r="F52" s="70"/>
      <c r="G52" s="70"/>
      <c r="H52" s="70"/>
      <c r="I52" s="70"/>
      <c r="J52" s="70"/>
      <c r="K52" s="70"/>
      <c r="L52" s="70"/>
      <c r="M52" s="70"/>
      <c r="N52" s="70"/>
      <c r="O52" s="70"/>
      <c r="P52" s="70"/>
      <c r="Q52" s="70"/>
      <c r="R52" s="70"/>
      <c r="S52" s="70"/>
      <c r="T52" s="70"/>
      <c r="U52" s="70"/>
      <c r="V52" s="70"/>
      <c r="W52" s="70"/>
      <c r="X52" s="70"/>
      <c r="Y52" s="70"/>
      <c r="Z52" s="70"/>
      <c r="AA52" s="70"/>
    </row>
    <row r="53" spans="1:27" ht="15.75" customHeight="1">
      <c r="A53" s="69" t="s">
        <v>2191</v>
      </c>
      <c r="B53" s="145" t="s">
        <v>126</v>
      </c>
      <c r="C53" s="69" t="s">
        <v>2192</v>
      </c>
      <c r="D53" s="70"/>
      <c r="E53" s="69"/>
      <c r="F53" s="70"/>
      <c r="G53" s="70"/>
      <c r="H53" s="70"/>
      <c r="I53" s="70"/>
      <c r="J53" s="70"/>
      <c r="K53" s="70"/>
      <c r="L53" s="70"/>
      <c r="M53" s="70"/>
      <c r="N53" s="70"/>
      <c r="O53" s="70"/>
      <c r="P53" s="70"/>
      <c r="Q53" s="70"/>
      <c r="R53" s="70"/>
      <c r="S53" s="70"/>
      <c r="T53" s="70"/>
      <c r="U53" s="70"/>
      <c r="V53" s="70"/>
      <c r="W53" s="70"/>
      <c r="X53" s="70"/>
      <c r="Y53" s="70"/>
      <c r="Z53" s="70"/>
      <c r="AA53" s="70"/>
    </row>
    <row r="54" spans="1:27" ht="15.75" customHeight="1">
      <c r="A54" s="69" t="s">
        <v>1488</v>
      </c>
      <c r="B54" s="145" t="s">
        <v>126</v>
      </c>
      <c r="C54" s="69" t="s">
        <v>2193</v>
      </c>
      <c r="D54" s="70"/>
      <c r="E54" s="69"/>
      <c r="F54" s="70"/>
      <c r="G54" s="70"/>
      <c r="H54" s="70"/>
      <c r="I54" s="70"/>
      <c r="J54" s="70"/>
      <c r="K54" s="70"/>
      <c r="L54" s="70"/>
      <c r="M54" s="70"/>
      <c r="N54" s="70"/>
      <c r="O54" s="70"/>
      <c r="P54" s="70"/>
      <c r="Q54" s="70"/>
      <c r="R54" s="70"/>
      <c r="S54" s="70"/>
      <c r="T54" s="70"/>
      <c r="U54" s="70"/>
      <c r="V54" s="70"/>
      <c r="W54" s="70"/>
      <c r="X54" s="70"/>
      <c r="Y54" s="70"/>
      <c r="Z54" s="70"/>
      <c r="AA54" s="70"/>
    </row>
    <row r="55" spans="1:27" ht="15.75" customHeight="1">
      <c r="A55" s="69" t="s">
        <v>1776</v>
      </c>
      <c r="B55" s="145" t="s">
        <v>126</v>
      </c>
      <c r="C55" s="69" t="s">
        <v>2194</v>
      </c>
      <c r="D55" s="70"/>
      <c r="E55" s="69"/>
      <c r="F55" s="70"/>
      <c r="G55" s="70"/>
      <c r="H55" s="70"/>
      <c r="I55" s="70"/>
      <c r="J55" s="70"/>
      <c r="K55" s="70"/>
      <c r="L55" s="70"/>
      <c r="M55" s="70"/>
      <c r="N55" s="70"/>
      <c r="O55" s="70"/>
      <c r="P55" s="70"/>
      <c r="Q55" s="70"/>
      <c r="R55" s="70"/>
      <c r="S55" s="70"/>
      <c r="T55" s="70"/>
      <c r="U55" s="70"/>
      <c r="V55" s="70"/>
      <c r="W55" s="70"/>
      <c r="X55" s="70"/>
      <c r="Y55" s="70"/>
      <c r="Z55" s="70"/>
      <c r="AA55" s="70"/>
    </row>
    <row r="56" spans="1:27" ht="15.75" customHeight="1">
      <c r="A56" s="69" t="s">
        <v>2195</v>
      </c>
      <c r="B56" s="145" t="s">
        <v>126</v>
      </c>
      <c r="C56" s="69" t="s">
        <v>2196</v>
      </c>
      <c r="D56" s="70"/>
      <c r="E56" s="69"/>
      <c r="F56" s="70"/>
      <c r="G56" s="70"/>
      <c r="H56" s="70"/>
      <c r="I56" s="70"/>
      <c r="J56" s="70"/>
      <c r="K56" s="70"/>
      <c r="L56" s="70"/>
      <c r="M56" s="70"/>
      <c r="N56" s="70"/>
      <c r="O56" s="70"/>
      <c r="P56" s="70"/>
      <c r="Q56" s="70"/>
      <c r="R56" s="70"/>
      <c r="S56" s="70"/>
      <c r="T56" s="70"/>
      <c r="U56" s="70"/>
      <c r="V56" s="70"/>
      <c r="W56" s="70"/>
      <c r="X56" s="70"/>
      <c r="Y56" s="70"/>
      <c r="Z56" s="70"/>
      <c r="AA56" s="70"/>
    </row>
    <row r="57" spans="1:27" ht="15.75" customHeight="1">
      <c r="A57" s="69" t="s">
        <v>1638</v>
      </c>
      <c r="B57" s="145" t="s">
        <v>1425</v>
      </c>
      <c r="C57" s="69" t="s">
        <v>2197</v>
      </c>
      <c r="D57" s="70"/>
      <c r="E57" s="69"/>
      <c r="F57" s="70"/>
      <c r="G57" s="70"/>
      <c r="H57" s="70"/>
      <c r="I57" s="70"/>
      <c r="J57" s="70"/>
      <c r="K57" s="70"/>
      <c r="L57" s="70"/>
      <c r="M57" s="70"/>
      <c r="N57" s="70"/>
      <c r="O57" s="70"/>
      <c r="P57" s="70"/>
      <c r="Q57" s="70"/>
      <c r="R57" s="70"/>
      <c r="S57" s="70"/>
      <c r="T57" s="70"/>
      <c r="U57" s="70"/>
      <c r="V57" s="70"/>
      <c r="W57" s="70"/>
      <c r="X57" s="70"/>
      <c r="Y57" s="70"/>
      <c r="Z57" s="70"/>
      <c r="AA57" s="70"/>
    </row>
    <row r="58" spans="1:27" ht="14">
      <c r="A58" s="69" t="s">
        <v>2016</v>
      </c>
      <c r="B58" s="145" t="s">
        <v>126</v>
      </c>
      <c r="C58" s="69" t="s">
        <v>2198</v>
      </c>
      <c r="D58" s="70"/>
      <c r="E58" s="70"/>
      <c r="F58" s="70"/>
      <c r="G58" s="70"/>
      <c r="H58" s="70"/>
      <c r="I58" s="70"/>
      <c r="J58" s="70"/>
      <c r="K58" s="70"/>
      <c r="L58" s="70"/>
      <c r="M58" s="70"/>
      <c r="N58" s="70"/>
      <c r="O58" s="70"/>
      <c r="P58" s="70"/>
      <c r="Q58" s="70"/>
      <c r="R58" s="70"/>
      <c r="S58" s="70"/>
      <c r="T58" s="70"/>
      <c r="U58" s="70"/>
      <c r="V58" s="70"/>
      <c r="W58" s="70"/>
      <c r="X58" s="70"/>
      <c r="Y58" s="70"/>
      <c r="Z58" s="70"/>
      <c r="AA58" s="70"/>
    </row>
    <row r="59" spans="1:27" ht="14">
      <c r="A59" s="69" t="s">
        <v>1616</v>
      </c>
      <c r="B59" s="145" t="s">
        <v>126</v>
      </c>
      <c r="C59" s="147" t="s">
        <v>2199</v>
      </c>
      <c r="D59" s="70"/>
      <c r="E59" s="70"/>
      <c r="F59" s="70"/>
      <c r="G59" s="70"/>
      <c r="H59" s="70"/>
      <c r="I59" s="70"/>
      <c r="J59" s="70"/>
      <c r="K59" s="70"/>
      <c r="L59" s="70"/>
      <c r="M59" s="70"/>
      <c r="N59" s="70"/>
      <c r="O59" s="70"/>
      <c r="P59" s="70"/>
      <c r="Q59" s="70"/>
      <c r="R59" s="70"/>
      <c r="S59" s="70"/>
      <c r="T59" s="70"/>
      <c r="U59" s="70"/>
      <c r="V59" s="70"/>
      <c r="W59" s="70"/>
      <c r="X59" s="70"/>
      <c r="Y59" s="70"/>
      <c r="Z59" s="70"/>
      <c r="AA59" s="70"/>
    </row>
    <row r="60" spans="1:27" ht="14">
      <c r="A60" s="69" t="s">
        <v>1742</v>
      </c>
      <c r="B60" s="145" t="s">
        <v>126</v>
      </c>
      <c r="C60" s="69" t="s">
        <v>2200</v>
      </c>
      <c r="D60" s="69"/>
      <c r="E60" s="70"/>
      <c r="F60" s="70"/>
      <c r="G60" s="70"/>
      <c r="H60" s="70"/>
      <c r="I60" s="70"/>
      <c r="J60" s="70"/>
      <c r="K60" s="70"/>
      <c r="L60" s="70"/>
      <c r="M60" s="70"/>
      <c r="N60" s="70"/>
      <c r="O60" s="70"/>
      <c r="P60" s="70"/>
      <c r="Q60" s="70"/>
      <c r="R60" s="70"/>
      <c r="S60" s="70"/>
      <c r="T60" s="70"/>
      <c r="U60" s="70"/>
      <c r="V60" s="70"/>
      <c r="W60" s="70"/>
      <c r="X60" s="70"/>
      <c r="Y60" s="70"/>
      <c r="Z60" s="70"/>
      <c r="AA60" s="70"/>
    </row>
    <row r="61" spans="1:27" ht="14">
      <c r="A61" s="69" t="s">
        <v>1740</v>
      </c>
      <c r="B61" s="145" t="s">
        <v>126</v>
      </c>
      <c r="C61" s="69" t="s">
        <v>2201</v>
      </c>
      <c r="D61" s="69"/>
      <c r="E61" s="70"/>
      <c r="F61" s="70"/>
      <c r="G61" s="70"/>
      <c r="H61" s="70"/>
      <c r="I61" s="70"/>
      <c r="J61" s="70"/>
      <c r="K61" s="70"/>
      <c r="L61" s="70"/>
      <c r="M61" s="70"/>
      <c r="N61" s="70"/>
      <c r="O61" s="70"/>
      <c r="P61" s="70"/>
      <c r="Q61" s="70"/>
      <c r="R61" s="70"/>
      <c r="S61" s="70"/>
      <c r="T61" s="70"/>
      <c r="U61" s="70"/>
      <c r="V61" s="70"/>
      <c r="W61" s="70"/>
      <c r="X61" s="70"/>
      <c r="Y61" s="70"/>
      <c r="Z61" s="70"/>
      <c r="AA61" s="70"/>
    </row>
    <row r="62" spans="1:27" ht="14">
      <c r="A62" s="69" t="s">
        <v>1767</v>
      </c>
      <c r="B62" s="145" t="s">
        <v>126</v>
      </c>
      <c r="C62" s="147" t="s">
        <v>2202</v>
      </c>
      <c r="D62" s="70"/>
      <c r="E62" s="70"/>
      <c r="F62" s="70"/>
      <c r="G62" s="70"/>
      <c r="H62" s="70"/>
      <c r="I62" s="70"/>
      <c r="J62" s="70"/>
      <c r="K62" s="70"/>
      <c r="L62" s="70"/>
      <c r="M62" s="70"/>
      <c r="N62" s="70"/>
      <c r="O62" s="70"/>
      <c r="P62" s="70"/>
      <c r="Q62" s="70"/>
      <c r="R62" s="70"/>
      <c r="S62" s="70"/>
      <c r="T62" s="70"/>
      <c r="U62" s="70"/>
      <c r="V62" s="70"/>
      <c r="W62" s="70"/>
      <c r="X62" s="70"/>
      <c r="Y62" s="70"/>
      <c r="Z62" s="70"/>
      <c r="AA62" s="70"/>
    </row>
    <row r="63" spans="1:27" ht="14">
      <c r="A63" s="69" t="s">
        <v>2203</v>
      </c>
      <c r="B63" s="145" t="s">
        <v>126</v>
      </c>
      <c r="C63" s="147" t="s">
        <v>2204</v>
      </c>
      <c r="D63" s="70"/>
      <c r="E63" s="70"/>
      <c r="F63" s="70"/>
      <c r="G63" s="70"/>
      <c r="H63" s="70"/>
      <c r="I63" s="70"/>
      <c r="J63" s="70"/>
      <c r="K63" s="70"/>
      <c r="L63" s="70"/>
      <c r="M63" s="70"/>
      <c r="N63" s="70"/>
      <c r="O63" s="70"/>
      <c r="P63" s="70"/>
      <c r="Q63" s="70"/>
      <c r="R63" s="70"/>
      <c r="S63" s="70"/>
      <c r="T63" s="70"/>
      <c r="U63" s="70"/>
      <c r="V63" s="70"/>
      <c r="W63" s="70"/>
      <c r="X63" s="70"/>
      <c r="Y63" s="70"/>
      <c r="Z63" s="70"/>
      <c r="AA63" s="70"/>
    </row>
    <row r="64" spans="1:27" ht="14">
      <c r="A64" s="69" t="s">
        <v>1921</v>
      </c>
      <c r="B64" s="145" t="s">
        <v>126</v>
      </c>
      <c r="C64" s="69" t="s">
        <v>2205</v>
      </c>
      <c r="D64" s="70"/>
      <c r="E64" s="70"/>
      <c r="F64" s="70"/>
      <c r="G64" s="70"/>
      <c r="H64" s="70"/>
      <c r="I64" s="70"/>
      <c r="J64" s="70"/>
      <c r="K64" s="70"/>
      <c r="L64" s="70"/>
      <c r="M64" s="70"/>
      <c r="N64" s="70"/>
      <c r="O64" s="70"/>
      <c r="P64" s="70"/>
      <c r="Q64" s="70"/>
      <c r="R64" s="70"/>
      <c r="S64" s="70"/>
      <c r="T64" s="70"/>
      <c r="U64" s="70"/>
      <c r="V64" s="70"/>
      <c r="W64" s="70"/>
      <c r="X64" s="70"/>
      <c r="Y64" s="70"/>
      <c r="Z64" s="70"/>
      <c r="AA64" s="70"/>
    </row>
    <row r="65" spans="1:27" ht="14">
      <c r="A65" s="69" t="s">
        <v>1743</v>
      </c>
      <c r="B65" s="145" t="s">
        <v>126</v>
      </c>
      <c r="C65" s="147" t="s">
        <v>2206</v>
      </c>
      <c r="D65" s="70"/>
      <c r="E65" s="70"/>
      <c r="F65" s="70"/>
      <c r="G65" s="70"/>
      <c r="H65" s="70"/>
      <c r="I65" s="70"/>
      <c r="J65" s="70"/>
      <c r="K65" s="70"/>
      <c r="L65" s="70"/>
      <c r="M65" s="70"/>
      <c r="N65" s="70"/>
      <c r="O65" s="70"/>
      <c r="P65" s="70"/>
      <c r="Q65" s="70"/>
      <c r="R65" s="70"/>
      <c r="S65" s="70"/>
      <c r="T65" s="70"/>
      <c r="U65" s="70"/>
      <c r="V65" s="70"/>
      <c r="W65" s="70"/>
      <c r="X65" s="70"/>
      <c r="Y65" s="70"/>
      <c r="Z65" s="70"/>
      <c r="AA65" s="70"/>
    </row>
    <row r="66" spans="1:27" ht="14">
      <c r="A66" s="69" t="s">
        <v>1703</v>
      </c>
      <c r="B66" s="145" t="s">
        <v>1473</v>
      </c>
      <c r="C66" s="69" t="s">
        <v>2207</v>
      </c>
      <c r="D66" s="69"/>
      <c r="E66" s="70"/>
      <c r="F66" s="70"/>
      <c r="G66" s="70"/>
      <c r="H66" s="70"/>
      <c r="I66" s="70"/>
      <c r="J66" s="70"/>
      <c r="K66" s="70"/>
      <c r="L66" s="70"/>
      <c r="M66" s="70"/>
      <c r="N66" s="70"/>
      <c r="O66" s="70"/>
      <c r="P66" s="70"/>
      <c r="Q66" s="70"/>
      <c r="R66" s="70"/>
      <c r="S66" s="70"/>
      <c r="T66" s="70"/>
      <c r="U66" s="70"/>
      <c r="V66" s="70"/>
      <c r="W66" s="70"/>
      <c r="X66" s="70"/>
      <c r="Y66" s="70"/>
      <c r="Z66" s="70"/>
      <c r="AA66" s="70"/>
    </row>
    <row r="67" spans="1:27" ht="14">
      <c r="A67" s="69" t="s">
        <v>1926</v>
      </c>
      <c r="B67" s="145" t="s">
        <v>126</v>
      </c>
      <c r="C67" s="148" t="s">
        <v>2208</v>
      </c>
      <c r="D67" s="69"/>
      <c r="E67" s="70"/>
      <c r="F67" s="70"/>
      <c r="G67" s="70"/>
      <c r="H67" s="70"/>
      <c r="I67" s="70"/>
      <c r="J67" s="70"/>
      <c r="K67" s="70"/>
      <c r="L67" s="70"/>
      <c r="M67" s="70"/>
      <c r="N67" s="70"/>
      <c r="O67" s="70"/>
      <c r="P67" s="70"/>
      <c r="Q67" s="70"/>
      <c r="R67" s="70"/>
      <c r="S67" s="70"/>
      <c r="T67" s="70"/>
      <c r="U67" s="70"/>
      <c r="V67" s="70"/>
      <c r="W67" s="70"/>
      <c r="X67" s="70"/>
      <c r="Y67" s="70"/>
      <c r="Z67" s="70"/>
      <c r="AA67" s="70"/>
    </row>
    <row r="68" spans="1:27" ht="14">
      <c r="A68" s="69" t="s">
        <v>1754</v>
      </c>
      <c r="B68" s="145" t="s">
        <v>126</v>
      </c>
      <c r="C68" s="69" t="s">
        <v>2209</v>
      </c>
      <c r="D68" s="69"/>
      <c r="E68" s="70"/>
      <c r="F68" s="70"/>
      <c r="G68" s="70"/>
      <c r="H68" s="70"/>
      <c r="I68" s="70"/>
      <c r="J68" s="70"/>
      <c r="K68" s="70"/>
      <c r="L68" s="70"/>
      <c r="M68" s="70"/>
      <c r="N68" s="70"/>
      <c r="O68" s="70"/>
      <c r="P68" s="70"/>
      <c r="Q68" s="70"/>
      <c r="R68" s="70"/>
      <c r="S68" s="70"/>
      <c r="T68" s="70"/>
      <c r="U68" s="70"/>
      <c r="V68" s="70"/>
      <c r="W68" s="70"/>
      <c r="X68" s="70"/>
      <c r="Y68" s="70"/>
      <c r="Z68" s="70"/>
      <c r="AA68" s="70"/>
    </row>
    <row r="69" spans="1:27" ht="14">
      <c r="A69" s="69" t="s">
        <v>1476</v>
      </c>
      <c r="B69" s="145" t="s">
        <v>1473</v>
      </c>
      <c r="C69" s="69" t="s">
        <v>2210</v>
      </c>
      <c r="D69" s="69"/>
      <c r="E69" s="70"/>
      <c r="F69" s="70"/>
      <c r="G69" s="70"/>
      <c r="H69" s="70"/>
      <c r="I69" s="70"/>
      <c r="J69" s="70"/>
      <c r="K69" s="70"/>
      <c r="L69" s="70"/>
      <c r="M69" s="70"/>
      <c r="N69" s="70"/>
      <c r="O69" s="70"/>
      <c r="P69" s="70"/>
      <c r="Q69" s="70"/>
      <c r="R69" s="70"/>
      <c r="S69" s="70"/>
      <c r="T69" s="70"/>
      <c r="U69" s="70"/>
      <c r="V69" s="70"/>
      <c r="W69" s="70"/>
      <c r="X69" s="70"/>
      <c r="Y69" s="70"/>
      <c r="Z69" s="70"/>
      <c r="AA69" s="70"/>
    </row>
    <row r="70" spans="1:27" ht="14">
      <c r="A70" s="69" t="s">
        <v>1509</v>
      </c>
      <c r="B70" s="145" t="s">
        <v>1425</v>
      </c>
      <c r="C70" s="69" t="s">
        <v>2211</v>
      </c>
      <c r="D70" s="69"/>
      <c r="E70" s="70"/>
      <c r="F70" s="70"/>
      <c r="G70" s="70"/>
      <c r="H70" s="70"/>
      <c r="I70" s="70"/>
      <c r="J70" s="70"/>
      <c r="K70" s="70"/>
      <c r="L70" s="70"/>
      <c r="M70" s="70"/>
      <c r="N70" s="70"/>
      <c r="O70" s="70"/>
      <c r="P70" s="70"/>
      <c r="Q70" s="70"/>
      <c r="R70" s="70"/>
      <c r="S70" s="70"/>
      <c r="T70" s="70"/>
      <c r="U70" s="70"/>
      <c r="V70" s="70"/>
      <c r="W70" s="70"/>
      <c r="X70" s="70"/>
      <c r="Y70" s="70"/>
      <c r="Z70" s="70"/>
      <c r="AA70" s="70"/>
    </row>
    <row r="71" spans="1:27" ht="14">
      <c r="A71" s="69" t="s">
        <v>1632</v>
      </c>
      <c r="B71" s="145" t="s">
        <v>126</v>
      </c>
      <c r="C71" s="148" t="s">
        <v>2212</v>
      </c>
      <c r="D71" s="69"/>
      <c r="E71" s="70"/>
      <c r="F71" s="70"/>
      <c r="G71" s="70"/>
      <c r="H71" s="70"/>
      <c r="I71" s="70"/>
      <c r="J71" s="70"/>
      <c r="K71" s="70"/>
      <c r="L71" s="70"/>
      <c r="M71" s="70"/>
      <c r="N71" s="70"/>
      <c r="O71" s="70"/>
      <c r="P71" s="70"/>
      <c r="Q71" s="70"/>
      <c r="R71" s="70"/>
      <c r="S71" s="70"/>
      <c r="T71" s="70"/>
      <c r="U71" s="70"/>
      <c r="V71" s="70"/>
      <c r="W71" s="70"/>
      <c r="X71" s="70"/>
      <c r="Y71" s="70"/>
      <c r="Z71" s="70"/>
      <c r="AA71" s="70"/>
    </row>
    <row r="72" spans="1:27" ht="14">
      <c r="A72" s="69" t="s">
        <v>1603</v>
      </c>
      <c r="B72" s="145" t="s">
        <v>126</v>
      </c>
      <c r="C72" s="69" t="s">
        <v>2213</v>
      </c>
      <c r="D72" s="69"/>
      <c r="E72" s="70"/>
      <c r="F72" s="70"/>
      <c r="G72" s="70"/>
      <c r="H72" s="70"/>
      <c r="I72" s="70"/>
      <c r="J72" s="70"/>
      <c r="K72" s="70"/>
      <c r="L72" s="70"/>
      <c r="M72" s="70"/>
      <c r="N72" s="70"/>
      <c r="O72" s="70"/>
      <c r="P72" s="70"/>
      <c r="Q72" s="70"/>
      <c r="R72" s="70"/>
      <c r="S72" s="70"/>
      <c r="T72" s="70"/>
      <c r="U72" s="70"/>
      <c r="V72" s="70"/>
      <c r="W72" s="70"/>
      <c r="X72" s="70"/>
      <c r="Y72" s="70"/>
      <c r="Z72" s="70"/>
      <c r="AA72" s="70"/>
    </row>
    <row r="73" spans="1:27" ht="14">
      <c r="A73" s="69" t="s">
        <v>1769</v>
      </c>
      <c r="B73" s="145" t="s">
        <v>126</v>
      </c>
      <c r="C73" s="69" t="s">
        <v>2214</v>
      </c>
      <c r="D73" s="70"/>
      <c r="E73" s="70"/>
      <c r="F73" s="70"/>
      <c r="G73" s="70"/>
      <c r="H73" s="70"/>
      <c r="I73" s="70"/>
      <c r="J73" s="70"/>
      <c r="K73" s="70"/>
      <c r="L73" s="70"/>
      <c r="M73" s="70"/>
      <c r="N73" s="70"/>
      <c r="O73" s="70"/>
      <c r="P73" s="70"/>
      <c r="Q73" s="70"/>
      <c r="R73" s="70"/>
      <c r="S73" s="70"/>
      <c r="T73" s="70"/>
      <c r="U73" s="70"/>
      <c r="V73" s="70"/>
      <c r="W73" s="70"/>
      <c r="X73" s="70"/>
      <c r="Y73" s="70"/>
      <c r="Z73" s="70"/>
      <c r="AA73" s="70"/>
    </row>
    <row r="74" spans="1:27" ht="14">
      <c r="A74" s="69" t="s">
        <v>1556</v>
      </c>
      <c r="B74" s="145" t="s">
        <v>126</v>
      </c>
      <c r="C74" s="148" t="s">
        <v>2215</v>
      </c>
      <c r="D74" s="69"/>
      <c r="E74" s="70"/>
      <c r="F74" s="70"/>
      <c r="G74" s="70"/>
      <c r="H74" s="70"/>
      <c r="I74" s="70"/>
      <c r="J74" s="70"/>
      <c r="K74" s="70"/>
      <c r="L74" s="70"/>
      <c r="M74" s="70"/>
      <c r="N74" s="70"/>
      <c r="O74" s="70"/>
      <c r="P74" s="70"/>
      <c r="Q74" s="70"/>
      <c r="R74" s="70"/>
      <c r="S74" s="70"/>
      <c r="T74" s="70"/>
      <c r="U74" s="70"/>
      <c r="V74" s="70"/>
      <c r="W74" s="70"/>
      <c r="X74" s="70"/>
      <c r="Y74" s="70"/>
      <c r="Z74" s="70"/>
      <c r="AA74" s="70"/>
    </row>
    <row r="75" spans="1:27" ht="28">
      <c r="A75" s="69" t="s">
        <v>1791</v>
      </c>
      <c r="B75" s="145" t="s">
        <v>1425</v>
      </c>
      <c r="C75" s="148" t="s">
        <v>2216</v>
      </c>
      <c r="D75" s="69"/>
      <c r="E75" s="70"/>
      <c r="F75" s="70"/>
      <c r="G75" s="70"/>
      <c r="H75" s="70"/>
      <c r="I75" s="70"/>
      <c r="J75" s="70"/>
      <c r="K75" s="70"/>
      <c r="L75" s="70"/>
      <c r="M75" s="70"/>
      <c r="N75" s="70"/>
      <c r="O75" s="70"/>
      <c r="P75" s="70"/>
      <c r="Q75" s="70"/>
      <c r="R75" s="70"/>
      <c r="S75" s="70"/>
      <c r="T75" s="70"/>
      <c r="U75" s="70"/>
      <c r="V75" s="70"/>
      <c r="W75" s="70"/>
      <c r="X75" s="70"/>
      <c r="Y75" s="70"/>
      <c r="Z75" s="70"/>
      <c r="AA75" s="70"/>
    </row>
    <row r="76" spans="1:27" ht="14">
      <c r="A76" s="69" t="s">
        <v>1932</v>
      </c>
      <c r="B76" s="145" t="s">
        <v>126</v>
      </c>
      <c r="C76" s="148" t="s">
        <v>2217</v>
      </c>
      <c r="D76" s="70"/>
      <c r="E76" s="70"/>
      <c r="F76" s="70"/>
      <c r="G76" s="70"/>
      <c r="H76" s="70"/>
      <c r="I76" s="70"/>
      <c r="J76" s="70"/>
      <c r="K76" s="70"/>
      <c r="L76" s="70"/>
      <c r="M76" s="70"/>
      <c r="N76" s="70"/>
      <c r="O76" s="70"/>
      <c r="P76" s="70"/>
      <c r="Q76" s="70"/>
      <c r="R76" s="70"/>
      <c r="S76" s="70"/>
      <c r="T76" s="70"/>
      <c r="U76" s="70"/>
      <c r="V76" s="70"/>
      <c r="W76" s="70"/>
      <c r="X76" s="70"/>
      <c r="Y76" s="70"/>
      <c r="Z76" s="70"/>
      <c r="AA76" s="70"/>
    </row>
    <row r="77" spans="1:27" ht="14">
      <c r="A77" s="69" t="s">
        <v>1762</v>
      </c>
      <c r="B77" s="145" t="s">
        <v>1425</v>
      </c>
      <c r="C77" s="69" t="s">
        <v>2218</v>
      </c>
      <c r="D77" s="70"/>
      <c r="E77" s="70"/>
      <c r="F77" s="70"/>
      <c r="G77" s="70"/>
      <c r="H77" s="70"/>
      <c r="I77" s="70"/>
      <c r="J77" s="70"/>
      <c r="K77" s="70"/>
      <c r="L77" s="70"/>
      <c r="M77" s="70"/>
      <c r="N77" s="70"/>
      <c r="O77" s="70"/>
      <c r="P77" s="70"/>
      <c r="Q77" s="70"/>
      <c r="R77" s="70"/>
      <c r="S77" s="70"/>
      <c r="T77" s="70"/>
      <c r="U77" s="70"/>
      <c r="V77" s="70"/>
      <c r="W77" s="70"/>
      <c r="X77" s="70"/>
      <c r="Y77" s="70"/>
      <c r="Z77" s="70"/>
      <c r="AA77" s="70"/>
    </row>
    <row r="78" spans="1:27" ht="14">
      <c r="A78" s="69" t="s">
        <v>2219</v>
      </c>
      <c r="B78" s="145" t="s">
        <v>126</v>
      </c>
      <c r="C78" s="148" t="s">
        <v>2220</v>
      </c>
      <c r="D78" s="69"/>
      <c r="E78" s="70"/>
      <c r="F78" s="70"/>
      <c r="G78" s="70"/>
      <c r="H78" s="70"/>
      <c r="I78" s="70"/>
      <c r="J78" s="70"/>
      <c r="K78" s="70"/>
      <c r="L78" s="70"/>
      <c r="M78" s="70"/>
      <c r="N78" s="70"/>
      <c r="O78" s="70"/>
      <c r="P78" s="70"/>
      <c r="Q78" s="70"/>
      <c r="R78" s="70"/>
      <c r="S78" s="70"/>
      <c r="T78" s="70"/>
      <c r="U78" s="70"/>
      <c r="V78" s="70"/>
      <c r="W78" s="70"/>
      <c r="X78" s="70"/>
      <c r="Y78" s="70"/>
      <c r="Z78" s="70"/>
      <c r="AA78" s="70"/>
    </row>
    <row r="79" spans="1:27" ht="28">
      <c r="A79" s="69" t="s">
        <v>1635</v>
      </c>
      <c r="B79" s="145" t="s">
        <v>126</v>
      </c>
      <c r="C79" s="147" t="s">
        <v>2221</v>
      </c>
      <c r="D79" s="69"/>
      <c r="E79" s="70"/>
      <c r="F79" s="70"/>
      <c r="G79" s="70"/>
      <c r="H79" s="70"/>
      <c r="I79" s="70"/>
      <c r="J79" s="70"/>
      <c r="K79" s="70"/>
      <c r="L79" s="70"/>
      <c r="M79" s="70"/>
      <c r="N79" s="70"/>
      <c r="O79" s="70"/>
      <c r="P79" s="70"/>
      <c r="Q79" s="70"/>
      <c r="R79" s="70"/>
      <c r="S79" s="70"/>
      <c r="T79" s="70"/>
      <c r="U79" s="70"/>
      <c r="V79" s="70"/>
      <c r="W79" s="70"/>
      <c r="X79" s="70"/>
      <c r="Y79" s="70"/>
      <c r="Z79" s="70"/>
      <c r="AA79" s="70"/>
    </row>
    <row r="80" spans="1:27" ht="14">
      <c r="A80" s="69" t="s">
        <v>1951</v>
      </c>
      <c r="B80" s="145" t="s">
        <v>126</v>
      </c>
      <c r="C80" s="69" t="s">
        <v>2222</v>
      </c>
      <c r="D80" s="70"/>
      <c r="E80" s="70"/>
      <c r="F80" s="70"/>
      <c r="G80" s="70"/>
      <c r="H80" s="70"/>
      <c r="I80" s="70"/>
      <c r="J80" s="70"/>
      <c r="K80" s="70"/>
      <c r="L80" s="70"/>
      <c r="M80" s="70"/>
      <c r="N80" s="70"/>
      <c r="O80" s="70"/>
      <c r="P80" s="70"/>
      <c r="Q80" s="70"/>
      <c r="R80" s="70"/>
      <c r="S80" s="70"/>
      <c r="T80" s="70"/>
      <c r="U80" s="70"/>
      <c r="V80" s="70"/>
      <c r="W80" s="70"/>
      <c r="X80" s="70"/>
      <c r="Y80" s="70"/>
      <c r="Z80" s="70"/>
      <c r="AA80" s="70"/>
    </row>
    <row r="81" spans="1:27" ht="42">
      <c r="A81" s="69" t="s">
        <v>1487</v>
      </c>
      <c r="B81" s="145" t="s">
        <v>1425</v>
      </c>
      <c r="C81" s="69" t="s">
        <v>2223</v>
      </c>
      <c r="D81" s="70"/>
      <c r="E81" s="70"/>
      <c r="F81" s="70"/>
      <c r="G81" s="70"/>
      <c r="H81" s="70"/>
      <c r="I81" s="70"/>
      <c r="J81" s="70"/>
      <c r="K81" s="70"/>
      <c r="L81" s="70"/>
      <c r="M81" s="70"/>
      <c r="N81" s="70"/>
      <c r="O81" s="70"/>
      <c r="P81" s="70"/>
      <c r="Q81" s="70"/>
      <c r="R81" s="70"/>
      <c r="S81" s="70"/>
      <c r="T81" s="70"/>
      <c r="U81" s="70"/>
      <c r="V81" s="70"/>
      <c r="W81" s="70"/>
      <c r="X81" s="70"/>
      <c r="Y81" s="70"/>
      <c r="Z81" s="70"/>
      <c r="AA81" s="70"/>
    </row>
    <row r="82" spans="1:27" ht="14">
      <c r="A82" s="69" t="s">
        <v>1522</v>
      </c>
      <c r="B82" s="145" t="s">
        <v>126</v>
      </c>
      <c r="C82" s="69" t="s">
        <v>2224</v>
      </c>
      <c r="D82" s="70"/>
      <c r="E82" s="70"/>
      <c r="F82" s="70"/>
      <c r="G82" s="70"/>
      <c r="H82" s="70"/>
      <c r="I82" s="70"/>
      <c r="J82" s="70"/>
      <c r="K82" s="70"/>
      <c r="L82" s="70"/>
      <c r="M82" s="70"/>
      <c r="N82" s="70"/>
      <c r="O82" s="70"/>
      <c r="P82" s="70"/>
      <c r="Q82" s="70"/>
      <c r="R82" s="70"/>
      <c r="S82" s="70"/>
      <c r="T82" s="70"/>
      <c r="U82" s="70"/>
      <c r="V82" s="70"/>
      <c r="W82" s="70"/>
      <c r="X82" s="70"/>
      <c r="Y82" s="70"/>
      <c r="Z82" s="70"/>
      <c r="AA82" s="70"/>
    </row>
    <row r="83" spans="1:27" ht="14">
      <c r="A83" s="69" t="s">
        <v>1919</v>
      </c>
      <c r="B83" s="145" t="s">
        <v>126</v>
      </c>
      <c r="C83" s="148" t="s">
        <v>2225</v>
      </c>
      <c r="D83" s="70"/>
      <c r="E83" s="70"/>
      <c r="F83" s="70"/>
      <c r="G83" s="70"/>
      <c r="H83" s="70"/>
      <c r="I83" s="70"/>
      <c r="J83" s="70"/>
      <c r="K83" s="70"/>
      <c r="L83" s="70"/>
      <c r="M83" s="70"/>
      <c r="N83" s="70"/>
      <c r="O83" s="70"/>
      <c r="P83" s="70"/>
      <c r="Q83" s="70"/>
      <c r="R83" s="70"/>
      <c r="S83" s="70"/>
      <c r="T83" s="70"/>
      <c r="U83" s="70"/>
      <c r="V83" s="70"/>
      <c r="W83" s="70"/>
      <c r="X83" s="70"/>
      <c r="Y83" s="70"/>
      <c r="Z83" s="70"/>
      <c r="AA83" s="70"/>
    </row>
    <row r="84" spans="1:27" ht="28">
      <c r="A84" s="69" t="s">
        <v>1737</v>
      </c>
      <c r="B84" s="145" t="s">
        <v>126</v>
      </c>
      <c r="C84" s="147" t="s">
        <v>2226</v>
      </c>
      <c r="D84" s="70"/>
      <c r="E84" s="70"/>
      <c r="F84" s="70"/>
      <c r="G84" s="70"/>
      <c r="H84" s="70"/>
      <c r="I84" s="70"/>
      <c r="J84" s="70"/>
      <c r="K84" s="70"/>
      <c r="L84" s="70"/>
      <c r="M84" s="70"/>
      <c r="N84" s="70"/>
      <c r="O84" s="70"/>
      <c r="P84" s="70"/>
      <c r="Q84" s="70"/>
      <c r="R84" s="70"/>
      <c r="S84" s="70"/>
      <c r="T84" s="70"/>
      <c r="U84" s="70"/>
      <c r="V84" s="70"/>
      <c r="W84" s="70"/>
      <c r="X84" s="70"/>
      <c r="Y84" s="70"/>
      <c r="Z84" s="70"/>
      <c r="AA84" s="70"/>
    </row>
    <row r="85" spans="1:27" ht="28">
      <c r="A85" s="69" t="s">
        <v>1539</v>
      </c>
      <c r="B85" s="145" t="s">
        <v>1425</v>
      </c>
      <c r="C85" s="69" t="s">
        <v>2227</v>
      </c>
      <c r="D85" s="70"/>
      <c r="E85" s="70"/>
      <c r="F85" s="70"/>
      <c r="G85" s="70"/>
      <c r="H85" s="70"/>
      <c r="I85" s="70"/>
      <c r="J85" s="70"/>
      <c r="K85" s="70"/>
      <c r="L85" s="70"/>
      <c r="M85" s="70"/>
      <c r="N85" s="70"/>
      <c r="O85" s="70"/>
      <c r="P85" s="70"/>
      <c r="Q85" s="70"/>
      <c r="R85" s="70"/>
      <c r="S85" s="70"/>
      <c r="T85" s="70"/>
      <c r="U85" s="70"/>
      <c r="V85" s="70"/>
      <c r="W85" s="70"/>
      <c r="X85" s="70"/>
      <c r="Y85" s="70"/>
      <c r="Z85" s="70"/>
      <c r="AA85" s="70"/>
    </row>
    <row r="86" spans="1:27" ht="14">
      <c r="A86" s="69" t="s">
        <v>1959</v>
      </c>
      <c r="B86" s="145" t="s">
        <v>126</v>
      </c>
      <c r="C86" s="147" t="s">
        <v>2228</v>
      </c>
      <c r="D86" s="70"/>
      <c r="E86" s="70"/>
      <c r="F86" s="70"/>
      <c r="G86" s="70"/>
      <c r="H86" s="70"/>
      <c r="I86" s="70"/>
      <c r="J86" s="70"/>
      <c r="K86" s="70"/>
      <c r="L86" s="70"/>
      <c r="M86" s="70"/>
      <c r="N86" s="70"/>
      <c r="O86" s="70"/>
      <c r="P86" s="70"/>
      <c r="Q86" s="70"/>
      <c r="R86" s="70"/>
      <c r="S86" s="70"/>
      <c r="T86" s="70"/>
      <c r="U86" s="70"/>
      <c r="V86" s="70"/>
      <c r="W86" s="70"/>
      <c r="X86" s="70"/>
      <c r="Y86" s="70"/>
      <c r="Z86" s="70"/>
      <c r="AA86" s="70"/>
    </row>
    <row r="87" spans="1:27" ht="14">
      <c r="A87" s="69" t="s">
        <v>1656</v>
      </c>
      <c r="B87" s="145" t="s">
        <v>126</v>
      </c>
      <c r="C87" s="148" t="s">
        <v>2229</v>
      </c>
      <c r="D87" s="70"/>
      <c r="E87" s="70"/>
      <c r="F87" s="70"/>
      <c r="G87" s="70"/>
      <c r="H87" s="70"/>
      <c r="I87" s="70"/>
      <c r="J87" s="70"/>
      <c r="K87" s="70"/>
      <c r="L87" s="70"/>
      <c r="M87" s="70"/>
      <c r="N87" s="70"/>
      <c r="O87" s="70"/>
      <c r="P87" s="70"/>
      <c r="Q87" s="70"/>
      <c r="R87" s="70"/>
      <c r="S87" s="70"/>
      <c r="T87" s="70"/>
      <c r="U87" s="70"/>
      <c r="V87" s="70"/>
      <c r="W87" s="70"/>
      <c r="X87" s="70"/>
      <c r="Y87" s="70"/>
      <c r="Z87" s="70"/>
      <c r="AA87" s="70"/>
    </row>
    <row r="88" spans="1:27" ht="14">
      <c r="A88" s="69" t="s">
        <v>1708</v>
      </c>
      <c r="B88" s="145" t="s">
        <v>126</v>
      </c>
      <c r="C88" s="69" t="s">
        <v>2230</v>
      </c>
      <c r="D88" s="70"/>
      <c r="E88" s="70"/>
      <c r="F88" s="70"/>
      <c r="G88" s="70"/>
      <c r="H88" s="70"/>
      <c r="I88" s="70"/>
      <c r="J88" s="70"/>
      <c r="K88" s="70"/>
      <c r="L88" s="70"/>
      <c r="M88" s="70"/>
      <c r="N88" s="70"/>
      <c r="O88" s="70"/>
      <c r="P88" s="70"/>
      <c r="Q88" s="70"/>
      <c r="R88" s="70"/>
      <c r="S88" s="70"/>
      <c r="T88" s="70"/>
      <c r="U88" s="70"/>
      <c r="V88" s="70"/>
      <c r="W88" s="70"/>
      <c r="X88" s="70"/>
      <c r="Y88" s="70"/>
      <c r="Z88" s="70"/>
      <c r="AA88" s="70"/>
    </row>
    <row r="89" spans="1:27" ht="14">
      <c r="A89" s="69" t="s">
        <v>1866</v>
      </c>
      <c r="B89" s="145" t="s">
        <v>126</v>
      </c>
      <c r="C89" s="69" t="s">
        <v>2231</v>
      </c>
      <c r="D89" s="70"/>
      <c r="E89" s="70"/>
      <c r="F89" s="70"/>
      <c r="G89" s="70"/>
      <c r="H89" s="70"/>
      <c r="I89" s="70"/>
      <c r="J89" s="70"/>
      <c r="K89" s="70"/>
      <c r="L89" s="70"/>
      <c r="M89" s="70"/>
      <c r="N89" s="70"/>
      <c r="O89" s="70"/>
      <c r="P89" s="70"/>
      <c r="Q89" s="70"/>
      <c r="R89" s="70"/>
      <c r="S89" s="70"/>
      <c r="T89" s="70"/>
      <c r="U89" s="70"/>
      <c r="V89" s="70"/>
      <c r="W89" s="70"/>
      <c r="X89" s="70"/>
      <c r="Y89" s="70"/>
      <c r="Z89" s="70"/>
      <c r="AA89" s="70"/>
    </row>
    <row r="90" spans="1:27" ht="14">
      <c r="A90" s="69" t="s">
        <v>1717</v>
      </c>
      <c r="B90" s="145" t="s">
        <v>1473</v>
      </c>
      <c r="C90" s="69" t="s">
        <v>2232</v>
      </c>
      <c r="D90" s="70"/>
      <c r="E90" s="70"/>
      <c r="F90" s="70"/>
      <c r="G90" s="70"/>
      <c r="H90" s="70"/>
      <c r="I90" s="70"/>
      <c r="J90" s="70"/>
      <c r="K90" s="70"/>
      <c r="L90" s="70"/>
      <c r="M90" s="70"/>
      <c r="N90" s="70"/>
      <c r="O90" s="70"/>
      <c r="P90" s="70"/>
      <c r="Q90" s="70"/>
      <c r="R90" s="70"/>
      <c r="S90" s="70"/>
      <c r="T90" s="70"/>
      <c r="U90" s="70"/>
      <c r="V90" s="70"/>
      <c r="W90" s="70"/>
      <c r="X90" s="70"/>
      <c r="Y90" s="70"/>
      <c r="Z90" s="70"/>
      <c r="AA90" s="70"/>
    </row>
    <row r="91" spans="1:27" ht="14">
      <c r="A91" s="69" t="s">
        <v>1964</v>
      </c>
      <c r="B91" s="145" t="s">
        <v>126</v>
      </c>
      <c r="C91" s="147" t="s">
        <v>2233</v>
      </c>
      <c r="D91" s="70"/>
      <c r="E91" s="70"/>
      <c r="F91" s="70"/>
      <c r="G91" s="70"/>
      <c r="H91" s="70"/>
      <c r="I91" s="70"/>
      <c r="J91" s="70"/>
      <c r="K91" s="70"/>
      <c r="L91" s="70"/>
      <c r="M91" s="70"/>
      <c r="N91" s="70"/>
      <c r="O91" s="70"/>
      <c r="P91" s="70"/>
      <c r="Q91" s="70"/>
      <c r="R91" s="70"/>
      <c r="S91" s="70"/>
      <c r="T91" s="70"/>
      <c r="U91" s="70"/>
      <c r="V91" s="70"/>
      <c r="W91" s="70"/>
      <c r="X91" s="70"/>
      <c r="Y91" s="70"/>
      <c r="Z91" s="70"/>
      <c r="AA91" s="70"/>
    </row>
    <row r="92" spans="1:27" ht="42">
      <c r="A92" s="69" t="s">
        <v>1431</v>
      </c>
      <c r="B92" s="145" t="s">
        <v>1425</v>
      </c>
      <c r="C92" s="147" t="s">
        <v>2234</v>
      </c>
      <c r="D92" s="70"/>
      <c r="E92" s="70"/>
      <c r="F92" s="70"/>
      <c r="G92" s="70"/>
      <c r="H92" s="70"/>
      <c r="I92" s="70"/>
      <c r="J92" s="70"/>
      <c r="K92" s="70"/>
      <c r="L92" s="70"/>
      <c r="M92" s="70"/>
      <c r="N92" s="70"/>
      <c r="O92" s="70"/>
      <c r="P92" s="70"/>
      <c r="Q92" s="70"/>
      <c r="R92" s="70"/>
      <c r="S92" s="70"/>
      <c r="T92" s="70"/>
      <c r="U92" s="70"/>
      <c r="V92" s="70"/>
      <c r="W92" s="70"/>
      <c r="X92" s="70"/>
      <c r="Y92" s="70"/>
      <c r="Z92" s="70"/>
      <c r="AA92" s="70"/>
    </row>
    <row r="93" spans="1:27" ht="14">
      <c r="A93" s="69" t="s">
        <v>1670</v>
      </c>
      <c r="B93" s="145" t="s">
        <v>1425</v>
      </c>
      <c r="C93" s="69" t="s">
        <v>2235</v>
      </c>
      <c r="D93" s="70"/>
      <c r="E93" s="70"/>
      <c r="F93" s="70"/>
      <c r="G93" s="70"/>
      <c r="H93" s="70"/>
      <c r="I93" s="70"/>
      <c r="J93" s="70"/>
      <c r="K93" s="70"/>
      <c r="L93" s="70"/>
      <c r="M93" s="70"/>
      <c r="N93" s="70"/>
      <c r="O93" s="70"/>
      <c r="P93" s="70"/>
      <c r="Q93" s="70"/>
      <c r="R93" s="70"/>
      <c r="S93" s="70"/>
      <c r="T93" s="70"/>
      <c r="U93" s="70"/>
      <c r="V93" s="70"/>
      <c r="W93" s="70"/>
      <c r="X93" s="70"/>
      <c r="Y93" s="70"/>
      <c r="Z93" s="70"/>
      <c r="AA93" s="70"/>
    </row>
    <row r="94" spans="1:27" ht="14">
      <c r="A94" s="69" t="s">
        <v>1566</v>
      </c>
      <c r="B94" s="145" t="s">
        <v>126</v>
      </c>
      <c r="C94" s="69" t="s">
        <v>2236</v>
      </c>
      <c r="D94" s="70"/>
      <c r="E94" s="70"/>
      <c r="F94" s="70"/>
      <c r="G94" s="70"/>
      <c r="H94" s="70"/>
      <c r="I94" s="70"/>
      <c r="J94" s="70"/>
      <c r="K94" s="70"/>
      <c r="L94" s="70"/>
      <c r="M94" s="70"/>
      <c r="N94" s="70"/>
      <c r="O94" s="70"/>
      <c r="P94" s="70"/>
      <c r="Q94" s="70"/>
      <c r="R94" s="70"/>
      <c r="S94" s="70"/>
      <c r="T94" s="70"/>
      <c r="U94" s="70"/>
      <c r="V94" s="70"/>
      <c r="W94" s="70"/>
      <c r="X94" s="70"/>
      <c r="Y94" s="70"/>
      <c r="Z94" s="70"/>
      <c r="AA94" s="70"/>
    </row>
    <row r="95" spans="1:27" ht="14">
      <c r="A95" s="69" t="s">
        <v>1851</v>
      </c>
      <c r="B95" s="145" t="s">
        <v>1425</v>
      </c>
      <c r="C95" s="69" t="s">
        <v>2237</v>
      </c>
      <c r="D95" s="70"/>
      <c r="E95" s="70"/>
      <c r="F95" s="70"/>
      <c r="G95" s="70"/>
      <c r="H95" s="70"/>
      <c r="I95" s="70"/>
      <c r="J95" s="70"/>
      <c r="K95" s="70"/>
      <c r="L95" s="70"/>
      <c r="M95" s="70"/>
      <c r="N95" s="70"/>
      <c r="O95" s="70"/>
      <c r="P95" s="70"/>
      <c r="Q95" s="70"/>
      <c r="R95" s="70"/>
      <c r="S95" s="70"/>
      <c r="T95" s="70"/>
      <c r="U95" s="70"/>
      <c r="V95" s="70"/>
      <c r="W95" s="70"/>
      <c r="X95" s="70"/>
      <c r="Y95" s="70"/>
      <c r="Z95" s="70"/>
      <c r="AA95" s="70"/>
    </row>
    <row r="96" spans="1:27" ht="14">
      <c r="A96" s="69" t="s">
        <v>2238</v>
      </c>
      <c r="B96" s="145" t="s">
        <v>1425</v>
      </c>
      <c r="C96" s="69" t="s">
        <v>2239</v>
      </c>
      <c r="D96" s="70"/>
      <c r="E96" s="70"/>
      <c r="F96" s="70"/>
      <c r="G96" s="70"/>
      <c r="H96" s="70"/>
      <c r="I96" s="70"/>
      <c r="J96" s="70"/>
      <c r="K96" s="70"/>
      <c r="L96" s="70"/>
      <c r="M96" s="70"/>
      <c r="N96" s="70"/>
      <c r="O96" s="70"/>
      <c r="P96" s="70"/>
      <c r="Q96" s="70"/>
      <c r="R96" s="70"/>
      <c r="S96" s="70"/>
      <c r="T96" s="70"/>
      <c r="U96" s="70"/>
      <c r="V96" s="70"/>
      <c r="W96" s="70"/>
      <c r="X96" s="70"/>
      <c r="Y96" s="70"/>
      <c r="Z96" s="70"/>
      <c r="AA96" s="70"/>
    </row>
    <row r="97" spans="1:27" ht="14">
      <c r="A97" s="69" t="s">
        <v>1657</v>
      </c>
      <c r="B97" s="145" t="s">
        <v>126</v>
      </c>
      <c r="C97" s="148" t="s">
        <v>2240</v>
      </c>
      <c r="D97" s="70"/>
      <c r="E97" s="70"/>
      <c r="F97" s="70"/>
      <c r="G97" s="70"/>
      <c r="H97" s="70"/>
      <c r="I97" s="70"/>
      <c r="J97" s="70"/>
      <c r="K97" s="70"/>
      <c r="L97" s="70"/>
      <c r="M97" s="70"/>
      <c r="N97" s="70"/>
      <c r="O97" s="70"/>
      <c r="P97" s="70"/>
      <c r="Q97" s="70"/>
      <c r="R97" s="70"/>
      <c r="S97" s="70"/>
      <c r="T97" s="70"/>
      <c r="U97" s="70"/>
      <c r="V97" s="70"/>
      <c r="W97" s="70"/>
      <c r="X97" s="70"/>
      <c r="Y97" s="70"/>
      <c r="Z97" s="70"/>
      <c r="AA97" s="70"/>
    </row>
    <row r="98" spans="1:27" ht="14">
      <c r="A98" s="69" t="s">
        <v>1966</v>
      </c>
      <c r="B98" s="145" t="s">
        <v>126</v>
      </c>
      <c r="C98" s="69" t="s">
        <v>2241</v>
      </c>
      <c r="D98" s="70"/>
      <c r="E98" s="70"/>
      <c r="F98" s="70"/>
      <c r="G98" s="70"/>
      <c r="H98" s="70"/>
      <c r="I98" s="70"/>
      <c r="J98" s="70"/>
      <c r="K98" s="70"/>
      <c r="L98" s="70"/>
      <c r="M98" s="70"/>
      <c r="N98" s="70"/>
      <c r="O98" s="70"/>
      <c r="P98" s="70"/>
      <c r="Q98" s="70"/>
      <c r="R98" s="70"/>
      <c r="S98" s="70"/>
      <c r="T98" s="70"/>
      <c r="U98" s="70"/>
      <c r="V98" s="70"/>
      <c r="W98" s="70"/>
      <c r="X98" s="70"/>
      <c r="Y98" s="70"/>
      <c r="Z98" s="70"/>
      <c r="AA98" s="70"/>
    </row>
    <row r="99" spans="1:27" ht="14">
      <c r="A99" s="69" t="s">
        <v>1990</v>
      </c>
      <c r="B99" s="145" t="s">
        <v>126</v>
      </c>
      <c r="C99" s="69" t="s">
        <v>2242</v>
      </c>
      <c r="D99" s="70"/>
      <c r="E99" s="70"/>
      <c r="F99" s="70"/>
      <c r="G99" s="70"/>
      <c r="H99" s="70"/>
      <c r="I99" s="70"/>
      <c r="J99" s="70"/>
      <c r="K99" s="70"/>
      <c r="L99" s="70"/>
      <c r="M99" s="70"/>
      <c r="N99" s="70"/>
      <c r="O99" s="70"/>
      <c r="P99" s="70"/>
      <c r="Q99" s="70"/>
      <c r="R99" s="70"/>
      <c r="S99" s="70"/>
      <c r="T99" s="70"/>
      <c r="U99" s="70"/>
      <c r="V99" s="70"/>
      <c r="W99" s="70"/>
      <c r="X99" s="70"/>
      <c r="Y99" s="70"/>
      <c r="Z99" s="70"/>
      <c r="AA99" s="70"/>
    </row>
    <row r="100" spans="1:27" ht="14">
      <c r="A100" s="69" t="s">
        <v>1993</v>
      </c>
      <c r="B100" s="145" t="s">
        <v>126</v>
      </c>
      <c r="C100" s="69" t="s">
        <v>2243</v>
      </c>
      <c r="D100" s="70"/>
      <c r="E100" s="70"/>
      <c r="F100" s="70"/>
      <c r="G100" s="70"/>
      <c r="H100" s="70"/>
      <c r="I100" s="70"/>
      <c r="J100" s="70"/>
      <c r="K100" s="70"/>
      <c r="L100" s="70"/>
      <c r="M100" s="70"/>
      <c r="N100" s="70"/>
      <c r="O100" s="70"/>
      <c r="P100" s="70"/>
      <c r="Q100" s="70"/>
      <c r="R100" s="70"/>
      <c r="S100" s="70"/>
      <c r="T100" s="70"/>
      <c r="U100" s="70"/>
      <c r="V100" s="70"/>
      <c r="W100" s="70"/>
      <c r="X100" s="70"/>
      <c r="Y100" s="70"/>
      <c r="Z100" s="70"/>
      <c r="AA100" s="70"/>
    </row>
    <row r="101" spans="1:27" ht="14">
      <c r="A101" s="69" t="s">
        <v>1772</v>
      </c>
      <c r="B101" s="145" t="s">
        <v>126</v>
      </c>
      <c r="C101" s="69" t="s">
        <v>2244</v>
      </c>
      <c r="D101" s="70"/>
      <c r="E101" s="70"/>
      <c r="F101" s="70"/>
      <c r="G101" s="70"/>
      <c r="H101" s="70"/>
      <c r="I101" s="70"/>
      <c r="J101" s="70"/>
      <c r="K101" s="70"/>
      <c r="L101" s="70"/>
      <c r="M101" s="70"/>
      <c r="N101" s="70"/>
      <c r="O101" s="70"/>
      <c r="P101" s="70"/>
      <c r="Q101" s="70"/>
      <c r="R101" s="70"/>
      <c r="S101" s="70"/>
      <c r="T101" s="70"/>
      <c r="U101" s="70"/>
      <c r="V101" s="70"/>
      <c r="W101" s="70"/>
      <c r="X101" s="70"/>
      <c r="Y101" s="70"/>
      <c r="Z101" s="70"/>
      <c r="AA101" s="70"/>
    </row>
    <row r="102" spans="1:27" ht="14">
      <c r="A102" s="69" t="s">
        <v>1659</v>
      </c>
      <c r="B102" s="145" t="s">
        <v>126</v>
      </c>
      <c r="C102" s="69" t="s">
        <v>2245</v>
      </c>
      <c r="D102" s="70"/>
      <c r="E102" s="70"/>
      <c r="F102" s="70"/>
      <c r="G102" s="70"/>
      <c r="H102" s="70"/>
      <c r="I102" s="70"/>
      <c r="J102" s="70"/>
      <c r="K102" s="70"/>
      <c r="L102" s="70"/>
      <c r="M102" s="70"/>
      <c r="N102" s="70"/>
      <c r="O102" s="70"/>
      <c r="P102" s="70"/>
      <c r="Q102" s="70"/>
      <c r="R102" s="70"/>
      <c r="S102" s="70"/>
      <c r="T102" s="70"/>
      <c r="U102" s="70"/>
      <c r="V102" s="70"/>
      <c r="W102" s="70"/>
      <c r="X102" s="70"/>
      <c r="Y102" s="70"/>
      <c r="Z102" s="70"/>
      <c r="AA102" s="70"/>
    </row>
    <row r="103" spans="1:27" ht="28">
      <c r="A103" s="69" t="s">
        <v>1432</v>
      </c>
      <c r="B103" s="145" t="s">
        <v>1425</v>
      </c>
      <c r="C103" s="69" t="s">
        <v>2246</v>
      </c>
      <c r="D103" s="70"/>
      <c r="E103" s="70"/>
      <c r="F103" s="70"/>
      <c r="G103" s="70"/>
      <c r="H103" s="70"/>
      <c r="I103" s="70"/>
      <c r="J103" s="70"/>
      <c r="K103" s="70"/>
      <c r="L103" s="70"/>
      <c r="M103" s="70"/>
      <c r="N103" s="70"/>
      <c r="O103" s="70"/>
      <c r="P103" s="70"/>
      <c r="Q103" s="70"/>
      <c r="R103" s="70"/>
      <c r="S103" s="70"/>
      <c r="T103" s="70"/>
      <c r="U103" s="70"/>
      <c r="V103" s="70"/>
      <c r="W103" s="70"/>
      <c r="X103" s="70"/>
      <c r="Y103" s="70"/>
      <c r="Z103" s="70"/>
      <c r="AA103" s="70"/>
    </row>
    <row r="104" spans="1:27" ht="14">
      <c r="A104" s="69" t="s">
        <v>1669</v>
      </c>
      <c r="B104" s="145" t="s">
        <v>126</v>
      </c>
      <c r="C104" s="148" t="s">
        <v>2247</v>
      </c>
      <c r="D104" s="70"/>
      <c r="E104" s="70"/>
      <c r="F104" s="70"/>
      <c r="G104" s="70"/>
      <c r="H104" s="70"/>
      <c r="I104" s="70"/>
      <c r="J104" s="70"/>
      <c r="K104" s="70"/>
      <c r="L104" s="70"/>
      <c r="M104" s="70"/>
      <c r="N104" s="70"/>
      <c r="O104" s="70"/>
      <c r="P104" s="70"/>
      <c r="Q104" s="70"/>
      <c r="R104" s="70"/>
      <c r="S104" s="70"/>
      <c r="T104" s="70"/>
      <c r="U104" s="70"/>
      <c r="V104" s="70"/>
      <c r="W104" s="70"/>
      <c r="X104" s="70"/>
      <c r="Y104" s="70"/>
      <c r="Z104" s="70"/>
      <c r="AA104" s="70"/>
    </row>
    <row r="105" spans="1:27" ht="14">
      <c r="A105" s="69" t="s">
        <v>1972</v>
      </c>
      <c r="B105" s="145" t="s">
        <v>126</v>
      </c>
      <c r="C105" s="147" t="s">
        <v>2248</v>
      </c>
      <c r="D105" s="70"/>
      <c r="E105" s="70"/>
      <c r="F105" s="70"/>
      <c r="G105" s="70"/>
      <c r="H105" s="70"/>
      <c r="I105" s="70"/>
      <c r="J105" s="70"/>
      <c r="K105" s="70"/>
      <c r="L105" s="70"/>
      <c r="M105" s="70"/>
      <c r="N105" s="70"/>
      <c r="O105" s="70"/>
      <c r="P105" s="70"/>
      <c r="Q105" s="70"/>
      <c r="R105" s="70"/>
      <c r="S105" s="70"/>
      <c r="T105" s="70"/>
      <c r="U105" s="70"/>
      <c r="V105" s="70"/>
      <c r="W105" s="70"/>
      <c r="X105" s="70"/>
      <c r="Y105" s="70"/>
      <c r="Z105" s="70"/>
      <c r="AA105" s="70"/>
    </row>
    <row r="106" spans="1:27" ht="14">
      <c r="A106" s="69" t="s">
        <v>1906</v>
      </c>
      <c r="B106" s="145" t="s">
        <v>126</v>
      </c>
      <c r="C106" s="69" t="s">
        <v>2249</v>
      </c>
      <c r="D106" s="70"/>
      <c r="E106" s="70"/>
      <c r="F106" s="70"/>
      <c r="G106" s="70"/>
      <c r="H106" s="70"/>
      <c r="I106" s="70"/>
      <c r="J106" s="70"/>
      <c r="K106" s="70"/>
      <c r="L106" s="70"/>
      <c r="M106" s="70"/>
      <c r="N106" s="70"/>
      <c r="O106" s="70"/>
      <c r="P106" s="70"/>
      <c r="Q106" s="70"/>
      <c r="R106" s="70"/>
      <c r="S106" s="70"/>
      <c r="T106" s="70"/>
      <c r="U106" s="70"/>
      <c r="V106" s="70"/>
      <c r="W106" s="70"/>
      <c r="X106" s="70"/>
      <c r="Y106" s="70"/>
      <c r="Z106" s="70"/>
      <c r="AA106" s="70"/>
    </row>
    <row r="107" spans="1:27" ht="14">
      <c r="A107" s="69" t="s">
        <v>1874</v>
      </c>
      <c r="B107" s="145" t="s">
        <v>1425</v>
      </c>
      <c r="C107" s="69" t="s">
        <v>2250</v>
      </c>
      <c r="D107" s="70"/>
      <c r="E107" s="70"/>
      <c r="F107" s="70"/>
      <c r="G107" s="70"/>
      <c r="H107" s="70"/>
      <c r="I107" s="70"/>
      <c r="J107" s="70"/>
      <c r="K107" s="70"/>
      <c r="L107" s="70"/>
      <c r="M107" s="70"/>
      <c r="N107" s="70"/>
      <c r="O107" s="70"/>
      <c r="P107" s="70"/>
      <c r="Q107" s="70"/>
      <c r="R107" s="70"/>
      <c r="S107" s="70"/>
      <c r="T107" s="70"/>
      <c r="U107" s="70"/>
      <c r="V107" s="70"/>
      <c r="W107" s="70"/>
      <c r="X107" s="70"/>
      <c r="Y107" s="70"/>
      <c r="Z107" s="70"/>
      <c r="AA107" s="70"/>
    </row>
    <row r="108" spans="1:27" ht="14">
      <c r="A108" s="69" t="s">
        <v>2027</v>
      </c>
      <c r="B108" s="145" t="s">
        <v>126</v>
      </c>
      <c r="C108" s="69" t="s">
        <v>2251</v>
      </c>
      <c r="D108" s="70"/>
      <c r="E108" s="70"/>
      <c r="F108" s="70"/>
      <c r="G108" s="70"/>
      <c r="H108" s="70"/>
      <c r="I108" s="70"/>
      <c r="J108" s="70"/>
      <c r="K108" s="70"/>
      <c r="L108" s="70"/>
      <c r="M108" s="70"/>
      <c r="N108" s="70"/>
      <c r="O108" s="70"/>
      <c r="P108" s="70"/>
      <c r="Q108" s="70"/>
      <c r="R108" s="70"/>
      <c r="S108" s="70"/>
      <c r="T108" s="70"/>
      <c r="U108" s="70"/>
      <c r="V108" s="70"/>
      <c r="W108" s="70"/>
      <c r="X108" s="70"/>
      <c r="Y108" s="70"/>
      <c r="Z108" s="70"/>
      <c r="AA108" s="70"/>
    </row>
    <row r="109" spans="1:27" ht="14">
      <c r="A109" s="69" t="s">
        <v>1494</v>
      </c>
      <c r="B109" s="145" t="s">
        <v>126</v>
      </c>
      <c r="C109" s="69" t="s">
        <v>2252</v>
      </c>
      <c r="D109" s="70"/>
      <c r="E109" s="70"/>
      <c r="F109" s="70"/>
      <c r="G109" s="70"/>
      <c r="H109" s="70"/>
      <c r="I109" s="70"/>
      <c r="J109" s="70"/>
      <c r="K109" s="70"/>
      <c r="L109" s="70"/>
      <c r="M109" s="70"/>
      <c r="N109" s="70"/>
      <c r="O109" s="70"/>
      <c r="P109" s="70"/>
      <c r="Q109" s="70"/>
      <c r="R109" s="70"/>
      <c r="S109" s="70"/>
      <c r="T109" s="70"/>
      <c r="U109" s="70"/>
      <c r="V109" s="70"/>
      <c r="W109" s="70"/>
      <c r="X109" s="70"/>
      <c r="Y109" s="70"/>
      <c r="Z109" s="70"/>
      <c r="AA109" s="70"/>
    </row>
    <row r="110" spans="1:27" ht="14">
      <c r="A110" s="69" t="s">
        <v>1666</v>
      </c>
      <c r="B110" s="145" t="s">
        <v>126</v>
      </c>
      <c r="C110" s="69" t="s">
        <v>2253</v>
      </c>
      <c r="D110" s="70"/>
      <c r="E110" s="70"/>
      <c r="F110" s="70"/>
      <c r="G110" s="70"/>
      <c r="H110" s="70"/>
      <c r="I110" s="70"/>
      <c r="J110" s="70"/>
      <c r="K110" s="70"/>
      <c r="L110" s="70"/>
      <c r="M110" s="70"/>
      <c r="N110" s="70"/>
      <c r="O110" s="70"/>
      <c r="P110" s="70"/>
      <c r="Q110" s="70"/>
      <c r="R110" s="70"/>
      <c r="S110" s="70"/>
      <c r="T110" s="70"/>
      <c r="U110" s="70"/>
      <c r="V110" s="70"/>
      <c r="W110" s="70"/>
      <c r="X110" s="70"/>
      <c r="Y110" s="70"/>
      <c r="Z110" s="70"/>
      <c r="AA110" s="70"/>
    </row>
    <row r="111" spans="1:27" ht="14">
      <c r="A111" s="69" t="s">
        <v>1836</v>
      </c>
      <c r="B111" s="145" t="s">
        <v>126</v>
      </c>
      <c r="C111" s="147" t="s">
        <v>2254</v>
      </c>
      <c r="D111" s="70"/>
      <c r="E111" s="70"/>
      <c r="F111" s="70"/>
      <c r="G111" s="70"/>
      <c r="H111" s="70"/>
      <c r="I111" s="70"/>
      <c r="J111" s="70"/>
      <c r="K111" s="70"/>
      <c r="L111" s="70"/>
      <c r="M111" s="70"/>
      <c r="N111" s="70"/>
      <c r="O111" s="70"/>
      <c r="P111" s="70"/>
      <c r="Q111" s="70"/>
      <c r="R111" s="70"/>
      <c r="S111" s="70"/>
      <c r="T111" s="70"/>
      <c r="U111" s="70"/>
      <c r="V111" s="70"/>
      <c r="W111" s="70"/>
      <c r="X111" s="70"/>
      <c r="Y111" s="70"/>
      <c r="Z111" s="70"/>
      <c r="AA111" s="70"/>
    </row>
    <row r="112" spans="1:27" ht="14">
      <c r="A112" s="69" t="s">
        <v>1839</v>
      </c>
      <c r="B112" s="145" t="s">
        <v>126</v>
      </c>
      <c r="C112" s="147" t="s">
        <v>2255</v>
      </c>
      <c r="D112" s="70"/>
      <c r="E112" s="70"/>
      <c r="F112" s="70"/>
      <c r="G112" s="70"/>
      <c r="H112" s="70"/>
      <c r="I112" s="70"/>
      <c r="J112" s="70"/>
      <c r="K112" s="70"/>
      <c r="L112" s="70"/>
      <c r="M112" s="70"/>
      <c r="N112" s="70"/>
      <c r="O112" s="70"/>
      <c r="P112" s="70"/>
      <c r="Q112" s="70"/>
      <c r="R112" s="70"/>
      <c r="S112" s="70"/>
      <c r="T112" s="70"/>
      <c r="U112" s="70"/>
      <c r="V112" s="70"/>
      <c r="W112" s="70"/>
      <c r="X112" s="70"/>
      <c r="Y112" s="70"/>
      <c r="Z112" s="70"/>
      <c r="AA112" s="70"/>
    </row>
    <row r="113" spans="1:27" ht="14">
      <c r="A113" s="69" t="s">
        <v>1833</v>
      </c>
      <c r="B113" s="145" t="s">
        <v>126</v>
      </c>
      <c r="C113" s="69" t="s">
        <v>2256</v>
      </c>
      <c r="D113" s="70"/>
      <c r="E113" s="70"/>
      <c r="F113" s="70"/>
      <c r="G113" s="70"/>
      <c r="H113" s="70"/>
      <c r="I113" s="70"/>
      <c r="J113" s="70"/>
      <c r="K113" s="70"/>
      <c r="L113" s="70"/>
      <c r="M113" s="70"/>
      <c r="N113" s="70"/>
      <c r="O113" s="70"/>
      <c r="P113" s="70"/>
      <c r="Q113" s="70"/>
      <c r="R113" s="70"/>
      <c r="S113" s="70"/>
      <c r="T113" s="70"/>
      <c r="U113" s="70"/>
      <c r="V113" s="70"/>
      <c r="W113" s="70"/>
      <c r="X113" s="70"/>
      <c r="Y113" s="70"/>
      <c r="Z113" s="70"/>
      <c r="AA113" s="70"/>
    </row>
    <row r="114" spans="1:27" ht="14">
      <c r="A114" s="69" t="s">
        <v>1830</v>
      </c>
      <c r="B114" s="145" t="s">
        <v>126</v>
      </c>
      <c r="C114" s="69" t="s">
        <v>2257</v>
      </c>
      <c r="D114" s="70"/>
      <c r="E114" s="70"/>
      <c r="F114" s="70"/>
      <c r="G114" s="70"/>
      <c r="H114" s="70"/>
      <c r="I114" s="70"/>
      <c r="J114" s="70"/>
      <c r="K114" s="70"/>
      <c r="L114" s="70"/>
      <c r="M114" s="70"/>
      <c r="N114" s="70"/>
      <c r="O114" s="70"/>
      <c r="P114" s="70"/>
      <c r="Q114" s="70"/>
      <c r="R114" s="70"/>
      <c r="S114" s="70"/>
      <c r="T114" s="70"/>
      <c r="U114" s="70"/>
      <c r="V114" s="70"/>
      <c r="W114" s="70"/>
      <c r="X114" s="70"/>
      <c r="Y114" s="70"/>
      <c r="Z114" s="70"/>
      <c r="AA114" s="70"/>
    </row>
    <row r="115" spans="1:27" ht="14">
      <c r="A115" s="69" t="s">
        <v>2258</v>
      </c>
      <c r="B115" s="145" t="s">
        <v>126</v>
      </c>
      <c r="C115" s="69" t="s">
        <v>2259</v>
      </c>
      <c r="D115" s="70"/>
      <c r="E115" s="70"/>
      <c r="F115" s="70"/>
      <c r="G115" s="70"/>
      <c r="H115" s="70"/>
      <c r="I115" s="70"/>
      <c r="J115" s="70"/>
      <c r="K115" s="70"/>
      <c r="L115" s="70"/>
      <c r="M115" s="70"/>
      <c r="N115" s="70"/>
      <c r="O115" s="70"/>
      <c r="P115" s="70"/>
      <c r="Q115" s="70"/>
      <c r="R115" s="70"/>
      <c r="S115" s="70"/>
      <c r="T115" s="70"/>
      <c r="U115" s="70"/>
      <c r="V115" s="70"/>
      <c r="W115" s="70"/>
      <c r="X115" s="70"/>
      <c r="Y115" s="70"/>
      <c r="Z115" s="70"/>
      <c r="AA115" s="70"/>
    </row>
    <row r="116" spans="1:27" ht="14">
      <c r="A116" s="69" t="s">
        <v>1973</v>
      </c>
      <c r="B116" s="145" t="s">
        <v>126</v>
      </c>
      <c r="C116" s="147" t="s">
        <v>2260</v>
      </c>
      <c r="D116" s="70"/>
      <c r="E116" s="70"/>
      <c r="F116" s="70"/>
      <c r="G116" s="70"/>
      <c r="H116" s="70"/>
      <c r="I116" s="70"/>
      <c r="J116" s="70"/>
      <c r="K116" s="70"/>
      <c r="L116" s="70"/>
      <c r="M116" s="70"/>
      <c r="N116" s="70"/>
      <c r="O116" s="70"/>
      <c r="P116" s="70"/>
      <c r="Q116" s="70"/>
      <c r="R116" s="70"/>
      <c r="S116" s="70"/>
      <c r="T116" s="70"/>
      <c r="U116" s="70"/>
      <c r="V116" s="70"/>
      <c r="W116" s="70"/>
      <c r="X116" s="70"/>
      <c r="Y116" s="70"/>
      <c r="Z116" s="70"/>
      <c r="AA116" s="70"/>
    </row>
    <row r="117" spans="1:27" ht="14">
      <c r="A117" s="69" t="s">
        <v>1923</v>
      </c>
      <c r="B117" s="145" t="s">
        <v>126</v>
      </c>
      <c r="C117" s="69" t="s">
        <v>2261</v>
      </c>
      <c r="D117" s="70"/>
      <c r="E117" s="70"/>
      <c r="F117" s="70"/>
      <c r="G117" s="70"/>
      <c r="H117" s="70"/>
      <c r="I117" s="70"/>
      <c r="J117" s="70"/>
      <c r="K117" s="70"/>
      <c r="L117" s="70"/>
      <c r="M117" s="70"/>
      <c r="N117" s="70"/>
      <c r="O117" s="70"/>
      <c r="P117" s="70"/>
      <c r="Q117" s="70"/>
      <c r="R117" s="70"/>
      <c r="S117" s="70"/>
      <c r="T117" s="70"/>
      <c r="U117" s="70"/>
      <c r="V117" s="70"/>
      <c r="W117" s="70"/>
      <c r="X117" s="70"/>
      <c r="Y117" s="70"/>
      <c r="Z117" s="70"/>
      <c r="AA117" s="70"/>
    </row>
    <row r="118" spans="1:27" ht="14">
      <c r="A118" s="69" t="s">
        <v>2134</v>
      </c>
      <c r="B118" s="145" t="s">
        <v>126</v>
      </c>
      <c r="C118" s="69" t="s">
        <v>2262</v>
      </c>
      <c r="D118" s="70"/>
      <c r="E118" s="70"/>
      <c r="F118" s="70"/>
      <c r="G118" s="70"/>
      <c r="H118" s="70"/>
      <c r="I118" s="70"/>
      <c r="J118" s="70"/>
      <c r="K118" s="70"/>
      <c r="L118" s="70"/>
      <c r="M118" s="70"/>
      <c r="N118" s="70"/>
      <c r="O118" s="70"/>
      <c r="P118" s="70"/>
      <c r="Q118" s="70"/>
      <c r="R118" s="70"/>
      <c r="S118" s="70"/>
      <c r="T118" s="70"/>
      <c r="U118" s="70"/>
      <c r="V118" s="70"/>
      <c r="W118" s="70"/>
      <c r="X118" s="70"/>
      <c r="Y118" s="70"/>
      <c r="Z118" s="70"/>
      <c r="AA118" s="70"/>
    </row>
    <row r="119" spans="1:27" ht="28">
      <c r="A119" s="69" t="s">
        <v>1654</v>
      </c>
      <c r="B119" s="145" t="s">
        <v>126</v>
      </c>
      <c r="C119" s="147" t="s">
        <v>2263</v>
      </c>
      <c r="D119" s="70"/>
      <c r="E119" s="70"/>
      <c r="F119" s="70"/>
      <c r="G119" s="70"/>
      <c r="H119" s="70"/>
      <c r="I119" s="70"/>
      <c r="J119" s="70"/>
      <c r="K119" s="70"/>
      <c r="L119" s="70"/>
      <c r="M119" s="70"/>
      <c r="N119" s="70"/>
      <c r="O119" s="70"/>
      <c r="P119" s="70"/>
      <c r="Q119" s="70"/>
      <c r="R119" s="70"/>
      <c r="S119" s="70"/>
      <c r="T119" s="70"/>
      <c r="U119" s="70"/>
      <c r="V119" s="70"/>
      <c r="W119" s="70"/>
      <c r="X119" s="70"/>
      <c r="Y119" s="70"/>
      <c r="Z119" s="70"/>
      <c r="AA119" s="70"/>
    </row>
    <row r="120" spans="1:27" ht="13">
      <c r="A120" s="70"/>
      <c r="B120" s="151"/>
      <c r="C120" s="70"/>
      <c r="D120" s="70"/>
      <c r="E120" s="70"/>
      <c r="F120" s="70"/>
      <c r="G120" s="70"/>
      <c r="H120" s="70"/>
      <c r="I120" s="70"/>
      <c r="J120" s="70"/>
      <c r="K120" s="70"/>
      <c r="L120" s="70"/>
      <c r="M120" s="70"/>
      <c r="N120" s="70"/>
      <c r="O120" s="70"/>
      <c r="P120" s="70"/>
      <c r="Q120" s="70"/>
      <c r="R120" s="70"/>
      <c r="S120" s="70"/>
      <c r="T120" s="70"/>
      <c r="U120" s="70"/>
      <c r="V120" s="70"/>
      <c r="W120" s="70"/>
      <c r="X120" s="70"/>
      <c r="Y120" s="70"/>
      <c r="Z120" s="70"/>
      <c r="AA120" s="70"/>
    </row>
    <row r="121" spans="1:27" ht="13">
      <c r="A121" s="70"/>
      <c r="B121" s="151"/>
      <c r="C121" s="70"/>
      <c r="D121" s="70"/>
      <c r="E121" s="70"/>
      <c r="F121" s="70"/>
      <c r="G121" s="70"/>
      <c r="H121" s="70"/>
      <c r="I121" s="70"/>
      <c r="J121" s="70"/>
      <c r="K121" s="70"/>
      <c r="L121" s="70"/>
      <c r="M121" s="70"/>
      <c r="N121" s="70"/>
      <c r="O121" s="70"/>
      <c r="P121" s="70"/>
      <c r="Q121" s="70"/>
      <c r="R121" s="70"/>
      <c r="S121" s="70"/>
      <c r="T121" s="70"/>
      <c r="U121" s="70"/>
      <c r="V121" s="70"/>
      <c r="W121" s="70"/>
      <c r="X121" s="70"/>
      <c r="Y121" s="70"/>
      <c r="Z121" s="70"/>
      <c r="AA121" s="70"/>
    </row>
    <row r="122" spans="1:27" ht="13">
      <c r="A122" s="70"/>
      <c r="B122" s="151"/>
      <c r="C122" s="70"/>
      <c r="D122" s="70"/>
      <c r="E122" s="70"/>
      <c r="F122" s="70"/>
      <c r="G122" s="70"/>
      <c r="H122" s="70"/>
      <c r="I122" s="70"/>
      <c r="J122" s="70"/>
      <c r="K122" s="70"/>
      <c r="L122" s="70"/>
      <c r="M122" s="70"/>
      <c r="N122" s="70"/>
      <c r="O122" s="70"/>
      <c r="P122" s="70"/>
      <c r="Q122" s="70"/>
      <c r="R122" s="70"/>
      <c r="S122" s="70"/>
      <c r="T122" s="70"/>
      <c r="U122" s="70"/>
      <c r="V122" s="70"/>
      <c r="W122" s="70"/>
      <c r="X122" s="70"/>
      <c r="Y122" s="70"/>
      <c r="Z122" s="70"/>
      <c r="AA122" s="70"/>
    </row>
    <row r="123" spans="1:27" ht="13">
      <c r="A123" s="70"/>
      <c r="B123" s="151"/>
      <c r="C123" s="70"/>
      <c r="D123" s="70"/>
      <c r="E123" s="70"/>
      <c r="F123" s="70"/>
      <c r="G123" s="70"/>
      <c r="H123" s="70"/>
      <c r="I123" s="70"/>
      <c r="J123" s="70"/>
      <c r="K123" s="70"/>
      <c r="L123" s="70"/>
      <c r="M123" s="70"/>
      <c r="N123" s="70"/>
      <c r="O123" s="70"/>
      <c r="P123" s="70"/>
      <c r="Q123" s="70"/>
      <c r="R123" s="70"/>
      <c r="S123" s="70"/>
      <c r="T123" s="70"/>
      <c r="U123" s="70"/>
      <c r="V123" s="70"/>
      <c r="W123" s="70"/>
      <c r="X123" s="70"/>
      <c r="Y123" s="70"/>
      <c r="Z123" s="70"/>
      <c r="AA123" s="70"/>
    </row>
    <row r="124" spans="1:27" ht="13">
      <c r="A124" s="70"/>
      <c r="B124" s="151"/>
      <c r="C124" s="70"/>
      <c r="D124" s="70"/>
      <c r="E124" s="70"/>
      <c r="F124" s="70"/>
      <c r="G124" s="70"/>
      <c r="H124" s="70"/>
      <c r="I124" s="70"/>
      <c r="J124" s="70"/>
      <c r="K124" s="70"/>
      <c r="L124" s="70"/>
      <c r="M124" s="70"/>
      <c r="N124" s="70"/>
      <c r="O124" s="70"/>
      <c r="P124" s="70"/>
      <c r="Q124" s="70"/>
      <c r="R124" s="70"/>
      <c r="S124" s="70"/>
      <c r="T124" s="70"/>
      <c r="U124" s="70"/>
      <c r="V124" s="70"/>
      <c r="W124" s="70"/>
      <c r="X124" s="70"/>
      <c r="Y124" s="70"/>
      <c r="Z124" s="70"/>
      <c r="AA124" s="70"/>
    </row>
    <row r="125" spans="1:27" ht="13">
      <c r="A125" s="70"/>
      <c r="B125" s="151"/>
      <c r="C125" s="70"/>
      <c r="D125" s="70"/>
      <c r="E125" s="70"/>
      <c r="F125" s="70"/>
      <c r="G125" s="70"/>
      <c r="H125" s="70"/>
      <c r="I125" s="70"/>
      <c r="J125" s="70"/>
      <c r="K125" s="70"/>
      <c r="L125" s="70"/>
      <c r="M125" s="70"/>
      <c r="N125" s="70"/>
      <c r="O125" s="70"/>
      <c r="P125" s="70"/>
      <c r="Q125" s="70"/>
      <c r="R125" s="70"/>
      <c r="S125" s="70"/>
      <c r="T125" s="70"/>
      <c r="U125" s="70"/>
      <c r="V125" s="70"/>
      <c r="W125" s="70"/>
      <c r="X125" s="70"/>
      <c r="Y125" s="70"/>
      <c r="Z125" s="70"/>
      <c r="AA125" s="70"/>
    </row>
  </sheetData>
  <conditionalFormatting sqref="B1:B119">
    <cfRule type="expression" dxfId="13" priority="1">
      <formula>AND(A1&lt;&gt;"",B1="")</formula>
    </cfRule>
  </conditionalFormatting>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75" customHeight="1"/>
  <cols>
    <col min="1" max="1" width="13" customWidth="1"/>
    <col min="2" max="2" width="16.33203125" customWidth="1"/>
    <col min="3" max="3" width="15.5" customWidth="1"/>
    <col min="6" max="6" width="11.1640625" customWidth="1"/>
    <col min="7" max="7" width="8.33203125" customWidth="1"/>
    <col min="8" max="8" width="7.6640625" customWidth="1"/>
    <col min="9" max="9" width="8.5" customWidth="1"/>
    <col min="10" max="10" width="7.6640625" customWidth="1"/>
    <col min="11" max="11" width="8.5" customWidth="1"/>
    <col min="12" max="12" width="7.6640625" customWidth="1"/>
  </cols>
  <sheetData>
    <row r="1" spans="1:26" ht="15.75" customHeight="1">
      <c r="A1" s="152"/>
      <c r="B1" s="153" t="s">
        <v>232</v>
      </c>
      <c r="C1" s="154" t="s">
        <v>44</v>
      </c>
      <c r="D1" s="154" t="s">
        <v>201</v>
      </c>
      <c r="E1" s="152"/>
      <c r="G1" s="155" t="s">
        <v>232</v>
      </c>
      <c r="H1" s="155" t="s">
        <v>44</v>
      </c>
      <c r="I1" s="155" t="s">
        <v>201</v>
      </c>
      <c r="J1" s="152"/>
      <c r="K1" s="152"/>
      <c r="L1" s="152"/>
      <c r="M1" s="152"/>
      <c r="N1" s="152"/>
      <c r="O1" s="152"/>
      <c r="P1" s="152"/>
      <c r="Q1" s="152"/>
      <c r="R1" s="152"/>
      <c r="S1" s="152"/>
      <c r="T1" s="152"/>
      <c r="U1" s="152"/>
      <c r="V1" s="152"/>
      <c r="W1" s="152"/>
      <c r="X1" s="152"/>
      <c r="Y1" s="152"/>
      <c r="Z1" s="152"/>
    </row>
    <row r="2" spans="1:26" ht="15.75" customHeight="1">
      <c r="A2" s="152" t="s">
        <v>991</v>
      </c>
      <c r="B2" s="77" t="s">
        <v>2264</v>
      </c>
      <c r="C2" s="156" t="s">
        <v>2265</v>
      </c>
      <c r="D2" s="156" t="s">
        <v>2266</v>
      </c>
      <c r="E2" s="47"/>
      <c r="F2" s="154" t="s">
        <v>2267</v>
      </c>
      <c r="G2" s="156">
        <v>9</v>
      </c>
      <c r="H2" s="156">
        <v>5</v>
      </c>
      <c r="I2" s="157" t="s">
        <v>126</v>
      </c>
      <c r="J2" s="47"/>
      <c r="K2" s="47"/>
      <c r="L2" s="47"/>
      <c r="M2" s="47"/>
      <c r="N2" s="47"/>
      <c r="O2" s="47"/>
      <c r="P2" s="47"/>
      <c r="Q2" s="47"/>
      <c r="R2" s="47"/>
      <c r="S2" s="47"/>
      <c r="T2" s="47"/>
      <c r="U2" s="47"/>
      <c r="V2" s="47"/>
      <c r="W2" s="47"/>
      <c r="X2" s="47"/>
      <c r="Y2" s="47"/>
      <c r="Z2" s="47"/>
    </row>
    <row r="3" spans="1:26" ht="15.75" customHeight="1">
      <c r="A3" s="152" t="s">
        <v>1020</v>
      </c>
      <c r="B3" s="77" t="s">
        <v>2268</v>
      </c>
      <c r="C3" s="156" t="s">
        <v>2269</v>
      </c>
      <c r="D3" s="156" t="s">
        <v>2270</v>
      </c>
      <c r="E3" s="47"/>
      <c r="F3" s="154" t="s">
        <v>2271</v>
      </c>
      <c r="G3" s="156">
        <v>11</v>
      </c>
      <c r="H3" s="156">
        <v>7</v>
      </c>
      <c r="I3" s="157" t="s">
        <v>126</v>
      </c>
      <c r="J3" s="47"/>
      <c r="K3" s="47"/>
      <c r="L3" s="47"/>
      <c r="M3" s="47"/>
      <c r="N3" s="47"/>
      <c r="O3" s="47"/>
      <c r="P3" s="47"/>
      <c r="Q3" s="47"/>
      <c r="R3" s="47"/>
      <c r="S3" s="47"/>
      <c r="T3" s="47"/>
      <c r="U3" s="47"/>
      <c r="V3" s="47"/>
      <c r="W3" s="47"/>
      <c r="X3" s="47"/>
      <c r="Y3" s="47"/>
      <c r="Z3" s="47"/>
    </row>
    <row r="4" spans="1:26" ht="15.75" customHeight="1">
      <c r="A4" s="152" t="s">
        <v>1045</v>
      </c>
      <c r="B4" s="77" t="s">
        <v>2272</v>
      </c>
      <c r="C4" s="156" t="s">
        <v>2273</v>
      </c>
      <c r="D4" s="156" t="s">
        <v>2274</v>
      </c>
      <c r="E4" s="47"/>
      <c r="F4" s="154" t="s">
        <v>2275</v>
      </c>
      <c r="G4" s="156">
        <v>13</v>
      </c>
      <c r="H4" s="156">
        <v>9</v>
      </c>
      <c r="I4" s="157" t="s">
        <v>126</v>
      </c>
      <c r="J4" s="47"/>
      <c r="K4" s="47"/>
      <c r="L4" s="47"/>
      <c r="M4" s="47"/>
      <c r="N4" s="47"/>
      <c r="O4" s="47"/>
      <c r="P4" s="47"/>
      <c r="Q4" s="47"/>
      <c r="R4" s="47"/>
      <c r="S4" s="47"/>
      <c r="T4" s="47"/>
      <c r="U4" s="47"/>
      <c r="V4" s="47"/>
      <c r="W4" s="47"/>
      <c r="X4" s="47"/>
      <c r="Y4" s="47"/>
      <c r="Z4" s="47"/>
    </row>
    <row r="5" spans="1:26" ht="15.75" customHeight="1">
      <c r="A5" s="152" t="s">
        <v>1074</v>
      </c>
      <c r="B5" s="77" t="s">
        <v>2276</v>
      </c>
      <c r="C5" s="156" t="s">
        <v>2277</v>
      </c>
      <c r="D5" s="156" t="s">
        <v>2278</v>
      </c>
      <c r="E5" s="47"/>
      <c r="F5" s="154" t="s">
        <v>2279</v>
      </c>
      <c r="G5" s="156">
        <v>15</v>
      </c>
      <c r="H5" s="156">
        <v>11</v>
      </c>
      <c r="I5" s="157" t="s">
        <v>126</v>
      </c>
      <c r="J5" s="47"/>
      <c r="K5" s="47"/>
      <c r="L5" s="47"/>
      <c r="M5" s="47"/>
      <c r="N5" s="47"/>
      <c r="O5" s="47"/>
      <c r="P5" s="47"/>
      <c r="Q5" s="47"/>
      <c r="R5" s="47"/>
      <c r="S5" s="47"/>
      <c r="T5" s="47"/>
      <c r="U5" s="47"/>
      <c r="V5" s="47"/>
      <c r="W5" s="47"/>
      <c r="X5" s="47"/>
      <c r="Y5" s="47"/>
      <c r="Z5" s="47"/>
    </row>
    <row r="6" spans="1:26" ht="15.75" customHeight="1">
      <c r="A6" s="152" t="s">
        <v>1099</v>
      </c>
      <c r="B6" s="77" t="s">
        <v>2280</v>
      </c>
      <c r="C6" s="156" t="s">
        <v>2281</v>
      </c>
      <c r="D6" s="156" t="s">
        <v>2282</v>
      </c>
      <c r="E6" s="47"/>
      <c r="F6" s="152"/>
      <c r="G6" s="47"/>
      <c r="H6" s="47"/>
      <c r="I6" s="47"/>
      <c r="J6" s="47"/>
      <c r="K6" s="47"/>
      <c r="L6" s="47"/>
      <c r="M6" s="47"/>
      <c r="N6" s="47"/>
      <c r="O6" s="47"/>
      <c r="P6" s="47"/>
      <c r="Q6" s="47"/>
      <c r="R6" s="47"/>
      <c r="S6" s="47"/>
      <c r="T6" s="47"/>
      <c r="U6" s="47"/>
      <c r="V6" s="47"/>
      <c r="W6" s="47"/>
      <c r="X6" s="47"/>
      <c r="Y6" s="47"/>
      <c r="Z6" s="47"/>
    </row>
    <row r="7" spans="1:26" ht="15.75" customHeight="1">
      <c r="A7" s="152" t="s">
        <v>1124</v>
      </c>
      <c r="B7" s="77" t="s">
        <v>2283</v>
      </c>
      <c r="C7" s="156" t="s">
        <v>2284</v>
      </c>
      <c r="D7" s="156" t="s">
        <v>2285</v>
      </c>
      <c r="E7" s="47"/>
      <c r="F7" s="158"/>
      <c r="G7" s="158"/>
      <c r="H7" s="158"/>
      <c r="I7" s="158"/>
      <c r="J7" s="158"/>
      <c r="K7" s="158"/>
      <c r="L7" s="158"/>
      <c r="M7" s="47"/>
      <c r="N7" s="47"/>
      <c r="O7" s="47"/>
      <c r="P7" s="47"/>
      <c r="Q7" s="47"/>
      <c r="R7" s="47"/>
      <c r="S7" s="47"/>
      <c r="T7" s="47"/>
      <c r="U7" s="47"/>
      <c r="V7" s="47"/>
      <c r="W7" s="47"/>
      <c r="X7" s="47"/>
      <c r="Y7" s="47"/>
      <c r="Z7" s="47"/>
    </row>
    <row r="8" spans="1:26" ht="15.75" customHeight="1">
      <c r="A8" s="47"/>
      <c r="B8" s="77"/>
      <c r="C8" s="47"/>
      <c r="D8" s="47"/>
      <c r="E8" s="47"/>
      <c r="F8" s="159"/>
      <c r="G8" s="160"/>
      <c r="H8" s="160"/>
      <c r="I8" s="160"/>
      <c r="J8" s="160"/>
      <c r="K8" s="160"/>
      <c r="L8" s="160"/>
      <c r="M8" s="47"/>
      <c r="N8" s="47"/>
      <c r="O8" s="47"/>
      <c r="P8" s="47"/>
      <c r="Q8" s="47"/>
      <c r="R8" s="47"/>
      <c r="S8" s="47"/>
      <c r="T8" s="47"/>
      <c r="U8" s="47"/>
      <c r="V8" s="47"/>
      <c r="W8" s="47"/>
      <c r="X8" s="47"/>
      <c r="Y8" s="47"/>
      <c r="Z8" s="47"/>
    </row>
    <row r="9" spans="1:26" ht="15.75" customHeight="1">
      <c r="A9" s="154" t="s">
        <v>2286</v>
      </c>
      <c r="B9" s="77"/>
      <c r="C9" s="47"/>
      <c r="D9" s="47"/>
      <c r="E9" s="47"/>
      <c r="F9" s="161"/>
      <c r="G9" s="158"/>
      <c r="H9" s="158"/>
      <c r="I9" s="158"/>
      <c r="J9" s="158"/>
      <c r="K9" s="158"/>
      <c r="L9" s="158"/>
      <c r="M9" s="47"/>
      <c r="N9" s="47"/>
      <c r="O9" s="47"/>
      <c r="P9" s="47"/>
      <c r="Q9" s="47"/>
      <c r="R9" s="47"/>
      <c r="S9" s="47"/>
      <c r="T9" s="47"/>
      <c r="U9" s="47"/>
      <c r="V9" s="47"/>
      <c r="W9" s="47"/>
      <c r="X9" s="47"/>
      <c r="Y9" s="47"/>
      <c r="Z9" s="47"/>
    </row>
    <row r="10" spans="1:26" ht="15.75" customHeight="1">
      <c r="A10" s="152" t="s">
        <v>991</v>
      </c>
      <c r="B10" s="77" t="s">
        <v>1584</v>
      </c>
      <c r="C10" s="156" t="s">
        <v>1574</v>
      </c>
      <c r="D10" s="156" t="s">
        <v>1624</v>
      </c>
      <c r="E10" s="47"/>
      <c r="F10" s="161"/>
      <c r="G10" s="158"/>
      <c r="H10" s="158"/>
      <c r="I10" s="158"/>
      <c r="J10" s="158"/>
      <c r="K10" s="158"/>
      <c r="L10" s="158"/>
      <c r="M10" s="47"/>
      <c r="N10" s="47"/>
      <c r="O10" s="47"/>
      <c r="P10" s="47"/>
      <c r="Q10" s="47"/>
      <c r="R10" s="47"/>
      <c r="S10" s="47"/>
      <c r="T10" s="47"/>
      <c r="U10" s="47"/>
      <c r="V10" s="47"/>
      <c r="W10" s="47"/>
      <c r="X10" s="47"/>
      <c r="Y10" s="47"/>
      <c r="Z10" s="47"/>
    </row>
    <row r="11" spans="1:26" ht="15.75" customHeight="1">
      <c r="A11" s="152" t="s">
        <v>1020</v>
      </c>
      <c r="B11" s="77" t="s">
        <v>2287</v>
      </c>
      <c r="C11" s="156" t="s">
        <v>2288</v>
      </c>
      <c r="D11" s="156" t="s">
        <v>1618</v>
      </c>
      <c r="E11" s="47"/>
      <c r="F11" s="161"/>
      <c r="G11" s="158"/>
      <c r="H11" s="158"/>
      <c r="I11" s="158"/>
      <c r="J11" s="158"/>
      <c r="K11" s="158"/>
      <c r="L11" s="158"/>
      <c r="M11" s="47"/>
      <c r="N11" s="47"/>
      <c r="O11" s="47"/>
      <c r="P11" s="47"/>
      <c r="Q11" s="47"/>
      <c r="R11" s="47"/>
      <c r="S11" s="47"/>
      <c r="T11" s="47"/>
      <c r="U11" s="47"/>
      <c r="V11" s="47"/>
      <c r="W11" s="47"/>
      <c r="X11" s="47"/>
      <c r="Y11" s="47"/>
      <c r="Z11" s="47"/>
    </row>
    <row r="12" spans="1:26" ht="15.75" customHeight="1">
      <c r="A12" s="152" t="s">
        <v>1045</v>
      </c>
      <c r="B12" s="77" t="s">
        <v>2289</v>
      </c>
      <c r="C12" s="156" t="s">
        <v>2290</v>
      </c>
      <c r="D12" s="156" t="s">
        <v>2291</v>
      </c>
      <c r="E12" s="47"/>
      <c r="F12" s="162"/>
      <c r="G12" s="163"/>
      <c r="H12" s="163"/>
      <c r="I12" s="163"/>
      <c r="J12" s="163"/>
      <c r="K12" s="163"/>
      <c r="L12" s="163"/>
      <c r="M12" s="47"/>
      <c r="N12" s="47"/>
      <c r="O12" s="47"/>
      <c r="P12" s="47"/>
      <c r="Q12" s="47"/>
      <c r="R12" s="47"/>
      <c r="S12" s="47"/>
      <c r="T12" s="47"/>
      <c r="U12" s="47"/>
      <c r="V12" s="47"/>
      <c r="W12" s="47"/>
      <c r="X12" s="47"/>
      <c r="Y12" s="47"/>
      <c r="Z12" s="47"/>
    </row>
    <row r="13" spans="1:26" ht="15.75" customHeight="1">
      <c r="A13" s="152" t="s">
        <v>1074</v>
      </c>
      <c r="B13" s="77" t="s">
        <v>2292</v>
      </c>
      <c r="C13" s="156" t="s">
        <v>1976</v>
      </c>
      <c r="D13" s="156" t="s">
        <v>1537</v>
      </c>
      <c r="E13" s="47"/>
      <c r="F13" s="154"/>
      <c r="G13" s="47"/>
      <c r="H13" s="47"/>
      <c r="I13" s="47"/>
      <c r="J13" s="47"/>
      <c r="K13" s="47"/>
      <c r="L13" s="47"/>
      <c r="M13" s="47"/>
      <c r="N13" s="47"/>
      <c r="O13" s="47"/>
      <c r="P13" s="47"/>
      <c r="Q13" s="47"/>
      <c r="R13" s="47"/>
      <c r="S13" s="47"/>
      <c r="T13" s="47"/>
      <c r="U13" s="47"/>
      <c r="V13" s="47"/>
      <c r="W13" s="47"/>
      <c r="X13" s="47"/>
      <c r="Y13" s="47"/>
      <c r="Z13" s="47"/>
    </row>
    <row r="14" spans="1:26" ht="15.75" customHeight="1">
      <c r="A14" s="152" t="s">
        <v>1099</v>
      </c>
      <c r="B14" s="77" t="s">
        <v>2293</v>
      </c>
      <c r="C14" s="156" t="s">
        <v>1824</v>
      </c>
      <c r="D14" s="156" t="s">
        <v>1422</v>
      </c>
      <c r="E14" s="47"/>
      <c r="F14" s="154"/>
      <c r="G14" s="156"/>
      <c r="H14" s="156"/>
      <c r="I14" s="47"/>
      <c r="J14" s="47"/>
      <c r="K14" s="47"/>
      <c r="L14" s="47"/>
      <c r="M14" s="47"/>
      <c r="N14" s="47"/>
      <c r="O14" s="47"/>
      <c r="P14" s="47"/>
      <c r="Q14" s="47"/>
      <c r="R14" s="47"/>
      <c r="S14" s="47"/>
      <c r="T14" s="47"/>
      <c r="U14" s="47"/>
      <c r="V14" s="47"/>
      <c r="W14" s="47"/>
      <c r="X14" s="47"/>
      <c r="Y14" s="47"/>
      <c r="Z14" s="47"/>
    </row>
    <row r="15" spans="1:26" ht="15.75" customHeight="1">
      <c r="A15" s="152" t="s">
        <v>1124</v>
      </c>
      <c r="B15" s="77" t="s">
        <v>2294</v>
      </c>
      <c r="C15" s="156" t="s">
        <v>1913</v>
      </c>
      <c r="D15" s="156" t="s">
        <v>1667</v>
      </c>
      <c r="E15" s="47"/>
      <c r="F15" s="154"/>
      <c r="G15" s="156"/>
      <c r="H15" s="156"/>
      <c r="I15" s="47"/>
      <c r="J15" s="47"/>
      <c r="K15" s="47"/>
      <c r="L15" s="47"/>
      <c r="M15" s="47"/>
      <c r="N15" s="47"/>
      <c r="O15" s="47"/>
      <c r="P15" s="47"/>
      <c r="Q15" s="47"/>
      <c r="R15" s="47"/>
      <c r="S15" s="47"/>
      <c r="T15" s="47"/>
      <c r="U15" s="47"/>
      <c r="V15" s="47"/>
      <c r="W15" s="47"/>
      <c r="X15" s="47"/>
      <c r="Y15" s="47"/>
      <c r="Z15" s="47"/>
    </row>
    <row r="16" spans="1:26" ht="15.75" customHeight="1">
      <c r="A16" s="152"/>
      <c r="B16" s="77"/>
      <c r="C16" s="47"/>
      <c r="D16" s="47"/>
      <c r="E16" s="47"/>
      <c r="F16" s="154"/>
      <c r="G16" s="156"/>
      <c r="H16" s="156"/>
      <c r="I16" s="47"/>
      <c r="J16" s="47"/>
      <c r="K16" s="47"/>
      <c r="L16" s="47"/>
      <c r="M16" s="47"/>
      <c r="N16" s="47"/>
      <c r="O16" s="47"/>
      <c r="P16" s="47"/>
      <c r="Q16" s="47"/>
      <c r="R16" s="47"/>
      <c r="S16" s="47"/>
      <c r="T16" s="47"/>
      <c r="U16" s="47"/>
      <c r="V16" s="47"/>
      <c r="W16" s="47"/>
      <c r="X16" s="47"/>
      <c r="Y16" s="47"/>
      <c r="Z16" s="47"/>
    </row>
    <row r="17" spans="1:26" ht="15.75" customHeight="1">
      <c r="A17" s="154" t="s">
        <v>2295</v>
      </c>
      <c r="B17" s="77"/>
      <c r="C17" s="47"/>
      <c r="D17" s="47"/>
      <c r="E17" s="47"/>
      <c r="F17" s="154"/>
      <c r="G17" s="156"/>
      <c r="H17" s="156"/>
      <c r="I17" s="47"/>
      <c r="J17" s="47"/>
      <c r="K17" s="47"/>
      <c r="L17" s="47"/>
      <c r="M17" s="47"/>
      <c r="N17" s="47"/>
      <c r="O17" s="47"/>
      <c r="P17" s="47"/>
      <c r="Q17" s="47"/>
      <c r="R17" s="47"/>
      <c r="S17" s="47"/>
      <c r="T17" s="47"/>
      <c r="U17" s="47"/>
      <c r="V17" s="47"/>
      <c r="W17" s="47"/>
      <c r="X17" s="47"/>
      <c r="Y17" s="47"/>
      <c r="Z17" s="47"/>
    </row>
    <row r="18" spans="1:26" ht="15.75" customHeight="1">
      <c r="A18" s="152" t="s">
        <v>991</v>
      </c>
      <c r="B18" s="272" t="s">
        <v>2296</v>
      </c>
      <c r="C18" s="273"/>
      <c r="D18" s="273"/>
      <c r="E18" s="47"/>
      <c r="F18" s="47"/>
      <c r="G18" s="47"/>
      <c r="H18" s="47"/>
      <c r="I18" s="47"/>
      <c r="J18" s="47"/>
      <c r="K18" s="47"/>
      <c r="L18" s="47"/>
      <c r="M18" s="47"/>
      <c r="N18" s="47"/>
      <c r="O18" s="47"/>
      <c r="P18" s="47"/>
      <c r="Q18" s="47"/>
      <c r="R18" s="47"/>
      <c r="S18" s="47"/>
      <c r="T18" s="47"/>
      <c r="U18" s="47"/>
      <c r="V18" s="47"/>
      <c r="W18" s="47"/>
      <c r="X18" s="47"/>
      <c r="Y18" s="47"/>
      <c r="Z18" s="47"/>
    </row>
    <row r="19" spans="1:26" ht="15.75" customHeight="1">
      <c r="A19" s="152" t="s">
        <v>1020</v>
      </c>
      <c r="B19" s="272" t="s">
        <v>2296</v>
      </c>
      <c r="C19" s="273"/>
      <c r="D19" s="273"/>
      <c r="E19" s="47"/>
      <c r="F19" s="47"/>
      <c r="G19" s="47"/>
      <c r="H19" s="47"/>
      <c r="I19" s="47"/>
      <c r="J19" s="47"/>
      <c r="K19" s="47"/>
      <c r="L19" s="47"/>
      <c r="M19" s="47"/>
      <c r="N19" s="47"/>
      <c r="O19" s="47"/>
      <c r="P19" s="47"/>
      <c r="Q19" s="47"/>
      <c r="R19" s="47"/>
      <c r="S19" s="47"/>
      <c r="T19" s="47"/>
      <c r="U19" s="47"/>
      <c r="V19" s="47"/>
      <c r="W19" s="47"/>
      <c r="X19" s="47"/>
      <c r="Y19" s="47"/>
      <c r="Z19" s="47"/>
    </row>
    <row r="20" spans="1:26" ht="15.75" customHeight="1">
      <c r="A20" s="152" t="s">
        <v>1045</v>
      </c>
      <c r="B20" s="272" t="s">
        <v>2297</v>
      </c>
      <c r="C20" s="273"/>
      <c r="D20" s="273"/>
      <c r="E20" s="47"/>
      <c r="M20" s="47"/>
      <c r="N20" s="47"/>
      <c r="O20" s="47"/>
      <c r="P20" s="47"/>
      <c r="Q20" s="47"/>
      <c r="R20" s="47"/>
      <c r="S20" s="47"/>
      <c r="T20" s="47"/>
      <c r="U20" s="47"/>
      <c r="V20" s="47"/>
      <c r="W20" s="47"/>
      <c r="X20" s="47"/>
      <c r="Y20" s="47"/>
      <c r="Z20" s="47"/>
    </row>
    <row r="21" spans="1:26" ht="15.75" customHeight="1">
      <c r="A21" s="152" t="s">
        <v>1074</v>
      </c>
      <c r="B21" s="272" t="s">
        <v>2297</v>
      </c>
      <c r="C21" s="273"/>
      <c r="D21" s="273"/>
      <c r="E21" s="47"/>
      <c r="M21" s="47"/>
      <c r="N21" s="47"/>
      <c r="O21" s="47"/>
      <c r="P21" s="47"/>
      <c r="Q21" s="47"/>
      <c r="R21" s="47"/>
      <c r="S21" s="47"/>
      <c r="T21" s="47"/>
      <c r="U21" s="47"/>
      <c r="V21" s="47"/>
      <c r="W21" s="47"/>
      <c r="X21" s="47"/>
      <c r="Y21" s="47"/>
      <c r="Z21" s="47"/>
    </row>
    <row r="22" spans="1:26" ht="15.75" customHeight="1">
      <c r="A22" s="152" t="s">
        <v>1099</v>
      </c>
      <c r="B22" s="272" t="s">
        <v>2298</v>
      </c>
      <c r="C22" s="273"/>
      <c r="D22" s="273"/>
      <c r="E22" s="47"/>
      <c r="M22" s="47"/>
      <c r="N22" s="47"/>
      <c r="O22" s="47"/>
      <c r="P22" s="47"/>
      <c r="Q22" s="47"/>
      <c r="R22" s="47"/>
      <c r="S22" s="47"/>
      <c r="T22" s="47"/>
      <c r="U22" s="47"/>
      <c r="V22" s="47"/>
      <c r="W22" s="47"/>
      <c r="X22" s="47"/>
      <c r="Y22" s="47"/>
      <c r="Z22" s="47"/>
    </row>
    <row r="23" spans="1:26" ht="15.75" customHeight="1">
      <c r="A23" s="152" t="s">
        <v>1124</v>
      </c>
      <c r="B23" s="272" t="s">
        <v>2298</v>
      </c>
      <c r="C23" s="273"/>
      <c r="D23" s="273"/>
      <c r="E23" s="47"/>
      <c r="M23" s="47"/>
      <c r="N23" s="47"/>
      <c r="O23" s="47"/>
      <c r="P23" s="47"/>
      <c r="Q23" s="47"/>
      <c r="R23" s="47"/>
      <c r="S23" s="47"/>
      <c r="T23" s="47"/>
      <c r="U23" s="47"/>
      <c r="V23" s="47"/>
      <c r="W23" s="47"/>
      <c r="X23" s="47"/>
      <c r="Y23" s="47"/>
      <c r="Z23" s="47"/>
    </row>
    <row r="24" spans="1:26" ht="15.75" customHeight="1">
      <c r="A24" s="152"/>
      <c r="B24" s="77"/>
      <c r="C24" s="47"/>
      <c r="D24" s="47"/>
      <c r="E24" s="47"/>
      <c r="M24" s="47"/>
      <c r="N24" s="47"/>
      <c r="O24" s="47"/>
      <c r="P24" s="47"/>
      <c r="Q24" s="47"/>
      <c r="R24" s="47"/>
      <c r="S24" s="47"/>
      <c r="T24" s="47"/>
      <c r="U24" s="47"/>
      <c r="V24" s="47"/>
      <c r="W24" s="47"/>
      <c r="X24" s="47"/>
      <c r="Y24" s="47"/>
      <c r="Z24" s="47"/>
    </row>
    <row r="25" spans="1:26" ht="15.75" customHeight="1">
      <c r="A25" s="164" t="s">
        <v>91</v>
      </c>
      <c r="B25" s="165" t="s">
        <v>2299</v>
      </c>
      <c r="C25" s="75" t="s">
        <v>2300</v>
      </c>
      <c r="D25" s="75" t="s">
        <v>2301</v>
      </c>
      <c r="E25" s="166"/>
      <c r="M25" s="166"/>
      <c r="N25" s="166"/>
      <c r="O25" s="166"/>
      <c r="P25" s="166"/>
      <c r="Q25" s="166"/>
      <c r="R25" s="166"/>
      <c r="S25" s="166"/>
      <c r="T25" s="166"/>
      <c r="U25" s="166"/>
      <c r="V25" s="166"/>
      <c r="W25" s="166"/>
      <c r="X25" s="166"/>
      <c r="Y25" s="166"/>
      <c r="Z25" s="166"/>
    </row>
    <row r="26" spans="1:26" ht="15.75" customHeight="1">
      <c r="A26" s="152"/>
      <c r="B26" s="77"/>
      <c r="C26" s="47"/>
      <c r="D26" s="47"/>
      <c r="E26" s="47"/>
      <c r="F26" s="47"/>
      <c r="G26" s="47"/>
      <c r="H26" s="47"/>
      <c r="I26" s="47"/>
      <c r="J26" s="47"/>
      <c r="K26" s="47"/>
      <c r="L26" s="47"/>
      <c r="M26" s="47"/>
      <c r="N26" s="47"/>
      <c r="O26" s="47"/>
      <c r="P26" s="47"/>
      <c r="Q26" s="47"/>
      <c r="R26" s="47"/>
      <c r="S26" s="47"/>
      <c r="T26" s="47"/>
      <c r="U26" s="47"/>
      <c r="V26" s="47"/>
      <c r="W26" s="47"/>
      <c r="X26" s="47"/>
      <c r="Y26" s="47"/>
      <c r="Z26" s="47"/>
    </row>
    <row r="27" spans="1:26" ht="15.75" customHeight="1">
      <c r="A27" s="152"/>
      <c r="B27" s="77"/>
      <c r="C27" s="47"/>
      <c r="D27" s="61"/>
      <c r="E27" s="47"/>
      <c r="F27" s="47"/>
      <c r="G27" s="47"/>
      <c r="H27" s="47"/>
      <c r="I27" s="47"/>
      <c r="J27" s="47"/>
      <c r="K27" s="47"/>
      <c r="L27" s="47"/>
      <c r="M27" s="47"/>
      <c r="N27" s="47"/>
      <c r="O27" s="47"/>
      <c r="P27" s="47"/>
      <c r="Q27" s="47"/>
      <c r="R27" s="47"/>
      <c r="S27" s="47"/>
      <c r="T27" s="47"/>
      <c r="U27" s="47"/>
      <c r="V27" s="47"/>
      <c r="W27" s="47"/>
      <c r="X27" s="47"/>
      <c r="Y27" s="47"/>
      <c r="Z27" s="47"/>
    </row>
    <row r="28" spans="1:26" ht="15.75" customHeight="1">
      <c r="A28" s="152"/>
      <c r="B28" s="77"/>
      <c r="C28" s="47"/>
      <c r="D28" s="47"/>
      <c r="E28" s="47"/>
      <c r="F28" s="47"/>
      <c r="G28" s="47"/>
      <c r="H28" s="47"/>
      <c r="I28" s="47"/>
      <c r="J28" s="47"/>
      <c r="K28" s="47"/>
      <c r="L28" s="47"/>
      <c r="M28" s="47"/>
      <c r="N28" s="47"/>
      <c r="O28" s="47"/>
      <c r="P28" s="47"/>
      <c r="Q28" s="47"/>
      <c r="R28" s="47"/>
      <c r="S28" s="47"/>
      <c r="T28" s="47"/>
      <c r="U28" s="47"/>
      <c r="V28" s="47"/>
      <c r="W28" s="47"/>
      <c r="X28" s="47"/>
      <c r="Y28" s="47"/>
      <c r="Z28" s="47"/>
    </row>
    <row r="29" spans="1:26" ht="15.75" customHeight="1">
      <c r="A29" s="152"/>
      <c r="B29" s="77"/>
      <c r="C29" s="47"/>
      <c r="D29" s="47"/>
      <c r="E29" s="47"/>
      <c r="F29" s="47"/>
      <c r="G29" s="47"/>
      <c r="H29" s="47"/>
      <c r="I29" s="47"/>
      <c r="J29" s="47"/>
      <c r="K29" s="47"/>
      <c r="L29" s="47"/>
      <c r="M29" s="47"/>
      <c r="N29" s="47"/>
      <c r="O29" s="47"/>
      <c r="P29" s="47"/>
      <c r="Q29" s="47"/>
      <c r="R29" s="47"/>
      <c r="S29" s="47"/>
      <c r="T29" s="47"/>
      <c r="U29" s="47"/>
      <c r="V29" s="47"/>
      <c r="W29" s="47"/>
      <c r="X29" s="47"/>
      <c r="Y29" s="47"/>
      <c r="Z29" s="47"/>
    </row>
    <row r="30" spans="1:26" ht="15.75" customHeight="1">
      <c r="A30" s="152"/>
      <c r="B30" s="77"/>
      <c r="C30" s="47"/>
      <c r="D30" s="47"/>
      <c r="E30" s="47"/>
      <c r="F30" s="47"/>
      <c r="G30" s="47"/>
      <c r="H30" s="47"/>
      <c r="I30" s="47"/>
      <c r="J30" s="47"/>
      <c r="K30" s="47"/>
      <c r="L30" s="47"/>
      <c r="M30" s="47"/>
      <c r="N30" s="47"/>
      <c r="O30" s="47"/>
      <c r="P30" s="47"/>
      <c r="Q30" s="47"/>
      <c r="R30" s="47"/>
      <c r="S30" s="47"/>
      <c r="T30" s="47"/>
      <c r="U30" s="47"/>
      <c r="V30" s="47"/>
      <c r="W30" s="47"/>
      <c r="X30" s="47"/>
      <c r="Y30" s="47"/>
      <c r="Z30" s="47"/>
    </row>
    <row r="31" spans="1:26" ht="15.75" customHeight="1">
      <c r="A31" s="152"/>
      <c r="B31" s="77"/>
      <c r="C31" s="47"/>
      <c r="D31" s="47"/>
      <c r="E31" s="47"/>
      <c r="F31" s="47"/>
      <c r="G31" s="47"/>
      <c r="H31" s="47"/>
      <c r="I31" s="47"/>
      <c r="J31" s="47"/>
      <c r="K31" s="47"/>
      <c r="L31" s="47"/>
      <c r="M31" s="47"/>
      <c r="N31" s="47"/>
      <c r="O31" s="47"/>
      <c r="P31" s="47"/>
      <c r="Q31" s="47"/>
      <c r="R31" s="47"/>
      <c r="S31" s="47"/>
      <c r="T31" s="47"/>
      <c r="U31" s="47"/>
      <c r="V31" s="47"/>
      <c r="W31" s="47"/>
      <c r="X31" s="47"/>
      <c r="Y31" s="47"/>
      <c r="Z31" s="47"/>
    </row>
    <row r="32" spans="1:26" ht="15.75" customHeight="1">
      <c r="A32" s="152"/>
      <c r="B32" s="77"/>
      <c r="C32" s="47"/>
      <c r="D32" s="47"/>
      <c r="E32" s="47"/>
      <c r="F32" s="47"/>
      <c r="G32" s="47"/>
      <c r="H32" s="47"/>
      <c r="I32" s="47"/>
      <c r="J32" s="47"/>
      <c r="K32" s="47"/>
      <c r="L32" s="47"/>
      <c r="M32" s="47"/>
      <c r="N32" s="47"/>
      <c r="O32" s="47"/>
      <c r="P32" s="47"/>
      <c r="Q32" s="47"/>
      <c r="R32" s="47"/>
      <c r="S32" s="47"/>
      <c r="T32" s="47"/>
      <c r="U32" s="47"/>
      <c r="V32" s="47"/>
      <c r="W32" s="47"/>
      <c r="X32" s="47"/>
      <c r="Y32" s="47"/>
      <c r="Z32" s="47"/>
    </row>
    <row r="33" spans="1:26" ht="15.75" customHeight="1">
      <c r="A33" s="152"/>
      <c r="B33" s="77"/>
      <c r="C33" s="47"/>
      <c r="D33" s="47"/>
      <c r="E33" s="47"/>
      <c r="F33" s="47"/>
      <c r="G33" s="47"/>
      <c r="H33" s="47"/>
      <c r="I33" s="47"/>
      <c r="J33" s="47"/>
      <c r="K33" s="47"/>
      <c r="L33" s="47"/>
      <c r="M33" s="47"/>
      <c r="N33" s="47"/>
      <c r="O33" s="47"/>
      <c r="P33" s="47"/>
      <c r="Q33" s="47"/>
      <c r="R33" s="47"/>
      <c r="S33" s="47"/>
      <c r="T33" s="47"/>
      <c r="U33" s="47"/>
      <c r="V33" s="47"/>
      <c r="W33" s="47"/>
      <c r="X33" s="47"/>
      <c r="Y33" s="47"/>
      <c r="Z33" s="47"/>
    </row>
    <row r="34" spans="1:26" ht="15.75" customHeight="1">
      <c r="A34" s="152"/>
      <c r="B34" s="77"/>
      <c r="C34" s="47"/>
      <c r="D34" s="47"/>
      <c r="E34" s="47"/>
      <c r="F34" s="47"/>
      <c r="G34" s="47"/>
      <c r="H34" s="47"/>
      <c r="I34" s="47"/>
      <c r="J34" s="47"/>
      <c r="K34" s="47"/>
      <c r="L34" s="47"/>
      <c r="M34" s="47"/>
      <c r="N34" s="47"/>
      <c r="O34" s="47"/>
      <c r="P34" s="47"/>
      <c r="Q34" s="47"/>
      <c r="R34" s="47"/>
      <c r="S34" s="47"/>
      <c r="T34" s="47"/>
      <c r="U34" s="47"/>
      <c r="V34" s="47"/>
      <c r="W34" s="47"/>
      <c r="X34" s="47"/>
      <c r="Y34" s="47"/>
      <c r="Z34" s="47"/>
    </row>
    <row r="35" spans="1:26" ht="15.75" customHeight="1">
      <c r="A35" s="152"/>
      <c r="B35" s="77"/>
      <c r="C35" s="47"/>
      <c r="D35" s="47"/>
      <c r="E35" s="47"/>
      <c r="F35" s="47"/>
      <c r="G35" s="47"/>
      <c r="H35" s="47"/>
      <c r="I35" s="47"/>
      <c r="J35" s="47"/>
      <c r="K35" s="47"/>
      <c r="L35" s="47"/>
      <c r="M35" s="47"/>
      <c r="N35" s="47"/>
      <c r="O35" s="47"/>
      <c r="P35" s="47"/>
      <c r="Q35" s="47"/>
      <c r="R35" s="47"/>
      <c r="S35" s="47"/>
      <c r="T35" s="47"/>
      <c r="U35" s="47"/>
      <c r="V35" s="47"/>
      <c r="W35" s="47"/>
      <c r="X35" s="47"/>
      <c r="Y35" s="47"/>
      <c r="Z35" s="47"/>
    </row>
    <row r="36" spans="1:26" ht="15.75" customHeight="1">
      <c r="A36" s="152"/>
      <c r="B36" s="77"/>
      <c r="C36" s="47"/>
      <c r="D36" s="47"/>
      <c r="E36" s="47"/>
      <c r="F36" s="47"/>
      <c r="G36" s="47"/>
      <c r="H36" s="47"/>
      <c r="I36" s="47"/>
      <c r="J36" s="47"/>
      <c r="K36" s="47"/>
      <c r="L36" s="47"/>
      <c r="M36" s="47"/>
      <c r="N36" s="47"/>
      <c r="O36" s="47"/>
      <c r="P36" s="47"/>
      <c r="Q36" s="47"/>
      <c r="R36" s="47"/>
      <c r="S36" s="47"/>
      <c r="T36" s="47"/>
      <c r="U36" s="47"/>
      <c r="V36" s="47"/>
      <c r="W36" s="47"/>
      <c r="X36" s="47"/>
      <c r="Y36" s="47"/>
      <c r="Z36" s="47"/>
    </row>
    <row r="37" spans="1:26" ht="15.75" customHeight="1">
      <c r="A37" s="152"/>
      <c r="B37" s="77"/>
      <c r="C37" s="47"/>
      <c r="D37" s="47"/>
      <c r="E37" s="47"/>
      <c r="F37" s="47"/>
      <c r="G37" s="47"/>
      <c r="H37" s="47"/>
      <c r="I37" s="47"/>
      <c r="J37" s="47"/>
      <c r="K37" s="47"/>
      <c r="L37" s="47"/>
      <c r="M37" s="47"/>
      <c r="N37" s="47"/>
      <c r="O37" s="47"/>
      <c r="P37" s="47"/>
      <c r="Q37" s="47"/>
      <c r="R37" s="47"/>
      <c r="S37" s="47"/>
      <c r="T37" s="47"/>
      <c r="U37" s="47"/>
      <c r="V37" s="47"/>
      <c r="W37" s="47"/>
      <c r="X37" s="47"/>
      <c r="Y37" s="47"/>
      <c r="Z37" s="47"/>
    </row>
  </sheetData>
  <mergeCells count="6">
    <mergeCell ref="B23:D23"/>
    <mergeCell ref="B18:D18"/>
    <mergeCell ref="B19:D19"/>
    <mergeCell ref="B20:D20"/>
    <mergeCell ref="B21:D21"/>
    <mergeCell ref="B22:D22"/>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C9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75" customHeight="1"/>
  <cols>
    <col min="1" max="1" width="20.33203125" customWidth="1"/>
    <col min="2" max="2" width="3.83203125" customWidth="1"/>
    <col min="3" max="3" width="5.1640625" customWidth="1"/>
    <col min="4" max="4" width="7.33203125" customWidth="1"/>
    <col min="5" max="6" width="6.33203125" customWidth="1"/>
    <col min="7" max="7" width="3.83203125" customWidth="1"/>
    <col min="8" max="8" width="6.33203125" customWidth="1"/>
    <col min="9" max="9" width="6.83203125" customWidth="1"/>
    <col min="10" max="14" width="4.83203125" customWidth="1"/>
    <col min="15" max="15" width="20.83203125" customWidth="1"/>
    <col min="16" max="16" width="22.83203125" customWidth="1"/>
    <col min="17" max="17" width="18.5" customWidth="1"/>
    <col min="19" max="19" width="14.6640625" customWidth="1"/>
    <col min="20" max="20" width="6.83203125" customWidth="1"/>
    <col min="21" max="25" width="4.33203125" customWidth="1"/>
    <col min="26" max="26" width="14.5" customWidth="1"/>
    <col min="27" max="27" width="28.6640625" customWidth="1"/>
    <col min="28" max="28" width="16.33203125" customWidth="1"/>
    <col min="29" max="29" width="15.33203125" customWidth="1"/>
  </cols>
  <sheetData>
    <row r="1" spans="1:29" ht="15.75" customHeight="1">
      <c r="A1" s="129" t="s">
        <v>1880</v>
      </c>
      <c r="B1" s="167" t="s">
        <v>1403</v>
      </c>
      <c r="C1" s="168" t="s">
        <v>2302</v>
      </c>
      <c r="D1" s="167" t="s">
        <v>2303</v>
      </c>
      <c r="E1" s="168" t="s">
        <v>2304</v>
      </c>
      <c r="F1" s="167" t="s">
        <v>2305</v>
      </c>
      <c r="G1" s="168" t="s">
        <v>2306</v>
      </c>
      <c r="H1" s="167" t="s">
        <v>2307</v>
      </c>
      <c r="I1" s="169" t="s">
        <v>2308</v>
      </c>
      <c r="J1" s="170" t="s">
        <v>2309</v>
      </c>
      <c r="K1" s="171" t="s">
        <v>2310</v>
      </c>
      <c r="L1" s="170" t="s">
        <v>2311</v>
      </c>
      <c r="M1" s="171" t="s">
        <v>2312</v>
      </c>
      <c r="N1" s="170" t="s">
        <v>2313</v>
      </c>
      <c r="O1" s="129" t="s">
        <v>2314</v>
      </c>
      <c r="P1" s="129" t="s">
        <v>14</v>
      </c>
      <c r="Q1" s="129" t="s">
        <v>2315</v>
      </c>
      <c r="R1" s="172" t="s">
        <v>2316</v>
      </c>
      <c r="S1" s="129" t="s">
        <v>2317</v>
      </c>
      <c r="T1" s="129" t="s">
        <v>2308</v>
      </c>
      <c r="U1" s="173" t="s">
        <v>2309</v>
      </c>
      <c r="V1" s="173" t="s">
        <v>2310</v>
      </c>
      <c r="W1" s="173" t="s">
        <v>2311</v>
      </c>
      <c r="X1" s="173" t="s">
        <v>2312</v>
      </c>
      <c r="Y1" s="173" t="s">
        <v>2313</v>
      </c>
      <c r="Z1" s="129" t="s">
        <v>34</v>
      </c>
      <c r="AA1" s="129" t="s">
        <v>14</v>
      </c>
      <c r="AB1" s="129" t="s">
        <v>2315</v>
      </c>
      <c r="AC1" s="129" t="s">
        <v>2318</v>
      </c>
    </row>
    <row r="2" spans="1:29" ht="15.75" customHeight="1">
      <c r="A2" s="129" t="s">
        <v>2319</v>
      </c>
      <c r="B2" s="174">
        <v>1</v>
      </c>
      <c r="C2" s="175">
        <v>1</v>
      </c>
      <c r="D2" s="42">
        <v>9</v>
      </c>
      <c r="E2" s="176">
        <v>3</v>
      </c>
      <c r="F2" s="42">
        <v>3</v>
      </c>
      <c r="G2" s="176">
        <v>10</v>
      </c>
      <c r="H2" s="42">
        <v>5.5</v>
      </c>
      <c r="I2" s="133"/>
      <c r="J2" s="177"/>
      <c r="K2" s="178"/>
      <c r="L2" s="177"/>
      <c r="M2" s="178"/>
      <c r="N2" s="177"/>
      <c r="O2" s="42" t="s">
        <v>2320</v>
      </c>
      <c r="P2" s="42" t="s">
        <v>126</v>
      </c>
      <c r="Q2" s="42" t="s">
        <v>126</v>
      </c>
      <c r="R2" s="172" t="s">
        <v>2321</v>
      </c>
      <c r="S2" s="129"/>
      <c r="T2" s="42"/>
      <c r="U2" s="178"/>
      <c r="V2" s="177"/>
      <c r="W2" s="179"/>
      <c r="X2" s="177"/>
      <c r="Y2" s="179"/>
      <c r="Z2" s="42"/>
      <c r="AA2" s="42"/>
      <c r="AB2" s="42"/>
    </row>
    <row r="3" spans="1:29" ht="15.75" customHeight="1">
      <c r="A3" s="129" t="s">
        <v>2322</v>
      </c>
      <c r="B3" s="174">
        <v>1</v>
      </c>
      <c r="C3" s="175">
        <v>1</v>
      </c>
      <c r="D3" s="42">
        <v>10</v>
      </c>
      <c r="E3" s="176">
        <v>3</v>
      </c>
      <c r="F3" s="42">
        <v>3</v>
      </c>
      <c r="G3" s="176">
        <v>19</v>
      </c>
      <c r="H3" s="42">
        <v>6.5</v>
      </c>
      <c r="I3" s="133"/>
      <c r="J3" s="177"/>
      <c r="K3" s="178"/>
      <c r="L3" s="177"/>
      <c r="M3" s="178"/>
      <c r="N3" s="177"/>
      <c r="O3" s="42" t="s">
        <v>2323</v>
      </c>
      <c r="P3" s="42" t="s">
        <v>1709</v>
      </c>
      <c r="Q3" s="42" t="s">
        <v>1685</v>
      </c>
      <c r="R3" s="172"/>
      <c r="S3" s="129" t="s">
        <v>2324</v>
      </c>
      <c r="T3" s="42" t="s">
        <v>2325</v>
      </c>
      <c r="U3" s="178">
        <v>100</v>
      </c>
      <c r="V3" s="177">
        <v>-20</v>
      </c>
      <c r="W3" s="179"/>
      <c r="X3" s="177">
        <v>-20</v>
      </c>
      <c r="Y3" s="179"/>
      <c r="Z3" s="180" t="s">
        <v>2326</v>
      </c>
      <c r="AA3" s="42" t="s">
        <v>1438</v>
      </c>
      <c r="AB3" s="42" t="s">
        <v>2327</v>
      </c>
    </row>
    <row r="4" spans="1:29" ht="15.75" customHeight="1">
      <c r="A4" s="129" t="s">
        <v>1886</v>
      </c>
      <c r="B4" s="174">
        <v>1</v>
      </c>
      <c r="C4" s="175">
        <v>1</v>
      </c>
      <c r="D4" s="174">
        <v>32</v>
      </c>
      <c r="E4" s="175">
        <v>6</v>
      </c>
      <c r="F4" s="174">
        <v>0</v>
      </c>
      <c r="G4" s="175">
        <v>10</v>
      </c>
      <c r="H4" s="174">
        <v>9</v>
      </c>
      <c r="I4" s="133"/>
      <c r="J4" s="177">
        <v>20</v>
      </c>
      <c r="K4" s="178">
        <v>20</v>
      </c>
      <c r="L4" s="177">
        <v>20</v>
      </c>
      <c r="M4" s="178">
        <v>100</v>
      </c>
      <c r="N4" s="177">
        <v>20</v>
      </c>
      <c r="O4" s="181" t="s">
        <v>2328</v>
      </c>
      <c r="P4" s="42" t="s">
        <v>2329</v>
      </c>
      <c r="Q4" s="42" t="s">
        <v>1685</v>
      </c>
      <c r="R4" s="172"/>
      <c r="S4" s="129" t="s">
        <v>2112</v>
      </c>
      <c r="T4" s="42" t="s">
        <v>2112</v>
      </c>
      <c r="U4" s="179"/>
      <c r="V4" s="182"/>
      <c r="W4" s="178">
        <v>100</v>
      </c>
      <c r="X4" s="182"/>
      <c r="Y4" s="178">
        <v>-20</v>
      </c>
      <c r="Z4" s="180" t="s">
        <v>2330</v>
      </c>
      <c r="AA4" s="42" t="s">
        <v>1794</v>
      </c>
      <c r="AB4" s="42" t="s">
        <v>1505</v>
      </c>
    </row>
    <row r="5" spans="1:29" ht="15.75" customHeight="1">
      <c r="A5" s="129" t="s">
        <v>2319</v>
      </c>
      <c r="B5" s="174">
        <v>10</v>
      </c>
      <c r="C5" s="175">
        <v>5</v>
      </c>
      <c r="D5" s="183">
        <v>147</v>
      </c>
      <c r="E5" s="184">
        <v>41</v>
      </c>
      <c r="F5" s="183">
        <v>41</v>
      </c>
      <c r="G5" s="175">
        <v>20</v>
      </c>
      <c r="H5" s="183">
        <v>50</v>
      </c>
      <c r="I5" s="185"/>
      <c r="J5" s="182"/>
      <c r="K5" s="179"/>
      <c r="L5" s="182"/>
      <c r="M5" s="179"/>
      <c r="N5" s="182"/>
      <c r="O5" s="42" t="s">
        <v>2331</v>
      </c>
      <c r="P5" s="42" t="s">
        <v>126</v>
      </c>
      <c r="Q5" s="42" t="s">
        <v>126</v>
      </c>
      <c r="R5" s="1"/>
      <c r="S5" s="186" t="s">
        <v>1675</v>
      </c>
      <c r="T5" s="42" t="s">
        <v>169</v>
      </c>
      <c r="U5" s="178">
        <v>-20</v>
      </c>
      <c r="V5" s="182"/>
      <c r="W5" s="179"/>
      <c r="X5" s="177">
        <v>120</v>
      </c>
      <c r="Y5" s="179"/>
      <c r="Z5" s="180" t="s">
        <v>2332</v>
      </c>
      <c r="AA5" s="42" t="s">
        <v>2333</v>
      </c>
      <c r="AB5" s="42" t="s">
        <v>1539</v>
      </c>
      <c r="AC5" s="180" t="s">
        <v>2334</v>
      </c>
    </row>
    <row r="6" spans="1:29" ht="15.75" customHeight="1">
      <c r="A6" s="186" t="s">
        <v>2335</v>
      </c>
      <c r="B6" s="174">
        <v>10</v>
      </c>
      <c r="C6" s="175">
        <v>5</v>
      </c>
      <c r="D6" s="183">
        <v>383</v>
      </c>
      <c r="E6" s="184">
        <v>41</v>
      </c>
      <c r="F6" s="183">
        <v>161</v>
      </c>
      <c r="G6" s="175">
        <v>20</v>
      </c>
      <c r="H6" s="187">
        <v>124</v>
      </c>
      <c r="I6" s="133" t="s">
        <v>169</v>
      </c>
      <c r="J6" s="177">
        <v>20</v>
      </c>
      <c r="K6" s="178">
        <v>80</v>
      </c>
      <c r="L6" s="177">
        <v>-20</v>
      </c>
      <c r="M6" s="178">
        <v>120</v>
      </c>
      <c r="N6" s="177">
        <v>150</v>
      </c>
      <c r="O6" s="42" t="s">
        <v>2336</v>
      </c>
      <c r="P6" s="42" t="s">
        <v>2337</v>
      </c>
      <c r="Q6" s="42" t="s">
        <v>2338</v>
      </c>
      <c r="R6" s="172"/>
      <c r="S6" s="186" t="s">
        <v>2339</v>
      </c>
      <c r="T6" s="42" t="s">
        <v>2325</v>
      </c>
      <c r="U6" s="178">
        <v>120</v>
      </c>
      <c r="V6" s="177">
        <v>-20</v>
      </c>
      <c r="W6" s="179"/>
      <c r="X6" s="177">
        <v>-20</v>
      </c>
      <c r="Y6" s="179"/>
      <c r="Z6" s="180" t="s">
        <v>2326</v>
      </c>
      <c r="AA6" s="42" t="s">
        <v>2340</v>
      </c>
      <c r="AB6" s="42" t="s">
        <v>2327</v>
      </c>
      <c r="AC6" s="180" t="s">
        <v>2334</v>
      </c>
    </row>
    <row r="7" spans="1:29" ht="15.75" customHeight="1">
      <c r="A7" s="129" t="s">
        <v>1883</v>
      </c>
      <c r="B7" s="174">
        <v>10</v>
      </c>
      <c r="C7" s="175">
        <v>5</v>
      </c>
      <c r="D7" s="183">
        <v>320</v>
      </c>
      <c r="E7" s="184">
        <v>0</v>
      </c>
      <c r="F7" s="183">
        <v>0</v>
      </c>
      <c r="G7" s="175">
        <v>13</v>
      </c>
      <c r="H7" s="183">
        <v>43</v>
      </c>
      <c r="I7" s="185"/>
      <c r="J7" s="182"/>
      <c r="K7" s="179"/>
      <c r="L7" s="177">
        <v>-20</v>
      </c>
      <c r="M7" s="178">
        <v>200</v>
      </c>
      <c r="N7" s="182"/>
      <c r="O7" s="42" t="s">
        <v>2341</v>
      </c>
      <c r="P7" s="42" t="s">
        <v>1882</v>
      </c>
      <c r="R7" s="172"/>
      <c r="S7" s="186" t="s">
        <v>2120</v>
      </c>
      <c r="T7" s="42" t="s">
        <v>189</v>
      </c>
      <c r="U7" s="179"/>
      <c r="V7" s="182"/>
      <c r="W7" s="178">
        <v>-20</v>
      </c>
      <c r="X7" s="182"/>
      <c r="Y7" s="178">
        <v>120</v>
      </c>
      <c r="Z7" s="180" t="s">
        <v>2342</v>
      </c>
      <c r="AA7" s="42" t="s">
        <v>2343</v>
      </c>
      <c r="AB7" s="42" t="s">
        <v>1638</v>
      </c>
      <c r="AC7" s="180" t="s">
        <v>2334</v>
      </c>
    </row>
    <row r="8" spans="1:29" ht="15.75" customHeight="1">
      <c r="A8" s="129" t="s">
        <v>2322</v>
      </c>
      <c r="B8" s="174">
        <v>10</v>
      </c>
      <c r="C8" s="175">
        <v>5</v>
      </c>
      <c r="D8" s="183">
        <v>220</v>
      </c>
      <c r="E8" s="184">
        <v>49</v>
      </c>
      <c r="F8" s="183">
        <v>49</v>
      </c>
      <c r="G8" s="175">
        <v>20</v>
      </c>
      <c r="H8" s="183">
        <v>58</v>
      </c>
      <c r="I8" s="185"/>
      <c r="J8" s="182"/>
      <c r="K8" s="179"/>
      <c r="L8" s="182"/>
      <c r="M8" s="179"/>
      <c r="N8" s="182"/>
      <c r="O8" s="42" t="s">
        <v>2344</v>
      </c>
      <c r="P8" s="42" t="s">
        <v>1709</v>
      </c>
      <c r="Q8" s="42" t="s">
        <v>1685</v>
      </c>
      <c r="R8" s="172"/>
      <c r="S8" s="186" t="s">
        <v>1791</v>
      </c>
      <c r="T8" s="42" t="s">
        <v>2112</v>
      </c>
      <c r="U8" s="179"/>
      <c r="V8" s="182"/>
      <c r="W8" s="178">
        <v>120</v>
      </c>
      <c r="X8" s="182"/>
      <c r="Y8" s="178">
        <v>-20</v>
      </c>
      <c r="Z8" s="180" t="s">
        <v>2330</v>
      </c>
      <c r="AA8" s="42" t="s">
        <v>2345</v>
      </c>
      <c r="AB8" s="42" t="s">
        <v>1505</v>
      </c>
      <c r="AC8" s="180" t="s">
        <v>2334</v>
      </c>
    </row>
    <row r="9" spans="1:29" ht="15.75" customHeight="1">
      <c r="A9" s="129" t="s">
        <v>2346</v>
      </c>
      <c r="B9" s="174">
        <v>10</v>
      </c>
      <c r="C9" s="175">
        <v>5</v>
      </c>
      <c r="D9" s="174">
        <v>59</v>
      </c>
      <c r="E9" s="175">
        <v>0</v>
      </c>
      <c r="F9" s="174">
        <v>0</v>
      </c>
      <c r="G9" s="175">
        <v>11</v>
      </c>
      <c r="H9" s="174">
        <v>42</v>
      </c>
      <c r="I9" s="185"/>
      <c r="J9" s="182"/>
      <c r="K9" s="179"/>
      <c r="L9" s="182"/>
      <c r="M9" s="179"/>
      <c r="N9" s="182"/>
      <c r="O9" s="42" t="s">
        <v>126</v>
      </c>
      <c r="P9" s="42" t="s">
        <v>126</v>
      </c>
      <c r="Q9" s="42" t="s">
        <v>1682</v>
      </c>
      <c r="R9" s="172"/>
      <c r="U9" s="179"/>
      <c r="V9" s="182"/>
      <c r="W9" s="179"/>
      <c r="X9" s="182"/>
      <c r="Y9" s="179"/>
    </row>
    <row r="10" spans="1:29" ht="15.75" customHeight="1">
      <c r="A10" s="129" t="s">
        <v>1886</v>
      </c>
      <c r="B10" s="174">
        <v>10</v>
      </c>
      <c r="C10" s="175">
        <v>5</v>
      </c>
      <c r="D10" s="183">
        <v>629</v>
      </c>
      <c r="E10" s="184">
        <v>120</v>
      </c>
      <c r="F10" s="183">
        <v>0</v>
      </c>
      <c r="G10" s="175">
        <v>13</v>
      </c>
      <c r="H10" s="183">
        <v>94</v>
      </c>
      <c r="I10" s="133"/>
      <c r="J10" s="177">
        <v>20</v>
      </c>
      <c r="K10" s="178">
        <v>20</v>
      </c>
      <c r="L10" s="177">
        <v>20</v>
      </c>
      <c r="M10" s="178">
        <v>100</v>
      </c>
      <c r="N10" s="177">
        <v>20</v>
      </c>
      <c r="O10" s="42" t="s">
        <v>2347</v>
      </c>
      <c r="P10" s="42" t="s">
        <v>2329</v>
      </c>
      <c r="Q10" s="42" t="s">
        <v>1685</v>
      </c>
      <c r="R10" s="172"/>
      <c r="S10" s="50"/>
    </row>
    <row r="11" spans="1:29" ht="15.75" customHeight="1">
      <c r="A11" s="129" t="s">
        <v>2348</v>
      </c>
      <c r="B11" s="174">
        <v>10</v>
      </c>
      <c r="C11" s="175">
        <v>5</v>
      </c>
      <c r="D11" s="174">
        <v>98</v>
      </c>
      <c r="E11" s="175">
        <v>0</v>
      </c>
      <c r="F11" s="174">
        <v>0</v>
      </c>
      <c r="G11" s="175">
        <v>11</v>
      </c>
      <c r="H11" s="174">
        <v>63</v>
      </c>
      <c r="I11" s="185"/>
      <c r="J11" s="182"/>
      <c r="K11" s="179"/>
      <c r="L11" s="182"/>
      <c r="M11" s="179"/>
      <c r="N11" s="182"/>
      <c r="O11" s="42" t="s">
        <v>126</v>
      </c>
      <c r="P11" s="42" t="s">
        <v>126</v>
      </c>
      <c r="R11" s="1"/>
      <c r="S11" s="50"/>
      <c r="T11" s="50"/>
      <c r="U11" s="182"/>
      <c r="V11" s="182"/>
      <c r="W11" s="182"/>
      <c r="X11" s="182"/>
      <c r="Y11" s="182"/>
    </row>
    <row r="12" spans="1:29" ht="15.75" customHeight="1">
      <c r="A12" s="129" t="s">
        <v>2349</v>
      </c>
      <c r="B12" s="174">
        <v>10</v>
      </c>
      <c r="C12" s="175">
        <v>5</v>
      </c>
      <c r="D12" s="174">
        <v>269</v>
      </c>
      <c r="E12" s="184">
        <v>0</v>
      </c>
      <c r="F12" s="174">
        <v>0</v>
      </c>
      <c r="G12" s="175">
        <v>14</v>
      </c>
      <c r="H12" s="174">
        <v>26</v>
      </c>
      <c r="I12" s="185"/>
      <c r="J12" s="182"/>
      <c r="K12" s="179"/>
      <c r="L12" s="182"/>
      <c r="M12" s="179"/>
      <c r="N12" s="182"/>
      <c r="O12" s="42" t="s">
        <v>126</v>
      </c>
      <c r="P12" s="42" t="s">
        <v>2350</v>
      </c>
      <c r="R12" s="172"/>
      <c r="S12" s="170"/>
      <c r="T12" s="170"/>
      <c r="U12" s="183"/>
      <c r="V12" s="183"/>
      <c r="W12" s="183"/>
      <c r="X12" s="188"/>
      <c r="Y12" s="188"/>
      <c r="Z12" s="183"/>
    </row>
    <row r="13" spans="1:29" ht="15.75" customHeight="1">
      <c r="A13" s="129" t="s">
        <v>1894</v>
      </c>
      <c r="B13" s="174">
        <v>10</v>
      </c>
      <c r="C13" s="175">
        <v>5</v>
      </c>
      <c r="D13" s="174">
        <v>548</v>
      </c>
      <c r="E13" s="175">
        <v>0</v>
      </c>
      <c r="F13" s="174">
        <v>0</v>
      </c>
      <c r="G13" s="175">
        <v>13</v>
      </c>
      <c r="H13" s="174">
        <v>32</v>
      </c>
      <c r="I13" s="185"/>
      <c r="J13" s="182"/>
      <c r="K13" s="179"/>
      <c r="L13" s="182"/>
      <c r="M13" s="179"/>
      <c r="N13" s="182"/>
      <c r="O13" s="42" t="s">
        <v>126</v>
      </c>
      <c r="P13" s="42" t="s">
        <v>2351</v>
      </c>
      <c r="Q13" s="42"/>
      <c r="R13" s="172"/>
      <c r="S13" s="170"/>
      <c r="T13" s="170"/>
      <c r="U13" s="183"/>
      <c r="V13" s="183"/>
      <c r="W13" s="183"/>
      <c r="X13" s="188"/>
      <c r="Y13" s="188"/>
      <c r="Z13" s="183"/>
    </row>
    <row r="14" spans="1:29" ht="15.75" customHeight="1">
      <c r="A14" s="129" t="s">
        <v>2352</v>
      </c>
      <c r="B14" s="174">
        <v>10</v>
      </c>
      <c r="C14" s="175">
        <v>5</v>
      </c>
      <c r="D14" s="174">
        <v>50</v>
      </c>
      <c r="E14" s="175">
        <v>0</v>
      </c>
      <c r="F14" s="174">
        <v>0</v>
      </c>
      <c r="G14" s="175">
        <v>11</v>
      </c>
      <c r="H14" s="174">
        <v>42</v>
      </c>
      <c r="I14" s="133" t="s">
        <v>2325</v>
      </c>
      <c r="J14" s="177">
        <v>100</v>
      </c>
      <c r="K14" s="178">
        <v>-100</v>
      </c>
      <c r="L14" s="182"/>
      <c r="M14" s="178">
        <v>-100</v>
      </c>
      <c r="N14" s="182"/>
      <c r="O14" s="42" t="s">
        <v>126</v>
      </c>
      <c r="P14" s="42" t="s">
        <v>126</v>
      </c>
      <c r="R14" s="172"/>
      <c r="S14" s="50"/>
      <c r="T14" s="50"/>
      <c r="U14" s="182"/>
      <c r="V14" s="182"/>
      <c r="W14" s="182"/>
      <c r="X14" s="182"/>
      <c r="Y14" s="182"/>
    </row>
    <row r="15" spans="1:29" ht="15.75" customHeight="1">
      <c r="A15" s="129" t="s">
        <v>2353</v>
      </c>
      <c r="B15" s="174">
        <v>10</v>
      </c>
      <c r="C15" s="175">
        <v>5</v>
      </c>
      <c r="D15" s="183">
        <v>147</v>
      </c>
      <c r="E15" s="184">
        <v>41</v>
      </c>
      <c r="F15" s="183">
        <v>41</v>
      </c>
      <c r="G15" s="175">
        <v>20</v>
      </c>
      <c r="H15" s="183">
        <v>46</v>
      </c>
      <c r="I15" s="133" t="s">
        <v>2354</v>
      </c>
      <c r="J15" s="177" t="s">
        <v>2354</v>
      </c>
      <c r="K15" s="178" t="s">
        <v>2354</v>
      </c>
      <c r="L15" s="177" t="s">
        <v>2354</v>
      </c>
      <c r="M15" s="178" t="s">
        <v>2354</v>
      </c>
      <c r="N15" s="177" t="s">
        <v>2354</v>
      </c>
      <c r="O15" s="42" t="s">
        <v>2355</v>
      </c>
      <c r="P15" s="42" t="s">
        <v>2354</v>
      </c>
      <c r="Q15" s="42" t="s">
        <v>2354</v>
      </c>
      <c r="R15" s="172"/>
      <c r="S15" s="170"/>
      <c r="T15" s="170"/>
      <c r="U15" s="183"/>
      <c r="V15" s="183"/>
      <c r="W15" s="183"/>
      <c r="X15" s="188"/>
      <c r="Y15" s="188"/>
      <c r="Z15" s="183"/>
    </row>
    <row r="16" spans="1:29" ht="15.75" customHeight="1">
      <c r="A16" s="186" t="s">
        <v>2356</v>
      </c>
      <c r="B16" s="174">
        <v>10</v>
      </c>
      <c r="C16" s="175">
        <v>5</v>
      </c>
      <c r="D16" s="183">
        <v>384</v>
      </c>
      <c r="E16" s="184">
        <v>60</v>
      </c>
      <c r="F16" s="183">
        <v>240</v>
      </c>
      <c r="G16" s="175">
        <v>14</v>
      </c>
      <c r="H16" s="187">
        <v>67</v>
      </c>
      <c r="I16" s="133" t="s">
        <v>2112</v>
      </c>
      <c r="J16" s="182"/>
      <c r="K16" s="179"/>
      <c r="L16" s="177">
        <v>120</v>
      </c>
      <c r="M16" s="179"/>
      <c r="N16" s="177">
        <v>-50</v>
      </c>
      <c r="O16" s="42" t="s">
        <v>2357</v>
      </c>
      <c r="P16" s="42" t="s">
        <v>2358</v>
      </c>
      <c r="Q16" s="42" t="s">
        <v>2359</v>
      </c>
      <c r="R16" s="172"/>
      <c r="S16" s="170"/>
      <c r="T16" s="170"/>
      <c r="U16" s="183"/>
      <c r="V16" s="183"/>
      <c r="W16" s="183"/>
      <c r="X16" s="188"/>
      <c r="Y16" s="188"/>
      <c r="Z16" s="183"/>
    </row>
    <row r="17" spans="1:26" ht="15.75" customHeight="1">
      <c r="A17" s="129" t="s">
        <v>2360</v>
      </c>
      <c r="B17" s="174">
        <v>10</v>
      </c>
      <c r="C17" s="175">
        <v>5</v>
      </c>
      <c r="D17" s="174">
        <v>50</v>
      </c>
      <c r="E17" s="175">
        <v>0</v>
      </c>
      <c r="F17" s="174">
        <v>0</v>
      </c>
      <c r="G17" s="175">
        <v>11</v>
      </c>
      <c r="H17" s="174">
        <v>42</v>
      </c>
      <c r="I17" s="133" t="s">
        <v>2112</v>
      </c>
      <c r="J17" s="182"/>
      <c r="K17" s="179"/>
      <c r="L17" s="177">
        <v>100</v>
      </c>
      <c r="M17" s="179"/>
      <c r="N17" s="177">
        <v>-100</v>
      </c>
      <c r="O17" s="42" t="s">
        <v>126</v>
      </c>
      <c r="P17" s="42" t="s">
        <v>126</v>
      </c>
      <c r="Q17" s="42" t="s">
        <v>1505</v>
      </c>
      <c r="R17" s="172"/>
      <c r="S17" s="50"/>
      <c r="T17" s="50"/>
      <c r="U17" s="182"/>
      <c r="V17" s="182"/>
      <c r="W17" s="182"/>
      <c r="X17" s="182"/>
      <c r="Y17" s="182"/>
    </row>
    <row r="18" spans="1:26" ht="15.75" customHeight="1">
      <c r="A18" s="129" t="s">
        <v>2361</v>
      </c>
      <c r="B18" s="174">
        <v>10</v>
      </c>
      <c r="C18" s="175">
        <v>5</v>
      </c>
      <c r="D18" s="174">
        <v>50</v>
      </c>
      <c r="E18" s="175">
        <v>0</v>
      </c>
      <c r="F18" s="174">
        <v>0</v>
      </c>
      <c r="G18" s="175">
        <v>11</v>
      </c>
      <c r="H18" s="174">
        <v>46</v>
      </c>
      <c r="I18" s="133" t="s">
        <v>2362</v>
      </c>
      <c r="J18" s="177">
        <v>-100</v>
      </c>
      <c r="K18" s="178">
        <v>100</v>
      </c>
      <c r="L18" s="182"/>
      <c r="M18" s="178">
        <v>100</v>
      </c>
      <c r="N18" s="182"/>
      <c r="O18" s="42" t="s">
        <v>126</v>
      </c>
      <c r="P18" s="42" t="s">
        <v>126</v>
      </c>
      <c r="Q18" s="42" t="s">
        <v>1539</v>
      </c>
      <c r="R18" s="172"/>
      <c r="S18" s="50"/>
      <c r="T18" s="50"/>
      <c r="U18" s="182"/>
      <c r="V18" s="182"/>
      <c r="W18" s="182"/>
      <c r="X18" s="182"/>
      <c r="Y18" s="182"/>
    </row>
    <row r="19" spans="1:26" ht="15.75" customHeight="1">
      <c r="A19" s="129" t="s">
        <v>2363</v>
      </c>
      <c r="B19" s="174">
        <v>10</v>
      </c>
      <c r="C19" s="175">
        <v>5</v>
      </c>
      <c r="D19" s="174">
        <v>195</v>
      </c>
      <c r="E19" s="175">
        <v>0</v>
      </c>
      <c r="F19" s="174">
        <v>0</v>
      </c>
      <c r="G19" s="175">
        <v>13</v>
      </c>
      <c r="H19" s="174">
        <v>80</v>
      </c>
      <c r="I19" s="133" t="s">
        <v>2362</v>
      </c>
      <c r="J19" s="182"/>
      <c r="K19" s="178">
        <v>150</v>
      </c>
      <c r="L19" s="177">
        <v>-50</v>
      </c>
      <c r="M19" s="178">
        <v>50</v>
      </c>
      <c r="N19" s="182"/>
      <c r="O19" s="42" t="s">
        <v>2364</v>
      </c>
      <c r="P19" s="42" t="s">
        <v>126</v>
      </c>
      <c r="Q19" s="42" t="s">
        <v>2365</v>
      </c>
      <c r="R19" s="172"/>
      <c r="S19" s="170"/>
      <c r="T19" s="170"/>
      <c r="U19" s="183"/>
      <c r="V19" s="183"/>
      <c r="W19" s="183"/>
      <c r="X19" s="188"/>
      <c r="Y19" s="188"/>
      <c r="Z19" s="183"/>
    </row>
    <row r="20" spans="1:26" ht="15.75" customHeight="1">
      <c r="A20" s="129" t="s">
        <v>2366</v>
      </c>
      <c r="B20" s="174">
        <v>10</v>
      </c>
      <c r="C20" s="175">
        <v>5</v>
      </c>
      <c r="D20" s="174">
        <v>50</v>
      </c>
      <c r="E20" s="175">
        <v>0</v>
      </c>
      <c r="F20" s="174">
        <v>0</v>
      </c>
      <c r="G20" s="175">
        <v>11</v>
      </c>
      <c r="H20" s="174">
        <v>42</v>
      </c>
      <c r="I20" s="133" t="s">
        <v>169</v>
      </c>
      <c r="J20" s="177">
        <v>-100</v>
      </c>
      <c r="K20" s="178">
        <v>100</v>
      </c>
      <c r="L20" s="182"/>
      <c r="M20" s="178">
        <v>100</v>
      </c>
      <c r="N20" s="182"/>
      <c r="O20" s="42" t="s">
        <v>126</v>
      </c>
      <c r="P20" s="42" t="s">
        <v>126</v>
      </c>
      <c r="Q20" s="42" t="s">
        <v>1539</v>
      </c>
      <c r="R20" s="172"/>
      <c r="S20" s="50"/>
      <c r="T20" s="50"/>
      <c r="U20" s="182"/>
      <c r="V20" s="182"/>
      <c r="W20" s="182"/>
      <c r="X20" s="182"/>
      <c r="Y20" s="182"/>
    </row>
    <row r="21" spans="1:26" ht="15.75" customHeight="1">
      <c r="A21" s="129" t="s">
        <v>2367</v>
      </c>
      <c r="B21" s="174">
        <v>10</v>
      </c>
      <c r="C21" s="175">
        <v>5</v>
      </c>
      <c r="D21" s="174">
        <v>50</v>
      </c>
      <c r="E21" s="175">
        <v>0</v>
      </c>
      <c r="F21" s="174">
        <v>0</v>
      </c>
      <c r="G21" s="175">
        <v>11</v>
      </c>
      <c r="H21" s="174">
        <v>42</v>
      </c>
      <c r="I21" s="133" t="s">
        <v>189</v>
      </c>
      <c r="J21" s="182"/>
      <c r="K21" s="179"/>
      <c r="L21" s="177">
        <v>-100</v>
      </c>
      <c r="M21" s="179"/>
      <c r="N21" s="177">
        <v>100</v>
      </c>
      <c r="O21" s="42" t="s">
        <v>126</v>
      </c>
      <c r="P21" s="42" t="s">
        <v>126</v>
      </c>
      <c r="Q21" s="42" t="s">
        <v>2368</v>
      </c>
      <c r="R21" s="172"/>
      <c r="S21" s="50"/>
      <c r="T21" s="50"/>
      <c r="U21" s="182"/>
      <c r="V21" s="182"/>
      <c r="W21" s="182"/>
      <c r="X21" s="182"/>
      <c r="Y21" s="182"/>
    </row>
    <row r="22" spans="1:26" ht="15.75" customHeight="1">
      <c r="A22" s="129" t="s">
        <v>2369</v>
      </c>
      <c r="B22" s="174">
        <v>10</v>
      </c>
      <c r="C22" s="175">
        <v>5</v>
      </c>
      <c r="D22" s="174">
        <v>23</v>
      </c>
      <c r="E22" s="175">
        <v>0</v>
      </c>
      <c r="F22" s="174">
        <v>0</v>
      </c>
      <c r="G22" s="175">
        <v>14</v>
      </c>
      <c r="H22" s="174">
        <v>3</v>
      </c>
      <c r="I22" s="185"/>
      <c r="J22" s="182"/>
      <c r="K22" s="179"/>
      <c r="L22" s="182"/>
      <c r="M22" s="179"/>
      <c r="N22" s="182"/>
      <c r="O22" s="42" t="s">
        <v>126</v>
      </c>
      <c r="P22" s="42" t="s">
        <v>1909</v>
      </c>
      <c r="R22" s="172"/>
      <c r="S22" s="170"/>
      <c r="T22" s="170"/>
      <c r="U22" s="183"/>
      <c r="V22" s="183"/>
      <c r="W22" s="183"/>
      <c r="X22" s="188"/>
      <c r="Y22" s="188"/>
      <c r="Z22" s="183"/>
    </row>
    <row r="23" spans="1:26" ht="15.75" customHeight="1">
      <c r="A23" s="129" t="s">
        <v>2370</v>
      </c>
      <c r="B23" s="174">
        <v>10</v>
      </c>
      <c r="C23" s="175">
        <v>5</v>
      </c>
      <c r="D23" s="174">
        <v>50</v>
      </c>
      <c r="E23" s="175">
        <v>0</v>
      </c>
      <c r="F23" s="174">
        <v>0</v>
      </c>
      <c r="G23" s="175">
        <v>11</v>
      </c>
      <c r="H23" s="174">
        <v>42</v>
      </c>
      <c r="I23" s="185"/>
      <c r="J23" s="182"/>
      <c r="K23" s="179"/>
      <c r="L23" s="182"/>
      <c r="M23" s="179"/>
      <c r="N23" s="182"/>
      <c r="O23" s="42" t="s">
        <v>126</v>
      </c>
      <c r="P23" s="42" t="s">
        <v>126</v>
      </c>
      <c r="R23" s="172"/>
      <c r="S23" s="50"/>
      <c r="T23" s="50"/>
      <c r="U23" s="182"/>
      <c r="V23" s="182"/>
      <c r="W23" s="182"/>
      <c r="X23" s="182"/>
      <c r="Y23" s="182"/>
    </row>
    <row r="24" spans="1:26" ht="15.75" customHeight="1">
      <c r="A24" s="129" t="s">
        <v>2319</v>
      </c>
      <c r="B24" s="174">
        <v>10</v>
      </c>
      <c r="C24" s="175">
        <v>10</v>
      </c>
      <c r="D24" s="174">
        <v>366</v>
      </c>
      <c r="E24" s="175">
        <v>106</v>
      </c>
      <c r="F24" s="174">
        <v>106</v>
      </c>
      <c r="G24" s="175">
        <v>20</v>
      </c>
      <c r="H24" s="174">
        <v>98</v>
      </c>
      <c r="I24" s="185"/>
      <c r="J24" s="182"/>
      <c r="K24" s="179"/>
      <c r="L24" s="182"/>
      <c r="M24" s="179"/>
      <c r="N24" s="182"/>
      <c r="O24" s="42" t="s">
        <v>2331</v>
      </c>
      <c r="P24" s="42" t="s">
        <v>126</v>
      </c>
      <c r="Q24" s="42" t="s">
        <v>126</v>
      </c>
      <c r="R24" s="1"/>
      <c r="S24" s="50"/>
      <c r="T24" s="50"/>
      <c r="U24" s="182"/>
      <c r="V24" s="182"/>
      <c r="W24" s="182"/>
      <c r="X24" s="182"/>
      <c r="Y24" s="182"/>
    </row>
    <row r="25" spans="1:26" ht="15.75" customHeight="1">
      <c r="A25" s="186" t="s">
        <v>2335</v>
      </c>
      <c r="B25" s="174">
        <v>10</v>
      </c>
      <c r="C25" s="175">
        <v>10</v>
      </c>
      <c r="D25" s="174">
        <v>510</v>
      </c>
      <c r="E25" s="175">
        <v>54</v>
      </c>
      <c r="F25" s="174">
        <v>214</v>
      </c>
      <c r="G25" s="175">
        <v>20</v>
      </c>
      <c r="H25" s="187">
        <v>156</v>
      </c>
      <c r="I25" s="133" t="s">
        <v>169</v>
      </c>
      <c r="J25" s="177">
        <v>20</v>
      </c>
      <c r="K25" s="178">
        <v>80</v>
      </c>
      <c r="L25" s="177">
        <v>-20</v>
      </c>
      <c r="M25" s="178">
        <v>120</v>
      </c>
      <c r="N25" s="177">
        <v>150</v>
      </c>
      <c r="O25" s="42" t="s">
        <v>2336</v>
      </c>
      <c r="P25" s="42" t="s">
        <v>2337</v>
      </c>
      <c r="Q25" s="42" t="s">
        <v>2338</v>
      </c>
      <c r="R25" s="172"/>
      <c r="S25" s="189"/>
      <c r="T25" s="189"/>
      <c r="U25" s="183"/>
      <c r="V25" s="183"/>
      <c r="W25" s="183"/>
      <c r="X25" s="188"/>
      <c r="Y25" s="188"/>
      <c r="Z25" s="183"/>
    </row>
    <row r="26" spans="1:26" ht="15.75" customHeight="1">
      <c r="A26" s="129" t="s">
        <v>1883</v>
      </c>
      <c r="B26" s="174">
        <v>10</v>
      </c>
      <c r="C26" s="175">
        <v>10</v>
      </c>
      <c r="D26" s="174">
        <v>426</v>
      </c>
      <c r="E26" s="175">
        <v>0</v>
      </c>
      <c r="F26" s="174">
        <v>0</v>
      </c>
      <c r="G26" s="175">
        <v>13</v>
      </c>
      <c r="H26" s="174">
        <v>55</v>
      </c>
      <c r="I26" s="185"/>
      <c r="J26" s="182"/>
      <c r="K26" s="179"/>
      <c r="L26" s="177">
        <v>-20</v>
      </c>
      <c r="M26" s="178">
        <v>200</v>
      </c>
      <c r="N26" s="182"/>
      <c r="O26" s="42" t="s">
        <v>2341</v>
      </c>
      <c r="P26" s="42" t="s">
        <v>1882</v>
      </c>
      <c r="R26" s="172"/>
      <c r="S26" s="170"/>
      <c r="T26" s="170"/>
      <c r="U26" s="183"/>
      <c r="V26" s="183"/>
      <c r="W26" s="183"/>
      <c r="X26" s="183"/>
      <c r="Y26" s="183"/>
      <c r="Z26" s="183"/>
    </row>
    <row r="27" spans="1:26" ht="15.75" customHeight="1">
      <c r="A27" s="129" t="s">
        <v>2322</v>
      </c>
      <c r="B27" s="174">
        <v>10</v>
      </c>
      <c r="C27" s="175">
        <v>10</v>
      </c>
      <c r="D27" s="174">
        <v>366</v>
      </c>
      <c r="E27" s="175">
        <v>106</v>
      </c>
      <c r="F27" s="174">
        <v>106</v>
      </c>
      <c r="G27" s="175">
        <v>20</v>
      </c>
      <c r="H27" s="174">
        <v>112</v>
      </c>
      <c r="I27" s="185"/>
      <c r="J27" s="182"/>
      <c r="K27" s="179"/>
      <c r="L27" s="182"/>
      <c r="M27" s="179"/>
      <c r="N27" s="182"/>
      <c r="O27" s="42" t="s">
        <v>2344</v>
      </c>
      <c r="P27" s="42" t="s">
        <v>1709</v>
      </c>
      <c r="Q27" s="42" t="s">
        <v>1685</v>
      </c>
      <c r="R27" s="1"/>
      <c r="S27" s="50"/>
      <c r="T27" s="50"/>
      <c r="U27" s="182"/>
      <c r="V27" s="182"/>
      <c r="W27" s="182"/>
      <c r="X27" s="182"/>
      <c r="Y27" s="182"/>
    </row>
    <row r="28" spans="1:26" ht="15.75" customHeight="1">
      <c r="A28" s="129" t="s">
        <v>1886</v>
      </c>
      <c r="B28" s="174">
        <v>10</v>
      </c>
      <c r="C28" s="175">
        <v>10</v>
      </c>
      <c r="D28" s="174">
        <v>838</v>
      </c>
      <c r="E28" s="175">
        <v>160</v>
      </c>
      <c r="F28" s="174">
        <v>0</v>
      </c>
      <c r="G28" s="175">
        <v>13</v>
      </c>
      <c r="H28" s="174">
        <v>119</v>
      </c>
      <c r="I28" s="133"/>
      <c r="J28" s="177">
        <v>20</v>
      </c>
      <c r="K28" s="178">
        <v>20</v>
      </c>
      <c r="L28" s="177">
        <v>20</v>
      </c>
      <c r="M28" s="178">
        <v>100</v>
      </c>
      <c r="N28" s="177">
        <v>20</v>
      </c>
      <c r="O28" s="42" t="s">
        <v>2347</v>
      </c>
      <c r="P28" s="42" t="s">
        <v>2329</v>
      </c>
      <c r="Q28" s="42" t="s">
        <v>1685</v>
      </c>
      <c r="R28" s="1"/>
      <c r="S28" s="50"/>
      <c r="T28" s="50"/>
      <c r="U28" s="182"/>
      <c r="V28" s="182"/>
      <c r="W28" s="182"/>
      <c r="X28" s="182"/>
      <c r="Y28" s="182"/>
    </row>
    <row r="29" spans="1:26" ht="15.75" customHeight="1">
      <c r="A29" s="129" t="s">
        <v>2349</v>
      </c>
      <c r="B29" s="174">
        <v>10</v>
      </c>
      <c r="C29" s="175">
        <v>10</v>
      </c>
      <c r="D29" s="174">
        <v>358</v>
      </c>
      <c r="E29" s="175">
        <v>0</v>
      </c>
      <c r="F29" s="174">
        <v>0</v>
      </c>
      <c r="G29" s="175">
        <v>14</v>
      </c>
      <c r="H29" s="174">
        <v>33</v>
      </c>
      <c r="I29" s="185"/>
      <c r="J29" s="182"/>
      <c r="K29" s="179"/>
      <c r="L29" s="182"/>
      <c r="M29" s="179"/>
      <c r="N29" s="182"/>
      <c r="O29" s="42" t="s">
        <v>126</v>
      </c>
      <c r="P29" s="42" t="s">
        <v>2350</v>
      </c>
      <c r="Q29" s="42" t="s">
        <v>126</v>
      </c>
      <c r="R29" s="1"/>
      <c r="S29" s="50"/>
      <c r="T29" s="50"/>
      <c r="U29" s="182"/>
      <c r="V29" s="182"/>
      <c r="W29" s="182"/>
      <c r="X29" s="182"/>
      <c r="Y29" s="182"/>
    </row>
    <row r="30" spans="1:26" ht="15.75" customHeight="1">
      <c r="A30" s="129" t="s">
        <v>1894</v>
      </c>
      <c r="B30" s="174">
        <v>10</v>
      </c>
      <c r="C30" s="175">
        <v>10</v>
      </c>
      <c r="D30" s="174">
        <v>730</v>
      </c>
      <c r="E30" s="175">
        <v>0</v>
      </c>
      <c r="F30" s="174">
        <v>0</v>
      </c>
      <c r="G30" s="175">
        <v>13</v>
      </c>
      <c r="H30" s="174">
        <v>41</v>
      </c>
      <c r="I30" s="185"/>
      <c r="J30" s="182"/>
      <c r="K30" s="179"/>
      <c r="L30" s="182"/>
      <c r="M30" s="179"/>
      <c r="N30" s="182"/>
      <c r="R30" s="1"/>
      <c r="S30" s="50"/>
      <c r="T30" s="50"/>
      <c r="U30" s="182"/>
      <c r="V30" s="182"/>
      <c r="W30" s="182"/>
      <c r="X30" s="182"/>
      <c r="Y30" s="182"/>
    </row>
    <row r="31" spans="1:26" ht="15.75" customHeight="1">
      <c r="A31" s="129" t="s">
        <v>2353</v>
      </c>
      <c r="B31" s="174">
        <v>10</v>
      </c>
      <c r="C31" s="175">
        <v>10</v>
      </c>
      <c r="D31" s="174">
        <v>366</v>
      </c>
      <c r="E31" s="175">
        <v>106</v>
      </c>
      <c r="F31" s="174">
        <v>106</v>
      </c>
      <c r="G31" s="175">
        <v>20</v>
      </c>
      <c r="H31" s="174">
        <v>91</v>
      </c>
      <c r="I31" s="133" t="s">
        <v>2354</v>
      </c>
      <c r="J31" s="177" t="s">
        <v>2354</v>
      </c>
      <c r="K31" s="178" t="s">
        <v>2354</v>
      </c>
      <c r="L31" s="177" t="s">
        <v>2354</v>
      </c>
      <c r="M31" s="178" t="s">
        <v>2354</v>
      </c>
      <c r="N31" s="177" t="s">
        <v>2354</v>
      </c>
      <c r="O31" s="42" t="s">
        <v>2355</v>
      </c>
      <c r="P31" s="42" t="s">
        <v>2354</v>
      </c>
      <c r="Q31" s="42" t="s">
        <v>2354</v>
      </c>
      <c r="R31" s="1"/>
      <c r="S31" s="50"/>
      <c r="T31" s="50"/>
      <c r="U31" s="182"/>
      <c r="V31" s="182"/>
      <c r="W31" s="182"/>
      <c r="X31" s="182"/>
      <c r="Y31" s="182"/>
    </row>
    <row r="32" spans="1:26" ht="15.75" customHeight="1">
      <c r="A32" s="186" t="s">
        <v>2356</v>
      </c>
      <c r="B32" s="174">
        <v>10</v>
      </c>
      <c r="C32" s="175">
        <v>10</v>
      </c>
      <c r="D32" s="174">
        <v>512</v>
      </c>
      <c r="E32" s="175">
        <v>80</v>
      </c>
      <c r="F32" s="174">
        <v>320</v>
      </c>
      <c r="G32" s="175">
        <v>14</v>
      </c>
      <c r="H32" s="187">
        <v>85</v>
      </c>
      <c r="I32" s="133" t="s">
        <v>2112</v>
      </c>
      <c r="J32" s="182"/>
      <c r="K32" s="179"/>
      <c r="L32" s="177">
        <v>120</v>
      </c>
      <c r="M32" s="179"/>
      <c r="N32" s="177">
        <v>-50</v>
      </c>
      <c r="O32" s="42" t="s">
        <v>2371</v>
      </c>
      <c r="P32" s="42" t="s">
        <v>2372</v>
      </c>
      <c r="Q32" s="42" t="s">
        <v>2359</v>
      </c>
      <c r="R32" s="1"/>
      <c r="S32" s="50"/>
      <c r="T32" s="50"/>
      <c r="U32" s="182"/>
      <c r="V32" s="182"/>
      <c r="W32" s="182"/>
      <c r="X32" s="182"/>
      <c r="Y32" s="182"/>
    </row>
    <row r="33" spans="1:26" ht="15.75" customHeight="1">
      <c r="A33" s="129" t="s">
        <v>2363</v>
      </c>
      <c r="B33" s="174">
        <v>10</v>
      </c>
      <c r="C33" s="175">
        <v>10</v>
      </c>
      <c r="D33" s="174">
        <v>260</v>
      </c>
      <c r="E33" s="175">
        <v>0</v>
      </c>
      <c r="F33" s="174">
        <v>0</v>
      </c>
      <c r="G33" s="175">
        <v>13</v>
      </c>
      <c r="H33" s="174">
        <v>102</v>
      </c>
      <c r="I33" s="133" t="s">
        <v>2362</v>
      </c>
      <c r="J33" s="182"/>
      <c r="K33" s="178">
        <v>150</v>
      </c>
      <c r="L33" s="177">
        <v>-50</v>
      </c>
      <c r="M33" s="178">
        <v>50</v>
      </c>
      <c r="N33" s="182"/>
      <c r="O33" s="42" t="s">
        <v>2364</v>
      </c>
      <c r="P33" s="42" t="s">
        <v>126</v>
      </c>
      <c r="Q33" s="42" t="s">
        <v>2365</v>
      </c>
      <c r="R33" s="1"/>
      <c r="S33" s="50"/>
      <c r="T33" s="50"/>
      <c r="U33" s="182"/>
      <c r="V33" s="182"/>
      <c r="W33" s="182"/>
      <c r="X33" s="182"/>
      <c r="Y33" s="182"/>
    </row>
    <row r="34" spans="1:26" ht="15.75" customHeight="1">
      <c r="A34" s="129" t="s">
        <v>2369</v>
      </c>
      <c r="B34" s="174">
        <v>10</v>
      </c>
      <c r="C34" s="175">
        <v>10</v>
      </c>
      <c r="D34" s="174">
        <v>30</v>
      </c>
      <c r="E34" s="175">
        <v>0</v>
      </c>
      <c r="F34" s="174">
        <v>0</v>
      </c>
      <c r="G34" s="175">
        <v>14</v>
      </c>
      <c r="H34" s="174">
        <v>4</v>
      </c>
      <c r="I34" s="185"/>
      <c r="J34" s="182"/>
      <c r="K34" s="179"/>
      <c r="L34" s="182"/>
      <c r="M34" s="179"/>
      <c r="N34" s="182"/>
      <c r="O34" s="42" t="s">
        <v>126</v>
      </c>
      <c r="P34" s="42" t="s">
        <v>1909</v>
      </c>
      <c r="R34" s="190"/>
      <c r="S34" s="191"/>
      <c r="T34" s="191"/>
      <c r="U34" s="191"/>
      <c r="V34" s="191"/>
      <c r="W34" s="191"/>
      <c r="X34" s="191"/>
      <c r="Y34" s="191"/>
      <c r="Z34" s="191"/>
    </row>
    <row r="35" spans="1:26" ht="15.75" customHeight="1">
      <c r="A35" s="50" t="str">
        <f ca="1">IFERROR(__xludf.DUMMYFUNCTION("sort(unique(A3:A34))"),"[Uninfused] Incarnate")</f>
        <v>[Uninfused] Incarnate</v>
      </c>
      <c r="B35" s="174">
        <v>20</v>
      </c>
      <c r="C35" s="175">
        <v>5</v>
      </c>
      <c r="D35" s="192"/>
      <c r="E35" s="193"/>
      <c r="F35" s="192"/>
      <c r="G35" s="193"/>
      <c r="H35" s="192"/>
      <c r="I35" s="185"/>
      <c r="J35" s="182"/>
      <c r="K35" s="179"/>
      <c r="L35" s="182"/>
      <c r="M35" s="179"/>
      <c r="N35" s="182"/>
      <c r="P35" s="42" t="s">
        <v>126</v>
      </c>
      <c r="Q35" s="42" t="s">
        <v>126</v>
      </c>
      <c r="R35" s="1"/>
      <c r="S35" s="50"/>
      <c r="T35" s="50"/>
      <c r="U35" s="182"/>
      <c r="V35" s="182"/>
      <c r="W35" s="182"/>
      <c r="X35" s="182"/>
      <c r="Y35" s="182"/>
    </row>
    <row r="36" spans="1:26" ht="15.75" customHeight="1">
      <c r="A36" s="50" t="str">
        <f ca="1">IFERROR(__xludf.DUMMYFUNCTION("""COMPUTED_VALUE"""),"Artillery Plant")</f>
        <v>Artillery Plant</v>
      </c>
      <c r="B36" s="174">
        <v>20</v>
      </c>
      <c r="C36" s="175">
        <v>5</v>
      </c>
      <c r="D36" s="192"/>
      <c r="E36" s="193"/>
      <c r="F36" s="192"/>
      <c r="G36" s="193"/>
      <c r="H36" s="192"/>
      <c r="I36" s="185"/>
      <c r="J36" s="182"/>
      <c r="K36" s="179"/>
      <c r="L36" s="182"/>
      <c r="M36" s="179"/>
      <c r="N36" s="182"/>
      <c r="R36" s="1"/>
      <c r="S36" s="50"/>
      <c r="T36" s="50"/>
      <c r="U36" s="182"/>
      <c r="V36" s="182"/>
      <c r="W36" s="182"/>
      <c r="X36" s="182"/>
      <c r="Y36" s="182"/>
    </row>
    <row r="37" spans="1:26" ht="15.75" customHeight="1">
      <c r="A37" s="50" t="str">
        <f ca="1">IFERROR(__xludf.DUMMYFUNCTION("""COMPUTED_VALUE"""),"Bloated Corpse")</f>
        <v>Bloated Corpse</v>
      </c>
      <c r="B37" s="174">
        <v>20</v>
      </c>
      <c r="C37" s="175">
        <v>5</v>
      </c>
      <c r="D37" s="192"/>
      <c r="E37" s="193"/>
      <c r="F37" s="192"/>
      <c r="G37" s="193"/>
      <c r="H37" s="192"/>
      <c r="I37" s="185"/>
      <c r="J37" s="182"/>
      <c r="K37" s="179"/>
      <c r="L37" s="182"/>
      <c r="M37" s="179"/>
      <c r="N37" s="182"/>
      <c r="R37" s="1"/>
      <c r="S37" s="50"/>
      <c r="T37" s="50"/>
      <c r="U37" s="182"/>
      <c r="V37" s="182"/>
      <c r="W37" s="182"/>
      <c r="X37" s="182"/>
      <c r="Y37" s="182"/>
    </row>
    <row r="38" spans="1:26" ht="15.75" customHeight="1">
      <c r="A38" s="50" t="str">
        <f ca="1">IFERROR(__xludf.DUMMYFUNCTION("""COMPUTED_VALUE"""),"Blood Incarnate")</f>
        <v>Blood Incarnate</v>
      </c>
      <c r="B38" s="174">
        <v>20</v>
      </c>
      <c r="C38" s="175">
        <v>5</v>
      </c>
      <c r="D38" s="192"/>
      <c r="E38" s="193"/>
      <c r="F38" s="192"/>
      <c r="G38" s="193"/>
      <c r="H38" s="192"/>
      <c r="I38" s="185"/>
      <c r="J38" s="182"/>
      <c r="K38" s="179"/>
      <c r="L38" s="182"/>
      <c r="M38" s="179"/>
      <c r="N38" s="182"/>
      <c r="R38" s="1"/>
      <c r="S38" s="50"/>
      <c r="T38" s="50"/>
      <c r="U38" s="182"/>
      <c r="V38" s="182"/>
      <c r="W38" s="182"/>
      <c r="X38" s="182"/>
      <c r="Y38" s="182"/>
    </row>
    <row r="39" spans="1:26" ht="15.75" customHeight="1">
      <c r="A39" s="50" t="str">
        <f ca="1">IFERROR(__xludf.DUMMYFUNCTION("""COMPUTED_VALUE"""),"Blood Totem")</f>
        <v>Blood Totem</v>
      </c>
      <c r="B39" s="174">
        <v>20</v>
      </c>
      <c r="C39" s="175">
        <v>5</v>
      </c>
      <c r="D39" s="192"/>
      <c r="E39" s="193"/>
      <c r="F39" s="192"/>
      <c r="G39" s="193"/>
      <c r="H39" s="192"/>
      <c r="I39" s="185"/>
      <c r="J39" s="182"/>
      <c r="K39" s="179"/>
      <c r="L39" s="182"/>
      <c r="M39" s="179"/>
      <c r="N39" s="182"/>
      <c r="R39" s="1"/>
      <c r="S39" s="50"/>
      <c r="T39" s="50"/>
      <c r="U39" s="182"/>
      <c r="V39" s="182"/>
      <c r="W39" s="182"/>
      <c r="X39" s="182"/>
      <c r="Y39" s="182"/>
    </row>
    <row r="40" spans="1:26" ht="15.75" customHeight="1">
      <c r="A40" s="50" t="str">
        <f ca="1">IFERROR(__xludf.DUMMYFUNCTION("""COMPUTED_VALUE"""),"Bone Widow")</f>
        <v>Bone Widow</v>
      </c>
      <c r="B40" s="174">
        <v>20</v>
      </c>
      <c r="C40" s="175">
        <v>5</v>
      </c>
      <c r="D40" s="192"/>
      <c r="E40" s="193"/>
      <c r="F40" s="192"/>
      <c r="G40" s="193"/>
      <c r="H40" s="192"/>
      <c r="I40" s="185"/>
      <c r="J40" s="182"/>
      <c r="K40" s="179"/>
      <c r="L40" s="182"/>
      <c r="M40" s="179"/>
      <c r="N40" s="182"/>
      <c r="R40" s="1"/>
      <c r="S40" s="50"/>
      <c r="T40" s="50"/>
      <c r="U40" s="182"/>
      <c r="V40" s="182"/>
      <c r="W40" s="182"/>
      <c r="X40" s="182"/>
      <c r="Y40" s="182"/>
    </row>
    <row r="41" spans="1:26" ht="15.75" customHeight="1">
      <c r="A41" s="50" t="str">
        <f ca="1">IFERROR(__xludf.DUMMYFUNCTION("""COMPUTED_VALUE"""),"Bones Totem")</f>
        <v>Bones Totem</v>
      </c>
      <c r="B41" s="174">
        <v>20</v>
      </c>
      <c r="C41" s="175">
        <v>5</v>
      </c>
      <c r="D41" s="192"/>
      <c r="E41" s="193"/>
      <c r="F41" s="192"/>
      <c r="G41" s="193"/>
      <c r="H41" s="192"/>
      <c r="I41" s="185"/>
      <c r="J41" s="182"/>
      <c r="K41" s="179"/>
      <c r="L41" s="182"/>
      <c r="M41" s="179"/>
      <c r="N41" s="182"/>
      <c r="R41" s="1"/>
      <c r="S41" s="50"/>
      <c r="T41" s="50"/>
      <c r="U41" s="182"/>
      <c r="V41" s="182"/>
      <c r="W41" s="182"/>
      <c r="X41" s="182"/>
      <c r="Y41" s="182"/>
    </row>
    <row r="42" spans="1:26" ht="15.75" customHeight="1">
      <c r="A42" s="50" t="str">
        <f ca="1">IFERROR(__xludf.DUMMYFUNCTION("""COMPUTED_VALUE"""),"Cat")</f>
        <v>Cat</v>
      </c>
      <c r="B42" s="174">
        <v>20</v>
      </c>
      <c r="C42" s="175">
        <v>5</v>
      </c>
      <c r="D42" s="192"/>
      <c r="E42" s="193"/>
      <c r="F42" s="192"/>
      <c r="G42" s="193"/>
      <c r="H42" s="192"/>
      <c r="I42" s="185"/>
      <c r="J42" s="182"/>
      <c r="K42" s="179"/>
      <c r="L42" s="182"/>
      <c r="M42" s="179"/>
      <c r="N42" s="182"/>
      <c r="R42" s="1"/>
      <c r="S42" s="50"/>
      <c r="T42" s="50"/>
      <c r="U42" s="182"/>
      <c r="V42" s="182"/>
      <c r="W42" s="182"/>
      <c r="X42" s="182"/>
      <c r="Y42" s="182"/>
    </row>
    <row r="43" spans="1:26" ht="15.75" customHeight="1">
      <c r="A43" s="50" t="str">
        <f ca="1">IFERROR(__xludf.DUMMYFUNCTION("""COMPUTED_VALUE"""),"Condor")</f>
        <v>Condor</v>
      </c>
      <c r="B43" s="174">
        <v>20</v>
      </c>
      <c r="C43" s="175">
        <v>5</v>
      </c>
      <c r="D43" s="192"/>
      <c r="E43" s="193"/>
      <c r="F43" s="192"/>
      <c r="G43" s="193"/>
      <c r="H43" s="192"/>
      <c r="I43" s="185"/>
      <c r="J43" s="182"/>
      <c r="K43" s="179"/>
      <c r="L43" s="182"/>
      <c r="M43" s="179"/>
      <c r="N43" s="182"/>
      <c r="R43" s="1"/>
      <c r="S43" s="50"/>
      <c r="T43" s="50"/>
      <c r="U43" s="182"/>
      <c r="V43" s="182"/>
      <c r="W43" s="182"/>
      <c r="X43" s="182"/>
      <c r="Y43" s="182"/>
    </row>
    <row r="44" spans="1:26" ht="15.75" customHeight="1">
      <c r="A44" s="50" t="str">
        <f ca="1">IFERROR(__xludf.DUMMYFUNCTION("""COMPUTED_VALUE"""),"Electric Totem")</f>
        <v>Electric Totem</v>
      </c>
      <c r="B44" s="174">
        <v>20</v>
      </c>
      <c r="C44" s="175">
        <v>5</v>
      </c>
      <c r="D44" s="192"/>
      <c r="E44" s="193"/>
      <c r="F44" s="192"/>
      <c r="G44" s="193"/>
      <c r="H44" s="192"/>
      <c r="I44" s="185"/>
      <c r="J44" s="182"/>
      <c r="K44" s="179"/>
      <c r="L44" s="182"/>
      <c r="M44" s="179"/>
      <c r="N44" s="182"/>
      <c r="R44" s="1"/>
      <c r="S44" s="50"/>
      <c r="T44" s="50"/>
      <c r="U44" s="182"/>
      <c r="V44" s="182"/>
      <c r="W44" s="182"/>
      <c r="X44" s="182"/>
      <c r="Y44" s="182"/>
    </row>
    <row r="45" spans="1:26" ht="15.75" customHeight="1">
      <c r="A45" s="50" t="str">
        <f ca="1">IFERROR(__xludf.DUMMYFUNCTION("""COMPUTED_VALUE"""),"Elemental Incarnate")</f>
        <v>Elemental Incarnate</v>
      </c>
      <c r="B45" s="174">
        <v>20</v>
      </c>
      <c r="C45" s="175">
        <v>5</v>
      </c>
      <c r="D45" s="192"/>
      <c r="E45" s="193"/>
      <c r="F45" s="192"/>
      <c r="G45" s="193"/>
      <c r="H45" s="192"/>
      <c r="I45" s="185"/>
      <c r="J45" s="182"/>
      <c r="K45" s="179"/>
      <c r="L45" s="182"/>
      <c r="M45" s="179"/>
      <c r="N45" s="182"/>
      <c r="R45" s="1"/>
      <c r="S45" s="50"/>
      <c r="T45" s="50"/>
      <c r="U45" s="182"/>
      <c r="V45" s="182"/>
      <c r="W45" s="182"/>
      <c r="X45" s="182"/>
      <c r="Y45" s="182"/>
    </row>
    <row r="46" spans="1:26" ht="15.75" customHeight="1">
      <c r="A46" s="50" t="str">
        <f ca="1">IFERROR(__xludf.DUMMYFUNCTION("""COMPUTED_VALUE"""),"Fire Slug")</f>
        <v>Fire Slug</v>
      </c>
      <c r="B46" s="174">
        <v>20</v>
      </c>
      <c r="C46" s="175">
        <v>5</v>
      </c>
      <c r="D46" s="192"/>
      <c r="E46" s="193"/>
      <c r="F46" s="192"/>
      <c r="G46" s="193"/>
      <c r="H46" s="192"/>
      <c r="I46" s="185"/>
      <c r="J46" s="182"/>
      <c r="K46" s="179"/>
      <c r="L46" s="182"/>
      <c r="M46" s="179"/>
      <c r="N46" s="182"/>
      <c r="R46" s="1"/>
      <c r="S46" s="50"/>
      <c r="T46" s="50"/>
      <c r="U46" s="182"/>
      <c r="V46" s="182"/>
      <c r="W46" s="182"/>
      <c r="X46" s="182"/>
      <c r="Y46" s="182"/>
    </row>
    <row r="47" spans="1:26" ht="15.75" customHeight="1">
      <c r="A47" s="50" t="str">
        <f ca="1">IFERROR(__xludf.DUMMYFUNCTION("""COMPUTED_VALUE"""),"Fire Totem")</f>
        <v>Fire Totem</v>
      </c>
      <c r="B47" s="174">
        <v>20</v>
      </c>
      <c r="C47" s="175">
        <v>5</v>
      </c>
      <c r="D47" s="192"/>
      <c r="E47" s="193"/>
      <c r="F47" s="192"/>
      <c r="G47" s="193"/>
      <c r="H47" s="192"/>
      <c r="I47" s="185"/>
      <c r="J47" s="182"/>
      <c r="K47" s="179"/>
      <c r="L47" s="182"/>
      <c r="M47" s="179"/>
      <c r="N47" s="182"/>
      <c r="R47" s="1"/>
      <c r="S47" s="50"/>
      <c r="T47" s="50"/>
      <c r="U47" s="182"/>
      <c r="V47" s="182"/>
      <c r="W47" s="182"/>
      <c r="X47" s="182"/>
      <c r="Y47" s="182"/>
    </row>
    <row r="48" spans="1:26" ht="15.75" customHeight="1">
      <c r="A48" s="50" t="str">
        <f ca="1">IFERROR(__xludf.DUMMYFUNCTION("""COMPUTED_VALUE"""),"Oil Totem")</f>
        <v>Oil Totem</v>
      </c>
      <c r="B48" s="174">
        <v>20</v>
      </c>
      <c r="C48" s="175">
        <v>5</v>
      </c>
      <c r="D48" s="192"/>
      <c r="E48" s="193"/>
      <c r="F48" s="192"/>
      <c r="G48" s="193"/>
      <c r="H48" s="192"/>
      <c r="I48" s="185"/>
      <c r="J48" s="182"/>
      <c r="K48" s="179"/>
      <c r="L48" s="182"/>
      <c r="M48" s="179"/>
      <c r="N48" s="182"/>
      <c r="R48" s="1"/>
      <c r="S48" s="50"/>
      <c r="T48" s="50"/>
      <c r="U48" s="182"/>
      <c r="V48" s="182"/>
      <c r="W48" s="182"/>
      <c r="X48" s="182"/>
      <c r="Y48" s="182"/>
    </row>
    <row r="49" spans="1:25" ht="15.75" customHeight="1">
      <c r="A49" s="50" t="str">
        <f ca="1">IFERROR(__xludf.DUMMYFUNCTION("""COMPUTED_VALUE"""),"Oily Blob")</f>
        <v>Oily Blob</v>
      </c>
      <c r="B49" s="174">
        <v>20</v>
      </c>
      <c r="C49" s="175">
        <v>5</v>
      </c>
      <c r="D49" s="192"/>
      <c r="E49" s="193"/>
      <c r="F49" s="192"/>
      <c r="G49" s="193"/>
      <c r="H49" s="192"/>
      <c r="I49" s="185"/>
      <c r="J49" s="182"/>
      <c r="K49" s="179"/>
      <c r="L49" s="182"/>
      <c r="M49" s="179"/>
      <c r="N49" s="182"/>
      <c r="R49" s="1"/>
      <c r="S49" s="50"/>
      <c r="T49" s="50"/>
      <c r="U49" s="182"/>
      <c r="V49" s="182"/>
      <c r="W49" s="182"/>
      <c r="X49" s="182"/>
      <c r="Y49" s="182"/>
    </row>
    <row r="50" spans="1:25" ht="15.75" customHeight="1">
      <c r="A50" s="50" t="str">
        <f ca="1">IFERROR(__xludf.DUMMYFUNCTION("""COMPUTED_VALUE"""),"Poison Totem")</f>
        <v>Poison Totem</v>
      </c>
      <c r="B50" s="174">
        <v>20</v>
      </c>
      <c r="C50" s="175">
        <v>5</v>
      </c>
      <c r="D50" s="192"/>
      <c r="E50" s="193"/>
      <c r="F50" s="192"/>
      <c r="G50" s="193"/>
      <c r="H50" s="192"/>
      <c r="I50" s="185"/>
      <c r="J50" s="182"/>
      <c r="K50" s="179"/>
      <c r="L50" s="182"/>
      <c r="M50" s="179"/>
      <c r="N50" s="182"/>
      <c r="R50" s="1"/>
      <c r="S50" s="50"/>
      <c r="T50" s="50"/>
      <c r="U50" s="182"/>
      <c r="V50" s="182"/>
      <c r="W50" s="182"/>
      <c r="X50" s="182"/>
      <c r="Y50" s="182"/>
    </row>
    <row r="51" spans="1:25" ht="15.75" customHeight="1">
      <c r="A51" s="50" t="str">
        <f ca="1">IFERROR(__xludf.DUMMYFUNCTION("""COMPUTED_VALUE"""),"Water Totem")</f>
        <v>Water Totem</v>
      </c>
      <c r="B51" s="174">
        <v>20</v>
      </c>
      <c r="C51" s="175">
        <v>5</v>
      </c>
      <c r="D51" s="192"/>
      <c r="E51" s="193"/>
      <c r="F51" s="192"/>
      <c r="G51" s="193"/>
      <c r="H51" s="192"/>
      <c r="I51" s="185"/>
      <c r="J51" s="182"/>
      <c r="K51" s="179"/>
      <c r="L51" s="182"/>
      <c r="M51" s="179"/>
      <c r="N51" s="182"/>
      <c r="R51" s="1"/>
      <c r="S51" s="50"/>
      <c r="T51" s="50"/>
      <c r="U51" s="182"/>
      <c r="V51" s="182"/>
      <c r="W51" s="182"/>
      <c r="X51" s="182"/>
      <c r="Y51" s="182"/>
    </row>
    <row r="52" spans="1:25" ht="15.75" customHeight="1">
      <c r="A52" s="50" t="str">
        <f ca="1">IFERROR(__xludf.DUMMYFUNCTION("""COMPUTED_VALUE"""),"Wind-up Toy")</f>
        <v>Wind-up Toy</v>
      </c>
      <c r="B52" s="174">
        <v>20</v>
      </c>
      <c r="C52" s="175">
        <v>5</v>
      </c>
      <c r="D52" s="192"/>
      <c r="E52" s="193"/>
      <c r="F52" s="192"/>
      <c r="G52" s="193"/>
      <c r="H52" s="192"/>
      <c r="I52" s="185"/>
      <c r="J52" s="182"/>
      <c r="K52" s="179"/>
      <c r="L52" s="182"/>
      <c r="M52" s="179"/>
      <c r="N52" s="182"/>
      <c r="R52" s="1"/>
      <c r="S52" s="50"/>
      <c r="T52" s="50"/>
      <c r="U52" s="182"/>
      <c r="V52" s="182"/>
      <c r="W52" s="182"/>
      <c r="X52" s="182"/>
      <c r="Y52" s="182"/>
    </row>
    <row r="53" spans="1:25" ht="15.75" customHeight="1">
      <c r="A53" s="50" t="str">
        <f ca="1">IFERROR(__xludf.DUMMYFUNCTION("""COMPUTED_VALUE"""),"Wood Totem")</f>
        <v>Wood Totem</v>
      </c>
      <c r="B53" s="174">
        <v>20</v>
      </c>
      <c r="C53" s="175">
        <v>5</v>
      </c>
      <c r="D53" s="192"/>
      <c r="E53" s="193"/>
      <c r="F53" s="192"/>
      <c r="G53" s="193"/>
      <c r="H53" s="192"/>
      <c r="I53" s="185"/>
      <c r="J53" s="182"/>
      <c r="K53" s="179"/>
      <c r="L53" s="182"/>
      <c r="M53" s="179"/>
      <c r="N53" s="182"/>
      <c r="R53" s="1"/>
      <c r="S53" s="50"/>
      <c r="T53" s="50"/>
      <c r="U53" s="182"/>
      <c r="V53" s="182"/>
      <c r="W53" s="182"/>
      <c r="X53" s="182"/>
      <c r="Y53" s="182"/>
    </row>
    <row r="54" spans="1:25" ht="15.75" customHeight="1">
      <c r="A54" s="194" t="str">
        <f ca="1">IFERROR(__xludf.DUMMYFUNCTION("sort(unique(A3:A34))"),"[Uninfused] Incarnate")</f>
        <v>[Uninfused] Incarnate</v>
      </c>
      <c r="B54" s="174">
        <v>20</v>
      </c>
      <c r="C54" s="175">
        <v>10</v>
      </c>
      <c r="D54" s="192"/>
      <c r="E54" s="193"/>
      <c r="F54" s="192"/>
      <c r="G54" s="193"/>
      <c r="H54" s="192"/>
      <c r="I54" s="185"/>
      <c r="J54" s="182"/>
      <c r="K54" s="179"/>
      <c r="L54" s="182"/>
      <c r="M54" s="179"/>
      <c r="N54" s="182"/>
      <c r="P54" s="42" t="s">
        <v>126</v>
      </c>
      <c r="Q54" s="42" t="s">
        <v>126</v>
      </c>
      <c r="R54" s="1"/>
      <c r="S54" s="50"/>
      <c r="T54" s="50"/>
      <c r="U54" s="182"/>
      <c r="V54" s="182"/>
      <c r="W54" s="182"/>
      <c r="X54" s="182"/>
      <c r="Y54" s="182"/>
    </row>
    <row r="55" spans="1:25" ht="15.75" customHeight="1">
      <c r="A55" s="50" t="str">
        <f ca="1">IFERROR(__xludf.DUMMYFUNCTION("""COMPUTED_VALUE"""),"Artillery Plant")</f>
        <v>Artillery Plant</v>
      </c>
      <c r="B55" s="174">
        <v>20</v>
      </c>
      <c r="C55" s="175">
        <v>10</v>
      </c>
      <c r="D55" s="192"/>
      <c r="E55" s="193"/>
      <c r="F55" s="192"/>
      <c r="G55" s="193"/>
      <c r="H55" s="192"/>
      <c r="I55" s="185"/>
      <c r="J55" s="182"/>
      <c r="K55" s="179"/>
      <c r="L55" s="182"/>
      <c r="M55" s="179"/>
      <c r="N55" s="182"/>
      <c r="R55" s="1"/>
      <c r="S55" s="50"/>
      <c r="T55" s="50"/>
      <c r="U55" s="182"/>
      <c r="V55" s="182"/>
      <c r="W55" s="182"/>
      <c r="X55" s="182"/>
      <c r="Y55" s="182"/>
    </row>
    <row r="56" spans="1:25" ht="15.75" customHeight="1">
      <c r="A56" s="50" t="str">
        <f ca="1">IFERROR(__xludf.DUMMYFUNCTION("""COMPUTED_VALUE"""),"Bloated Corpse")</f>
        <v>Bloated Corpse</v>
      </c>
      <c r="B56" s="174">
        <v>20</v>
      </c>
      <c r="C56" s="175">
        <v>10</v>
      </c>
      <c r="D56" s="192"/>
      <c r="E56" s="193"/>
      <c r="F56" s="192"/>
      <c r="G56" s="193"/>
      <c r="H56" s="192"/>
      <c r="I56" s="185"/>
      <c r="J56" s="182"/>
      <c r="K56" s="179"/>
      <c r="L56" s="182"/>
      <c r="M56" s="179"/>
      <c r="N56" s="182"/>
      <c r="R56" s="1"/>
      <c r="S56" s="50"/>
      <c r="T56" s="50"/>
      <c r="U56" s="182"/>
      <c r="V56" s="182"/>
      <c r="W56" s="182"/>
      <c r="X56" s="182"/>
      <c r="Y56" s="182"/>
    </row>
    <row r="57" spans="1:25" ht="15.75" customHeight="1">
      <c r="A57" s="50" t="str">
        <f ca="1">IFERROR(__xludf.DUMMYFUNCTION("""COMPUTED_VALUE"""),"Blood Incarnate")</f>
        <v>Blood Incarnate</v>
      </c>
      <c r="B57" s="174">
        <v>20</v>
      </c>
      <c r="C57" s="175">
        <v>10</v>
      </c>
      <c r="D57" s="192"/>
      <c r="E57" s="193"/>
      <c r="F57" s="192"/>
      <c r="G57" s="193"/>
      <c r="H57" s="192"/>
      <c r="I57" s="185"/>
      <c r="J57" s="182"/>
      <c r="K57" s="179"/>
      <c r="L57" s="182"/>
      <c r="M57" s="179"/>
      <c r="N57" s="182"/>
      <c r="R57" s="1"/>
      <c r="S57" s="50"/>
      <c r="T57" s="50"/>
      <c r="U57" s="182"/>
      <c r="V57" s="182"/>
      <c r="W57" s="182"/>
      <c r="X57" s="182"/>
      <c r="Y57" s="182"/>
    </row>
    <row r="58" spans="1:25" ht="13">
      <c r="A58" s="50" t="str">
        <f ca="1">IFERROR(__xludf.DUMMYFUNCTION("""COMPUTED_VALUE"""),"Blood Totem")</f>
        <v>Blood Totem</v>
      </c>
      <c r="B58" s="174">
        <v>20</v>
      </c>
      <c r="C58" s="175">
        <v>10</v>
      </c>
      <c r="D58" s="192"/>
      <c r="E58" s="193"/>
      <c r="F58" s="192"/>
      <c r="G58" s="193"/>
      <c r="H58" s="192"/>
      <c r="I58" s="185"/>
      <c r="J58" s="182"/>
      <c r="K58" s="179"/>
      <c r="L58" s="182"/>
      <c r="M58" s="179"/>
      <c r="N58" s="182"/>
      <c r="R58" s="1"/>
      <c r="S58" s="50"/>
      <c r="T58" s="50"/>
      <c r="U58" s="182"/>
      <c r="V58" s="182"/>
      <c r="W58" s="182"/>
      <c r="X58" s="182"/>
      <c r="Y58" s="182"/>
    </row>
    <row r="59" spans="1:25" ht="13">
      <c r="A59" s="50" t="str">
        <f ca="1">IFERROR(__xludf.DUMMYFUNCTION("""COMPUTED_VALUE"""),"Bone Widow")</f>
        <v>Bone Widow</v>
      </c>
      <c r="B59" s="174">
        <v>20</v>
      </c>
      <c r="C59" s="175">
        <v>10</v>
      </c>
      <c r="D59" s="192"/>
      <c r="E59" s="193"/>
      <c r="F59" s="192"/>
      <c r="G59" s="193"/>
      <c r="H59" s="192"/>
      <c r="I59" s="185"/>
      <c r="J59" s="182"/>
      <c r="K59" s="179"/>
      <c r="L59" s="182"/>
      <c r="M59" s="179"/>
      <c r="N59" s="182"/>
      <c r="R59" s="1"/>
      <c r="S59" s="50"/>
      <c r="T59" s="50"/>
      <c r="U59" s="182"/>
      <c r="V59" s="182"/>
      <c r="W59" s="182"/>
      <c r="X59" s="182"/>
      <c r="Y59" s="182"/>
    </row>
    <row r="60" spans="1:25" ht="13">
      <c r="A60" s="50" t="str">
        <f ca="1">IFERROR(__xludf.DUMMYFUNCTION("""COMPUTED_VALUE"""),"Bones Totem")</f>
        <v>Bones Totem</v>
      </c>
      <c r="B60" s="174">
        <v>20</v>
      </c>
      <c r="C60" s="175">
        <v>10</v>
      </c>
      <c r="D60" s="192"/>
      <c r="E60" s="193"/>
      <c r="F60" s="192"/>
      <c r="G60" s="193"/>
      <c r="H60" s="192"/>
      <c r="I60" s="185"/>
      <c r="J60" s="182"/>
      <c r="K60" s="179"/>
      <c r="L60" s="182"/>
      <c r="M60" s="179"/>
      <c r="N60" s="182"/>
      <c r="R60" s="1"/>
      <c r="S60" s="50"/>
      <c r="T60" s="50"/>
      <c r="U60" s="182"/>
      <c r="V60" s="182"/>
      <c r="W60" s="182"/>
      <c r="X60" s="182"/>
      <c r="Y60" s="182"/>
    </row>
    <row r="61" spans="1:25" ht="13">
      <c r="A61" s="50" t="str">
        <f ca="1">IFERROR(__xludf.DUMMYFUNCTION("""COMPUTED_VALUE"""),"Cat")</f>
        <v>Cat</v>
      </c>
      <c r="B61" s="174">
        <v>20</v>
      </c>
      <c r="C61" s="175">
        <v>10</v>
      </c>
      <c r="D61" s="192"/>
      <c r="E61" s="193"/>
      <c r="F61" s="192"/>
      <c r="G61" s="193"/>
      <c r="H61" s="192"/>
      <c r="I61" s="185"/>
      <c r="J61" s="182"/>
      <c r="K61" s="179"/>
      <c r="L61" s="182"/>
      <c r="M61" s="179"/>
      <c r="N61" s="182"/>
      <c r="R61" s="1"/>
      <c r="S61" s="50"/>
      <c r="T61" s="50"/>
      <c r="U61" s="182"/>
      <c r="V61" s="182"/>
      <c r="W61" s="182"/>
      <c r="X61" s="182"/>
      <c r="Y61" s="182"/>
    </row>
    <row r="62" spans="1:25" ht="13">
      <c r="A62" s="50" t="str">
        <f ca="1">IFERROR(__xludf.DUMMYFUNCTION("""COMPUTED_VALUE"""),"Condor")</f>
        <v>Condor</v>
      </c>
      <c r="B62" s="174">
        <v>20</v>
      </c>
      <c r="C62" s="175">
        <v>10</v>
      </c>
      <c r="D62" s="192"/>
      <c r="E62" s="193"/>
      <c r="F62" s="192"/>
      <c r="G62" s="193"/>
      <c r="H62" s="192"/>
      <c r="I62" s="185"/>
      <c r="J62" s="182"/>
      <c r="K62" s="179"/>
      <c r="L62" s="182"/>
      <c r="M62" s="179"/>
      <c r="N62" s="182"/>
      <c r="R62" s="1"/>
      <c r="S62" s="50"/>
      <c r="T62" s="50"/>
      <c r="U62" s="182"/>
      <c r="V62" s="182"/>
      <c r="W62" s="182"/>
      <c r="X62" s="182"/>
      <c r="Y62" s="182"/>
    </row>
    <row r="63" spans="1:25" ht="13">
      <c r="A63" s="50" t="str">
        <f ca="1">IFERROR(__xludf.DUMMYFUNCTION("""COMPUTED_VALUE"""),"Electric Totem")</f>
        <v>Electric Totem</v>
      </c>
      <c r="B63" s="174">
        <v>20</v>
      </c>
      <c r="C63" s="175">
        <v>10</v>
      </c>
      <c r="D63" s="192"/>
      <c r="E63" s="193"/>
      <c r="F63" s="192"/>
      <c r="G63" s="193"/>
      <c r="H63" s="192"/>
      <c r="I63" s="185"/>
      <c r="J63" s="182"/>
      <c r="K63" s="179"/>
      <c r="L63" s="182"/>
      <c r="M63" s="179"/>
      <c r="N63" s="182"/>
      <c r="R63" s="1"/>
      <c r="S63" s="50"/>
      <c r="T63" s="50"/>
      <c r="U63" s="182"/>
      <c r="V63" s="182"/>
      <c r="W63" s="182"/>
      <c r="X63" s="182"/>
      <c r="Y63" s="182"/>
    </row>
    <row r="64" spans="1:25" ht="13">
      <c r="A64" s="50" t="str">
        <f ca="1">IFERROR(__xludf.DUMMYFUNCTION("""COMPUTED_VALUE"""),"Elemental Incarnate")</f>
        <v>Elemental Incarnate</v>
      </c>
      <c r="B64" s="174">
        <v>20</v>
      </c>
      <c r="C64" s="175">
        <v>10</v>
      </c>
      <c r="D64" s="192"/>
      <c r="E64" s="193"/>
      <c r="F64" s="192"/>
      <c r="G64" s="193"/>
      <c r="H64" s="192"/>
      <c r="I64" s="185"/>
      <c r="J64" s="182"/>
      <c r="K64" s="179"/>
      <c r="L64" s="182"/>
      <c r="M64" s="179"/>
      <c r="N64" s="182"/>
      <c r="R64" s="1"/>
      <c r="S64" s="50"/>
      <c r="T64" s="50"/>
      <c r="U64" s="182"/>
      <c r="V64" s="182"/>
      <c r="W64" s="182"/>
      <c r="X64" s="182"/>
      <c r="Y64" s="182"/>
    </row>
    <row r="65" spans="1:25" ht="13">
      <c r="A65" s="50" t="str">
        <f ca="1">IFERROR(__xludf.DUMMYFUNCTION("""COMPUTED_VALUE"""),"Fire Slug")</f>
        <v>Fire Slug</v>
      </c>
      <c r="B65" s="174">
        <v>20</v>
      </c>
      <c r="C65" s="175">
        <v>10</v>
      </c>
      <c r="D65" s="192"/>
      <c r="E65" s="193"/>
      <c r="F65" s="192"/>
      <c r="G65" s="193"/>
      <c r="H65" s="192"/>
      <c r="I65" s="185"/>
      <c r="J65" s="182"/>
      <c r="K65" s="179"/>
      <c r="L65" s="182"/>
      <c r="M65" s="179"/>
      <c r="N65" s="182"/>
      <c r="R65" s="1"/>
      <c r="S65" s="50"/>
      <c r="T65" s="50"/>
      <c r="U65" s="182"/>
      <c r="V65" s="182"/>
      <c r="W65" s="182"/>
      <c r="X65" s="182"/>
      <c r="Y65" s="182"/>
    </row>
    <row r="66" spans="1:25" ht="13">
      <c r="A66" s="50" t="str">
        <f ca="1">IFERROR(__xludf.DUMMYFUNCTION("""COMPUTED_VALUE"""),"Fire Totem")</f>
        <v>Fire Totem</v>
      </c>
      <c r="B66" s="174">
        <v>20</v>
      </c>
      <c r="C66" s="175">
        <v>10</v>
      </c>
      <c r="D66" s="192"/>
      <c r="E66" s="193"/>
      <c r="F66" s="192"/>
      <c r="G66" s="193"/>
      <c r="H66" s="192"/>
      <c r="I66" s="185"/>
      <c r="J66" s="182"/>
      <c r="K66" s="179"/>
      <c r="L66" s="182"/>
      <c r="M66" s="179"/>
      <c r="N66" s="182"/>
      <c r="R66" s="1"/>
      <c r="S66" s="50"/>
      <c r="T66" s="50"/>
      <c r="U66" s="182"/>
      <c r="V66" s="182"/>
      <c r="W66" s="182"/>
      <c r="X66" s="182"/>
      <c r="Y66" s="182"/>
    </row>
    <row r="67" spans="1:25" ht="13">
      <c r="A67" s="50" t="str">
        <f ca="1">IFERROR(__xludf.DUMMYFUNCTION("""COMPUTED_VALUE"""),"Oil Totem")</f>
        <v>Oil Totem</v>
      </c>
      <c r="B67" s="174">
        <v>20</v>
      </c>
      <c r="C67" s="175">
        <v>10</v>
      </c>
      <c r="D67" s="192"/>
      <c r="E67" s="193"/>
      <c r="F67" s="192"/>
      <c r="G67" s="193"/>
      <c r="H67" s="192"/>
      <c r="I67" s="185"/>
      <c r="J67" s="182"/>
      <c r="K67" s="179"/>
      <c r="L67" s="182"/>
      <c r="M67" s="179"/>
      <c r="N67" s="182"/>
      <c r="R67" s="1"/>
      <c r="S67" s="50"/>
      <c r="T67" s="50"/>
      <c r="U67" s="182"/>
      <c r="V67" s="182"/>
      <c r="W67" s="182"/>
      <c r="X67" s="182"/>
      <c r="Y67" s="182"/>
    </row>
    <row r="68" spans="1:25" ht="13">
      <c r="A68" s="50" t="str">
        <f ca="1">IFERROR(__xludf.DUMMYFUNCTION("""COMPUTED_VALUE"""),"Oily Blob")</f>
        <v>Oily Blob</v>
      </c>
      <c r="B68" s="174">
        <v>20</v>
      </c>
      <c r="C68" s="175">
        <v>10</v>
      </c>
      <c r="D68" s="192"/>
      <c r="E68" s="193"/>
      <c r="F68" s="192"/>
      <c r="G68" s="193"/>
      <c r="H68" s="192"/>
      <c r="I68" s="185"/>
      <c r="J68" s="182"/>
      <c r="K68" s="179"/>
      <c r="L68" s="182"/>
      <c r="M68" s="179"/>
      <c r="N68" s="182"/>
      <c r="R68" s="1"/>
      <c r="S68" s="50"/>
      <c r="T68" s="50"/>
      <c r="U68" s="182"/>
      <c r="V68" s="182"/>
      <c r="W68" s="182"/>
      <c r="X68" s="182"/>
      <c r="Y68" s="182"/>
    </row>
    <row r="69" spans="1:25" ht="13">
      <c r="A69" s="50" t="str">
        <f ca="1">IFERROR(__xludf.DUMMYFUNCTION("""COMPUTED_VALUE"""),"Poison Totem")</f>
        <v>Poison Totem</v>
      </c>
      <c r="B69" s="174">
        <v>20</v>
      </c>
      <c r="C69" s="175">
        <v>10</v>
      </c>
      <c r="D69" s="192"/>
      <c r="E69" s="193"/>
      <c r="F69" s="192"/>
      <c r="G69" s="193"/>
      <c r="H69" s="192"/>
      <c r="I69" s="185"/>
      <c r="J69" s="182"/>
      <c r="K69" s="179"/>
      <c r="L69" s="182"/>
      <c r="M69" s="179"/>
      <c r="N69" s="182"/>
      <c r="R69" s="1"/>
      <c r="S69" s="50"/>
      <c r="T69" s="50"/>
      <c r="U69" s="182"/>
      <c r="V69" s="182"/>
      <c r="W69" s="182"/>
      <c r="X69" s="182"/>
      <c r="Y69" s="182"/>
    </row>
    <row r="70" spans="1:25" ht="13">
      <c r="A70" s="50" t="str">
        <f ca="1">IFERROR(__xludf.DUMMYFUNCTION("""COMPUTED_VALUE"""),"Water Totem")</f>
        <v>Water Totem</v>
      </c>
      <c r="B70" s="174">
        <v>20</v>
      </c>
      <c r="C70" s="175">
        <v>10</v>
      </c>
      <c r="D70" s="192"/>
      <c r="E70" s="193"/>
      <c r="F70" s="192"/>
      <c r="G70" s="193"/>
      <c r="H70" s="192"/>
      <c r="I70" s="185"/>
      <c r="J70" s="182"/>
      <c r="K70" s="179"/>
      <c r="L70" s="182"/>
      <c r="M70" s="179"/>
      <c r="N70" s="182"/>
      <c r="R70" s="1"/>
      <c r="S70" s="50"/>
      <c r="T70" s="50"/>
      <c r="U70" s="182"/>
      <c r="V70" s="182"/>
      <c r="W70" s="182"/>
      <c r="X70" s="182"/>
      <c r="Y70" s="182"/>
    </row>
    <row r="71" spans="1:25" ht="13">
      <c r="A71" s="50" t="str">
        <f ca="1">IFERROR(__xludf.DUMMYFUNCTION("""COMPUTED_VALUE"""),"Wind-up Toy")</f>
        <v>Wind-up Toy</v>
      </c>
      <c r="B71" s="174">
        <v>20</v>
      </c>
      <c r="C71" s="175">
        <v>10</v>
      </c>
      <c r="D71" s="192"/>
      <c r="E71" s="193"/>
      <c r="F71" s="192"/>
      <c r="G71" s="193"/>
      <c r="H71" s="192"/>
      <c r="I71" s="185"/>
      <c r="J71" s="182"/>
      <c r="K71" s="179"/>
      <c r="L71" s="182"/>
      <c r="M71" s="179"/>
      <c r="N71" s="182"/>
      <c r="R71" s="1"/>
      <c r="S71" s="50"/>
      <c r="T71" s="50"/>
      <c r="U71" s="182"/>
      <c r="V71" s="182"/>
      <c r="W71" s="182"/>
      <c r="X71" s="182"/>
      <c r="Y71" s="182"/>
    </row>
    <row r="72" spans="1:25" ht="13">
      <c r="A72" s="50" t="str">
        <f ca="1">IFERROR(__xludf.DUMMYFUNCTION("""COMPUTED_VALUE"""),"Wood Totem")</f>
        <v>Wood Totem</v>
      </c>
      <c r="B72" s="174">
        <v>20</v>
      </c>
      <c r="C72" s="175">
        <v>10</v>
      </c>
      <c r="D72" s="192"/>
      <c r="E72" s="193"/>
      <c r="F72" s="192"/>
      <c r="G72" s="193"/>
      <c r="H72" s="192"/>
      <c r="I72" s="185"/>
      <c r="J72" s="182"/>
      <c r="K72" s="179"/>
      <c r="L72" s="182"/>
      <c r="M72" s="179"/>
      <c r="N72" s="182"/>
      <c r="R72" s="1"/>
      <c r="S72" s="50"/>
      <c r="T72" s="50"/>
      <c r="U72" s="182"/>
      <c r="V72" s="182"/>
      <c r="W72" s="182"/>
      <c r="X72" s="182"/>
      <c r="Y72" s="182"/>
    </row>
    <row r="73" spans="1:25" ht="13">
      <c r="A73" s="129" t="s">
        <v>2370</v>
      </c>
      <c r="B73" s="174">
        <v>1</v>
      </c>
      <c r="C73" s="175">
        <v>1</v>
      </c>
      <c r="D73" s="174">
        <v>4</v>
      </c>
      <c r="E73" s="175">
        <v>0</v>
      </c>
      <c r="F73" s="174">
        <v>0</v>
      </c>
      <c r="G73" s="175">
        <v>10</v>
      </c>
      <c r="H73" s="174">
        <v>7</v>
      </c>
      <c r="I73" s="185"/>
      <c r="J73" s="182"/>
      <c r="K73" s="179"/>
      <c r="L73" s="182"/>
      <c r="M73" s="179"/>
      <c r="N73" s="182"/>
      <c r="R73" s="195" t="s">
        <v>2321</v>
      </c>
      <c r="S73" s="50"/>
      <c r="T73" s="50"/>
      <c r="U73" s="182"/>
      <c r="V73" s="182"/>
      <c r="W73" s="182"/>
      <c r="X73" s="182"/>
      <c r="Y73" s="182"/>
    </row>
    <row r="74" spans="1:25" ht="13">
      <c r="A74" s="129" t="s">
        <v>2353</v>
      </c>
      <c r="B74" s="174">
        <v>1</v>
      </c>
      <c r="C74" s="175">
        <v>1</v>
      </c>
      <c r="D74" s="174">
        <v>9</v>
      </c>
      <c r="E74" s="175">
        <v>3</v>
      </c>
      <c r="F74" s="174">
        <v>3</v>
      </c>
      <c r="G74" s="175">
        <v>10</v>
      </c>
      <c r="H74" s="174">
        <v>6</v>
      </c>
      <c r="I74" s="133" t="s">
        <v>2354</v>
      </c>
      <c r="J74" s="177" t="s">
        <v>2354</v>
      </c>
      <c r="K74" s="178" t="s">
        <v>2354</v>
      </c>
      <c r="L74" s="177" t="s">
        <v>2354</v>
      </c>
      <c r="M74" s="178" t="s">
        <v>2354</v>
      </c>
      <c r="N74" s="177" t="s">
        <v>2354</v>
      </c>
      <c r="O74" s="42" t="s">
        <v>2354</v>
      </c>
      <c r="P74" s="42" t="s">
        <v>2354</v>
      </c>
      <c r="R74" s="195" t="s">
        <v>2321</v>
      </c>
      <c r="S74" s="50"/>
      <c r="T74" s="50"/>
      <c r="U74" s="182"/>
      <c r="V74" s="182"/>
      <c r="W74" s="182"/>
      <c r="X74" s="182"/>
      <c r="Y74" s="182"/>
    </row>
    <row r="75" spans="1:25" ht="13">
      <c r="A75" s="129" t="s">
        <v>1883</v>
      </c>
      <c r="B75" s="174">
        <v>1</v>
      </c>
      <c r="C75" s="175">
        <v>1</v>
      </c>
      <c r="D75" s="174">
        <v>17</v>
      </c>
      <c r="E75" s="175">
        <v>0</v>
      </c>
      <c r="F75" s="174">
        <v>0</v>
      </c>
      <c r="G75" s="175">
        <v>10</v>
      </c>
      <c r="H75" s="174">
        <v>4.5</v>
      </c>
      <c r="I75" s="185"/>
      <c r="J75" s="182"/>
      <c r="K75" s="179"/>
      <c r="L75" s="177">
        <v>-20</v>
      </c>
      <c r="M75" s="178">
        <v>200</v>
      </c>
      <c r="N75" s="182"/>
      <c r="O75" s="42" t="s">
        <v>2373</v>
      </c>
      <c r="P75" s="42" t="s">
        <v>1882</v>
      </c>
      <c r="R75" s="195" t="s">
        <v>2321</v>
      </c>
      <c r="S75" s="50"/>
      <c r="T75" s="50"/>
      <c r="U75" s="182"/>
      <c r="V75" s="182"/>
      <c r="W75" s="182"/>
      <c r="X75" s="182"/>
      <c r="Y75" s="182"/>
    </row>
    <row r="76" spans="1:25" ht="13">
      <c r="A76" s="129" t="s">
        <v>2346</v>
      </c>
      <c r="B76" s="174">
        <v>1</v>
      </c>
      <c r="C76" s="175">
        <v>1</v>
      </c>
      <c r="D76" s="174">
        <v>5</v>
      </c>
      <c r="E76" s="175">
        <v>0</v>
      </c>
      <c r="F76" s="174">
        <v>0</v>
      </c>
      <c r="G76" s="175">
        <v>10</v>
      </c>
      <c r="H76" s="174">
        <v>7</v>
      </c>
      <c r="I76" s="185"/>
      <c r="J76" s="182"/>
      <c r="K76" s="179"/>
      <c r="L76" s="182"/>
      <c r="M76" s="179"/>
      <c r="N76" s="182"/>
      <c r="R76" s="195" t="s">
        <v>2321</v>
      </c>
      <c r="S76" s="50"/>
      <c r="T76" s="50"/>
      <c r="U76" s="182"/>
      <c r="V76" s="182"/>
      <c r="W76" s="182"/>
      <c r="X76" s="182"/>
      <c r="Y76" s="182"/>
    </row>
    <row r="77" spans="1:25" ht="13">
      <c r="A77" s="129" t="s">
        <v>2366</v>
      </c>
      <c r="B77" s="174">
        <v>1</v>
      </c>
      <c r="C77" s="175">
        <v>1</v>
      </c>
      <c r="D77" s="174">
        <v>4</v>
      </c>
      <c r="E77" s="175">
        <v>0</v>
      </c>
      <c r="F77" s="174">
        <v>0</v>
      </c>
      <c r="G77" s="175">
        <v>10</v>
      </c>
      <c r="H77" s="174">
        <v>7</v>
      </c>
      <c r="I77" s="133" t="s">
        <v>169</v>
      </c>
      <c r="J77" s="177">
        <v>-100</v>
      </c>
      <c r="K77" s="178">
        <v>100</v>
      </c>
      <c r="L77" s="182"/>
      <c r="M77" s="178">
        <v>100</v>
      </c>
      <c r="N77" s="182"/>
      <c r="R77" s="195" t="s">
        <v>2321</v>
      </c>
      <c r="S77" s="50"/>
      <c r="T77" s="50"/>
      <c r="U77" s="182"/>
      <c r="V77" s="182"/>
      <c r="W77" s="182"/>
      <c r="X77" s="182"/>
      <c r="Y77" s="182"/>
    </row>
    <row r="78" spans="1:25" ht="13">
      <c r="A78" s="129" t="s">
        <v>2367</v>
      </c>
      <c r="B78" s="174">
        <v>1</v>
      </c>
      <c r="C78" s="175">
        <v>1</v>
      </c>
      <c r="D78" s="174">
        <v>4</v>
      </c>
      <c r="E78" s="175">
        <v>0</v>
      </c>
      <c r="F78" s="174">
        <v>0</v>
      </c>
      <c r="G78" s="175">
        <v>10</v>
      </c>
      <c r="H78" s="174">
        <v>7</v>
      </c>
      <c r="I78" s="133" t="s">
        <v>189</v>
      </c>
      <c r="J78" s="182"/>
      <c r="K78" s="179"/>
      <c r="L78" s="177">
        <v>-100</v>
      </c>
      <c r="M78" s="179"/>
      <c r="N78" s="177">
        <v>100</v>
      </c>
      <c r="R78" s="195" t="s">
        <v>2321</v>
      </c>
      <c r="S78" s="50"/>
      <c r="T78" s="50"/>
      <c r="U78" s="182"/>
      <c r="V78" s="182"/>
      <c r="W78" s="182"/>
      <c r="X78" s="182"/>
      <c r="Y78" s="182"/>
    </row>
    <row r="79" spans="1:25" ht="13">
      <c r="A79" s="129"/>
      <c r="B79" s="174"/>
      <c r="C79" s="175"/>
      <c r="D79" s="174"/>
      <c r="E79" s="175"/>
      <c r="F79" s="174"/>
      <c r="G79" s="175"/>
      <c r="H79" s="174"/>
      <c r="I79" s="133"/>
      <c r="J79" s="177"/>
      <c r="K79" s="178"/>
      <c r="L79" s="182"/>
      <c r="M79" s="178"/>
      <c r="N79" s="182"/>
      <c r="R79" s="195"/>
      <c r="S79" s="50"/>
      <c r="T79" s="50"/>
      <c r="U79" s="182"/>
      <c r="V79" s="182"/>
      <c r="W79" s="182"/>
      <c r="X79" s="182"/>
      <c r="Y79" s="182"/>
    </row>
    <row r="80" spans="1:25" ht="13">
      <c r="A80" s="129"/>
      <c r="B80" s="174"/>
      <c r="C80" s="175"/>
      <c r="D80" s="174"/>
      <c r="E80" s="175"/>
      <c r="F80" s="174"/>
      <c r="G80" s="175"/>
      <c r="H80" s="174"/>
      <c r="I80" s="133"/>
      <c r="J80" s="177"/>
      <c r="K80" s="178"/>
      <c r="L80" s="182"/>
      <c r="M80" s="178"/>
      <c r="N80" s="182"/>
      <c r="R80" s="195"/>
      <c r="S80" s="50"/>
      <c r="T80" s="50"/>
      <c r="U80" s="182"/>
      <c r="V80" s="182"/>
      <c r="W80" s="182"/>
      <c r="X80" s="182"/>
      <c r="Y80" s="182"/>
    </row>
    <row r="81" spans="1:25" ht="13">
      <c r="A81" s="129"/>
      <c r="B81" s="174"/>
      <c r="C81" s="175"/>
      <c r="D81" s="174"/>
      <c r="E81" s="175"/>
      <c r="F81" s="174"/>
      <c r="G81" s="175"/>
      <c r="H81" s="174"/>
      <c r="I81" s="133"/>
      <c r="J81" s="177"/>
      <c r="K81" s="178"/>
      <c r="L81" s="182"/>
      <c r="M81" s="178"/>
      <c r="N81" s="182"/>
      <c r="R81" s="195"/>
      <c r="S81" s="50"/>
      <c r="T81" s="50"/>
      <c r="U81" s="182"/>
      <c r="V81" s="182"/>
      <c r="W81" s="182"/>
      <c r="X81" s="182"/>
      <c r="Y81" s="182"/>
    </row>
    <row r="82" spans="1:25" ht="13">
      <c r="A82" s="129"/>
      <c r="B82" s="174"/>
      <c r="C82" s="175"/>
      <c r="D82" s="174"/>
      <c r="E82" s="175"/>
      <c r="F82" s="174"/>
      <c r="G82" s="175"/>
      <c r="H82" s="174"/>
      <c r="I82" s="133"/>
      <c r="J82" s="177"/>
      <c r="K82" s="178"/>
      <c r="L82" s="182"/>
      <c r="M82" s="178"/>
      <c r="N82" s="182"/>
      <c r="R82" s="195"/>
      <c r="S82" s="50"/>
      <c r="T82" s="50"/>
      <c r="U82" s="182"/>
      <c r="V82" s="182"/>
      <c r="W82" s="182"/>
      <c r="X82" s="182"/>
      <c r="Y82" s="182"/>
    </row>
    <row r="83" spans="1:25" ht="13">
      <c r="A83" s="129"/>
      <c r="B83" s="174"/>
      <c r="C83" s="175"/>
      <c r="D83" s="174"/>
      <c r="E83" s="175"/>
      <c r="F83" s="174"/>
      <c r="G83" s="175"/>
      <c r="H83" s="174"/>
      <c r="I83" s="133"/>
      <c r="J83" s="177"/>
      <c r="K83" s="178"/>
      <c r="L83" s="182"/>
      <c r="M83" s="178"/>
      <c r="N83" s="182"/>
      <c r="R83" s="195"/>
      <c r="S83" s="50"/>
      <c r="T83" s="50"/>
      <c r="U83" s="182"/>
      <c r="V83" s="182"/>
      <c r="W83" s="182"/>
      <c r="X83" s="182"/>
      <c r="Y83" s="182"/>
    </row>
    <row r="84" spans="1:25" ht="13">
      <c r="A84" s="129"/>
      <c r="B84" s="174"/>
      <c r="C84" s="175"/>
      <c r="D84" s="174"/>
      <c r="E84" s="175"/>
      <c r="F84" s="174"/>
      <c r="G84" s="175"/>
      <c r="H84" s="174"/>
      <c r="I84" s="133"/>
      <c r="J84" s="177"/>
      <c r="K84" s="178"/>
      <c r="L84" s="182"/>
      <c r="M84" s="178"/>
      <c r="N84" s="182"/>
      <c r="R84" s="195"/>
      <c r="S84" s="50"/>
      <c r="T84" s="50"/>
      <c r="U84" s="182"/>
      <c r="V84" s="182"/>
      <c r="W84" s="182"/>
      <c r="X84" s="182"/>
      <c r="Y84" s="182"/>
    </row>
    <row r="85" spans="1:25" ht="13">
      <c r="A85" s="129"/>
      <c r="B85" s="174"/>
      <c r="C85" s="175"/>
      <c r="D85" s="174"/>
      <c r="E85" s="175"/>
      <c r="F85" s="174"/>
      <c r="G85" s="175"/>
      <c r="H85" s="174"/>
      <c r="I85" s="133"/>
      <c r="J85" s="177"/>
      <c r="K85" s="178"/>
      <c r="L85" s="182"/>
      <c r="M85" s="178"/>
      <c r="N85" s="182"/>
      <c r="R85" s="195"/>
      <c r="S85" s="50"/>
      <c r="T85" s="50"/>
      <c r="U85" s="182"/>
      <c r="V85" s="182"/>
      <c r="W85" s="182"/>
      <c r="X85" s="182"/>
      <c r="Y85" s="182"/>
    </row>
    <row r="86" spans="1:25" ht="13">
      <c r="A86" s="129"/>
      <c r="B86" s="174"/>
      <c r="C86" s="175"/>
      <c r="D86" s="174"/>
      <c r="E86" s="175"/>
      <c r="F86" s="174"/>
      <c r="G86" s="175"/>
      <c r="H86" s="174"/>
      <c r="I86" s="133"/>
      <c r="J86" s="177"/>
      <c r="K86" s="178"/>
      <c r="L86" s="182"/>
      <c r="M86" s="178"/>
      <c r="N86" s="182"/>
      <c r="R86" s="195"/>
      <c r="S86" s="50"/>
      <c r="T86" s="50"/>
      <c r="U86" s="182"/>
      <c r="V86" s="182"/>
      <c r="W86" s="182"/>
      <c r="X86" s="182"/>
      <c r="Y86" s="182"/>
    </row>
    <row r="87" spans="1:25" ht="13">
      <c r="A87" s="129"/>
      <c r="B87" s="174"/>
      <c r="C87" s="175"/>
      <c r="D87" s="174"/>
      <c r="E87" s="175"/>
      <c r="F87" s="174"/>
      <c r="G87" s="175"/>
      <c r="H87" s="174"/>
      <c r="I87" s="133"/>
      <c r="J87" s="177"/>
      <c r="K87" s="178"/>
      <c r="L87" s="182"/>
      <c r="M87" s="178"/>
      <c r="N87" s="182"/>
      <c r="R87" s="195"/>
      <c r="S87" s="50"/>
      <c r="T87" s="50"/>
      <c r="U87" s="182"/>
      <c r="V87" s="182"/>
      <c r="W87" s="182"/>
      <c r="X87" s="182"/>
      <c r="Y87" s="182"/>
    </row>
    <row r="88" spans="1:25" ht="13">
      <c r="A88" s="129"/>
      <c r="B88" s="174"/>
      <c r="C88" s="175"/>
      <c r="D88" s="174"/>
      <c r="E88" s="175"/>
      <c r="F88" s="174"/>
      <c r="G88" s="175"/>
      <c r="H88" s="174"/>
      <c r="I88" s="133"/>
      <c r="J88" s="177"/>
      <c r="K88" s="178"/>
      <c r="L88" s="182"/>
      <c r="M88" s="178"/>
      <c r="N88" s="182"/>
      <c r="R88" s="195"/>
      <c r="S88" s="50"/>
      <c r="T88" s="50"/>
      <c r="U88" s="182"/>
      <c r="V88" s="182"/>
      <c r="W88" s="182"/>
      <c r="X88" s="182"/>
      <c r="Y88" s="182"/>
    </row>
    <row r="89" spans="1:25" ht="13">
      <c r="A89" s="129"/>
      <c r="B89" s="174"/>
      <c r="C89" s="175"/>
      <c r="D89" s="174"/>
      <c r="E89" s="175"/>
      <c r="F89" s="174"/>
      <c r="G89" s="175"/>
      <c r="H89" s="174"/>
      <c r="I89" s="133"/>
      <c r="J89" s="177"/>
      <c r="K89" s="178"/>
      <c r="L89" s="182"/>
      <c r="M89" s="178"/>
      <c r="N89" s="182"/>
      <c r="R89" s="195"/>
      <c r="S89" s="50"/>
      <c r="T89" s="50"/>
      <c r="U89" s="182"/>
      <c r="V89" s="182"/>
      <c r="W89" s="182"/>
      <c r="X89" s="182"/>
      <c r="Y89" s="182"/>
    </row>
    <row r="90" spans="1:25" ht="13">
      <c r="A90" s="129"/>
      <c r="B90" s="174"/>
      <c r="C90" s="175"/>
      <c r="D90" s="174"/>
      <c r="E90" s="175"/>
      <c r="F90" s="174"/>
      <c r="G90" s="175"/>
      <c r="H90" s="174"/>
      <c r="I90" s="133"/>
      <c r="J90" s="177"/>
      <c r="K90" s="178"/>
      <c r="L90" s="182"/>
      <c r="M90" s="178"/>
      <c r="N90" s="182"/>
      <c r="R90" s="195"/>
      <c r="S90" s="50"/>
      <c r="T90" s="50"/>
      <c r="U90" s="182"/>
      <c r="V90" s="182"/>
      <c r="W90" s="182"/>
      <c r="X90" s="182"/>
      <c r="Y90" s="182"/>
    </row>
    <row r="91" spans="1:25" ht="13">
      <c r="A91" s="129"/>
      <c r="B91" s="174"/>
      <c r="C91" s="175"/>
      <c r="D91" s="174"/>
      <c r="E91" s="175"/>
      <c r="F91" s="174"/>
      <c r="G91" s="175"/>
      <c r="H91" s="174"/>
      <c r="I91" s="133"/>
      <c r="J91" s="177"/>
      <c r="K91" s="178"/>
      <c r="L91" s="182"/>
      <c r="M91" s="178"/>
      <c r="N91" s="182"/>
      <c r="R91" s="195"/>
      <c r="S91" s="50"/>
      <c r="T91" s="50"/>
      <c r="U91" s="182"/>
      <c r="V91" s="182"/>
      <c r="W91" s="182"/>
      <c r="X91" s="182"/>
      <c r="Y91" s="182"/>
    </row>
    <row r="92" spans="1:25" ht="13">
      <c r="A92" s="129"/>
      <c r="B92" s="174"/>
      <c r="C92" s="175"/>
      <c r="D92" s="174"/>
      <c r="E92" s="175"/>
      <c r="F92" s="174"/>
      <c r="G92" s="175"/>
      <c r="H92" s="174"/>
      <c r="I92" s="133"/>
      <c r="J92" s="177"/>
      <c r="K92" s="178"/>
      <c r="L92" s="182"/>
      <c r="M92" s="178"/>
      <c r="N92" s="182"/>
      <c r="R92" s="195"/>
      <c r="S92" s="50"/>
      <c r="T92" s="50"/>
      <c r="U92" s="182"/>
      <c r="V92" s="182"/>
      <c r="W92" s="182"/>
      <c r="X92" s="182"/>
      <c r="Y92" s="182"/>
    </row>
    <row r="93" spans="1:25" ht="13">
      <c r="A93" s="129"/>
      <c r="B93" s="174"/>
      <c r="C93" s="175"/>
      <c r="D93" s="174"/>
      <c r="E93" s="175"/>
      <c r="F93" s="174"/>
      <c r="G93" s="175"/>
      <c r="H93" s="174"/>
      <c r="I93" s="133"/>
      <c r="J93" s="177"/>
      <c r="K93" s="178"/>
      <c r="L93" s="182"/>
      <c r="M93" s="178"/>
      <c r="N93" s="182"/>
      <c r="R93" s="195"/>
      <c r="S93" s="50"/>
      <c r="T93" s="50"/>
      <c r="U93" s="182"/>
      <c r="V93" s="182"/>
      <c r="W93" s="182"/>
      <c r="X93" s="182"/>
      <c r="Y93" s="182"/>
    </row>
    <row r="94" spans="1:25" ht="13">
      <c r="A94" s="129"/>
      <c r="B94" s="174"/>
      <c r="C94" s="175"/>
      <c r="D94" s="174"/>
      <c r="E94" s="175"/>
      <c r="F94" s="174"/>
      <c r="G94" s="175"/>
      <c r="H94" s="174"/>
      <c r="I94" s="133"/>
      <c r="J94" s="177"/>
      <c r="K94" s="178"/>
      <c r="L94" s="182"/>
      <c r="M94" s="178"/>
      <c r="N94" s="182"/>
      <c r="R94" s="195"/>
      <c r="S94" s="50"/>
      <c r="T94" s="50"/>
      <c r="U94" s="182"/>
      <c r="V94" s="182"/>
      <c r="W94" s="182"/>
      <c r="X94" s="182"/>
      <c r="Y94" s="182"/>
    </row>
    <row r="95" spans="1:25" ht="13">
      <c r="A95" s="129"/>
      <c r="B95" s="174"/>
      <c r="C95" s="175"/>
      <c r="D95" s="174"/>
      <c r="E95" s="175"/>
      <c r="F95" s="174"/>
      <c r="G95" s="175"/>
      <c r="H95" s="174"/>
      <c r="I95" s="133"/>
      <c r="J95" s="177"/>
      <c r="K95" s="178"/>
      <c r="L95" s="182"/>
      <c r="M95" s="178"/>
      <c r="N95" s="182"/>
      <c r="R95" s="195"/>
      <c r="S95" s="50"/>
      <c r="T95" s="50"/>
      <c r="U95" s="182"/>
      <c r="V95" s="182"/>
      <c r="W95" s="182"/>
      <c r="X95" s="182"/>
      <c r="Y95" s="182"/>
    </row>
    <row r="96" spans="1:25" ht="13">
      <c r="A96" s="129"/>
      <c r="B96" s="174"/>
      <c r="C96" s="175"/>
      <c r="D96" s="174"/>
      <c r="E96" s="175"/>
      <c r="F96" s="174"/>
      <c r="G96" s="175"/>
      <c r="H96" s="174"/>
      <c r="I96" s="133"/>
      <c r="J96" s="177"/>
      <c r="K96" s="178"/>
      <c r="L96" s="182"/>
      <c r="M96" s="178"/>
      <c r="N96" s="182"/>
      <c r="R96" s="195"/>
      <c r="S96" s="50"/>
      <c r="T96" s="50"/>
      <c r="U96" s="182"/>
      <c r="V96" s="182"/>
      <c r="W96" s="182"/>
      <c r="X96" s="182"/>
      <c r="Y96" s="182"/>
    </row>
    <row r="97" spans="1:25" ht="13">
      <c r="A97" s="129"/>
      <c r="B97" s="174"/>
      <c r="C97" s="175"/>
      <c r="D97" s="174"/>
      <c r="E97" s="175"/>
      <c r="F97" s="174"/>
      <c r="G97" s="175"/>
      <c r="H97" s="174"/>
      <c r="I97" s="133"/>
      <c r="J97" s="177"/>
      <c r="K97" s="178"/>
      <c r="L97" s="182"/>
      <c r="M97" s="178"/>
      <c r="N97" s="182"/>
      <c r="R97" s="195"/>
      <c r="S97" s="50"/>
      <c r="T97" s="50"/>
      <c r="U97" s="182"/>
      <c r="V97" s="182"/>
      <c r="W97" s="182"/>
      <c r="X97" s="182"/>
      <c r="Y97" s="182"/>
    </row>
  </sheetData>
  <conditionalFormatting sqref="A10:H10">
    <cfRule type="expression" dxfId="12" priority="1">
      <formula>OR($B10&gt;#REF!,$C10&gt;#REF!)</formula>
    </cfRule>
  </conditionalFormatting>
  <conditionalFormatting sqref="A2:A53 B2:Q97 A55:A97">
    <cfRule type="expression" dxfId="11" priority="2">
      <formula>OR($B2&gt;$B1,$C2&gt;$C1)</formula>
    </cfRule>
  </conditionalFormatting>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D10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75" customHeight="1"/>
  <cols>
    <col min="1" max="1" width="30.6640625" customWidth="1"/>
    <col min="2" max="21" width="6" customWidth="1"/>
  </cols>
  <sheetData>
    <row r="1" spans="1:30" ht="15.75" customHeight="1">
      <c r="A1" s="129" t="s">
        <v>2374</v>
      </c>
      <c r="B1" s="129">
        <v>1</v>
      </c>
      <c r="C1" s="129">
        <v>2</v>
      </c>
      <c r="D1" s="129">
        <v>3</v>
      </c>
      <c r="E1" s="129">
        <v>4</v>
      </c>
      <c r="F1" s="129">
        <v>5</v>
      </c>
      <c r="G1" s="129">
        <v>6</v>
      </c>
      <c r="H1" s="129">
        <v>7</v>
      </c>
      <c r="I1" s="129">
        <v>8</v>
      </c>
      <c r="J1" s="129">
        <v>9</v>
      </c>
      <c r="K1" s="129">
        <v>10</v>
      </c>
      <c r="L1" s="129">
        <v>11</v>
      </c>
      <c r="M1" s="129">
        <v>12</v>
      </c>
      <c r="N1" s="129">
        <v>13</v>
      </c>
      <c r="O1" s="129">
        <v>14</v>
      </c>
      <c r="P1" s="129">
        <v>15</v>
      </c>
      <c r="Q1" s="129">
        <v>16</v>
      </c>
      <c r="R1" s="129">
        <v>17</v>
      </c>
      <c r="S1" s="129">
        <v>18</v>
      </c>
      <c r="T1" s="129">
        <v>19</v>
      </c>
      <c r="U1" s="129">
        <v>20</v>
      </c>
      <c r="V1" s="196"/>
      <c r="W1" s="197"/>
      <c r="X1" s="197"/>
      <c r="Y1" s="167"/>
      <c r="Z1" s="198"/>
      <c r="AA1" s="167"/>
      <c r="AB1" s="167"/>
      <c r="AC1" s="167"/>
      <c r="AD1" s="167"/>
    </row>
    <row r="2" spans="1:30" ht="15.75" customHeight="1">
      <c r="A2" s="50" t="s">
        <v>82</v>
      </c>
      <c r="O2" s="42">
        <v>5250</v>
      </c>
      <c r="V2" s="192"/>
      <c r="W2" s="192"/>
      <c r="X2" s="192"/>
      <c r="Y2" s="192"/>
      <c r="AA2" s="199"/>
      <c r="AB2" s="199"/>
      <c r="AC2" s="199"/>
      <c r="AD2" s="199"/>
    </row>
    <row r="3" spans="1:30" ht="15.75" customHeight="1">
      <c r="A3" s="200" t="s">
        <v>1148</v>
      </c>
      <c r="B3" s="178">
        <v>19</v>
      </c>
      <c r="C3" s="178">
        <v>22</v>
      </c>
      <c r="D3" s="178">
        <v>24</v>
      </c>
      <c r="E3" s="179"/>
      <c r="F3" s="178">
        <v>30</v>
      </c>
      <c r="G3" s="179"/>
      <c r="H3" s="179"/>
      <c r="I3" s="179"/>
      <c r="J3" s="179"/>
      <c r="K3" s="178">
        <v>83</v>
      </c>
      <c r="L3" s="178">
        <v>93</v>
      </c>
      <c r="M3" s="179"/>
      <c r="N3" s="179"/>
      <c r="O3" s="178">
        <v>135</v>
      </c>
      <c r="P3" s="178">
        <v>150</v>
      </c>
      <c r="Q3" s="179"/>
      <c r="R3" s="179"/>
      <c r="S3" s="179"/>
      <c r="T3" s="179"/>
      <c r="U3" s="179"/>
      <c r="V3" s="192"/>
      <c r="W3" s="192"/>
      <c r="X3" s="192"/>
      <c r="Y3" s="192"/>
      <c r="AA3" s="199"/>
      <c r="AB3" s="199"/>
      <c r="AC3" s="199"/>
      <c r="AD3" s="199"/>
    </row>
    <row r="4" spans="1:30" ht="15.75" customHeight="1">
      <c r="A4" s="201" t="s">
        <v>94</v>
      </c>
      <c r="B4" s="178">
        <v>6</v>
      </c>
      <c r="C4" s="178">
        <v>7</v>
      </c>
      <c r="D4" s="178">
        <v>8</v>
      </c>
      <c r="E4" s="179"/>
      <c r="F4" s="178">
        <v>10</v>
      </c>
      <c r="G4" s="179"/>
      <c r="H4" s="179"/>
      <c r="I4" s="179"/>
      <c r="J4" s="179"/>
      <c r="K4" s="178">
        <v>26</v>
      </c>
      <c r="L4" s="179"/>
      <c r="M4" s="179"/>
      <c r="N4" s="179"/>
      <c r="O4" s="178">
        <v>43</v>
      </c>
      <c r="P4" s="178">
        <v>48</v>
      </c>
      <c r="Q4" s="179"/>
      <c r="R4" s="179"/>
      <c r="S4" s="179"/>
      <c r="T4" s="179"/>
      <c r="U4" s="179"/>
      <c r="V4" s="192"/>
      <c r="W4" s="192"/>
      <c r="X4" s="192"/>
      <c r="Y4" s="192"/>
      <c r="AA4" s="199"/>
      <c r="AB4" s="199"/>
      <c r="AC4" s="199"/>
      <c r="AD4" s="199"/>
    </row>
    <row r="5" spans="1:30" ht="15.75" customHeight="1">
      <c r="A5" s="201" t="s">
        <v>98</v>
      </c>
      <c r="B5" s="178">
        <v>90</v>
      </c>
      <c r="C5" s="178">
        <v>100</v>
      </c>
      <c r="D5" s="178"/>
      <c r="E5" s="179"/>
      <c r="F5" s="178"/>
      <c r="G5" s="179"/>
      <c r="H5" s="179"/>
      <c r="I5" s="179"/>
      <c r="J5" s="179"/>
      <c r="K5" s="178"/>
      <c r="L5" s="178">
        <v>435</v>
      </c>
      <c r="M5" s="179"/>
      <c r="N5" s="179"/>
      <c r="O5" s="178"/>
      <c r="P5" s="178"/>
      <c r="Q5" s="179"/>
      <c r="R5" s="179"/>
      <c r="S5" s="179"/>
      <c r="T5" s="179"/>
      <c r="U5" s="179"/>
      <c r="V5" s="192"/>
      <c r="W5" s="192"/>
      <c r="X5" s="192"/>
      <c r="Y5" s="192"/>
      <c r="AA5" s="199"/>
      <c r="AB5" s="199"/>
      <c r="AC5" s="199"/>
      <c r="AD5" s="199"/>
    </row>
    <row r="6" spans="1:30" ht="15.75" customHeight="1">
      <c r="A6" s="129" t="s">
        <v>101</v>
      </c>
      <c r="V6" s="192"/>
      <c r="W6" s="192"/>
      <c r="X6" s="192"/>
      <c r="Y6" s="192"/>
      <c r="AA6" s="199"/>
      <c r="AB6" s="199"/>
      <c r="AC6" s="199"/>
      <c r="AD6" s="199"/>
    </row>
    <row r="7" spans="1:30" ht="15.75" customHeight="1">
      <c r="A7" s="201" t="s">
        <v>104</v>
      </c>
      <c r="B7" s="178">
        <v>90</v>
      </c>
      <c r="C7" s="178">
        <v>100</v>
      </c>
      <c r="D7" s="178"/>
      <c r="E7" s="179"/>
      <c r="F7" s="178"/>
      <c r="G7" s="179"/>
      <c r="H7" s="179"/>
      <c r="I7" s="179"/>
      <c r="J7" s="179"/>
      <c r="K7" s="178"/>
      <c r="L7" s="178">
        <v>435</v>
      </c>
      <c r="M7" s="179"/>
      <c r="N7" s="179"/>
      <c r="O7" s="178"/>
      <c r="P7" s="178"/>
      <c r="Q7" s="179"/>
      <c r="R7" s="179"/>
      <c r="S7" s="179"/>
      <c r="T7" s="179"/>
      <c r="U7" s="179"/>
      <c r="V7" s="192"/>
      <c r="W7" s="192"/>
      <c r="X7" s="192"/>
      <c r="Y7" s="192"/>
      <c r="AA7" s="199"/>
      <c r="AB7" s="199"/>
      <c r="AC7" s="199"/>
      <c r="AD7" s="199"/>
    </row>
    <row r="8" spans="1:30" ht="15.75" customHeight="1">
      <c r="A8" s="129" t="s">
        <v>105</v>
      </c>
      <c r="B8" s="42">
        <v>140</v>
      </c>
      <c r="C8" s="42">
        <v>155</v>
      </c>
      <c r="V8" s="192"/>
      <c r="W8" s="192"/>
      <c r="X8" s="192"/>
      <c r="Y8" s="192"/>
      <c r="AA8" s="199"/>
      <c r="AB8" s="199"/>
      <c r="AC8" s="199"/>
      <c r="AD8" s="199"/>
    </row>
    <row r="9" spans="1:30" ht="15.75" customHeight="1">
      <c r="A9" s="129" t="s">
        <v>109</v>
      </c>
      <c r="B9" s="42">
        <v>140</v>
      </c>
      <c r="C9" s="42">
        <v>155</v>
      </c>
      <c r="V9" s="192"/>
      <c r="W9" s="192"/>
      <c r="X9" s="192"/>
      <c r="Y9" s="192"/>
      <c r="AA9" s="199"/>
      <c r="AB9" s="199"/>
      <c r="AC9" s="199"/>
      <c r="AD9" s="199"/>
    </row>
    <row r="10" spans="1:30" ht="15.75" customHeight="1">
      <c r="A10" s="201" t="s">
        <v>1153</v>
      </c>
      <c r="B10" s="178">
        <v>55</v>
      </c>
      <c r="C10" s="178">
        <v>62</v>
      </c>
      <c r="D10" s="178">
        <v>69</v>
      </c>
      <c r="E10" s="179"/>
      <c r="F10" s="178">
        <v>87</v>
      </c>
      <c r="G10" s="178"/>
      <c r="H10" s="179"/>
      <c r="I10" s="179"/>
      <c r="J10" s="179"/>
      <c r="K10" s="178">
        <v>240</v>
      </c>
      <c r="L10" s="178">
        <v>265</v>
      </c>
      <c r="M10" s="179"/>
      <c r="N10" s="179"/>
      <c r="O10" s="178">
        <v>385</v>
      </c>
      <c r="P10" s="178">
        <v>430</v>
      </c>
      <c r="Q10" s="179"/>
      <c r="R10" s="179"/>
      <c r="S10" s="179"/>
      <c r="T10" s="179"/>
      <c r="U10" s="179"/>
      <c r="V10" s="192"/>
      <c r="W10" s="192"/>
      <c r="X10" s="192"/>
      <c r="Y10" s="192"/>
      <c r="AA10" s="199"/>
      <c r="AB10" s="199"/>
      <c r="AC10" s="199"/>
      <c r="AD10" s="199"/>
    </row>
    <row r="11" spans="1:30" ht="15.75" customHeight="1">
      <c r="A11" s="200" t="s">
        <v>1155</v>
      </c>
      <c r="B11" s="178">
        <v>48</v>
      </c>
      <c r="C11" s="178">
        <v>54</v>
      </c>
      <c r="D11" s="178">
        <v>61</v>
      </c>
      <c r="E11" s="178">
        <v>68</v>
      </c>
      <c r="F11" s="178">
        <v>76</v>
      </c>
      <c r="G11" s="178"/>
      <c r="H11" s="179"/>
      <c r="I11" s="179"/>
      <c r="J11" s="179"/>
      <c r="K11" s="178">
        <v>210</v>
      </c>
      <c r="L11" s="178">
        <v>235</v>
      </c>
      <c r="M11" s="179"/>
      <c r="N11" s="179"/>
      <c r="O11" s="178">
        <v>335</v>
      </c>
      <c r="P11" s="178">
        <v>375</v>
      </c>
      <c r="Q11" s="179"/>
      <c r="R11" s="179"/>
      <c r="S11" s="179"/>
      <c r="T11" s="179"/>
      <c r="U11" s="179"/>
      <c r="V11" s="192"/>
      <c r="W11" s="192"/>
      <c r="X11" s="192"/>
      <c r="Y11" s="192"/>
      <c r="AA11" s="199"/>
      <c r="AB11" s="199"/>
      <c r="AC11" s="199"/>
      <c r="AD11" s="199"/>
    </row>
    <row r="12" spans="1:30" ht="15.75" customHeight="1">
      <c r="A12" s="200" t="s">
        <v>1158</v>
      </c>
      <c r="B12" s="178">
        <v>25</v>
      </c>
      <c r="C12" s="178">
        <v>28</v>
      </c>
      <c r="D12" s="178">
        <v>32</v>
      </c>
      <c r="E12" s="179"/>
      <c r="F12" s="178">
        <v>40</v>
      </c>
      <c r="G12" s="179"/>
      <c r="H12" s="179"/>
      <c r="I12" s="179"/>
      <c r="J12" s="179"/>
      <c r="K12" s="178">
        <v>110</v>
      </c>
      <c r="L12" s="178">
        <v>120</v>
      </c>
      <c r="M12" s="179"/>
      <c r="N12" s="179"/>
      <c r="O12" s="178">
        <v>175</v>
      </c>
      <c r="P12" s="178">
        <v>195</v>
      </c>
      <c r="Q12" s="179"/>
      <c r="R12" s="179"/>
      <c r="S12" s="179"/>
      <c r="T12" s="179"/>
      <c r="U12" s="179"/>
      <c r="V12" s="192"/>
      <c r="W12" s="192"/>
      <c r="X12" s="192"/>
      <c r="Y12" s="192"/>
      <c r="AA12" s="199"/>
      <c r="AB12" s="199"/>
      <c r="AC12" s="199"/>
      <c r="AD12" s="199"/>
    </row>
    <row r="13" spans="1:30" ht="15.75" customHeight="1">
      <c r="A13" s="50" t="s">
        <v>1159</v>
      </c>
      <c r="B13" s="42">
        <v>2</v>
      </c>
      <c r="C13" s="42">
        <v>2</v>
      </c>
      <c r="D13" s="42">
        <v>2</v>
      </c>
      <c r="K13" s="42">
        <v>5</v>
      </c>
      <c r="O13" s="42">
        <v>14</v>
      </c>
      <c r="V13" s="192"/>
      <c r="W13" s="192"/>
      <c r="X13" s="192"/>
      <c r="Y13" s="192"/>
      <c r="AA13" s="199"/>
      <c r="AB13" s="199"/>
      <c r="AC13" s="199"/>
      <c r="AD13" s="199"/>
    </row>
    <row r="14" spans="1:30" ht="15.75" customHeight="1">
      <c r="A14" s="200" t="s">
        <v>1161</v>
      </c>
      <c r="B14" s="178">
        <v>20</v>
      </c>
      <c r="C14" s="178">
        <v>23</v>
      </c>
      <c r="D14" s="178">
        <v>26</v>
      </c>
      <c r="E14" s="179"/>
      <c r="F14" s="178">
        <v>32</v>
      </c>
      <c r="G14" s="179"/>
      <c r="H14" s="179"/>
      <c r="I14" s="179"/>
      <c r="J14" s="179"/>
      <c r="K14" s="178">
        <v>87</v>
      </c>
      <c r="L14" s="179"/>
      <c r="M14" s="179"/>
      <c r="N14" s="179"/>
      <c r="O14" s="178">
        <v>140</v>
      </c>
      <c r="P14" s="178">
        <v>155</v>
      </c>
      <c r="Q14" s="179"/>
      <c r="R14" s="179"/>
      <c r="S14" s="179"/>
      <c r="T14" s="179"/>
      <c r="U14" s="179"/>
      <c r="V14" s="192"/>
      <c r="W14" s="192"/>
      <c r="X14" s="192"/>
      <c r="Y14" s="192"/>
      <c r="AA14" s="199"/>
      <c r="AB14" s="199"/>
      <c r="AC14" s="199"/>
      <c r="AD14" s="199"/>
    </row>
    <row r="15" spans="1:30" ht="15.75" customHeight="1">
      <c r="A15" s="200" t="s">
        <v>131</v>
      </c>
      <c r="B15" s="178">
        <v>10</v>
      </c>
      <c r="C15" s="178">
        <v>12</v>
      </c>
      <c r="D15" s="178">
        <v>13</v>
      </c>
      <c r="E15" s="179"/>
      <c r="F15" s="178">
        <v>16</v>
      </c>
      <c r="G15" s="179"/>
      <c r="H15" s="179"/>
      <c r="I15" s="179"/>
      <c r="J15" s="179"/>
      <c r="K15" s="178">
        <v>44</v>
      </c>
      <c r="L15" s="178">
        <v>49</v>
      </c>
      <c r="M15" s="179"/>
      <c r="N15" s="179"/>
      <c r="O15" s="178">
        <v>71</v>
      </c>
      <c r="P15" s="178">
        <v>79</v>
      </c>
      <c r="Q15" s="179"/>
      <c r="R15" s="179"/>
      <c r="S15" s="179"/>
      <c r="T15" s="179"/>
      <c r="U15" s="178">
        <v>190</v>
      </c>
      <c r="V15" s="192"/>
      <c r="W15" s="192"/>
      <c r="X15" s="192"/>
      <c r="Y15" s="192"/>
      <c r="AA15" s="199"/>
      <c r="AB15" s="199"/>
      <c r="AC15" s="199"/>
      <c r="AD15" s="199"/>
    </row>
    <row r="16" spans="1:30" ht="15.75" customHeight="1">
      <c r="A16" s="200" t="s">
        <v>1162</v>
      </c>
      <c r="B16" s="178">
        <v>31</v>
      </c>
      <c r="C16" s="178">
        <v>35</v>
      </c>
      <c r="D16" s="178">
        <v>39</v>
      </c>
      <c r="E16" s="179"/>
      <c r="F16" s="178">
        <v>49</v>
      </c>
      <c r="G16" s="179"/>
      <c r="H16" s="179"/>
      <c r="I16" s="179"/>
      <c r="J16" s="179"/>
      <c r="K16" s="178">
        <v>135</v>
      </c>
      <c r="L16" s="178">
        <v>150</v>
      </c>
      <c r="M16" s="179"/>
      <c r="N16" s="179"/>
      <c r="O16" s="178">
        <v>220</v>
      </c>
      <c r="P16" s="178">
        <v>245</v>
      </c>
      <c r="Q16" s="179"/>
      <c r="R16" s="179"/>
      <c r="S16" s="179"/>
      <c r="T16" s="179"/>
      <c r="U16" s="179"/>
      <c r="V16" s="192"/>
      <c r="W16" s="192"/>
      <c r="X16" s="192"/>
      <c r="Y16" s="192"/>
      <c r="AA16" s="199"/>
      <c r="AB16" s="199"/>
      <c r="AC16" s="199"/>
      <c r="AD16" s="199"/>
    </row>
    <row r="17" spans="1:30" ht="15.75" customHeight="1">
      <c r="A17" s="200" t="s">
        <v>1165</v>
      </c>
      <c r="B17" s="178">
        <v>4</v>
      </c>
      <c r="C17" s="178">
        <v>5</v>
      </c>
      <c r="D17" s="178">
        <v>6</v>
      </c>
      <c r="E17" s="179"/>
      <c r="F17" s="178">
        <v>7</v>
      </c>
      <c r="G17" s="179"/>
      <c r="H17" s="179"/>
      <c r="I17" s="179"/>
      <c r="J17" s="179"/>
      <c r="K17" s="178">
        <v>18</v>
      </c>
      <c r="L17" s="178">
        <v>20</v>
      </c>
      <c r="M17" s="179"/>
      <c r="N17" s="179"/>
      <c r="O17" s="178">
        <v>29</v>
      </c>
      <c r="P17" s="178">
        <v>32</v>
      </c>
      <c r="Q17" s="179"/>
      <c r="R17" s="179"/>
      <c r="S17" s="179"/>
      <c r="T17" s="179"/>
      <c r="U17" s="179"/>
      <c r="V17" s="192"/>
      <c r="W17" s="192"/>
      <c r="X17" s="192"/>
      <c r="Y17" s="192"/>
      <c r="AA17" s="199"/>
      <c r="AB17" s="199"/>
      <c r="AC17" s="199"/>
      <c r="AD17" s="199"/>
    </row>
    <row r="18" spans="1:30" ht="15.75" customHeight="1">
      <c r="A18" s="201" t="s">
        <v>1167</v>
      </c>
      <c r="B18" s="178">
        <v>35</v>
      </c>
      <c r="C18" s="178">
        <v>40</v>
      </c>
      <c r="D18" s="178">
        <v>44</v>
      </c>
      <c r="E18" s="179"/>
      <c r="F18" s="178">
        <v>56</v>
      </c>
      <c r="G18" s="179"/>
      <c r="H18" s="179"/>
      <c r="I18" s="179"/>
      <c r="J18" s="179"/>
      <c r="K18" s="178">
        <v>150</v>
      </c>
      <c r="L18" s="178">
        <v>170</v>
      </c>
      <c r="M18" s="179"/>
      <c r="N18" s="179"/>
      <c r="O18" s="178">
        <v>245</v>
      </c>
      <c r="P18" s="178">
        <v>275</v>
      </c>
      <c r="Q18" s="179"/>
      <c r="R18" s="179"/>
      <c r="S18" s="179"/>
      <c r="T18" s="179"/>
      <c r="U18" s="179"/>
      <c r="V18" s="192"/>
      <c r="W18" s="192"/>
      <c r="X18" s="192"/>
      <c r="Y18" s="192"/>
      <c r="AA18" s="199"/>
      <c r="AB18" s="199"/>
      <c r="AC18" s="199"/>
      <c r="AD18" s="199"/>
    </row>
    <row r="19" spans="1:30" ht="15.75" customHeight="1">
      <c r="A19" s="201" t="s">
        <v>1169</v>
      </c>
      <c r="B19" s="178">
        <v>30</v>
      </c>
      <c r="C19" s="178">
        <v>34</v>
      </c>
      <c r="D19" s="178">
        <v>38</v>
      </c>
      <c r="E19" s="179"/>
      <c r="F19" s="178">
        <v>48</v>
      </c>
      <c r="G19" s="179"/>
      <c r="H19" s="179"/>
      <c r="I19" s="179"/>
      <c r="J19" s="179"/>
      <c r="K19" s="178">
        <v>130</v>
      </c>
      <c r="L19" s="178">
        <v>145</v>
      </c>
      <c r="M19" s="179"/>
      <c r="N19" s="179"/>
      <c r="O19" s="178">
        <v>210</v>
      </c>
      <c r="P19" s="178">
        <v>235</v>
      </c>
      <c r="Q19" s="179"/>
      <c r="R19" s="179"/>
      <c r="S19" s="179"/>
      <c r="T19" s="179"/>
      <c r="U19" s="179"/>
      <c r="V19" s="192"/>
      <c r="W19" s="192"/>
      <c r="X19" s="192"/>
      <c r="Y19" s="192"/>
      <c r="AA19" s="199"/>
      <c r="AB19" s="199"/>
      <c r="AC19" s="199"/>
      <c r="AD19" s="199"/>
    </row>
    <row r="20" spans="1:30" ht="15.75" customHeight="1">
      <c r="A20" s="200" t="s">
        <v>1171</v>
      </c>
      <c r="B20" s="178">
        <v>15</v>
      </c>
      <c r="C20" s="178">
        <v>17</v>
      </c>
      <c r="D20" s="178">
        <v>19</v>
      </c>
      <c r="E20" s="179"/>
      <c r="F20" s="178">
        <v>24</v>
      </c>
      <c r="G20" s="179"/>
      <c r="H20" s="179"/>
      <c r="I20" s="179"/>
      <c r="J20" s="179"/>
      <c r="K20" s="178">
        <v>65</v>
      </c>
      <c r="L20" s="178">
        <v>73</v>
      </c>
      <c r="M20" s="179"/>
      <c r="N20" s="179"/>
      <c r="O20" s="178">
        <v>105</v>
      </c>
      <c r="P20" s="178">
        <v>120</v>
      </c>
      <c r="Q20" s="179"/>
      <c r="R20" s="179"/>
      <c r="S20" s="179"/>
      <c r="T20" s="179"/>
      <c r="U20" s="179"/>
      <c r="V20" s="192"/>
      <c r="W20" s="192"/>
      <c r="X20" s="192"/>
      <c r="Y20" s="192"/>
      <c r="AA20" s="199"/>
      <c r="AB20" s="199"/>
      <c r="AC20" s="199"/>
      <c r="AD20" s="199"/>
    </row>
    <row r="21" spans="1:30" ht="15.75" customHeight="1">
      <c r="A21" s="200" t="s">
        <v>1173</v>
      </c>
      <c r="B21" s="178">
        <v>34</v>
      </c>
      <c r="C21" s="178">
        <v>39</v>
      </c>
      <c r="D21" s="178">
        <v>43</v>
      </c>
      <c r="E21" s="178">
        <v>48</v>
      </c>
      <c r="F21" s="178">
        <v>54</v>
      </c>
      <c r="G21" s="179"/>
      <c r="H21" s="179"/>
      <c r="I21" s="179"/>
      <c r="J21" s="179"/>
      <c r="K21" s="178">
        <v>150</v>
      </c>
      <c r="L21" s="178">
        <v>165</v>
      </c>
      <c r="M21" s="179"/>
      <c r="N21" s="179"/>
      <c r="O21" s="178">
        <v>240</v>
      </c>
      <c r="P21" s="178">
        <v>265</v>
      </c>
      <c r="Q21" s="179"/>
      <c r="R21" s="179"/>
      <c r="S21" s="179"/>
      <c r="T21" s="179"/>
      <c r="U21" s="179"/>
      <c r="V21" s="192"/>
      <c r="W21" s="192"/>
      <c r="X21" s="192"/>
      <c r="Y21" s="192"/>
      <c r="AA21" s="199"/>
      <c r="AB21" s="199"/>
      <c r="AC21" s="199"/>
      <c r="AD21" s="199"/>
    </row>
    <row r="22" spans="1:30" ht="15.75" customHeight="1">
      <c r="A22" s="200" t="s">
        <v>1174</v>
      </c>
      <c r="B22" s="178">
        <v>28</v>
      </c>
      <c r="C22" s="178">
        <v>32</v>
      </c>
      <c r="D22" s="178">
        <v>36</v>
      </c>
      <c r="E22" s="179"/>
      <c r="F22" s="178">
        <v>45</v>
      </c>
      <c r="G22" s="179"/>
      <c r="H22" s="179"/>
      <c r="I22" s="179"/>
      <c r="J22" s="179"/>
      <c r="K22" s="178">
        <v>120</v>
      </c>
      <c r="L22" s="178">
        <v>135</v>
      </c>
      <c r="M22" s="179"/>
      <c r="N22" s="179"/>
      <c r="O22" s="178">
        <v>195</v>
      </c>
      <c r="P22" s="178">
        <v>220</v>
      </c>
      <c r="Q22" s="179"/>
      <c r="R22" s="179"/>
      <c r="S22" s="179"/>
      <c r="T22" s="179"/>
      <c r="U22" s="179"/>
      <c r="V22" s="192"/>
      <c r="W22" s="192"/>
      <c r="X22" s="192"/>
      <c r="Y22" s="192"/>
      <c r="AA22" s="199"/>
      <c r="AB22" s="199"/>
      <c r="AC22" s="199"/>
      <c r="AD22" s="199"/>
    </row>
    <row r="23" spans="1:30">
      <c r="A23" s="25" t="s">
        <v>2375</v>
      </c>
      <c r="K23" s="42">
        <v>1730</v>
      </c>
      <c r="P23" s="42">
        <v>3140</v>
      </c>
      <c r="U23" s="42">
        <v>7600</v>
      </c>
      <c r="V23" s="192"/>
      <c r="W23" s="192" t="s">
        <v>2996</v>
      </c>
      <c r="AA23" s="136"/>
      <c r="AB23" s="136"/>
      <c r="AC23" s="136"/>
      <c r="AD23" s="136"/>
    </row>
    <row r="24" spans="1:30">
      <c r="A24" s="25" t="s">
        <v>124</v>
      </c>
      <c r="K24" s="42">
        <v>5200</v>
      </c>
      <c r="P24" s="42">
        <v>9410</v>
      </c>
      <c r="U24" s="42">
        <v>22800</v>
      </c>
      <c r="V24" s="192"/>
      <c r="W24" s="192" t="s">
        <v>2996</v>
      </c>
      <c r="AA24" s="136"/>
      <c r="AB24" s="136"/>
      <c r="AC24" s="136"/>
      <c r="AD24" s="136"/>
    </row>
    <row r="25" spans="1:30">
      <c r="A25" s="50"/>
      <c r="V25" s="192"/>
      <c r="AA25" s="136"/>
      <c r="AB25" s="136"/>
      <c r="AC25" s="136"/>
      <c r="AD25" s="136"/>
    </row>
    <row r="26" spans="1:30" ht="15.75" customHeight="1">
      <c r="A26" s="129" t="s">
        <v>2376</v>
      </c>
      <c r="B26">
        <f t="shared" ref="B26:D26" si="0">ROUND(AVERAGE(B$3:B$5,B$7,B$10:B$12,B$14:B$22),1)</f>
        <v>33.799999999999997</v>
      </c>
      <c r="C26">
        <f t="shared" si="0"/>
        <v>38.1</v>
      </c>
      <c r="D26">
        <f t="shared" si="0"/>
        <v>32.700000000000003</v>
      </c>
      <c r="F26">
        <f>ROUND(AVERAGE(F$3:F$5,F$7,F$10:F$12,F$14:F$22),1)</f>
        <v>41</v>
      </c>
      <c r="K26">
        <f>ROUND(AVERAGE(K$3:K$5,K$7,K$10:K$12,K$14:K$22),1)</f>
        <v>112</v>
      </c>
      <c r="O26">
        <f t="shared" ref="O26:P26" si="1">ROUND(AVERAGE(O$3:O$5,O$7,O$10:O$12,O$14:O$22),1)</f>
        <v>180.6</v>
      </c>
      <c r="P26">
        <f t="shared" si="1"/>
        <v>201.7</v>
      </c>
      <c r="V26" s="192"/>
      <c r="W26" s="192"/>
      <c r="X26" s="192"/>
      <c r="Y26" s="192"/>
      <c r="AA26" s="192"/>
      <c r="AB26" s="192"/>
      <c r="AC26" s="192"/>
      <c r="AD26" s="192"/>
    </row>
    <row r="27" spans="1:30" ht="15.75" customHeight="1">
      <c r="A27" s="202"/>
      <c r="B27" s="203"/>
      <c r="C27" s="203"/>
      <c r="D27" s="203"/>
      <c r="E27" s="203"/>
      <c r="F27" s="203"/>
      <c r="G27" s="203"/>
      <c r="H27" s="203"/>
      <c r="I27" s="203"/>
      <c r="J27" s="203"/>
      <c r="K27" s="203"/>
      <c r="L27" s="203"/>
      <c r="M27" s="203"/>
      <c r="N27" s="203"/>
      <c r="O27" s="203"/>
      <c r="P27" s="203"/>
      <c r="Q27" s="203"/>
      <c r="R27" s="203"/>
      <c r="S27" s="203"/>
      <c r="T27" s="203"/>
      <c r="U27" s="203"/>
      <c r="V27" s="204"/>
      <c r="W27" s="203"/>
      <c r="X27" s="203"/>
      <c r="Y27" s="203"/>
      <c r="Z27" s="203"/>
      <c r="AA27" s="203"/>
      <c r="AB27" s="203"/>
      <c r="AC27" s="203"/>
      <c r="AD27" s="203"/>
    </row>
    <row r="28" spans="1:30" ht="15.75" customHeight="1">
      <c r="A28" s="129" t="s">
        <v>2377</v>
      </c>
      <c r="V28" s="192"/>
    </row>
    <row r="29" spans="1:30" ht="15.75" customHeight="1">
      <c r="A29" s="50"/>
      <c r="V29" s="192"/>
    </row>
    <row r="30" spans="1:30" ht="15.75" customHeight="1">
      <c r="A30" s="129" t="s">
        <v>2374</v>
      </c>
      <c r="B30" s="129">
        <v>1</v>
      </c>
      <c r="C30" s="129">
        <v>2</v>
      </c>
      <c r="D30" s="129">
        <v>3</v>
      </c>
      <c r="E30" s="129">
        <v>4</v>
      </c>
      <c r="F30" s="129">
        <v>5</v>
      </c>
      <c r="G30" s="129">
        <v>6</v>
      </c>
      <c r="H30" s="129">
        <v>7</v>
      </c>
      <c r="I30" s="129">
        <v>8</v>
      </c>
      <c r="J30" s="129">
        <v>9</v>
      </c>
      <c r="K30" s="129">
        <v>10</v>
      </c>
      <c r="L30" s="129">
        <v>11</v>
      </c>
      <c r="M30" s="129">
        <v>12</v>
      </c>
      <c r="N30" s="129">
        <v>13</v>
      </c>
      <c r="O30" s="129">
        <v>14</v>
      </c>
      <c r="P30" s="129">
        <v>15</v>
      </c>
      <c r="Q30" s="129">
        <v>16</v>
      </c>
      <c r="R30" s="129">
        <v>17</v>
      </c>
      <c r="S30" s="129">
        <v>18</v>
      </c>
      <c r="T30" s="129">
        <v>19</v>
      </c>
      <c r="U30" s="129">
        <v>20</v>
      </c>
      <c r="V30" s="192"/>
    </row>
    <row r="31" spans="1:30" ht="15.75" customHeight="1">
      <c r="A31" s="50" t="s">
        <v>82</v>
      </c>
      <c r="O31" s="42"/>
      <c r="Q31" s="177"/>
      <c r="R31" s="177" t="str">
        <f t="shared" ref="R31:U31" si="2">IF(ISBLANK(R2),"",R2/AVERAGE(R$2:R$22))</f>
        <v/>
      </c>
      <c r="S31" s="177" t="str">
        <f t="shared" si="2"/>
        <v/>
      </c>
      <c r="T31" s="177" t="str">
        <f t="shared" si="2"/>
        <v/>
      </c>
      <c r="U31" s="177" t="str">
        <f t="shared" si="2"/>
        <v/>
      </c>
      <c r="V31" s="192"/>
    </row>
    <row r="32" spans="1:30" ht="15.75" customHeight="1">
      <c r="A32" s="50" t="s">
        <v>1148</v>
      </c>
      <c r="B32" s="177"/>
      <c r="C32" s="177"/>
      <c r="D32" s="177"/>
      <c r="E32" s="177"/>
      <c r="F32" s="177"/>
      <c r="G32" s="177"/>
      <c r="H32" s="177"/>
      <c r="I32" s="177"/>
      <c r="J32" s="177"/>
      <c r="K32" s="177"/>
      <c r="L32" s="177"/>
      <c r="M32" s="177"/>
      <c r="N32" s="177"/>
      <c r="O32" s="177"/>
      <c r="P32" s="177"/>
      <c r="Q32" s="177"/>
      <c r="R32" s="177" t="str">
        <f t="shared" ref="R32:U32" si="3">IF(ISBLANK(R3),"",ROUND(R3/AVERAGE(R$3:R$5,R$7,R$10:R$12,R$14:R$22),2))</f>
        <v/>
      </c>
      <c r="S32" s="177" t="str">
        <f t="shared" si="3"/>
        <v/>
      </c>
      <c r="T32" s="177" t="str">
        <f t="shared" si="3"/>
        <v/>
      </c>
      <c r="U32" s="177" t="str">
        <f t="shared" si="3"/>
        <v/>
      </c>
      <c r="V32" s="192"/>
    </row>
    <row r="33" spans="1:22" ht="15.75" customHeight="1">
      <c r="A33" s="129" t="s">
        <v>94</v>
      </c>
      <c r="B33" s="177"/>
      <c r="C33" s="177"/>
      <c r="D33" s="177"/>
      <c r="E33" s="177"/>
      <c r="F33" s="177"/>
      <c r="G33" s="177"/>
      <c r="H33" s="177"/>
      <c r="I33" s="177"/>
      <c r="J33" s="177"/>
      <c r="K33" s="177"/>
      <c r="L33" s="177"/>
      <c r="M33" s="177"/>
      <c r="N33" s="177"/>
      <c r="O33" s="177"/>
      <c r="P33" s="177"/>
      <c r="Q33" s="177"/>
      <c r="R33" s="177" t="str">
        <f t="shared" ref="R33:U33" si="4">IF(ISBLANK(R4),"",ROUND(R4/AVERAGE(R$3:R$5,R$7,R$10:R$12,R$14:R$22),2))</f>
        <v/>
      </c>
      <c r="S33" s="177" t="str">
        <f t="shared" si="4"/>
        <v/>
      </c>
      <c r="T33" s="177" t="str">
        <f t="shared" si="4"/>
        <v/>
      </c>
      <c r="U33" s="177" t="str">
        <f t="shared" si="4"/>
        <v/>
      </c>
      <c r="V33" s="192"/>
    </row>
    <row r="34" spans="1:22" ht="15.75" customHeight="1">
      <c r="A34" s="129" t="s">
        <v>98</v>
      </c>
      <c r="B34" s="177"/>
      <c r="C34" s="177"/>
      <c r="D34" s="177"/>
      <c r="E34" s="177"/>
      <c r="F34" s="177"/>
      <c r="G34" s="177"/>
      <c r="H34" s="177"/>
      <c r="I34" s="177"/>
      <c r="J34" s="177"/>
      <c r="K34" s="177"/>
      <c r="L34" s="177"/>
      <c r="M34" s="177"/>
      <c r="N34" s="177"/>
      <c r="O34" s="177"/>
      <c r="P34" s="177"/>
      <c r="Q34" s="177"/>
      <c r="R34" s="177" t="str">
        <f t="shared" ref="R34:U34" si="5">IF(ISBLANK(R5),"",ROUND(R5/AVERAGE(R$3:R$5,R$7,R$10:R$12,R$14:R$22),2))</f>
        <v/>
      </c>
      <c r="S34" s="177" t="str">
        <f t="shared" si="5"/>
        <v/>
      </c>
      <c r="T34" s="177" t="str">
        <f t="shared" si="5"/>
        <v/>
      </c>
      <c r="U34" s="177" t="str">
        <f t="shared" si="5"/>
        <v/>
      </c>
      <c r="V34" s="192"/>
    </row>
    <row r="35" spans="1:22" ht="15.75" customHeight="1">
      <c r="A35" s="129" t="s">
        <v>101</v>
      </c>
      <c r="B35" s="177"/>
      <c r="C35" s="177"/>
      <c r="D35" s="177"/>
      <c r="E35" s="177"/>
      <c r="F35" s="177"/>
      <c r="G35" s="177"/>
      <c r="H35" s="177"/>
      <c r="I35" s="177"/>
      <c r="J35" s="177"/>
      <c r="K35" s="177"/>
      <c r="L35" s="177"/>
      <c r="M35" s="177"/>
      <c r="N35" s="177"/>
      <c r="O35" s="177"/>
      <c r="P35" s="177"/>
      <c r="Q35" s="177"/>
      <c r="R35" s="177" t="str">
        <f t="shared" ref="R35:U35" si="6">IF(ISBLANK(R6),"",ROUND(R6/AVERAGE(R$3:R$5,R$7,R$10:R$12,R$14:R$22),2))</f>
        <v/>
      </c>
      <c r="S35" s="177" t="str">
        <f t="shared" si="6"/>
        <v/>
      </c>
      <c r="T35" s="177" t="str">
        <f t="shared" si="6"/>
        <v/>
      </c>
      <c r="U35" s="177" t="str">
        <f t="shared" si="6"/>
        <v/>
      </c>
      <c r="V35" s="192"/>
    </row>
    <row r="36" spans="1:22" ht="15.75" customHeight="1">
      <c r="A36" s="129" t="s">
        <v>104</v>
      </c>
      <c r="B36" s="177"/>
      <c r="C36" s="177"/>
      <c r="D36" s="177"/>
      <c r="E36" s="177"/>
      <c r="F36" s="177"/>
      <c r="G36" s="177"/>
      <c r="H36" s="177"/>
      <c r="I36" s="177"/>
      <c r="J36" s="177"/>
      <c r="K36" s="177"/>
      <c r="L36" s="177"/>
      <c r="M36" s="177"/>
      <c r="N36" s="177"/>
      <c r="O36" s="177"/>
      <c r="P36" s="177"/>
      <c r="Q36" s="177"/>
      <c r="R36" s="177" t="str">
        <f t="shared" ref="R36:U36" si="7">IF(ISBLANK(R7),"",ROUND(R7/AVERAGE(R$3:R$5,R$7,R$10:R$12,R$14:R$22),2))</f>
        <v/>
      </c>
      <c r="S36" s="177" t="str">
        <f t="shared" si="7"/>
        <v/>
      </c>
      <c r="T36" s="177" t="str">
        <f t="shared" si="7"/>
        <v/>
      </c>
      <c r="U36" s="177" t="str">
        <f t="shared" si="7"/>
        <v/>
      </c>
      <c r="V36" s="192"/>
    </row>
    <row r="37" spans="1:22" ht="15.75" customHeight="1">
      <c r="A37" s="129" t="s">
        <v>105</v>
      </c>
      <c r="B37" s="177"/>
      <c r="C37" s="177"/>
      <c r="D37" s="177"/>
      <c r="E37" s="177"/>
      <c r="F37" s="177"/>
      <c r="G37" s="177"/>
      <c r="H37" s="177"/>
      <c r="I37" s="177"/>
      <c r="J37" s="177"/>
      <c r="K37" s="177"/>
      <c r="L37" s="177"/>
      <c r="M37" s="177"/>
      <c r="N37" s="177"/>
      <c r="O37" s="177"/>
      <c r="P37" s="177"/>
      <c r="Q37" s="177"/>
      <c r="R37" s="177" t="str">
        <f t="shared" ref="R37:U37" si="8">IF(ISBLANK(R8),"",ROUND(R8/AVERAGE(R$3:R$5,R$7,R$10:R$12,R$14:R$22),2))</f>
        <v/>
      </c>
      <c r="S37" s="177" t="str">
        <f t="shared" si="8"/>
        <v/>
      </c>
      <c r="T37" s="177" t="str">
        <f t="shared" si="8"/>
        <v/>
      </c>
      <c r="U37" s="177" t="str">
        <f t="shared" si="8"/>
        <v/>
      </c>
      <c r="V37" s="192"/>
    </row>
    <row r="38" spans="1:22" ht="15.75" customHeight="1">
      <c r="A38" s="129" t="s">
        <v>109</v>
      </c>
      <c r="B38" s="177"/>
      <c r="C38" s="177"/>
      <c r="D38" s="177"/>
      <c r="E38" s="177"/>
      <c r="F38" s="177"/>
      <c r="G38" s="177"/>
      <c r="H38" s="177"/>
      <c r="I38" s="177"/>
      <c r="J38" s="177"/>
      <c r="K38" s="177"/>
      <c r="L38" s="177"/>
      <c r="M38" s="177"/>
      <c r="N38" s="177"/>
      <c r="O38" s="177"/>
      <c r="P38" s="177"/>
      <c r="Q38" s="177"/>
      <c r="R38" s="177" t="str">
        <f t="shared" ref="R38:U38" si="9">IF(ISBLANK(R9),"",ROUND(R9/AVERAGE(R$3:R$5,R$7,R$10:R$12,R$14:R$22),2))</f>
        <v/>
      </c>
      <c r="S38" s="177" t="str">
        <f t="shared" si="9"/>
        <v/>
      </c>
      <c r="T38" s="177" t="str">
        <f t="shared" si="9"/>
        <v/>
      </c>
      <c r="U38" s="177" t="str">
        <f t="shared" si="9"/>
        <v/>
      </c>
      <c r="V38" s="192"/>
    </row>
    <row r="39" spans="1:22" ht="15.75" customHeight="1">
      <c r="A39" s="129" t="s">
        <v>1153</v>
      </c>
      <c r="B39" s="177"/>
      <c r="C39" s="177"/>
      <c r="D39" s="177"/>
      <c r="E39" s="177"/>
      <c r="F39" s="177"/>
      <c r="G39" s="177"/>
      <c r="H39" s="177"/>
      <c r="I39" s="177"/>
      <c r="J39" s="177"/>
      <c r="K39" s="177"/>
      <c r="L39" s="177"/>
      <c r="M39" s="177"/>
      <c r="N39" s="177"/>
      <c r="O39" s="177"/>
      <c r="P39" s="177"/>
      <c r="Q39" s="177"/>
      <c r="R39" s="177" t="str">
        <f t="shared" ref="R39:U39" si="10">IF(ISBLANK(R10),"",ROUND(R10/AVERAGE(R$3:R$5,R$7,R$10:R$12,R$14:R$22),2))</f>
        <v/>
      </c>
      <c r="S39" s="177" t="str">
        <f t="shared" si="10"/>
        <v/>
      </c>
      <c r="T39" s="177" t="str">
        <f t="shared" si="10"/>
        <v/>
      </c>
      <c r="U39" s="177" t="str">
        <f t="shared" si="10"/>
        <v/>
      </c>
      <c r="V39" s="192"/>
    </row>
    <row r="40" spans="1:22" ht="15.75" customHeight="1">
      <c r="A40" s="50" t="s">
        <v>1155</v>
      </c>
      <c r="B40" s="177"/>
      <c r="C40" s="177"/>
      <c r="D40" s="177"/>
      <c r="E40" s="177"/>
      <c r="F40" s="177"/>
      <c r="G40" s="177"/>
      <c r="H40" s="177"/>
      <c r="I40" s="177"/>
      <c r="J40" s="177"/>
      <c r="K40" s="177"/>
      <c r="L40" s="177"/>
      <c r="M40" s="177"/>
      <c r="N40" s="177"/>
      <c r="O40" s="177"/>
      <c r="P40" s="177"/>
      <c r="Q40" s="177"/>
      <c r="R40" s="177" t="str">
        <f t="shared" ref="R40:U40" si="11">IF(ISBLANK(R11),"",ROUND(R11/AVERAGE(R$3:R$5,R$7,R$10:R$12,R$14:R$22),2))</f>
        <v/>
      </c>
      <c r="S40" s="177" t="str">
        <f t="shared" si="11"/>
        <v/>
      </c>
      <c r="T40" s="177" t="str">
        <f t="shared" si="11"/>
        <v/>
      </c>
      <c r="U40" s="177" t="str">
        <f t="shared" si="11"/>
        <v/>
      </c>
      <c r="V40" s="192"/>
    </row>
    <row r="41" spans="1:22" ht="15.75" customHeight="1">
      <c r="A41" s="50" t="s">
        <v>1158</v>
      </c>
      <c r="B41" s="177"/>
      <c r="C41" s="177"/>
      <c r="D41" s="177"/>
      <c r="E41" s="177"/>
      <c r="F41" s="177"/>
      <c r="G41" s="177"/>
      <c r="H41" s="177"/>
      <c r="I41" s="177"/>
      <c r="J41" s="177"/>
      <c r="K41" s="177"/>
      <c r="L41" s="177"/>
      <c r="M41" s="177"/>
      <c r="N41" s="177"/>
      <c r="O41" s="177"/>
      <c r="P41" s="177"/>
      <c r="Q41" s="177"/>
      <c r="R41" s="177" t="str">
        <f t="shared" ref="R41:U41" si="12">IF(ISBLANK(R12),"",ROUND(R12/AVERAGE(R$3:R$5,R$7,R$10:R$12,R$14:R$22),2))</f>
        <v/>
      </c>
      <c r="S41" s="177" t="str">
        <f t="shared" si="12"/>
        <v/>
      </c>
      <c r="T41" s="177" t="str">
        <f t="shared" si="12"/>
        <v/>
      </c>
      <c r="U41" s="177" t="str">
        <f t="shared" si="12"/>
        <v/>
      </c>
      <c r="V41" s="192"/>
    </row>
    <row r="42" spans="1:22" ht="15.75" customHeight="1">
      <c r="A42" s="50" t="s">
        <v>1159</v>
      </c>
      <c r="B42" s="177"/>
      <c r="C42" s="177"/>
      <c r="D42" s="177"/>
      <c r="E42" s="177"/>
      <c r="F42" s="177"/>
      <c r="G42" s="177"/>
      <c r="H42" s="177"/>
      <c r="I42" s="177"/>
      <c r="J42" s="177"/>
      <c r="K42" s="177"/>
      <c r="L42" s="177"/>
      <c r="M42" s="177"/>
      <c r="N42" s="177"/>
      <c r="O42" s="177"/>
      <c r="P42" s="177"/>
      <c r="Q42" s="177"/>
      <c r="R42" s="177" t="str">
        <f t="shared" ref="R42:U42" si="13">IF(ISBLANK(R13),"",ROUND(R13/AVERAGE(R$3:R$5,R$7,R$10:R$12,R$14:R$22),2))</f>
        <v/>
      </c>
      <c r="S42" s="177" t="str">
        <f t="shared" si="13"/>
        <v/>
      </c>
      <c r="T42" s="177" t="str">
        <f t="shared" si="13"/>
        <v/>
      </c>
      <c r="U42" s="177" t="str">
        <f t="shared" si="13"/>
        <v/>
      </c>
      <c r="V42" s="192"/>
    </row>
    <row r="43" spans="1:22" ht="15.75" customHeight="1">
      <c r="A43" s="50" t="s">
        <v>1161</v>
      </c>
      <c r="B43" s="177"/>
      <c r="C43" s="177"/>
      <c r="D43" s="177"/>
      <c r="E43" s="177"/>
      <c r="F43" s="177"/>
      <c r="G43" s="177"/>
      <c r="H43" s="177"/>
      <c r="I43" s="177"/>
      <c r="J43" s="177"/>
      <c r="K43" s="177"/>
      <c r="L43" s="177"/>
      <c r="M43" s="177"/>
      <c r="N43" s="177"/>
      <c r="O43" s="177"/>
      <c r="P43" s="177"/>
      <c r="Q43" s="177"/>
      <c r="R43" s="177" t="str">
        <f t="shared" ref="R43:U43" si="14">IF(ISBLANK(R14),"",ROUND(R14/AVERAGE(R$3:R$5,R$7,R$10:R$12,R$14:R$22),2))</f>
        <v/>
      </c>
      <c r="S43" s="177" t="str">
        <f t="shared" si="14"/>
        <v/>
      </c>
      <c r="T43" s="177" t="str">
        <f t="shared" si="14"/>
        <v/>
      </c>
      <c r="U43" s="177" t="str">
        <f t="shared" si="14"/>
        <v/>
      </c>
      <c r="V43" s="192"/>
    </row>
    <row r="44" spans="1:22" ht="15.75" customHeight="1">
      <c r="A44" s="50" t="s">
        <v>131</v>
      </c>
      <c r="B44" s="177"/>
      <c r="C44" s="177"/>
      <c r="D44" s="177"/>
      <c r="E44" s="177"/>
      <c r="F44" s="177"/>
      <c r="G44" s="177"/>
      <c r="H44" s="177"/>
      <c r="I44" s="177"/>
      <c r="J44" s="177"/>
      <c r="K44" s="177"/>
      <c r="L44" s="177"/>
      <c r="M44" s="177"/>
      <c r="N44" s="177"/>
      <c r="O44" s="177"/>
      <c r="P44" s="177"/>
      <c r="Q44" s="177"/>
      <c r="R44" s="177" t="str">
        <f t="shared" ref="R44:U44" si="15">IF(ISBLANK(R15),"",ROUND(R15/AVERAGE(R$3:R$5,R$7,R$10:R$12,R$14:R$22),2))</f>
        <v/>
      </c>
      <c r="S44" s="177" t="str">
        <f t="shared" si="15"/>
        <v/>
      </c>
      <c r="T44" s="177" t="str">
        <f t="shared" si="15"/>
        <v/>
      </c>
      <c r="U44" s="177">
        <f t="shared" si="15"/>
        <v>1</v>
      </c>
      <c r="V44" s="192"/>
    </row>
    <row r="45" spans="1:22" ht="15.75" customHeight="1">
      <c r="A45" s="50" t="s">
        <v>1162</v>
      </c>
      <c r="B45" s="177"/>
      <c r="C45" s="177"/>
      <c r="D45" s="177"/>
      <c r="E45" s="177"/>
      <c r="F45" s="177"/>
      <c r="G45" s="177"/>
      <c r="H45" s="177"/>
      <c r="I45" s="177"/>
      <c r="J45" s="177"/>
      <c r="K45" s="177"/>
      <c r="L45" s="177"/>
      <c r="M45" s="177"/>
      <c r="N45" s="177"/>
      <c r="O45" s="177"/>
      <c r="P45" s="177"/>
      <c r="Q45" s="177"/>
      <c r="R45" s="177" t="str">
        <f t="shared" ref="R45:U45" si="16">IF(ISBLANK(R16),"",ROUND(R16/AVERAGE(R$3:R$5,R$7,R$10:R$12,R$14:R$22),2))</f>
        <v/>
      </c>
      <c r="S45" s="177" t="str">
        <f t="shared" si="16"/>
        <v/>
      </c>
      <c r="T45" s="177" t="str">
        <f t="shared" si="16"/>
        <v/>
      </c>
      <c r="U45" s="177" t="str">
        <f t="shared" si="16"/>
        <v/>
      </c>
      <c r="V45" s="192"/>
    </row>
    <row r="46" spans="1:22" ht="15.75" customHeight="1">
      <c r="A46" s="50" t="s">
        <v>1165</v>
      </c>
      <c r="B46" s="177"/>
      <c r="C46" s="177"/>
      <c r="D46" s="177"/>
      <c r="E46" s="177"/>
      <c r="F46" s="177"/>
      <c r="G46" s="177"/>
      <c r="H46" s="177"/>
      <c r="I46" s="177"/>
      <c r="J46" s="177"/>
      <c r="K46" s="177"/>
      <c r="L46" s="177"/>
      <c r="M46" s="177"/>
      <c r="N46" s="177"/>
      <c r="O46" s="177"/>
      <c r="P46" s="177"/>
      <c r="Q46" s="177"/>
      <c r="R46" s="177" t="str">
        <f t="shared" ref="R46:U46" si="17">IF(ISBLANK(R17),"",ROUND(R17/AVERAGE(R$3:R$5,R$7,R$10:R$12,R$14:R$22),2))</f>
        <v/>
      </c>
      <c r="S46" s="177" t="str">
        <f t="shared" si="17"/>
        <v/>
      </c>
      <c r="T46" s="177" t="str">
        <f t="shared" si="17"/>
        <v/>
      </c>
      <c r="U46" s="177" t="str">
        <f t="shared" si="17"/>
        <v/>
      </c>
      <c r="V46" s="192"/>
    </row>
    <row r="47" spans="1:22" ht="15.75" customHeight="1">
      <c r="A47" s="129" t="s">
        <v>1167</v>
      </c>
      <c r="B47" s="177"/>
      <c r="C47" s="177"/>
      <c r="D47" s="177"/>
      <c r="E47" s="177"/>
      <c r="F47" s="177"/>
      <c r="G47" s="177"/>
      <c r="H47" s="177"/>
      <c r="I47" s="177"/>
      <c r="J47" s="177"/>
      <c r="K47" s="177"/>
      <c r="L47" s="177"/>
      <c r="M47" s="177"/>
      <c r="N47" s="177"/>
      <c r="O47" s="177"/>
      <c r="P47" s="177"/>
      <c r="Q47" s="177"/>
      <c r="R47" s="177" t="str">
        <f t="shared" ref="R47:U47" si="18">IF(ISBLANK(R18),"",ROUND(R18/AVERAGE(R$3:R$5,R$7,R$10:R$12,R$14:R$22),2))</f>
        <v/>
      </c>
      <c r="S47" s="177" t="str">
        <f t="shared" si="18"/>
        <v/>
      </c>
      <c r="T47" s="177" t="str">
        <f t="shared" si="18"/>
        <v/>
      </c>
      <c r="U47" s="177" t="str">
        <f t="shared" si="18"/>
        <v/>
      </c>
      <c r="V47" s="192"/>
    </row>
    <row r="48" spans="1:22" ht="15.75" customHeight="1">
      <c r="A48" s="129" t="s">
        <v>1169</v>
      </c>
      <c r="B48" s="177"/>
      <c r="C48" s="177"/>
      <c r="D48" s="177"/>
      <c r="E48" s="177"/>
      <c r="F48" s="177"/>
      <c r="G48" s="177"/>
      <c r="H48" s="177"/>
      <c r="I48" s="177"/>
      <c r="J48" s="177"/>
      <c r="K48" s="177"/>
      <c r="L48" s="177"/>
      <c r="M48" s="177"/>
      <c r="N48" s="177"/>
      <c r="O48" s="177"/>
      <c r="P48" s="177"/>
      <c r="Q48" s="177"/>
      <c r="R48" s="177" t="str">
        <f t="shared" ref="R48:U48" si="19">IF(ISBLANK(R19),"",ROUND(R19/AVERAGE(R$3:R$5,R$7,R$10:R$12,R$14:R$22),2))</f>
        <v/>
      </c>
      <c r="S48" s="177" t="str">
        <f t="shared" si="19"/>
        <v/>
      </c>
      <c r="T48" s="177" t="str">
        <f t="shared" si="19"/>
        <v/>
      </c>
      <c r="U48" s="177" t="str">
        <f t="shared" si="19"/>
        <v/>
      </c>
      <c r="V48" s="192"/>
    </row>
    <row r="49" spans="1:22" ht="15.75" customHeight="1">
      <c r="A49" s="50" t="s">
        <v>1171</v>
      </c>
      <c r="B49" s="177"/>
      <c r="C49" s="177"/>
      <c r="D49" s="177"/>
      <c r="E49" s="177"/>
      <c r="F49" s="177"/>
      <c r="G49" s="177"/>
      <c r="H49" s="177"/>
      <c r="I49" s="177"/>
      <c r="J49" s="177"/>
      <c r="K49" s="177"/>
      <c r="L49" s="177"/>
      <c r="M49" s="177"/>
      <c r="N49" s="177"/>
      <c r="O49" s="177"/>
      <c r="P49" s="177"/>
      <c r="Q49" s="177"/>
      <c r="R49" s="177" t="str">
        <f t="shared" ref="R49:U49" si="20">IF(ISBLANK(R20),"",ROUND(R20/AVERAGE(R$3:R$5,R$7,R$10:R$12,R$14:R$22),2))</f>
        <v/>
      </c>
      <c r="S49" s="177" t="str">
        <f t="shared" si="20"/>
        <v/>
      </c>
      <c r="T49" s="177" t="str">
        <f t="shared" si="20"/>
        <v/>
      </c>
      <c r="U49" s="177" t="str">
        <f t="shared" si="20"/>
        <v/>
      </c>
      <c r="V49" s="192"/>
    </row>
    <row r="50" spans="1:22" ht="15.75" customHeight="1">
      <c r="A50" s="50" t="s">
        <v>1173</v>
      </c>
      <c r="B50" s="177"/>
      <c r="C50" s="177"/>
      <c r="D50" s="177"/>
      <c r="E50" s="177"/>
      <c r="F50" s="177"/>
      <c r="G50" s="177"/>
      <c r="H50" s="177"/>
      <c r="I50" s="177"/>
      <c r="J50" s="177"/>
      <c r="K50" s="177"/>
      <c r="L50" s="177"/>
      <c r="M50" s="177"/>
      <c r="N50" s="177"/>
      <c r="O50" s="177"/>
      <c r="P50" s="177"/>
      <c r="Q50" s="177"/>
      <c r="R50" s="177" t="str">
        <f t="shared" ref="R50:U50" si="21">IF(ISBLANK(R21),"",ROUND(R21/AVERAGE(R$3:R$5,R$7,R$10:R$12,R$14:R$22),2))</f>
        <v/>
      </c>
      <c r="S50" s="177" t="str">
        <f t="shared" si="21"/>
        <v/>
      </c>
      <c r="T50" s="177" t="str">
        <f t="shared" si="21"/>
        <v/>
      </c>
      <c r="U50" s="177" t="str">
        <f t="shared" si="21"/>
        <v/>
      </c>
      <c r="V50" s="192"/>
    </row>
    <row r="51" spans="1:22" ht="15.75" customHeight="1">
      <c r="A51" s="50" t="s">
        <v>1174</v>
      </c>
      <c r="B51" s="177"/>
      <c r="C51" s="177"/>
      <c r="D51" s="177"/>
      <c r="E51" s="177"/>
      <c r="F51" s="177"/>
      <c r="G51" s="177"/>
      <c r="H51" s="177"/>
      <c r="I51" s="177"/>
      <c r="J51" s="177"/>
      <c r="K51" s="177"/>
      <c r="L51" s="177"/>
      <c r="M51" s="177"/>
      <c r="N51" s="177"/>
      <c r="O51" s="177"/>
      <c r="P51" s="177"/>
      <c r="Q51" s="177"/>
      <c r="R51" s="177" t="str">
        <f t="shared" ref="R51:U51" si="22">IF(ISBLANK(R22),"",ROUND(R22/AVERAGE(R$3:R$5,R$7,R$10:R$12,R$14:R$22),2))</f>
        <v/>
      </c>
      <c r="S51" s="177" t="str">
        <f t="shared" si="22"/>
        <v/>
      </c>
      <c r="T51" s="177" t="str">
        <f t="shared" si="22"/>
        <v/>
      </c>
      <c r="U51" s="177" t="str">
        <f t="shared" si="22"/>
        <v/>
      </c>
      <c r="V51" s="192"/>
    </row>
    <row r="52" spans="1:22" ht="15.75" customHeight="1">
      <c r="A52" s="50"/>
      <c r="B52" s="177"/>
      <c r="C52" s="177"/>
      <c r="D52" s="177"/>
      <c r="E52" s="177"/>
      <c r="F52" s="177"/>
      <c r="G52" s="177"/>
      <c r="H52" s="177"/>
      <c r="I52" s="177"/>
      <c r="J52" s="177"/>
      <c r="K52" s="177"/>
      <c r="L52" s="177"/>
      <c r="M52" s="177"/>
      <c r="N52" s="177"/>
      <c r="O52" s="177"/>
      <c r="P52" s="177"/>
      <c r="V52" s="192"/>
    </row>
    <row r="53" spans="1:22" ht="15.75" customHeight="1">
      <c r="A53" s="129"/>
      <c r="V53" s="192"/>
    </row>
    <row r="54" spans="1:22" ht="15.75" customHeight="1">
      <c r="A54" s="50"/>
      <c r="V54" s="192"/>
    </row>
    <row r="55" spans="1:22" ht="15.75" customHeight="1">
      <c r="A55" s="129"/>
      <c r="B55" s="42"/>
      <c r="V55" s="192"/>
    </row>
    <row r="56" spans="1:22" ht="15.75" customHeight="1">
      <c r="A56" s="50"/>
      <c r="V56" s="192"/>
    </row>
    <row r="57" spans="1:22" ht="15.75" customHeight="1">
      <c r="A57" s="50"/>
      <c r="V57" s="192"/>
    </row>
    <row r="58" spans="1:22" ht="13">
      <c r="A58" s="50"/>
      <c r="V58" s="192"/>
    </row>
    <row r="59" spans="1:22" ht="13">
      <c r="A59" s="50"/>
      <c r="V59" s="192"/>
    </row>
    <row r="60" spans="1:22" ht="13">
      <c r="A60" s="50"/>
      <c r="V60" s="192"/>
    </row>
    <row r="61" spans="1:22" ht="13">
      <c r="A61" s="50"/>
      <c r="V61" s="192"/>
    </row>
    <row r="62" spans="1:22" ht="13">
      <c r="A62" s="50"/>
      <c r="V62" s="192"/>
    </row>
    <row r="63" spans="1:22" ht="13">
      <c r="A63" s="50"/>
      <c r="V63" s="192"/>
    </row>
    <row r="64" spans="1:22" ht="13">
      <c r="A64" s="50"/>
      <c r="V64" s="192"/>
    </row>
    <row r="65" spans="1:22" ht="13">
      <c r="A65" s="50"/>
      <c r="V65" s="192"/>
    </row>
    <row r="66" spans="1:22" ht="13">
      <c r="A66" s="50"/>
      <c r="V66" s="192"/>
    </row>
    <row r="67" spans="1:22" ht="13">
      <c r="A67" s="50"/>
      <c r="V67" s="192"/>
    </row>
    <row r="68" spans="1:22" ht="13">
      <c r="A68" s="50"/>
      <c r="V68" s="192"/>
    </row>
    <row r="69" spans="1:22" ht="13">
      <c r="A69" s="50"/>
      <c r="V69" s="192"/>
    </row>
    <row r="70" spans="1:22" ht="13">
      <c r="A70" s="50"/>
      <c r="V70" s="192"/>
    </row>
    <row r="71" spans="1:22" ht="13">
      <c r="A71" s="50"/>
      <c r="V71" s="192"/>
    </row>
    <row r="72" spans="1:22" ht="13">
      <c r="A72" s="50"/>
      <c r="V72" s="192"/>
    </row>
    <row r="73" spans="1:22" ht="13">
      <c r="A73" s="50"/>
      <c r="V73" s="192"/>
    </row>
    <row r="74" spans="1:22" ht="13">
      <c r="A74" s="50"/>
      <c r="V74" s="192"/>
    </row>
    <row r="75" spans="1:22" ht="13">
      <c r="A75" s="50"/>
      <c r="V75" s="192"/>
    </row>
    <row r="76" spans="1:22" ht="13">
      <c r="A76" s="50"/>
      <c r="V76" s="192"/>
    </row>
    <row r="77" spans="1:22" ht="13">
      <c r="A77" s="50"/>
      <c r="V77" s="192"/>
    </row>
    <row r="78" spans="1:22" ht="13">
      <c r="A78" s="50"/>
      <c r="V78" s="192"/>
    </row>
    <row r="79" spans="1:22" ht="13">
      <c r="A79" s="50"/>
      <c r="V79" s="192"/>
    </row>
    <row r="80" spans="1:22" ht="13">
      <c r="A80" s="50"/>
      <c r="V80" s="192"/>
    </row>
    <row r="81" spans="1:22" ht="13">
      <c r="A81" s="50"/>
      <c r="V81" s="192"/>
    </row>
    <row r="82" spans="1:22" ht="13">
      <c r="A82" s="50"/>
      <c r="V82" s="192"/>
    </row>
    <row r="83" spans="1:22" ht="13">
      <c r="A83" s="50"/>
      <c r="V83" s="192"/>
    </row>
    <row r="84" spans="1:22" ht="13">
      <c r="A84" s="50"/>
      <c r="V84" s="192"/>
    </row>
    <row r="85" spans="1:22" ht="13">
      <c r="A85" s="50"/>
      <c r="V85" s="192"/>
    </row>
    <row r="86" spans="1:22" ht="13">
      <c r="A86" s="50"/>
      <c r="V86" s="192"/>
    </row>
    <row r="87" spans="1:22" ht="13">
      <c r="A87" s="50"/>
      <c r="V87" s="192"/>
    </row>
    <row r="88" spans="1:22" ht="13">
      <c r="A88" s="50"/>
      <c r="V88" s="192"/>
    </row>
    <row r="89" spans="1:22" ht="13">
      <c r="A89" s="50"/>
      <c r="V89" s="192"/>
    </row>
    <row r="90" spans="1:22" ht="13">
      <c r="A90" s="50"/>
      <c r="V90" s="192"/>
    </row>
    <row r="91" spans="1:22" ht="13">
      <c r="A91" s="50"/>
      <c r="V91" s="192"/>
    </row>
    <row r="92" spans="1:22" ht="13">
      <c r="A92" s="50"/>
      <c r="V92" s="192"/>
    </row>
    <row r="93" spans="1:22" ht="13">
      <c r="A93" s="50"/>
      <c r="V93" s="192"/>
    </row>
    <row r="94" spans="1:22" ht="13">
      <c r="A94" s="50"/>
      <c r="V94" s="192"/>
    </row>
    <row r="95" spans="1:22" ht="13">
      <c r="A95" s="50"/>
      <c r="V95" s="192"/>
    </row>
    <row r="96" spans="1:22" ht="13">
      <c r="A96" s="50"/>
      <c r="V96" s="192"/>
    </row>
    <row r="97" spans="1:22" ht="13">
      <c r="A97" s="50"/>
      <c r="V97" s="192"/>
    </row>
    <row r="98" spans="1:22" ht="13">
      <c r="A98" s="50"/>
      <c r="V98" s="192"/>
    </row>
    <row r="99" spans="1:22" ht="13">
      <c r="A99" s="50"/>
      <c r="V99" s="192"/>
    </row>
    <row r="100" spans="1:22" ht="13">
      <c r="A100" s="50"/>
      <c r="V100" s="192"/>
    </row>
    <row r="101" spans="1:22" ht="13">
      <c r="A101" s="50"/>
      <c r="V101" s="192"/>
    </row>
    <row r="102" spans="1:22" ht="13">
      <c r="A102" s="50"/>
      <c r="V102" s="192"/>
    </row>
  </sheetData>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1"/>
  <sheetViews>
    <sheetView workbookViewId="0"/>
  </sheetViews>
  <sheetFormatPr baseColWidth="10" defaultColWidth="14.5" defaultRowHeight="15.75" customHeight="1"/>
  <cols>
    <col min="1" max="1" width="17.6640625" customWidth="1"/>
    <col min="2" max="2" width="66.33203125" customWidth="1"/>
    <col min="3" max="3" width="88.33203125" customWidth="1"/>
  </cols>
  <sheetData>
    <row r="1" spans="1:26" ht="15.75" customHeight="1">
      <c r="A1" s="10" t="s">
        <v>2378</v>
      </c>
      <c r="B1" s="143" t="s">
        <v>2379</v>
      </c>
      <c r="C1" s="143" t="s">
        <v>1184</v>
      </c>
      <c r="D1" s="50"/>
      <c r="E1" s="50"/>
      <c r="F1" s="50"/>
      <c r="G1" s="50"/>
      <c r="H1" s="50"/>
      <c r="I1" s="50"/>
      <c r="J1" s="50"/>
      <c r="K1" s="50"/>
      <c r="L1" s="50"/>
      <c r="M1" s="50"/>
      <c r="N1" s="50"/>
      <c r="O1" s="50"/>
      <c r="P1" s="50"/>
      <c r="Q1" s="50"/>
      <c r="R1" s="50"/>
      <c r="S1" s="50"/>
      <c r="T1" s="50"/>
      <c r="U1" s="50"/>
      <c r="V1" s="50"/>
      <c r="W1" s="50"/>
      <c r="X1" s="50"/>
      <c r="Y1" s="50"/>
      <c r="Z1" s="50"/>
    </row>
    <row r="2" spans="1:26" ht="15.75" customHeight="1">
      <c r="A2" s="14" t="s">
        <v>2290</v>
      </c>
      <c r="B2" s="147" t="s">
        <v>2380</v>
      </c>
      <c r="C2" s="69" t="s">
        <v>2381</v>
      </c>
      <c r="D2" s="42"/>
    </row>
    <row r="3" spans="1:26" ht="15.75" customHeight="1">
      <c r="A3" s="14" t="s">
        <v>2298</v>
      </c>
      <c r="B3" s="147" t="s">
        <v>2382</v>
      </c>
      <c r="C3" s="69" t="s">
        <v>2383</v>
      </c>
      <c r="D3" s="42"/>
    </row>
    <row r="4" spans="1:26" ht="15.75" customHeight="1">
      <c r="A4" s="14" t="s">
        <v>2296</v>
      </c>
      <c r="B4" s="147" t="s">
        <v>2384</v>
      </c>
      <c r="C4" s="69" t="s">
        <v>2385</v>
      </c>
      <c r="D4" s="42"/>
    </row>
    <row r="5" spans="1:26" ht="15.75" customHeight="1">
      <c r="A5" s="14" t="s">
        <v>2297</v>
      </c>
      <c r="B5" s="147" t="s">
        <v>2386</v>
      </c>
      <c r="C5" s="69" t="s">
        <v>2387</v>
      </c>
      <c r="D5" s="42"/>
    </row>
    <row r="6" spans="1:26" ht="15.75" customHeight="1">
      <c r="A6" s="14" t="s">
        <v>2291</v>
      </c>
      <c r="B6" s="147" t="s">
        <v>2388</v>
      </c>
      <c r="C6" s="69" t="s">
        <v>2389</v>
      </c>
      <c r="D6" s="42"/>
    </row>
    <row r="7" spans="1:26" ht="15.75" customHeight="1">
      <c r="A7" s="14" t="s">
        <v>2289</v>
      </c>
      <c r="B7" s="147" t="s">
        <v>2390</v>
      </c>
      <c r="C7" s="69" t="s">
        <v>2391</v>
      </c>
      <c r="D7" s="42"/>
    </row>
    <row r="8" spans="1:26" ht="15.75" customHeight="1">
      <c r="A8" s="60"/>
      <c r="B8" s="70"/>
      <c r="C8" s="70"/>
      <c r="D8" s="42"/>
    </row>
    <row r="9" spans="1:26" ht="15.75" customHeight="1">
      <c r="A9" s="205"/>
      <c r="B9" s="206"/>
      <c r="C9" s="207"/>
      <c r="D9" s="208"/>
      <c r="E9" s="205"/>
      <c r="F9" s="205"/>
      <c r="G9" s="205"/>
      <c r="H9" s="205"/>
      <c r="I9" s="205"/>
      <c r="J9" s="205"/>
      <c r="K9" s="205"/>
      <c r="L9" s="205"/>
      <c r="M9" s="205"/>
      <c r="N9" s="205"/>
      <c r="O9" s="205"/>
      <c r="P9" s="205"/>
      <c r="Q9" s="205"/>
      <c r="R9" s="205"/>
      <c r="S9" s="205"/>
      <c r="T9" s="205"/>
      <c r="U9" s="205"/>
      <c r="V9" s="205"/>
      <c r="W9" s="205"/>
      <c r="X9" s="205"/>
      <c r="Y9" s="205"/>
      <c r="Z9" s="205"/>
    </row>
    <row r="10" spans="1:26" ht="15.75" customHeight="1">
      <c r="B10" s="209"/>
      <c r="C10" s="70"/>
      <c r="D10" s="42"/>
    </row>
    <row r="11" spans="1:26" ht="15.75" customHeight="1">
      <c r="A11" s="10" t="s">
        <v>2392</v>
      </c>
      <c r="B11" s="143" t="s">
        <v>1410</v>
      </c>
      <c r="C11" s="143" t="s">
        <v>1184</v>
      </c>
      <c r="D11" s="42"/>
    </row>
    <row r="12" spans="1:26" ht="15.75" customHeight="1">
      <c r="A12" s="14" t="s">
        <v>2285</v>
      </c>
      <c r="B12" s="69" t="s">
        <v>2393</v>
      </c>
      <c r="C12" s="69" t="s">
        <v>2394</v>
      </c>
      <c r="D12" s="42"/>
    </row>
    <row r="13" spans="1:26" ht="15.75" customHeight="1">
      <c r="A13" s="14" t="s">
        <v>2395</v>
      </c>
      <c r="B13" s="69" t="s">
        <v>2396</v>
      </c>
      <c r="C13" s="69" t="s">
        <v>2397</v>
      </c>
      <c r="D13" s="42"/>
    </row>
    <row r="14" spans="1:26" ht="15.75" customHeight="1">
      <c r="A14" s="14" t="s">
        <v>2398</v>
      </c>
      <c r="B14" s="69" t="s">
        <v>2399</v>
      </c>
      <c r="C14" s="69" t="s">
        <v>2400</v>
      </c>
      <c r="D14" s="42"/>
    </row>
    <row r="15" spans="1:26" ht="15.75" customHeight="1">
      <c r="A15" s="14" t="s">
        <v>2401</v>
      </c>
      <c r="B15" s="69" t="s">
        <v>2402</v>
      </c>
      <c r="C15" s="69" t="s">
        <v>2403</v>
      </c>
      <c r="D15" s="42"/>
    </row>
    <row r="16" spans="1:26" ht="15.75" customHeight="1">
      <c r="A16" s="14" t="s">
        <v>2404</v>
      </c>
      <c r="B16" s="69" t="s">
        <v>2405</v>
      </c>
      <c r="C16" s="69" t="s">
        <v>2406</v>
      </c>
      <c r="D16" s="42"/>
    </row>
    <row r="17" spans="1:26" ht="15.75" customHeight="1">
      <c r="A17" s="14" t="s">
        <v>2407</v>
      </c>
      <c r="B17" s="69" t="s">
        <v>2408</v>
      </c>
      <c r="C17" s="69" t="s">
        <v>2409</v>
      </c>
      <c r="D17" s="42"/>
    </row>
    <row r="18" spans="1:26" ht="15.75" customHeight="1">
      <c r="A18" s="14" t="s">
        <v>348</v>
      </c>
      <c r="B18" s="69" t="s">
        <v>2410</v>
      </c>
      <c r="C18" s="69" t="s">
        <v>2411</v>
      </c>
      <c r="D18" s="42"/>
    </row>
    <row r="19" spans="1:26" ht="15.75" customHeight="1">
      <c r="A19" s="14" t="s">
        <v>2282</v>
      </c>
      <c r="B19" s="69" t="s">
        <v>2412</v>
      </c>
      <c r="C19" s="69" t="s">
        <v>2413</v>
      </c>
      <c r="D19" s="42"/>
    </row>
    <row r="20" spans="1:26" ht="15.75" customHeight="1">
      <c r="A20" s="14" t="s">
        <v>2414</v>
      </c>
      <c r="B20" s="69" t="s">
        <v>2415</v>
      </c>
      <c r="C20" s="69" t="s">
        <v>2416</v>
      </c>
      <c r="D20" s="42"/>
    </row>
    <row r="21" spans="1:26" ht="15.75" customHeight="1">
      <c r="A21" s="14" t="s">
        <v>2417</v>
      </c>
      <c r="B21" s="69" t="s">
        <v>2418</v>
      </c>
      <c r="C21" s="69" t="s">
        <v>2419</v>
      </c>
      <c r="D21" s="42"/>
    </row>
    <row r="22" spans="1:26" ht="15.75" customHeight="1">
      <c r="A22" s="14" t="s">
        <v>2420</v>
      </c>
      <c r="B22" s="69" t="s">
        <v>2421</v>
      </c>
      <c r="C22" s="69" t="s">
        <v>2422</v>
      </c>
      <c r="D22" s="42"/>
    </row>
    <row r="23" spans="1:26" ht="15.75" customHeight="1">
      <c r="A23" s="14" t="s">
        <v>2423</v>
      </c>
      <c r="B23" s="69" t="s">
        <v>2424</v>
      </c>
      <c r="C23" s="69" t="s">
        <v>2425</v>
      </c>
      <c r="D23" s="14"/>
      <c r="E23" s="60"/>
      <c r="F23" s="60"/>
      <c r="G23" s="60"/>
      <c r="H23" s="60"/>
      <c r="I23" s="60"/>
      <c r="J23" s="60"/>
      <c r="K23" s="60"/>
      <c r="L23" s="60"/>
      <c r="M23" s="60"/>
      <c r="N23" s="60"/>
      <c r="O23" s="60"/>
      <c r="P23" s="60"/>
      <c r="Q23" s="60"/>
      <c r="R23" s="60"/>
      <c r="S23" s="60"/>
      <c r="T23" s="60"/>
      <c r="U23" s="60"/>
      <c r="V23" s="60"/>
      <c r="W23" s="60"/>
      <c r="X23" s="60"/>
      <c r="Y23" s="60"/>
      <c r="Z23" s="60"/>
    </row>
    <row r="24" spans="1:26" ht="15.75" customHeight="1">
      <c r="A24" s="14" t="s">
        <v>2274</v>
      </c>
      <c r="B24" s="69" t="s">
        <v>2426</v>
      </c>
      <c r="C24" s="69" t="s">
        <v>2427</v>
      </c>
      <c r="D24" s="42"/>
    </row>
    <row r="25" spans="1:26" ht="15.75" customHeight="1">
      <c r="A25" s="14" t="s">
        <v>2270</v>
      </c>
      <c r="B25" s="69" t="s">
        <v>2428</v>
      </c>
      <c r="C25" s="70"/>
      <c r="D25" s="42"/>
    </row>
    <row r="26" spans="1:26" ht="15.75" customHeight="1">
      <c r="A26" s="14" t="s">
        <v>2273</v>
      </c>
      <c r="B26" s="69" t="s">
        <v>2429</v>
      </c>
      <c r="C26" s="69" t="s">
        <v>2430</v>
      </c>
      <c r="D26" s="42"/>
    </row>
    <row r="27" spans="1:26" ht="15.75" customHeight="1">
      <c r="A27" s="14" t="s">
        <v>2431</v>
      </c>
      <c r="B27" s="69" t="s">
        <v>2432</v>
      </c>
      <c r="C27" s="69" t="s">
        <v>2433</v>
      </c>
      <c r="D27" s="42"/>
    </row>
    <row r="28" spans="1:26" ht="15.75" customHeight="1">
      <c r="A28" s="14" t="s">
        <v>2434</v>
      </c>
      <c r="B28" s="69" t="s">
        <v>2435</v>
      </c>
      <c r="C28" s="69" t="s">
        <v>2433</v>
      </c>
      <c r="D28" s="42"/>
    </row>
    <row r="29" spans="1:26" ht="15.75" customHeight="1">
      <c r="A29" s="14" t="s">
        <v>2436</v>
      </c>
      <c r="B29" s="69" t="s">
        <v>2437</v>
      </c>
      <c r="C29" s="69" t="s">
        <v>2438</v>
      </c>
      <c r="D29" s="42"/>
    </row>
    <row r="30" spans="1:26" ht="15.75" customHeight="1">
      <c r="A30" s="14" t="s">
        <v>2439</v>
      </c>
      <c r="B30" s="69" t="s">
        <v>2440</v>
      </c>
      <c r="C30" s="69" t="s">
        <v>2441</v>
      </c>
      <c r="D30" s="42"/>
    </row>
    <row r="31" spans="1:26" ht="15.75" customHeight="1">
      <c r="A31" s="14" t="s">
        <v>2303</v>
      </c>
      <c r="B31" s="69" t="s">
        <v>2442</v>
      </c>
      <c r="C31" s="69" t="s">
        <v>2443</v>
      </c>
      <c r="D31" s="42"/>
    </row>
    <row r="32" spans="1:26" ht="15.75" customHeight="1">
      <c r="A32" s="14" t="s">
        <v>2444</v>
      </c>
      <c r="B32" s="69" t="s">
        <v>2445</v>
      </c>
      <c r="C32" s="69" t="s">
        <v>2446</v>
      </c>
      <c r="D32" s="42"/>
    </row>
    <row r="33" spans="2:4" ht="15.75" customHeight="1">
      <c r="B33" s="209"/>
      <c r="C33" s="70"/>
      <c r="D33" s="42"/>
    </row>
    <row r="34" spans="2:4" ht="15.75" customHeight="1">
      <c r="B34" s="209"/>
      <c r="C34" s="70"/>
    </row>
    <row r="35" spans="2:4" ht="15.75" customHeight="1">
      <c r="B35" s="209"/>
      <c r="C35" s="70"/>
    </row>
    <row r="36" spans="2:4" ht="15.75" customHeight="1">
      <c r="B36" s="209"/>
      <c r="C36" s="70"/>
    </row>
    <row r="37" spans="2:4" ht="15.75" customHeight="1">
      <c r="B37" s="209"/>
      <c r="C37" s="70"/>
    </row>
    <row r="38" spans="2:4" ht="15.75" customHeight="1">
      <c r="B38" s="209"/>
      <c r="C38" s="70"/>
    </row>
    <row r="39" spans="2:4" ht="15.75" customHeight="1">
      <c r="B39" s="209"/>
      <c r="C39" s="70"/>
    </row>
    <row r="40" spans="2:4" ht="15.75" customHeight="1">
      <c r="B40" s="209"/>
      <c r="C40" s="70"/>
    </row>
    <row r="41" spans="2:4" ht="15.75" customHeight="1">
      <c r="B41" s="209"/>
      <c r="C41" s="70"/>
    </row>
    <row r="42" spans="2:4" ht="15.75" customHeight="1">
      <c r="B42" s="209"/>
      <c r="C42" s="70"/>
    </row>
    <row r="43" spans="2:4" ht="15.75" customHeight="1">
      <c r="B43" s="209"/>
      <c r="C43" s="70"/>
    </row>
    <row r="44" spans="2:4" ht="15.75" customHeight="1">
      <c r="B44" s="209"/>
      <c r="C44" s="70"/>
    </row>
    <row r="45" spans="2:4" ht="15.75" customHeight="1">
      <c r="B45" s="209"/>
      <c r="C45" s="70"/>
    </row>
    <row r="46" spans="2:4" ht="15.75" customHeight="1">
      <c r="B46" s="209"/>
      <c r="C46" s="70"/>
    </row>
    <row r="47" spans="2:4" ht="15.75" customHeight="1">
      <c r="B47" s="209"/>
      <c r="C47" s="70"/>
    </row>
    <row r="48" spans="2:4" ht="15.75" customHeight="1">
      <c r="B48" s="209"/>
      <c r="C48" s="70"/>
    </row>
    <row r="49" spans="2:3" ht="15.75" customHeight="1">
      <c r="B49" s="209"/>
      <c r="C49" s="70"/>
    </row>
    <row r="50" spans="2:3" ht="15.75" customHeight="1">
      <c r="B50" s="209"/>
      <c r="C50" s="70"/>
    </row>
    <row r="51" spans="2:3" ht="15.75" customHeight="1">
      <c r="B51" s="209"/>
      <c r="C51" s="70"/>
    </row>
    <row r="52" spans="2:3" ht="15.75" customHeight="1">
      <c r="B52" s="209"/>
      <c r="C52" s="70"/>
    </row>
    <row r="53" spans="2:3" ht="15.75" customHeight="1">
      <c r="B53" s="209"/>
      <c r="C53" s="70"/>
    </row>
    <row r="54" spans="2:3" ht="15.75" customHeight="1">
      <c r="B54" s="209"/>
      <c r="C54" s="70"/>
    </row>
    <row r="55" spans="2:3" ht="13">
      <c r="B55" s="209"/>
      <c r="C55" s="70"/>
    </row>
    <row r="56" spans="2:3" ht="13">
      <c r="B56" s="209"/>
      <c r="C56" s="70"/>
    </row>
    <row r="57" spans="2:3" ht="13">
      <c r="B57" s="209"/>
      <c r="C57" s="70"/>
    </row>
    <row r="58" spans="2:3" ht="13">
      <c r="B58" s="209"/>
      <c r="C58" s="70"/>
    </row>
    <row r="59" spans="2:3" ht="13">
      <c r="B59" s="209"/>
      <c r="C59" s="70"/>
    </row>
    <row r="60" spans="2:3" ht="13">
      <c r="B60" s="209"/>
      <c r="C60" s="70"/>
    </row>
    <row r="61" spans="2:3" ht="13">
      <c r="B61" s="209"/>
      <c r="C61" s="70"/>
    </row>
    <row r="62" spans="2:3" ht="13">
      <c r="B62" s="209"/>
      <c r="C62" s="70"/>
    </row>
    <row r="63" spans="2:3" ht="13">
      <c r="B63" s="209"/>
      <c r="C63" s="70"/>
    </row>
    <row r="64" spans="2:3" ht="13">
      <c r="B64" s="209"/>
      <c r="C64" s="70"/>
    </row>
    <row r="65" spans="2:3" ht="13">
      <c r="B65" s="209"/>
      <c r="C65" s="70"/>
    </row>
    <row r="66" spans="2:3" ht="13">
      <c r="B66" s="209"/>
      <c r="C66" s="70"/>
    </row>
    <row r="67" spans="2:3" ht="13">
      <c r="B67" s="209"/>
      <c r="C67" s="70"/>
    </row>
    <row r="68" spans="2:3" ht="13">
      <c r="B68" s="209"/>
      <c r="C68" s="70"/>
    </row>
    <row r="69" spans="2:3" ht="13">
      <c r="B69" s="209"/>
      <c r="C69" s="70"/>
    </row>
    <row r="70" spans="2:3" ht="13">
      <c r="B70" s="209"/>
      <c r="C70" s="70"/>
    </row>
    <row r="71" spans="2:3" ht="13">
      <c r="B71" s="209"/>
      <c r="C71" s="70"/>
    </row>
    <row r="72" spans="2:3" ht="13">
      <c r="B72" s="209"/>
      <c r="C72" s="70"/>
    </row>
    <row r="73" spans="2:3" ht="13">
      <c r="B73" s="209"/>
      <c r="C73" s="70"/>
    </row>
    <row r="74" spans="2:3" ht="13">
      <c r="B74" s="209"/>
      <c r="C74" s="70"/>
    </row>
    <row r="75" spans="2:3" ht="13">
      <c r="B75" s="209"/>
      <c r="C75" s="70"/>
    </row>
    <row r="76" spans="2:3" ht="13">
      <c r="B76" s="209"/>
      <c r="C76" s="70"/>
    </row>
    <row r="77" spans="2:3" ht="13">
      <c r="B77" s="209"/>
      <c r="C77" s="70"/>
    </row>
    <row r="78" spans="2:3" ht="13">
      <c r="B78" s="209"/>
      <c r="C78" s="70"/>
    </row>
    <row r="79" spans="2:3" ht="13">
      <c r="B79" s="209"/>
      <c r="C79" s="70"/>
    </row>
    <row r="80" spans="2:3" ht="13">
      <c r="B80" s="209"/>
      <c r="C80" s="70"/>
    </row>
    <row r="81" spans="2:3" ht="13">
      <c r="B81" s="209"/>
      <c r="C81" s="70"/>
    </row>
    <row r="82" spans="2:3" ht="13">
      <c r="B82" s="209"/>
      <c r="C82" s="70"/>
    </row>
    <row r="83" spans="2:3" ht="13">
      <c r="B83" s="209"/>
      <c r="C83" s="70"/>
    </row>
    <row r="84" spans="2:3" ht="13">
      <c r="B84" s="209"/>
      <c r="C84" s="70"/>
    </row>
    <row r="85" spans="2:3" ht="13">
      <c r="B85" s="209"/>
      <c r="C85" s="70"/>
    </row>
    <row r="86" spans="2:3" ht="13">
      <c r="B86" s="209"/>
      <c r="C86" s="70"/>
    </row>
    <row r="87" spans="2:3" ht="13">
      <c r="B87" s="209"/>
      <c r="C87" s="70"/>
    </row>
    <row r="88" spans="2:3" ht="13">
      <c r="B88" s="209"/>
      <c r="C88" s="70"/>
    </row>
    <row r="89" spans="2:3" ht="13">
      <c r="B89" s="209"/>
      <c r="C89" s="70"/>
    </row>
    <row r="90" spans="2:3" ht="13">
      <c r="B90" s="209"/>
      <c r="C90" s="70"/>
    </row>
    <row r="91" spans="2:3" ht="13">
      <c r="B91" s="209"/>
      <c r="C91" s="70"/>
    </row>
    <row r="92" spans="2:3" ht="13">
      <c r="B92" s="209"/>
      <c r="C92" s="70"/>
    </row>
    <row r="93" spans="2:3" ht="13">
      <c r="B93" s="209"/>
      <c r="C93" s="70"/>
    </row>
    <row r="94" spans="2:3" ht="13">
      <c r="B94" s="209"/>
      <c r="C94" s="70"/>
    </row>
    <row r="95" spans="2:3" ht="13">
      <c r="B95" s="209"/>
      <c r="C95" s="70"/>
    </row>
    <row r="96" spans="2:3" ht="13">
      <c r="B96" s="209"/>
      <c r="C96" s="70"/>
    </row>
    <row r="97" spans="2:3" ht="13">
      <c r="B97" s="209"/>
      <c r="C97" s="70"/>
    </row>
    <row r="98" spans="2:3" ht="13">
      <c r="B98" s="209"/>
      <c r="C98" s="70"/>
    </row>
    <row r="99" spans="2:3" ht="13">
      <c r="B99" s="209"/>
      <c r="C99" s="70"/>
    </row>
    <row r="100" spans="2:3" ht="13">
      <c r="B100" s="209"/>
      <c r="C100" s="70"/>
    </row>
    <row r="101" spans="2:3" ht="13">
      <c r="B101" s="209"/>
      <c r="C101" s="70"/>
    </row>
    <row r="102" spans="2:3" ht="13">
      <c r="B102" s="209"/>
      <c r="C102" s="70"/>
    </row>
    <row r="103" spans="2:3" ht="13">
      <c r="B103" s="209"/>
      <c r="C103" s="70"/>
    </row>
    <row r="104" spans="2:3" ht="13">
      <c r="B104" s="209"/>
      <c r="C104" s="70"/>
    </row>
    <row r="105" spans="2:3" ht="13">
      <c r="B105" s="209"/>
      <c r="C105" s="70"/>
    </row>
    <row r="106" spans="2:3" ht="13">
      <c r="B106" s="209"/>
      <c r="C106" s="70"/>
    </row>
    <row r="107" spans="2:3" ht="13">
      <c r="B107" s="209"/>
      <c r="C107" s="70"/>
    </row>
    <row r="108" spans="2:3" ht="13">
      <c r="B108" s="209"/>
      <c r="C108" s="70"/>
    </row>
    <row r="109" spans="2:3" ht="13">
      <c r="B109" s="209"/>
      <c r="C109" s="70"/>
    </row>
    <row r="110" spans="2:3" ht="13">
      <c r="B110" s="209"/>
      <c r="C110" s="70"/>
    </row>
    <row r="111" spans="2:3" ht="13">
      <c r="B111" s="209"/>
      <c r="C111" s="70"/>
    </row>
    <row r="112" spans="2:3" ht="13">
      <c r="B112" s="209"/>
      <c r="C112" s="70"/>
    </row>
    <row r="113" spans="2:3" ht="13">
      <c r="B113" s="209"/>
      <c r="C113" s="70"/>
    </row>
    <row r="114" spans="2:3" ht="13">
      <c r="B114" s="209"/>
      <c r="C114" s="70"/>
    </row>
    <row r="115" spans="2:3" ht="13">
      <c r="B115" s="209"/>
      <c r="C115" s="70"/>
    </row>
    <row r="116" spans="2:3" ht="13">
      <c r="B116" s="209"/>
      <c r="C116" s="70"/>
    </row>
    <row r="117" spans="2:3" ht="13">
      <c r="B117" s="209"/>
      <c r="C117" s="70"/>
    </row>
    <row r="118" spans="2:3" ht="13">
      <c r="B118" s="209"/>
      <c r="C118" s="70"/>
    </row>
    <row r="119" spans="2:3" ht="13">
      <c r="B119" s="209"/>
      <c r="C119" s="70"/>
    </row>
    <row r="120" spans="2:3" ht="13">
      <c r="B120" s="209"/>
      <c r="C120" s="70"/>
    </row>
    <row r="121" spans="2:3" ht="13">
      <c r="B121" s="209"/>
      <c r="C121" s="70"/>
    </row>
    <row r="122" spans="2:3" ht="13">
      <c r="B122" s="209"/>
      <c r="C122" s="70"/>
    </row>
    <row r="123" spans="2:3" ht="13">
      <c r="B123" s="209"/>
      <c r="C123" s="70"/>
    </row>
    <row r="124" spans="2:3" ht="13">
      <c r="B124" s="209"/>
      <c r="C124" s="70"/>
    </row>
    <row r="125" spans="2:3" ht="13">
      <c r="B125" s="209"/>
      <c r="C125" s="70"/>
    </row>
    <row r="126" spans="2:3" ht="13">
      <c r="B126" s="209"/>
      <c r="C126" s="70"/>
    </row>
    <row r="127" spans="2:3" ht="13">
      <c r="B127" s="209"/>
      <c r="C127" s="70"/>
    </row>
    <row r="128" spans="2:3" ht="13">
      <c r="B128" s="209"/>
      <c r="C128" s="70"/>
    </row>
    <row r="129" spans="2:3" ht="13">
      <c r="B129" s="209"/>
      <c r="C129" s="70"/>
    </row>
    <row r="130" spans="2:3" ht="13">
      <c r="B130" s="209"/>
      <c r="C130" s="70"/>
    </row>
    <row r="131" spans="2:3" ht="13">
      <c r="B131" s="209"/>
      <c r="C131" s="70"/>
    </row>
    <row r="132" spans="2:3" ht="13">
      <c r="B132" s="209"/>
      <c r="C132" s="70"/>
    </row>
    <row r="133" spans="2:3" ht="13">
      <c r="B133" s="209"/>
      <c r="C133" s="70"/>
    </row>
    <row r="134" spans="2:3" ht="13">
      <c r="B134" s="209"/>
      <c r="C134" s="70"/>
    </row>
    <row r="135" spans="2:3" ht="13">
      <c r="B135" s="209"/>
      <c r="C135" s="70"/>
    </row>
    <row r="136" spans="2:3" ht="13">
      <c r="B136" s="209"/>
      <c r="C136" s="70"/>
    </row>
    <row r="137" spans="2:3" ht="13">
      <c r="B137" s="209"/>
      <c r="C137" s="70"/>
    </row>
    <row r="138" spans="2:3" ht="13">
      <c r="B138" s="209"/>
      <c r="C138" s="70"/>
    </row>
    <row r="139" spans="2:3" ht="13">
      <c r="B139" s="209"/>
      <c r="C139" s="70"/>
    </row>
    <row r="140" spans="2:3" ht="13">
      <c r="B140" s="209"/>
      <c r="C140" s="70"/>
    </row>
    <row r="141" spans="2:3" ht="13">
      <c r="B141" s="209"/>
      <c r="C141" s="70"/>
    </row>
    <row r="142" spans="2:3" ht="13">
      <c r="B142" s="209"/>
      <c r="C142" s="70"/>
    </row>
    <row r="143" spans="2:3" ht="13">
      <c r="B143" s="209"/>
      <c r="C143" s="70"/>
    </row>
    <row r="144" spans="2:3" ht="13">
      <c r="B144" s="209"/>
      <c r="C144" s="70"/>
    </row>
    <row r="145" spans="2:3" ht="13">
      <c r="B145" s="209"/>
      <c r="C145" s="70"/>
    </row>
    <row r="146" spans="2:3" ht="13">
      <c r="B146" s="209"/>
      <c r="C146" s="70"/>
    </row>
    <row r="147" spans="2:3" ht="13">
      <c r="B147" s="209"/>
      <c r="C147" s="70"/>
    </row>
    <row r="148" spans="2:3" ht="13">
      <c r="B148" s="209"/>
      <c r="C148" s="70"/>
    </row>
    <row r="149" spans="2:3" ht="13">
      <c r="B149" s="209"/>
      <c r="C149" s="70"/>
    </row>
    <row r="150" spans="2:3" ht="13">
      <c r="B150" s="209"/>
      <c r="C150" s="70"/>
    </row>
    <row r="151" spans="2:3" ht="13">
      <c r="B151" s="209"/>
      <c r="C151" s="70"/>
    </row>
    <row r="152" spans="2:3" ht="13">
      <c r="B152" s="209"/>
      <c r="C152" s="70"/>
    </row>
    <row r="153" spans="2:3" ht="13">
      <c r="B153" s="209"/>
      <c r="C153" s="70"/>
    </row>
    <row r="154" spans="2:3" ht="13">
      <c r="B154" s="209"/>
      <c r="C154" s="70"/>
    </row>
    <row r="155" spans="2:3" ht="13">
      <c r="B155" s="209"/>
      <c r="C155" s="70"/>
    </row>
    <row r="156" spans="2:3" ht="13">
      <c r="B156" s="209"/>
      <c r="C156" s="70"/>
    </row>
    <row r="157" spans="2:3" ht="13">
      <c r="B157" s="209"/>
      <c r="C157" s="70"/>
    </row>
    <row r="158" spans="2:3" ht="13">
      <c r="B158" s="209"/>
      <c r="C158" s="70"/>
    </row>
    <row r="159" spans="2:3" ht="13">
      <c r="B159" s="209"/>
      <c r="C159" s="70"/>
    </row>
    <row r="160" spans="2:3" ht="13">
      <c r="B160" s="209"/>
      <c r="C160" s="70"/>
    </row>
    <row r="161" spans="2:3" ht="13">
      <c r="B161" s="209"/>
      <c r="C161" s="70"/>
    </row>
    <row r="162" spans="2:3" ht="13">
      <c r="B162" s="209"/>
      <c r="C162" s="70"/>
    </row>
    <row r="163" spans="2:3" ht="13">
      <c r="B163" s="209"/>
      <c r="C163" s="70"/>
    </row>
    <row r="164" spans="2:3" ht="13">
      <c r="B164" s="209"/>
      <c r="C164" s="70"/>
    </row>
    <row r="165" spans="2:3" ht="13">
      <c r="B165" s="209"/>
      <c r="C165" s="70"/>
    </row>
    <row r="166" spans="2:3" ht="13">
      <c r="B166" s="209"/>
      <c r="C166" s="70"/>
    </row>
    <row r="167" spans="2:3" ht="13">
      <c r="B167" s="209"/>
      <c r="C167" s="70"/>
    </row>
    <row r="168" spans="2:3" ht="13">
      <c r="B168" s="209"/>
      <c r="C168" s="70"/>
    </row>
    <row r="169" spans="2:3" ht="13">
      <c r="B169" s="209"/>
      <c r="C169" s="70"/>
    </row>
    <row r="170" spans="2:3" ht="13">
      <c r="B170" s="209"/>
      <c r="C170" s="70"/>
    </row>
    <row r="171" spans="2:3" ht="13">
      <c r="B171" s="209"/>
      <c r="C171" s="70"/>
    </row>
    <row r="172" spans="2:3" ht="13">
      <c r="B172" s="209"/>
      <c r="C172" s="70"/>
    </row>
    <row r="173" spans="2:3" ht="13">
      <c r="B173" s="209"/>
      <c r="C173" s="70"/>
    </row>
    <row r="174" spans="2:3" ht="13">
      <c r="B174" s="209"/>
      <c r="C174" s="70"/>
    </row>
    <row r="175" spans="2:3" ht="13">
      <c r="B175" s="209"/>
      <c r="C175" s="70"/>
    </row>
    <row r="176" spans="2:3" ht="13">
      <c r="B176" s="209"/>
      <c r="C176" s="70"/>
    </row>
    <row r="177" spans="2:3" ht="13">
      <c r="B177" s="209"/>
      <c r="C177" s="70"/>
    </row>
    <row r="178" spans="2:3" ht="13">
      <c r="B178" s="209"/>
      <c r="C178" s="70"/>
    </row>
    <row r="179" spans="2:3" ht="13">
      <c r="B179" s="209"/>
      <c r="C179" s="70"/>
    </row>
    <row r="180" spans="2:3" ht="13">
      <c r="B180" s="209"/>
      <c r="C180" s="70"/>
    </row>
    <row r="181" spans="2:3" ht="13">
      <c r="B181" s="209"/>
      <c r="C181" s="70"/>
    </row>
    <row r="182" spans="2:3" ht="13">
      <c r="B182" s="209"/>
      <c r="C182" s="70"/>
    </row>
    <row r="183" spans="2:3" ht="13">
      <c r="B183" s="209"/>
      <c r="C183" s="70"/>
    </row>
    <row r="184" spans="2:3" ht="13">
      <c r="B184" s="209"/>
      <c r="C184" s="70"/>
    </row>
    <row r="185" spans="2:3" ht="13">
      <c r="B185" s="209"/>
      <c r="C185" s="70"/>
    </row>
    <row r="186" spans="2:3" ht="13">
      <c r="B186" s="209"/>
      <c r="C186" s="70"/>
    </row>
    <row r="187" spans="2:3" ht="13">
      <c r="B187" s="209"/>
      <c r="C187" s="70"/>
    </row>
    <row r="188" spans="2:3" ht="13">
      <c r="B188" s="209"/>
      <c r="C188" s="70"/>
    </row>
    <row r="189" spans="2:3" ht="13">
      <c r="B189" s="209"/>
      <c r="C189" s="70"/>
    </row>
    <row r="190" spans="2:3" ht="13">
      <c r="B190" s="209"/>
      <c r="C190" s="70"/>
    </row>
    <row r="191" spans="2:3" ht="13">
      <c r="B191" s="209"/>
      <c r="C191" s="70"/>
    </row>
    <row r="192" spans="2:3" ht="13">
      <c r="B192" s="209"/>
      <c r="C192" s="70"/>
    </row>
    <row r="193" spans="2:3" ht="13">
      <c r="B193" s="209"/>
      <c r="C193" s="70"/>
    </row>
    <row r="194" spans="2:3" ht="13">
      <c r="B194" s="209"/>
      <c r="C194" s="70"/>
    </row>
    <row r="195" spans="2:3" ht="13">
      <c r="B195" s="209"/>
      <c r="C195" s="70"/>
    </row>
    <row r="196" spans="2:3" ht="13">
      <c r="B196" s="209"/>
      <c r="C196" s="70"/>
    </row>
    <row r="197" spans="2:3" ht="13">
      <c r="B197" s="209"/>
      <c r="C197" s="70"/>
    </row>
    <row r="198" spans="2:3" ht="13">
      <c r="B198" s="209"/>
      <c r="C198" s="70"/>
    </row>
    <row r="199" spans="2:3" ht="13">
      <c r="B199" s="209"/>
      <c r="C199" s="70"/>
    </row>
    <row r="200" spans="2:3" ht="13">
      <c r="B200" s="209"/>
      <c r="C200" s="70"/>
    </row>
    <row r="201" spans="2:3" ht="13">
      <c r="B201" s="209"/>
      <c r="C201" s="70"/>
    </row>
    <row r="202" spans="2:3" ht="13">
      <c r="B202" s="209"/>
      <c r="C202" s="70"/>
    </row>
    <row r="203" spans="2:3" ht="13">
      <c r="B203" s="209"/>
      <c r="C203" s="70"/>
    </row>
    <row r="204" spans="2:3" ht="13">
      <c r="B204" s="209"/>
      <c r="C204" s="70"/>
    </row>
    <row r="205" spans="2:3" ht="13">
      <c r="B205" s="209"/>
      <c r="C205" s="70"/>
    </row>
    <row r="206" spans="2:3" ht="13">
      <c r="B206" s="209"/>
      <c r="C206" s="70"/>
    </row>
    <row r="207" spans="2:3" ht="13">
      <c r="B207" s="209"/>
      <c r="C207" s="70"/>
    </row>
    <row r="208" spans="2:3" ht="13">
      <c r="B208" s="209"/>
      <c r="C208" s="70"/>
    </row>
    <row r="209" spans="2:3" ht="13">
      <c r="B209" s="209"/>
      <c r="C209" s="70"/>
    </row>
    <row r="210" spans="2:3" ht="13">
      <c r="B210" s="209"/>
      <c r="C210" s="70"/>
    </row>
    <row r="211" spans="2:3" ht="13">
      <c r="B211" s="209"/>
      <c r="C211" s="70"/>
    </row>
    <row r="212" spans="2:3" ht="13">
      <c r="B212" s="209"/>
      <c r="C212" s="70"/>
    </row>
    <row r="213" spans="2:3" ht="13">
      <c r="B213" s="209"/>
      <c r="C213" s="70"/>
    </row>
    <row r="214" spans="2:3" ht="13">
      <c r="B214" s="209"/>
      <c r="C214" s="70"/>
    </row>
    <row r="215" spans="2:3" ht="13">
      <c r="B215" s="209"/>
      <c r="C215" s="70"/>
    </row>
    <row r="216" spans="2:3" ht="13">
      <c r="B216" s="209"/>
      <c r="C216" s="70"/>
    </row>
    <row r="217" spans="2:3" ht="13">
      <c r="B217" s="209"/>
      <c r="C217" s="70"/>
    </row>
    <row r="218" spans="2:3" ht="13">
      <c r="B218" s="209"/>
      <c r="C218" s="70"/>
    </row>
    <row r="219" spans="2:3" ht="13">
      <c r="B219" s="209"/>
      <c r="C219" s="70"/>
    </row>
    <row r="220" spans="2:3" ht="13">
      <c r="B220" s="209"/>
      <c r="C220" s="70"/>
    </row>
    <row r="221" spans="2:3" ht="13">
      <c r="B221" s="209"/>
      <c r="C221" s="70"/>
    </row>
    <row r="222" spans="2:3" ht="13">
      <c r="B222" s="209"/>
      <c r="C222" s="70"/>
    </row>
    <row r="223" spans="2:3" ht="13">
      <c r="B223" s="209"/>
      <c r="C223" s="70"/>
    </row>
    <row r="224" spans="2:3" ht="13">
      <c r="B224" s="209"/>
      <c r="C224" s="70"/>
    </row>
    <row r="225" spans="2:3" ht="13">
      <c r="B225" s="209"/>
      <c r="C225" s="70"/>
    </row>
    <row r="226" spans="2:3" ht="13">
      <c r="B226" s="209"/>
      <c r="C226" s="70"/>
    </row>
    <row r="227" spans="2:3" ht="13">
      <c r="B227" s="209"/>
      <c r="C227" s="70"/>
    </row>
    <row r="228" spans="2:3" ht="13">
      <c r="B228" s="209"/>
      <c r="C228" s="70"/>
    </row>
    <row r="229" spans="2:3" ht="13">
      <c r="B229" s="209"/>
      <c r="C229" s="70"/>
    </row>
    <row r="230" spans="2:3" ht="13">
      <c r="B230" s="209"/>
      <c r="C230" s="70"/>
    </row>
    <row r="231" spans="2:3" ht="13">
      <c r="B231" s="209"/>
      <c r="C231" s="70"/>
    </row>
    <row r="232" spans="2:3" ht="13">
      <c r="B232" s="209"/>
      <c r="C232" s="70"/>
    </row>
    <row r="233" spans="2:3" ht="13">
      <c r="B233" s="209"/>
      <c r="C233" s="70"/>
    </row>
    <row r="234" spans="2:3" ht="13">
      <c r="B234" s="209"/>
      <c r="C234" s="70"/>
    </row>
    <row r="235" spans="2:3" ht="13">
      <c r="B235" s="209"/>
      <c r="C235" s="70"/>
    </row>
    <row r="236" spans="2:3" ht="13">
      <c r="B236" s="209"/>
      <c r="C236" s="70"/>
    </row>
    <row r="237" spans="2:3" ht="13">
      <c r="B237" s="209"/>
      <c r="C237" s="70"/>
    </row>
    <row r="238" spans="2:3" ht="13">
      <c r="B238" s="209"/>
      <c r="C238" s="70"/>
    </row>
    <row r="239" spans="2:3" ht="13">
      <c r="B239" s="209"/>
      <c r="C239" s="70"/>
    </row>
    <row r="240" spans="2:3" ht="13">
      <c r="B240" s="209"/>
      <c r="C240" s="70"/>
    </row>
    <row r="241" spans="2:3" ht="13">
      <c r="B241" s="209"/>
      <c r="C241" s="70"/>
    </row>
    <row r="242" spans="2:3" ht="13">
      <c r="B242" s="209"/>
      <c r="C242" s="70"/>
    </row>
    <row r="243" spans="2:3" ht="13">
      <c r="B243" s="209"/>
      <c r="C243" s="70"/>
    </row>
    <row r="244" spans="2:3" ht="13">
      <c r="B244" s="209"/>
      <c r="C244" s="70"/>
    </row>
    <row r="245" spans="2:3" ht="13">
      <c r="B245" s="209"/>
      <c r="C245" s="70"/>
    </row>
    <row r="246" spans="2:3" ht="13">
      <c r="B246" s="209"/>
      <c r="C246" s="70"/>
    </row>
    <row r="247" spans="2:3" ht="13">
      <c r="B247" s="209"/>
      <c r="C247" s="70"/>
    </row>
    <row r="248" spans="2:3" ht="13">
      <c r="B248" s="209"/>
      <c r="C248" s="70"/>
    </row>
    <row r="249" spans="2:3" ht="13">
      <c r="B249" s="209"/>
      <c r="C249" s="70"/>
    </row>
    <row r="250" spans="2:3" ht="13">
      <c r="B250" s="209"/>
      <c r="C250" s="70"/>
    </row>
    <row r="251" spans="2:3" ht="13">
      <c r="B251" s="209"/>
      <c r="C251" s="70"/>
    </row>
    <row r="252" spans="2:3" ht="13">
      <c r="B252" s="209"/>
      <c r="C252" s="70"/>
    </row>
    <row r="253" spans="2:3" ht="13">
      <c r="B253" s="209"/>
      <c r="C253" s="70"/>
    </row>
    <row r="254" spans="2:3" ht="13">
      <c r="B254" s="209"/>
      <c r="C254" s="70"/>
    </row>
    <row r="255" spans="2:3" ht="13">
      <c r="B255" s="209"/>
      <c r="C255" s="70"/>
    </row>
    <row r="256" spans="2:3" ht="13">
      <c r="B256" s="209"/>
      <c r="C256" s="70"/>
    </row>
    <row r="257" spans="2:3" ht="13">
      <c r="B257" s="209"/>
      <c r="C257" s="70"/>
    </row>
    <row r="258" spans="2:3" ht="13">
      <c r="B258" s="209"/>
      <c r="C258" s="70"/>
    </row>
    <row r="259" spans="2:3" ht="13">
      <c r="B259" s="209"/>
      <c r="C259" s="70"/>
    </row>
    <row r="260" spans="2:3" ht="13">
      <c r="B260" s="209"/>
      <c r="C260" s="70"/>
    </row>
    <row r="261" spans="2:3" ht="13">
      <c r="B261" s="209"/>
      <c r="C261" s="70"/>
    </row>
    <row r="262" spans="2:3" ht="13">
      <c r="B262" s="209"/>
      <c r="C262" s="70"/>
    </row>
    <row r="263" spans="2:3" ht="13">
      <c r="B263" s="209"/>
      <c r="C263" s="70"/>
    </row>
    <row r="264" spans="2:3" ht="13">
      <c r="B264" s="209"/>
      <c r="C264" s="70"/>
    </row>
    <row r="265" spans="2:3" ht="13">
      <c r="B265" s="209"/>
      <c r="C265" s="70"/>
    </row>
    <row r="266" spans="2:3" ht="13">
      <c r="B266" s="209"/>
      <c r="C266" s="70"/>
    </row>
    <row r="267" spans="2:3" ht="13">
      <c r="B267" s="209"/>
      <c r="C267" s="70"/>
    </row>
    <row r="268" spans="2:3" ht="13">
      <c r="B268" s="209"/>
      <c r="C268" s="70"/>
    </row>
    <row r="269" spans="2:3" ht="13">
      <c r="B269" s="209"/>
      <c r="C269" s="70"/>
    </row>
    <row r="270" spans="2:3" ht="13">
      <c r="B270" s="209"/>
      <c r="C270" s="70"/>
    </row>
    <row r="271" spans="2:3" ht="13">
      <c r="B271" s="209"/>
      <c r="C271" s="70"/>
    </row>
    <row r="272" spans="2:3" ht="13">
      <c r="B272" s="209"/>
      <c r="C272" s="70"/>
    </row>
    <row r="273" spans="2:3" ht="13">
      <c r="B273" s="209"/>
      <c r="C273" s="70"/>
    </row>
    <row r="274" spans="2:3" ht="13">
      <c r="B274" s="209"/>
      <c r="C274" s="70"/>
    </row>
    <row r="275" spans="2:3" ht="13">
      <c r="B275" s="209"/>
      <c r="C275" s="70"/>
    </row>
    <row r="276" spans="2:3" ht="13">
      <c r="B276" s="209"/>
      <c r="C276" s="70"/>
    </row>
    <row r="277" spans="2:3" ht="13">
      <c r="B277" s="209"/>
      <c r="C277" s="70"/>
    </row>
    <row r="278" spans="2:3" ht="13">
      <c r="B278" s="209"/>
      <c r="C278" s="70"/>
    </row>
    <row r="279" spans="2:3" ht="13">
      <c r="B279" s="209"/>
      <c r="C279" s="70"/>
    </row>
    <row r="280" spans="2:3" ht="13">
      <c r="B280" s="209"/>
      <c r="C280" s="70"/>
    </row>
    <row r="281" spans="2:3" ht="13">
      <c r="B281" s="209"/>
      <c r="C281" s="70"/>
    </row>
    <row r="282" spans="2:3" ht="13">
      <c r="B282" s="209"/>
      <c r="C282" s="70"/>
    </row>
    <row r="283" spans="2:3" ht="13">
      <c r="B283" s="209"/>
      <c r="C283" s="70"/>
    </row>
    <row r="284" spans="2:3" ht="13">
      <c r="B284" s="209"/>
      <c r="C284" s="70"/>
    </row>
    <row r="285" spans="2:3" ht="13">
      <c r="B285" s="209"/>
      <c r="C285" s="70"/>
    </row>
    <row r="286" spans="2:3" ht="13">
      <c r="B286" s="209"/>
      <c r="C286" s="70"/>
    </row>
    <row r="287" spans="2:3" ht="13">
      <c r="B287" s="209"/>
      <c r="C287" s="70"/>
    </row>
    <row r="288" spans="2:3" ht="13">
      <c r="B288" s="209"/>
      <c r="C288" s="70"/>
    </row>
    <row r="289" spans="2:3" ht="13">
      <c r="B289" s="209"/>
      <c r="C289" s="70"/>
    </row>
    <row r="290" spans="2:3" ht="13">
      <c r="B290" s="209"/>
      <c r="C290" s="70"/>
    </row>
    <row r="291" spans="2:3" ht="13">
      <c r="B291" s="209"/>
      <c r="C291" s="70"/>
    </row>
    <row r="292" spans="2:3" ht="13">
      <c r="B292" s="209"/>
      <c r="C292" s="70"/>
    </row>
    <row r="293" spans="2:3" ht="13">
      <c r="B293" s="209"/>
      <c r="C293" s="70"/>
    </row>
    <row r="294" spans="2:3" ht="13">
      <c r="B294" s="209"/>
      <c r="C294" s="70"/>
    </row>
    <row r="295" spans="2:3" ht="13">
      <c r="B295" s="209"/>
      <c r="C295" s="70"/>
    </row>
    <row r="296" spans="2:3" ht="13">
      <c r="B296" s="209"/>
      <c r="C296" s="70"/>
    </row>
    <row r="297" spans="2:3" ht="13">
      <c r="B297" s="209"/>
      <c r="C297" s="70"/>
    </row>
    <row r="298" spans="2:3" ht="13">
      <c r="B298" s="209"/>
      <c r="C298" s="70"/>
    </row>
    <row r="299" spans="2:3" ht="13">
      <c r="B299" s="209"/>
      <c r="C299" s="70"/>
    </row>
    <row r="300" spans="2:3" ht="13">
      <c r="B300" s="209"/>
      <c r="C300" s="70"/>
    </row>
    <row r="301" spans="2:3" ht="13">
      <c r="B301" s="209"/>
      <c r="C301" s="70"/>
    </row>
    <row r="302" spans="2:3" ht="13">
      <c r="B302" s="209"/>
      <c r="C302" s="70"/>
    </row>
    <row r="303" spans="2:3" ht="13">
      <c r="B303" s="209"/>
      <c r="C303" s="70"/>
    </row>
    <row r="304" spans="2:3" ht="13">
      <c r="B304" s="209"/>
      <c r="C304" s="70"/>
    </row>
    <row r="305" spans="2:3" ht="13">
      <c r="B305" s="209"/>
      <c r="C305" s="70"/>
    </row>
    <row r="306" spans="2:3" ht="13">
      <c r="B306" s="209"/>
      <c r="C306" s="70"/>
    </row>
    <row r="307" spans="2:3" ht="13">
      <c r="B307" s="209"/>
      <c r="C307" s="70"/>
    </row>
    <row r="308" spans="2:3" ht="13">
      <c r="B308" s="209"/>
      <c r="C308" s="70"/>
    </row>
    <row r="309" spans="2:3" ht="13">
      <c r="B309" s="209"/>
      <c r="C309" s="70"/>
    </row>
    <row r="310" spans="2:3" ht="13">
      <c r="B310" s="209"/>
      <c r="C310" s="70"/>
    </row>
    <row r="311" spans="2:3" ht="13">
      <c r="B311" s="209"/>
      <c r="C311" s="70"/>
    </row>
    <row r="312" spans="2:3" ht="13">
      <c r="B312" s="209"/>
      <c r="C312" s="70"/>
    </row>
    <row r="313" spans="2:3" ht="13">
      <c r="B313" s="209"/>
      <c r="C313" s="70"/>
    </row>
    <row r="314" spans="2:3" ht="13">
      <c r="B314" s="209"/>
      <c r="C314" s="70"/>
    </row>
    <row r="315" spans="2:3" ht="13">
      <c r="B315" s="209"/>
      <c r="C315" s="70"/>
    </row>
    <row r="316" spans="2:3" ht="13">
      <c r="B316" s="209"/>
      <c r="C316" s="70"/>
    </row>
    <row r="317" spans="2:3" ht="13">
      <c r="B317" s="209"/>
      <c r="C317" s="70"/>
    </row>
    <row r="318" spans="2:3" ht="13">
      <c r="B318" s="209"/>
      <c r="C318" s="70"/>
    </row>
    <row r="319" spans="2:3" ht="13">
      <c r="B319" s="209"/>
      <c r="C319" s="70"/>
    </row>
    <row r="320" spans="2:3" ht="13">
      <c r="B320" s="209"/>
      <c r="C320" s="70"/>
    </row>
    <row r="321" spans="2:3" ht="13">
      <c r="B321" s="209"/>
      <c r="C321" s="70"/>
    </row>
    <row r="322" spans="2:3" ht="13">
      <c r="B322" s="209"/>
      <c r="C322" s="70"/>
    </row>
    <row r="323" spans="2:3" ht="13">
      <c r="B323" s="209"/>
      <c r="C323" s="70"/>
    </row>
    <row r="324" spans="2:3" ht="13">
      <c r="B324" s="209"/>
      <c r="C324" s="70"/>
    </row>
    <row r="325" spans="2:3" ht="13">
      <c r="B325" s="209"/>
      <c r="C325" s="70"/>
    </row>
    <row r="326" spans="2:3" ht="13">
      <c r="B326" s="209"/>
      <c r="C326" s="70"/>
    </row>
    <row r="327" spans="2:3" ht="13">
      <c r="B327" s="209"/>
      <c r="C327" s="70"/>
    </row>
    <row r="328" spans="2:3" ht="13">
      <c r="B328" s="209"/>
      <c r="C328" s="70"/>
    </row>
    <row r="329" spans="2:3" ht="13">
      <c r="B329" s="209"/>
      <c r="C329" s="70"/>
    </row>
    <row r="330" spans="2:3" ht="13">
      <c r="B330" s="209"/>
      <c r="C330" s="70"/>
    </row>
    <row r="331" spans="2:3" ht="13">
      <c r="B331" s="209"/>
      <c r="C331" s="70"/>
    </row>
    <row r="332" spans="2:3" ht="13">
      <c r="B332" s="209"/>
      <c r="C332" s="70"/>
    </row>
    <row r="333" spans="2:3" ht="13">
      <c r="B333" s="209"/>
      <c r="C333" s="70"/>
    </row>
    <row r="334" spans="2:3" ht="13">
      <c r="B334" s="209"/>
      <c r="C334" s="70"/>
    </row>
    <row r="335" spans="2:3" ht="13">
      <c r="B335" s="209"/>
      <c r="C335" s="70"/>
    </row>
    <row r="336" spans="2:3" ht="13">
      <c r="B336" s="209"/>
      <c r="C336" s="70"/>
    </row>
    <row r="337" spans="2:3" ht="13">
      <c r="B337" s="209"/>
      <c r="C337" s="70"/>
    </row>
    <row r="338" spans="2:3" ht="13">
      <c r="B338" s="209"/>
      <c r="C338" s="70"/>
    </row>
    <row r="339" spans="2:3" ht="13">
      <c r="B339" s="209"/>
      <c r="C339" s="70"/>
    </row>
    <row r="340" spans="2:3" ht="13">
      <c r="B340" s="209"/>
      <c r="C340" s="70"/>
    </row>
    <row r="341" spans="2:3" ht="13">
      <c r="B341" s="209"/>
      <c r="C341" s="70"/>
    </row>
    <row r="342" spans="2:3" ht="13">
      <c r="B342" s="209"/>
      <c r="C342" s="70"/>
    </row>
    <row r="343" spans="2:3" ht="13">
      <c r="B343" s="209"/>
      <c r="C343" s="70"/>
    </row>
    <row r="344" spans="2:3" ht="13">
      <c r="B344" s="209"/>
      <c r="C344" s="70"/>
    </row>
    <row r="345" spans="2:3" ht="13">
      <c r="B345" s="209"/>
      <c r="C345" s="70"/>
    </row>
    <row r="346" spans="2:3" ht="13">
      <c r="B346" s="209"/>
      <c r="C346" s="70"/>
    </row>
    <row r="347" spans="2:3" ht="13">
      <c r="B347" s="209"/>
      <c r="C347" s="70"/>
    </row>
    <row r="348" spans="2:3" ht="13">
      <c r="B348" s="209"/>
      <c r="C348" s="70"/>
    </row>
    <row r="349" spans="2:3" ht="13">
      <c r="B349" s="209"/>
      <c r="C349" s="70"/>
    </row>
    <row r="350" spans="2:3" ht="13">
      <c r="B350" s="209"/>
      <c r="C350" s="70"/>
    </row>
    <row r="351" spans="2:3" ht="13">
      <c r="B351" s="209"/>
      <c r="C351" s="70"/>
    </row>
    <row r="352" spans="2:3" ht="13">
      <c r="B352" s="209"/>
      <c r="C352" s="70"/>
    </row>
    <row r="353" spans="2:3" ht="13">
      <c r="B353" s="209"/>
      <c r="C353" s="70"/>
    </row>
    <row r="354" spans="2:3" ht="13">
      <c r="B354" s="209"/>
      <c r="C354" s="70"/>
    </row>
    <row r="355" spans="2:3" ht="13">
      <c r="B355" s="209"/>
      <c r="C355" s="70"/>
    </row>
    <row r="356" spans="2:3" ht="13">
      <c r="B356" s="209"/>
      <c r="C356" s="70"/>
    </row>
    <row r="357" spans="2:3" ht="13">
      <c r="B357" s="209"/>
      <c r="C357" s="70"/>
    </row>
    <row r="358" spans="2:3" ht="13">
      <c r="B358" s="209"/>
      <c r="C358" s="70"/>
    </row>
    <row r="359" spans="2:3" ht="13">
      <c r="B359" s="209"/>
      <c r="C359" s="70"/>
    </row>
    <row r="360" spans="2:3" ht="13">
      <c r="B360" s="209"/>
      <c r="C360" s="70"/>
    </row>
    <row r="361" spans="2:3" ht="13">
      <c r="B361" s="209"/>
      <c r="C361" s="70"/>
    </row>
    <row r="362" spans="2:3" ht="13">
      <c r="B362" s="209"/>
      <c r="C362" s="70"/>
    </row>
    <row r="363" spans="2:3" ht="13">
      <c r="B363" s="209"/>
      <c r="C363" s="70"/>
    </row>
    <row r="364" spans="2:3" ht="13">
      <c r="B364" s="209"/>
      <c r="C364" s="70"/>
    </row>
    <row r="365" spans="2:3" ht="13">
      <c r="B365" s="209"/>
      <c r="C365" s="70"/>
    </row>
    <row r="366" spans="2:3" ht="13">
      <c r="B366" s="209"/>
      <c r="C366" s="70"/>
    </row>
    <row r="367" spans="2:3" ht="13">
      <c r="B367" s="209"/>
      <c r="C367" s="70"/>
    </row>
    <row r="368" spans="2:3" ht="13">
      <c r="B368" s="209"/>
      <c r="C368" s="70"/>
    </row>
    <row r="369" spans="2:3" ht="13">
      <c r="B369" s="209"/>
      <c r="C369" s="70"/>
    </row>
    <row r="370" spans="2:3" ht="13">
      <c r="B370" s="209"/>
      <c r="C370" s="70"/>
    </row>
    <row r="371" spans="2:3" ht="13">
      <c r="B371" s="209"/>
      <c r="C371" s="70"/>
    </row>
    <row r="372" spans="2:3" ht="13">
      <c r="B372" s="209"/>
      <c r="C372" s="70"/>
    </row>
    <row r="373" spans="2:3" ht="13">
      <c r="B373" s="209"/>
      <c r="C373" s="70"/>
    </row>
    <row r="374" spans="2:3" ht="13">
      <c r="B374" s="209"/>
      <c r="C374" s="70"/>
    </row>
    <row r="375" spans="2:3" ht="13">
      <c r="B375" s="209"/>
      <c r="C375" s="70"/>
    </row>
    <row r="376" spans="2:3" ht="13">
      <c r="B376" s="209"/>
      <c r="C376" s="70"/>
    </row>
    <row r="377" spans="2:3" ht="13">
      <c r="B377" s="209"/>
      <c r="C377" s="70"/>
    </row>
    <row r="378" spans="2:3" ht="13">
      <c r="B378" s="209"/>
      <c r="C378" s="70"/>
    </row>
    <row r="379" spans="2:3" ht="13">
      <c r="B379" s="209"/>
      <c r="C379" s="70"/>
    </row>
    <row r="380" spans="2:3" ht="13">
      <c r="B380" s="209"/>
      <c r="C380" s="70"/>
    </row>
    <row r="381" spans="2:3" ht="13">
      <c r="B381" s="209"/>
      <c r="C381" s="70"/>
    </row>
    <row r="382" spans="2:3" ht="13">
      <c r="B382" s="209"/>
      <c r="C382" s="70"/>
    </row>
    <row r="383" spans="2:3" ht="13">
      <c r="B383" s="209"/>
      <c r="C383" s="70"/>
    </row>
    <row r="384" spans="2:3" ht="13">
      <c r="B384" s="209"/>
      <c r="C384" s="70"/>
    </row>
    <row r="385" spans="2:3" ht="13">
      <c r="B385" s="209"/>
      <c r="C385" s="70"/>
    </row>
    <row r="386" spans="2:3" ht="13">
      <c r="B386" s="209"/>
      <c r="C386" s="70"/>
    </row>
    <row r="387" spans="2:3" ht="13">
      <c r="B387" s="209"/>
      <c r="C387" s="70"/>
    </row>
    <row r="388" spans="2:3" ht="13">
      <c r="B388" s="209"/>
      <c r="C388" s="70"/>
    </row>
    <row r="389" spans="2:3" ht="13">
      <c r="B389" s="209"/>
      <c r="C389" s="70"/>
    </row>
    <row r="390" spans="2:3" ht="13">
      <c r="B390" s="209"/>
      <c r="C390" s="70"/>
    </row>
    <row r="391" spans="2:3" ht="13">
      <c r="B391" s="209"/>
      <c r="C391" s="70"/>
    </row>
    <row r="392" spans="2:3" ht="13">
      <c r="B392" s="209"/>
      <c r="C392" s="70"/>
    </row>
    <row r="393" spans="2:3" ht="13">
      <c r="B393" s="209"/>
      <c r="C393" s="70"/>
    </row>
    <row r="394" spans="2:3" ht="13">
      <c r="B394" s="209"/>
      <c r="C394" s="70"/>
    </row>
    <row r="395" spans="2:3" ht="13">
      <c r="B395" s="209"/>
      <c r="C395" s="70"/>
    </row>
    <row r="396" spans="2:3" ht="13">
      <c r="B396" s="209"/>
      <c r="C396" s="70"/>
    </row>
    <row r="397" spans="2:3" ht="13">
      <c r="B397" s="209"/>
      <c r="C397" s="70"/>
    </row>
    <row r="398" spans="2:3" ht="13">
      <c r="B398" s="209"/>
      <c r="C398" s="70"/>
    </row>
    <row r="399" spans="2:3" ht="13">
      <c r="B399" s="209"/>
      <c r="C399" s="70"/>
    </row>
    <row r="400" spans="2:3" ht="13">
      <c r="B400" s="209"/>
      <c r="C400" s="70"/>
    </row>
    <row r="401" spans="2:3" ht="13">
      <c r="B401" s="209"/>
      <c r="C401" s="70"/>
    </row>
    <row r="402" spans="2:3" ht="13">
      <c r="B402" s="209"/>
      <c r="C402" s="70"/>
    </row>
    <row r="403" spans="2:3" ht="13">
      <c r="B403" s="209"/>
      <c r="C403" s="70"/>
    </row>
    <row r="404" spans="2:3" ht="13">
      <c r="B404" s="209"/>
      <c r="C404" s="70"/>
    </row>
    <row r="405" spans="2:3" ht="13">
      <c r="B405" s="209"/>
      <c r="C405" s="70"/>
    </row>
    <row r="406" spans="2:3" ht="13">
      <c r="B406" s="209"/>
      <c r="C406" s="70"/>
    </row>
    <row r="407" spans="2:3" ht="13">
      <c r="B407" s="209"/>
      <c r="C407" s="70"/>
    </row>
    <row r="408" spans="2:3" ht="13">
      <c r="B408" s="209"/>
      <c r="C408" s="70"/>
    </row>
    <row r="409" spans="2:3" ht="13">
      <c r="B409" s="209"/>
      <c r="C409" s="70"/>
    </row>
    <row r="410" spans="2:3" ht="13">
      <c r="B410" s="209"/>
      <c r="C410" s="70"/>
    </row>
    <row r="411" spans="2:3" ht="13">
      <c r="B411" s="209"/>
      <c r="C411" s="70"/>
    </row>
    <row r="412" spans="2:3" ht="13">
      <c r="B412" s="209"/>
      <c r="C412" s="70"/>
    </row>
    <row r="413" spans="2:3" ht="13">
      <c r="B413" s="209"/>
      <c r="C413" s="70"/>
    </row>
    <row r="414" spans="2:3" ht="13">
      <c r="B414" s="209"/>
      <c r="C414" s="70"/>
    </row>
    <row r="415" spans="2:3" ht="13">
      <c r="B415" s="209"/>
      <c r="C415" s="70"/>
    </row>
    <row r="416" spans="2:3" ht="13">
      <c r="B416" s="209"/>
      <c r="C416" s="70"/>
    </row>
    <row r="417" spans="2:3" ht="13">
      <c r="B417" s="209"/>
      <c r="C417" s="70"/>
    </row>
    <row r="418" spans="2:3" ht="13">
      <c r="B418" s="209"/>
      <c r="C418" s="70"/>
    </row>
    <row r="419" spans="2:3" ht="13">
      <c r="B419" s="209"/>
      <c r="C419" s="70"/>
    </row>
    <row r="420" spans="2:3" ht="13">
      <c r="B420" s="209"/>
      <c r="C420" s="70"/>
    </row>
    <row r="421" spans="2:3" ht="13">
      <c r="B421" s="209"/>
      <c r="C421" s="70"/>
    </row>
    <row r="422" spans="2:3" ht="13">
      <c r="B422" s="209"/>
      <c r="C422" s="70"/>
    </row>
    <row r="423" spans="2:3" ht="13">
      <c r="B423" s="209"/>
      <c r="C423" s="70"/>
    </row>
    <row r="424" spans="2:3" ht="13">
      <c r="B424" s="209"/>
      <c r="C424" s="70"/>
    </row>
    <row r="425" spans="2:3" ht="13">
      <c r="B425" s="209"/>
      <c r="C425" s="70"/>
    </row>
    <row r="426" spans="2:3" ht="13">
      <c r="B426" s="209"/>
      <c r="C426" s="70"/>
    </row>
    <row r="427" spans="2:3" ht="13">
      <c r="B427" s="209"/>
      <c r="C427" s="70"/>
    </row>
    <row r="428" spans="2:3" ht="13">
      <c r="B428" s="209"/>
      <c r="C428" s="70"/>
    </row>
    <row r="429" spans="2:3" ht="13">
      <c r="B429" s="209"/>
      <c r="C429" s="70"/>
    </row>
    <row r="430" spans="2:3" ht="13">
      <c r="B430" s="209"/>
      <c r="C430" s="70"/>
    </row>
    <row r="431" spans="2:3" ht="13">
      <c r="B431" s="209"/>
      <c r="C431" s="70"/>
    </row>
    <row r="432" spans="2:3" ht="13">
      <c r="B432" s="209"/>
      <c r="C432" s="70"/>
    </row>
    <row r="433" spans="2:3" ht="13">
      <c r="B433" s="209"/>
      <c r="C433" s="70"/>
    </row>
    <row r="434" spans="2:3" ht="13">
      <c r="B434" s="209"/>
      <c r="C434" s="70"/>
    </row>
    <row r="435" spans="2:3" ht="13">
      <c r="B435" s="209"/>
      <c r="C435" s="70"/>
    </row>
    <row r="436" spans="2:3" ht="13">
      <c r="B436" s="209"/>
      <c r="C436" s="70"/>
    </row>
    <row r="437" spans="2:3" ht="13">
      <c r="B437" s="209"/>
      <c r="C437" s="70"/>
    </row>
    <row r="438" spans="2:3" ht="13">
      <c r="B438" s="209"/>
      <c r="C438" s="70"/>
    </row>
    <row r="439" spans="2:3" ht="13">
      <c r="B439" s="209"/>
      <c r="C439" s="70"/>
    </row>
    <row r="440" spans="2:3" ht="13">
      <c r="B440" s="209"/>
      <c r="C440" s="70"/>
    </row>
    <row r="441" spans="2:3" ht="13">
      <c r="B441" s="209"/>
      <c r="C441" s="70"/>
    </row>
    <row r="442" spans="2:3" ht="13">
      <c r="B442" s="209"/>
      <c r="C442" s="70"/>
    </row>
    <row r="443" spans="2:3" ht="13">
      <c r="B443" s="209"/>
      <c r="C443" s="70"/>
    </row>
    <row r="444" spans="2:3" ht="13">
      <c r="B444" s="209"/>
      <c r="C444" s="70"/>
    </row>
    <row r="445" spans="2:3" ht="13">
      <c r="B445" s="209"/>
      <c r="C445" s="70"/>
    </row>
    <row r="446" spans="2:3" ht="13">
      <c r="B446" s="209"/>
      <c r="C446" s="70"/>
    </row>
    <row r="447" spans="2:3" ht="13">
      <c r="B447" s="209"/>
      <c r="C447" s="70"/>
    </row>
    <row r="448" spans="2:3" ht="13">
      <c r="B448" s="209"/>
      <c r="C448" s="70"/>
    </row>
    <row r="449" spans="2:3" ht="13">
      <c r="B449" s="209"/>
      <c r="C449" s="70"/>
    </row>
    <row r="450" spans="2:3" ht="13">
      <c r="B450" s="209"/>
      <c r="C450" s="70"/>
    </row>
    <row r="451" spans="2:3" ht="13">
      <c r="B451" s="209"/>
      <c r="C451" s="70"/>
    </row>
    <row r="452" spans="2:3" ht="13">
      <c r="B452" s="209"/>
      <c r="C452" s="70"/>
    </row>
    <row r="453" spans="2:3" ht="13">
      <c r="B453" s="209"/>
      <c r="C453" s="70"/>
    </row>
    <row r="454" spans="2:3" ht="13">
      <c r="B454" s="209"/>
      <c r="C454" s="70"/>
    </row>
    <row r="455" spans="2:3" ht="13">
      <c r="B455" s="209"/>
      <c r="C455" s="70"/>
    </row>
    <row r="456" spans="2:3" ht="13">
      <c r="B456" s="209"/>
      <c r="C456" s="70"/>
    </row>
    <row r="457" spans="2:3" ht="13">
      <c r="B457" s="209"/>
      <c r="C457" s="70"/>
    </row>
    <row r="458" spans="2:3" ht="13">
      <c r="B458" s="209"/>
      <c r="C458" s="70"/>
    </row>
    <row r="459" spans="2:3" ht="13">
      <c r="B459" s="209"/>
      <c r="C459" s="70"/>
    </row>
    <row r="460" spans="2:3" ht="13">
      <c r="B460" s="209"/>
      <c r="C460" s="70"/>
    </row>
    <row r="461" spans="2:3" ht="13">
      <c r="B461" s="209"/>
      <c r="C461" s="70"/>
    </row>
    <row r="462" spans="2:3" ht="13">
      <c r="B462" s="209"/>
      <c r="C462" s="70"/>
    </row>
    <row r="463" spans="2:3" ht="13">
      <c r="B463" s="209"/>
      <c r="C463" s="70"/>
    </row>
    <row r="464" spans="2:3" ht="13">
      <c r="B464" s="209"/>
      <c r="C464" s="70"/>
    </row>
    <row r="465" spans="2:3" ht="13">
      <c r="B465" s="209"/>
      <c r="C465" s="70"/>
    </row>
    <row r="466" spans="2:3" ht="13">
      <c r="B466" s="209"/>
      <c r="C466" s="70"/>
    </row>
    <row r="467" spans="2:3" ht="13">
      <c r="B467" s="209"/>
      <c r="C467" s="70"/>
    </row>
    <row r="468" spans="2:3" ht="13">
      <c r="B468" s="209"/>
      <c r="C468" s="70"/>
    </row>
    <row r="469" spans="2:3" ht="13">
      <c r="B469" s="209"/>
      <c r="C469" s="70"/>
    </row>
    <row r="470" spans="2:3" ht="13">
      <c r="B470" s="209"/>
      <c r="C470" s="70"/>
    </row>
    <row r="471" spans="2:3" ht="13">
      <c r="B471" s="209"/>
      <c r="C471" s="70"/>
    </row>
    <row r="472" spans="2:3" ht="13">
      <c r="B472" s="209"/>
      <c r="C472" s="70"/>
    </row>
    <row r="473" spans="2:3" ht="13">
      <c r="B473" s="209"/>
      <c r="C473" s="70"/>
    </row>
    <row r="474" spans="2:3" ht="13">
      <c r="B474" s="209"/>
      <c r="C474" s="70"/>
    </row>
    <row r="475" spans="2:3" ht="13">
      <c r="B475" s="209"/>
      <c r="C475" s="70"/>
    </row>
    <row r="476" spans="2:3" ht="13">
      <c r="B476" s="209"/>
      <c r="C476" s="70"/>
    </row>
    <row r="477" spans="2:3" ht="13">
      <c r="B477" s="209"/>
      <c r="C477" s="70"/>
    </row>
    <row r="478" spans="2:3" ht="13">
      <c r="B478" s="209"/>
      <c r="C478" s="70"/>
    </row>
    <row r="479" spans="2:3" ht="13">
      <c r="B479" s="209"/>
      <c r="C479" s="70"/>
    </row>
    <row r="480" spans="2:3" ht="13">
      <c r="B480" s="209"/>
      <c r="C480" s="70"/>
    </row>
    <row r="481" spans="2:3" ht="13">
      <c r="B481" s="209"/>
      <c r="C481" s="70"/>
    </row>
    <row r="482" spans="2:3" ht="13">
      <c r="B482" s="209"/>
      <c r="C482" s="70"/>
    </row>
    <row r="483" spans="2:3" ht="13">
      <c r="B483" s="209"/>
      <c r="C483" s="70"/>
    </row>
    <row r="484" spans="2:3" ht="13">
      <c r="B484" s="209"/>
      <c r="C484" s="70"/>
    </row>
    <row r="485" spans="2:3" ht="13">
      <c r="B485" s="209"/>
      <c r="C485" s="70"/>
    </row>
    <row r="486" spans="2:3" ht="13">
      <c r="B486" s="209"/>
      <c r="C486" s="70"/>
    </row>
    <row r="487" spans="2:3" ht="13">
      <c r="B487" s="209"/>
      <c r="C487" s="70"/>
    </row>
    <row r="488" spans="2:3" ht="13">
      <c r="B488" s="209"/>
      <c r="C488" s="70"/>
    </row>
    <row r="489" spans="2:3" ht="13">
      <c r="B489" s="209"/>
      <c r="C489" s="70"/>
    </row>
    <row r="490" spans="2:3" ht="13">
      <c r="B490" s="209"/>
      <c r="C490" s="70"/>
    </row>
    <row r="491" spans="2:3" ht="13">
      <c r="B491" s="209"/>
      <c r="C491" s="70"/>
    </row>
    <row r="492" spans="2:3" ht="13">
      <c r="B492" s="209"/>
      <c r="C492" s="70"/>
    </row>
    <row r="493" spans="2:3" ht="13">
      <c r="B493" s="209"/>
      <c r="C493" s="70"/>
    </row>
    <row r="494" spans="2:3" ht="13">
      <c r="B494" s="209"/>
      <c r="C494" s="70"/>
    </row>
    <row r="495" spans="2:3" ht="13">
      <c r="B495" s="209"/>
      <c r="C495" s="70"/>
    </row>
    <row r="496" spans="2:3" ht="13">
      <c r="B496" s="209"/>
      <c r="C496" s="70"/>
    </row>
    <row r="497" spans="2:3" ht="13">
      <c r="B497" s="209"/>
      <c r="C497" s="70"/>
    </row>
    <row r="498" spans="2:3" ht="13">
      <c r="B498" s="209"/>
      <c r="C498" s="70"/>
    </row>
    <row r="499" spans="2:3" ht="13">
      <c r="B499" s="209"/>
      <c r="C499" s="70"/>
    </row>
    <row r="500" spans="2:3" ht="13">
      <c r="B500" s="209"/>
      <c r="C500" s="70"/>
    </row>
    <row r="501" spans="2:3" ht="13">
      <c r="B501" s="209"/>
      <c r="C501" s="70"/>
    </row>
    <row r="502" spans="2:3" ht="13">
      <c r="B502" s="209"/>
      <c r="C502" s="70"/>
    </row>
    <row r="503" spans="2:3" ht="13">
      <c r="B503" s="209"/>
      <c r="C503" s="70"/>
    </row>
    <row r="504" spans="2:3" ht="13">
      <c r="B504" s="209"/>
      <c r="C504" s="70"/>
    </row>
    <row r="505" spans="2:3" ht="13">
      <c r="B505" s="209"/>
      <c r="C505" s="70"/>
    </row>
    <row r="506" spans="2:3" ht="13">
      <c r="B506" s="209"/>
      <c r="C506" s="70"/>
    </row>
    <row r="507" spans="2:3" ht="13">
      <c r="B507" s="209"/>
      <c r="C507" s="70"/>
    </row>
    <row r="508" spans="2:3" ht="13">
      <c r="B508" s="209"/>
      <c r="C508" s="70"/>
    </row>
    <row r="509" spans="2:3" ht="13">
      <c r="B509" s="209"/>
      <c r="C509" s="70"/>
    </row>
    <row r="510" spans="2:3" ht="13">
      <c r="B510" s="209"/>
      <c r="C510" s="70"/>
    </row>
    <row r="511" spans="2:3" ht="13">
      <c r="B511" s="209"/>
      <c r="C511" s="70"/>
    </row>
    <row r="512" spans="2:3" ht="13">
      <c r="B512" s="209"/>
      <c r="C512" s="70"/>
    </row>
    <row r="513" spans="2:3" ht="13">
      <c r="B513" s="209"/>
      <c r="C513" s="70"/>
    </row>
    <row r="514" spans="2:3" ht="13">
      <c r="B514" s="209"/>
      <c r="C514" s="70"/>
    </row>
    <row r="515" spans="2:3" ht="13">
      <c r="B515" s="209"/>
      <c r="C515" s="70"/>
    </row>
    <row r="516" spans="2:3" ht="13">
      <c r="B516" s="209"/>
      <c r="C516" s="70"/>
    </row>
    <row r="517" spans="2:3" ht="13">
      <c r="B517" s="209"/>
      <c r="C517" s="70"/>
    </row>
    <row r="518" spans="2:3" ht="13">
      <c r="B518" s="209"/>
      <c r="C518" s="70"/>
    </row>
    <row r="519" spans="2:3" ht="13">
      <c r="B519" s="209"/>
      <c r="C519" s="70"/>
    </row>
    <row r="520" spans="2:3" ht="13">
      <c r="B520" s="209"/>
      <c r="C520" s="70"/>
    </row>
    <row r="521" spans="2:3" ht="13">
      <c r="B521" s="209"/>
      <c r="C521" s="70"/>
    </row>
    <row r="522" spans="2:3" ht="13">
      <c r="B522" s="209"/>
      <c r="C522" s="70"/>
    </row>
    <row r="523" spans="2:3" ht="13">
      <c r="B523" s="209"/>
      <c r="C523" s="70"/>
    </row>
    <row r="524" spans="2:3" ht="13">
      <c r="B524" s="209"/>
      <c r="C524" s="70"/>
    </row>
    <row r="525" spans="2:3" ht="13">
      <c r="B525" s="209"/>
      <c r="C525" s="70"/>
    </row>
    <row r="526" spans="2:3" ht="13">
      <c r="B526" s="209"/>
      <c r="C526" s="70"/>
    </row>
    <row r="527" spans="2:3" ht="13">
      <c r="B527" s="209"/>
      <c r="C527" s="70"/>
    </row>
    <row r="528" spans="2:3" ht="13">
      <c r="B528" s="209"/>
      <c r="C528" s="70"/>
    </row>
    <row r="529" spans="2:3" ht="13">
      <c r="B529" s="209"/>
      <c r="C529" s="70"/>
    </row>
    <row r="530" spans="2:3" ht="13">
      <c r="B530" s="209"/>
      <c r="C530" s="70"/>
    </row>
    <row r="531" spans="2:3" ht="13">
      <c r="B531" s="209"/>
      <c r="C531" s="70"/>
    </row>
    <row r="532" spans="2:3" ht="13">
      <c r="B532" s="209"/>
      <c r="C532" s="70"/>
    </row>
    <row r="533" spans="2:3" ht="13">
      <c r="B533" s="209"/>
      <c r="C533" s="70"/>
    </row>
    <row r="534" spans="2:3" ht="13">
      <c r="B534" s="209"/>
      <c r="C534" s="70"/>
    </row>
    <row r="535" spans="2:3" ht="13">
      <c r="B535" s="209"/>
      <c r="C535" s="70"/>
    </row>
    <row r="536" spans="2:3" ht="13">
      <c r="B536" s="209"/>
      <c r="C536" s="70"/>
    </row>
    <row r="537" spans="2:3" ht="13">
      <c r="B537" s="209"/>
      <c r="C537" s="70"/>
    </row>
    <row r="538" spans="2:3" ht="13">
      <c r="B538" s="209"/>
      <c r="C538" s="70"/>
    </row>
    <row r="539" spans="2:3" ht="13">
      <c r="B539" s="209"/>
      <c r="C539" s="70"/>
    </row>
    <row r="540" spans="2:3" ht="13">
      <c r="B540" s="209"/>
      <c r="C540" s="70"/>
    </row>
    <row r="541" spans="2:3" ht="13">
      <c r="B541" s="209"/>
      <c r="C541" s="70"/>
    </row>
    <row r="542" spans="2:3" ht="13">
      <c r="B542" s="209"/>
      <c r="C542" s="70"/>
    </row>
    <row r="543" spans="2:3" ht="13">
      <c r="B543" s="209"/>
      <c r="C543" s="70"/>
    </row>
    <row r="544" spans="2:3" ht="13">
      <c r="B544" s="209"/>
      <c r="C544" s="70"/>
    </row>
    <row r="545" spans="2:3" ht="13">
      <c r="B545" s="209"/>
      <c r="C545" s="70"/>
    </row>
    <row r="546" spans="2:3" ht="13">
      <c r="B546" s="209"/>
      <c r="C546" s="70"/>
    </row>
    <row r="547" spans="2:3" ht="13">
      <c r="B547" s="209"/>
      <c r="C547" s="70"/>
    </row>
    <row r="548" spans="2:3" ht="13">
      <c r="B548" s="209"/>
      <c r="C548" s="70"/>
    </row>
    <row r="549" spans="2:3" ht="13">
      <c r="B549" s="209"/>
      <c r="C549" s="70"/>
    </row>
    <row r="550" spans="2:3" ht="13">
      <c r="B550" s="209"/>
      <c r="C550" s="70"/>
    </row>
    <row r="551" spans="2:3" ht="13">
      <c r="B551" s="209"/>
      <c r="C551" s="70"/>
    </row>
    <row r="552" spans="2:3" ht="13">
      <c r="B552" s="209"/>
      <c r="C552" s="70"/>
    </row>
    <row r="553" spans="2:3" ht="13">
      <c r="B553" s="209"/>
      <c r="C553" s="70"/>
    </row>
    <row r="554" spans="2:3" ht="13">
      <c r="B554" s="209"/>
      <c r="C554" s="70"/>
    </row>
    <row r="555" spans="2:3" ht="13">
      <c r="B555" s="209"/>
      <c r="C555" s="70"/>
    </row>
    <row r="556" spans="2:3" ht="13">
      <c r="B556" s="209"/>
      <c r="C556" s="70"/>
    </row>
    <row r="557" spans="2:3" ht="13">
      <c r="B557" s="209"/>
      <c r="C557" s="70"/>
    </row>
    <row r="558" spans="2:3" ht="13">
      <c r="B558" s="209"/>
      <c r="C558" s="70"/>
    </row>
    <row r="559" spans="2:3" ht="13">
      <c r="B559" s="209"/>
      <c r="C559" s="70"/>
    </row>
    <row r="560" spans="2:3" ht="13">
      <c r="B560" s="209"/>
      <c r="C560" s="70"/>
    </row>
    <row r="561" spans="2:3" ht="13">
      <c r="B561" s="209"/>
      <c r="C561" s="70"/>
    </row>
    <row r="562" spans="2:3" ht="13">
      <c r="B562" s="209"/>
      <c r="C562" s="70"/>
    </row>
    <row r="563" spans="2:3" ht="13">
      <c r="B563" s="209"/>
      <c r="C563" s="70"/>
    </row>
    <row r="564" spans="2:3" ht="13">
      <c r="B564" s="209"/>
      <c r="C564" s="70"/>
    </row>
    <row r="565" spans="2:3" ht="13">
      <c r="B565" s="209"/>
      <c r="C565" s="70"/>
    </row>
    <row r="566" spans="2:3" ht="13">
      <c r="B566" s="209"/>
      <c r="C566" s="70"/>
    </row>
    <row r="567" spans="2:3" ht="13">
      <c r="B567" s="209"/>
      <c r="C567" s="70"/>
    </row>
    <row r="568" spans="2:3" ht="13">
      <c r="B568" s="209"/>
      <c r="C568" s="70"/>
    </row>
    <row r="569" spans="2:3" ht="13">
      <c r="B569" s="209"/>
      <c r="C569" s="70"/>
    </row>
    <row r="570" spans="2:3" ht="13">
      <c r="B570" s="209"/>
      <c r="C570" s="70"/>
    </row>
    <row r="571" spans="2:3" ht="13">
      <c r="B571" s="209"/>
      <c r="C571" s="70"/>
    </row>
    <row r="572" spans="2:3" ht="13">
      <c r="B572" s="209"/>
      <c r="C572" s="70"/>
    </row>
    <row r="573" spans="2:3" ht="13">
      <c r="B573" s="209"/>
      <c r="C573" s="70"/>
    </row>
    <row r="574" spans="2:3" ht="13">
      <c r="B574" s="209"/>
      <c r="C574" s="70"/>
    </row>
    <row r="575" spans="2:3" ht="13">
      <c r="B575" s="209"/>
      <c r="C575" s="70"/>
    </row>
    <row r="576" spans="2:3" ht="13">
      <c r="B576" s="209"/>
      <c r="C576" s="70"/>
    </row>
    <row r="577" spans="2:3" ht="13">
      <c r="B577" s="209"/>
      <c r="C577" s="70"/>
    </row>
    <row r="578" spans="2:3" ht="13">
      <c r="B578" s="209"/>
      <c r="C578" s="70"/>
    </row>
    <row r="579" spans="2:3" ht="13">
      <c r="B579" s="209"/>
      <c r="C579" s="70"/>
    </row>
    <row r="580" spans="2:3" ht="13">
      <c r="B580" s="209"/>
      <c r="C580" s="70"/>
    </row>
    <row r="581" spans="2:3" ht="13">
      <c r="B581" s="209"/>
      <c r="C581" s="70"/>
    </row>
    <row r="582" spans="2:3" ht="13">
      <c r="B582" s="209"/>
      <c r="C582" s="70"/>
    </row>
    <row r="583" spans="2:3" ht="13">
      <c r="B583" s="209"/>
      <c r="C583" s="70"/>
    </row>
    <row r="584" spans="2:3" ht="13">
      <c r="B584" s="209"/>
      <c r="C584" s="70"/>
    </row>
    <row r="585" spans="2:3" ht="13">
      <c r="B585" s="209"/>
      <c r="C585" s="70"/>
    </row>
    <row r="586" spans="2:3" ht="13">
      <c r="B586" s="209"/>
      <c r="C586" s="70"/>
    </row>
    <row r="587" spans="2:3" ht="13">
      <c r="B587" s="209"/>
      <c r="C587" s="70"/>
    </row>
    <row r="588" spans="2:3" ht="13">
      <c r="B588" s="209"/>
      <c r="C588" s="70"/>
    </row>
    <row r="589" spans="2:3" ht="13">
      <c r="B589" s="209"/>
      <c r="C589" s="70"/>
    </row>
    <row r="590" spans="2:3" ht="13">
      <c r="B590" s="209"/>
      <c r="C590" s="70"/>
    </row>
    <row r="591" spans="2:3" ht="13">
      <c r="B591" s="209"/>
      <c r="C591" s="70"/>
    </row>
    <row r="592" spans="2:3" ht="13">
      <c r="B592" s="209"/>
      <c r="C592" s="70"/>
    </row>
    <row r="593" spans="2:3" ht="13">
      <c r="B593" s="209"/>
      <c r="C593" s="70"/>
    </row>
    <row r="594" spans="2:3" ht="13">
      <c r="B594" s="209"/>
      <c r="C594" s="70"/>
    </row>
    <row r="595" spans="2:3" ht="13">
      <c r="B595" s="209"/>
      <c r="C595" s="70"/>
    </row>
    <row r="596" spans="2:3" ht="13">
      <c r="B596" s="209"/>
      <c r="C596" s="70"/>
    </row>
    <row r="597" spans="2:3" ht="13">
      <c r="B597" s="209"/>
      <c r="C597" s="70"/>
    </row>
    <row r="598" spans="2:3" ht="13">
      <c r="B598" s="209"/>
      <c r="C598" s="70"/>
    </row>
    <row r="599" spans="2:3" ht="13">
      <c r="B599" s="209"/>
      <c r="C599" s="70"/>
    </row>
    <row r="600" spans="2:3" ht="13">
      <c r="B600" s="209"/>
      <c r="C600" s="70"/>
    </row>
    <row r="601" spans="2:3" ht="13">
      <c r="B601" s="209"/>
      <c r="C601" s="70"/>
    </row>
    <row r="602" spans="2:3" ht="13">
      <c r="B602" s="209"/>
      <c r="C602" s="70"/>
    </row>
    <row r="603" spans="2:3" ht="13">
      <c r="B603" s="209"/>
      <c r="C603" s="70"/>
    </row>
    <row r="604" spans="2:3" ht="13">
      <c r="B604" s="209"/>
      <c r="C604" s="70"/>
    </row>
    <row r="605" spans="2:3" ht="13">
      <c r="B605" s="209"/>
      <c r="C605" s="70"/>
    </row>
    <row r="606" spans="2:3" ht="13">
      <c r="B606" s="209"/>
      <c r="C606" s="70"/>
    </row>
    <row r="607" spans="2:3" ht="13">
      <c r="B607" s="209"/>
      <c r="C607" s="70"/>
    </row>
    <row r="608" spans="2:3" ht="13">
      <c r="B608" s="209"/>
      <c r="C608" s="70"/>
    </row>
    <row r="609" spans="2:3" ht="13">
      <c r="B609" s="209"/>
      <c r="C609" s="70"/>
    </row>
    <row r="610" spans="2:3" ht="13">
      <c r="B610" s="209"/>
      <c r="C610" s="70"/>
    </row>
    <row r="611" spans="2:3" ht="13">
      <c r="B611" s="209"/>
      <c r="C611" s="70"/>
    </row>
    <row r="612" spans="2:3" ht="13">
      <c r="B612" s="209"/>
      <c r="C612" s="70"/>
    </row>
    <row r="613" spans="2:3" ht="13">
      <c r="B613" s="209"/>
      <c r="C613" s="70"/>
    </row>
    <row r="614" spans="2:3" ht="13">
      <c r="B614" s="209"/>
      <c r="C614" s="70"/>
    </row>
    <row r="615" spans="2:3" ht="13">
      <c r="B615" s="209"/>
      <c r="C615" s="70"/>
    </row>
    <row r="616" spans="2:3" ht="13">
      <c r="B616" s="209"/>
      <c r="C616" s="70"/>
    </row>
    <row r="617" spans="2:3" ht="13">
      <c r="B617" s="209"/>
      <c r="C617" s="70"/>
    </row>
    <row r="618" spans="2:3" ht="13">
      <c r="B618" s="209"/>
      <c r="C618" s="70"/>
    </row>
    <row r="619" spans="2:3" ht="13">
      <c r="B619" s="209"/>
      <c r="C619" s="70"/>
    </row>
    <row r="620" spans="2:3" ht="13">
      <c r="B620" s="209"/>
      <c r="C620" s="70"/>
    </row>
    <row r="621" spans="2:3" ht="13">
      <c r="B621" s="209"/>
      <c r="C621" s="70"/>
    </row>
    <row r="622" spans="2:3" ht="13">
      <c r="B622" s="209"/>
      <c r="C622" s="70"/>
    </row>
    <row r="623" spans="2:3" ht="13">
      <c r="B623" s="209"/>
      <c r="C623" s="70"/>
    </row>
    <row r="624" spans="2:3" ht="13">
      <c r="B624" s="209"/>
      <c r="C624" s="70"/>
    </row>
    <row r="625" spans="2:3" ht="13">
      <c r="B625" s="209"/>
      <c r="C625" s="70"/>
    </row>
    <row r="626" spans="2:3" ht="13">
      <c r="B626" s="209"/>
      <c r="C626" s="70"/>
    </row>
    <row r="627" spans="2:3" ht="13">
      <c r="B627" s="209"/>
      <c r="C627" s="70"/>
    </row>
    <row r="628" spans="2:3" ht="13">
      <c r="B628" s="209"/>
      <c r="C628" s="70"/>
    </row>
    <row r="629" spans="2:3" ht="13">
      <c r="B629" s="209"/>
      <c r="C629" s="70"/>
    </row>
    <row r="630" spans="2:3" ht="13">
      <c r="B630" s="209"/>
      <c r="C630" s="70"/>
    </row>
    <row r="631" spans="2:3" ht="13">
      <c r="B631" s="209"/>
      <c r="C631" s="70"/>
    </row>
    <row r="632" spans="2:3" ht="13">
      <c r="B632" s="209"/>
      <c r="C632" s="70"/>
    </row>
    <row r="633" spans="2:3" ht="13">
      <c r="B633" s="209"/>
      <c r="C633" s="70"/>
    </row>
    <row r="634" spans="2:3" ht="13">
      <c r="B634" s="209"/>
      <c r="C634" s="70"/>
    </row>
    <row r="635" spans="2:3" ht="13">
      <c r="B635" s="209"/>
      <c r="C635" s="70"/>
    </row>
    <row r="636" spans="2:3" ht="13">
      <c r="B636" s="209"/>
      <c r="C636" s="70"/>
    </row>
    <row r="637" spans="2:3" ht="13">
      <c r="B637" s="209"/>
      <c r="C637" s="70"/>
    </row>
    <row r="638" spans="2:3" ht="13">
      <c r="B638" s="209"/>
      <c r="C638" s="70"/>
    </row>
    <row r="639" spans="2:3" ht="13">
      <c r="B639" s="209"/>
      <c r="C639" s="70"/>
    </row>
    <row r="640" spans="2:3" ht="13">
      <c r="B640" s="209"/>
      <c r="C640" s="70"/>
    </row>
    <row r="641" spans="2:3" ht="13">
      <c r="B641" s="209"/>
      <c r="C641" s="70"/>
    </row>
    <row r="642" spans="2:3" ht="13">
      <c r="B642" s="209"/>
      <c r="C642" s="70"/>
    </row>
    <row r="643" spans="2:3" ht="13">
      <c r="B643" s="209"/>
      <c r="C643" s="70"/>
    </row>
    <row r="644" spans="2:3" ht="13">
      <c r="B644" s="209"/>
      <c r="C644" s="70"/>
    </row>
    <row r="645" spans="2:3" ht="13">
      <c r="B645" s="209"/>
      <c r="C645" s="70"/>
    </row>
    <row r="646" spans="2:3" ht="13">
      <c r="B646" s="209"/>
      <c r="C646" s="70"/>
    </row>
    <row r="647" spans="2:3" ht="13">
      <c r="B647" s="209"/>
      <c r="C647" s="70"/>
    </row>
    <row r="648" spans="2:3" ht="13">
      <c r="B648" s="209"/>
      <c r="C648" s="70"/>
    </row>
    <row r="649" spans="2:3" ht="13">
      <c r="B649" s="209"/>
      <c r="C649" s="70"/>
    </row>
    <row r="650" spans="2:3" ht="13">
      <c r="B650" s="209"/>
      <c r="C650" s="70"/>
    </row>
    <row r="651" spans="2:3" ht="13">
      <c r="B651" s="209"/>
      <c r="C651" s="70"/>
    </row>
    <row r="652" spans="2:3" ht="13">
      <c r="B652" s="209"/>
      <c r="C652" s="70"/>
    </row>
    <row r="653" spans="2:3" ht="13">
      <c r="B653" s="209"/>
      <c r="C653" s="70"/>
    </row>
    <row r="654" spans="2:3" ht="13">
      <c r="B654" s="209"/>
      <c r="C654" s="70"/>
    </row>
    <row r="655" spans="2:3" ht="13">
      <c r="B655" s="209"/>
      <c r="C655" s="70"/>
    </row>
    <row r="656" spans="2:3" ht="13">
      <c r="B656" s="209"/>
      <c r="C656" s="70"/>
    </row>
    <row r="657" spans="2:3" ht="13">
      <c r="B657" s="209"/>
      <c r="C657" s="70"/>
    </row>
    <row r="658" spans="2:3" ht="13">
      <c r="B658" s="209"/>
      <c r="C658" s="70"/>
    </row>
    <row r="659" spans="2:3" ht="13">
      <c r="B659" s="209"/>
      <c r="C659" s="70"/>
    </row>
    <row r="660" spans="2:3" ht="13">
      <c r="B660" s="209"/>
      <c r="C660" s="70"/>
    </row>
    <row r="661" spans="2:3" ht="13">
      <c r="B661" s="209"/>
      <c r="C661" s="70"/>
    </row>
    <row r="662" spans="2:3" ht="13">
      <c r="B662" s="209"/>
      <c r="C662" s="70"/>
    </row>
    <row r="663" spans="2:3" ht="13">
      <c r="B663" s="209"/>
      <c r="C663" s="70"/>
    </row>
    <row r="664" spans="2:3" ht="13">
      <c r="B664" s="209"/>
      <c r="C664" s="70"/>
    </row>
    <row r="665" spans="2:3" ht="13">
      <c r="B665" s="209"/>
      <c r="C665" s="70"/>
    </row>
    <row r="666" spans="2:3" ht="13">
      <c r="B666" s="209"/>
      <c r="C666" s="70"/>
    </row>
    <row r="667" spans="2:3" ht="13">
      <c r="B667" s="209"/>
      <c r="C667" s="70"/>
    </row>
    <row r="668" spans="2:3" ht="13">
      <c r="B668" s="209"/>
      <c r="C668" s="70"/>
    </row>
    <row r="669" spans="2:3" ht="13">
      <c r="B669" s="209"/>
      <c r="C669" s="70"/>
    </row>
    <row r="670" spans="2:3" ht="13">
      <c r="B670" s="209"/>
      <c r="C670" s="70"/>
    </row>
    <row r="671" spans="2:3" ht="13">
      <c r="B671" s="209"/>
      <c r="C671" s="70"/>
    </row>
    <row r="672" spans="2:3" ht="13">
      <c r="B672" s="209"/>
      <c r="C672" s="70"/>
    </row>
    <row r="673" spans="2:3" ht="13">
      <c r="B673" s="209"/>
      <c r="C673" s="70"/>
    </row>
    <row r="674" spans="2:3" ht="13">
      <c r="B674" s="209"/>
      <c r="C674" s="70"/>
    </row>
    <row r="675" spans="2:3" ht="13">
      <c r="B675" s="209"/>
      <c r="C675" s="70"/>
    </row>
    <row r="676" spans="2:3" ht="13">
      <c r="B676" s="209"/>
      <c r="C676" s="70"/>
    </row>
    <row r="677" spans="2:3" ht="13">
      <c r="B677" s="209"/>
      <c r="C677" s="70"/>
    </row>
    <row r="678" spans="2:3" ht="13">
      <c r="B678" s="209"/>
      <c r="C678" s="70"/>
    </row>
    <row r="679" spans="2:3" ht="13">
      <c r="B679" s="209"/>
      <c r="C679" s="70"/>
    </row>
    <row r="680" spans="2:3" ht="13">
      <c r="B680" s="209"/>
      <c r="C680" s="70"/>
    </row>
    <row r="681" spans="2:3" ht="13">
      <c r="B681" s="209"/>
      <c r="C681" s="70"/>
    </row>
    <row r="682" spans="2:3" ht="13">
      <c r="B682" s="209"/>
      <c r="C682" s="70"/>
    </row>
    <row r="683" spans="2:3" ht="13">
      <c r="B683" s="209"/>
      <c r="C683" s="70"/>
    </row>
    <row r="684" spans="2:3" ht="13">
      <c r="B684" s="209"/>
      <c r="C684" s="70"/>
    </row>
    <row r="685" spans="2:3" ht="13">
      <c r="B685" s="209"/>
      <c r="C685" s="70"/>
    </row>
    <row r="686" spans="2:3" ht="13">
      <c r="B686" s="209"/>
      <c r="C686" s="70"/>
    </row>
    <row r="687" spans="2:3" ht="13">
      <c r="B687" s="209"/>
      <c r="C687" s="70"/>
    </row>
    <row r="688" spans="2:3" ht="13">
      <c r="B688" s="209"/>
      <c r="C688" s="70"/>
    </row>
    <row r="689" spans="2:3" ht="13">
      <c r="B689" s="209"/>
      <c r="C689" s="70"/>
    </row>
    <row r="690" spans="2:3" ht="13">
      <c r="B690" s="209"/>
      <c r="C690" s="70"/>
    </row>
    <row r="691" spans="2:3" ht="13">
      <c r="B691" s="209"/>
      <c r="C691" s="70"/>
    </row>
    <row r="692" spans="2:3" ht="13">
      <c r="B692" s="209"/>
      <c r="C692" s="70"/>
    </row>
    <row r="693" spans="2:3" ht="13">
      <c r="B693" s="209"/>
      <c r="C693" s="70"/>
    </row>
    <row r="694" spans="2:3" ht="13">
      <c r="B694" s="209"/>
      <c r="C694" s="70"/>
    </row>
    <row r="695" spans="2:3" ht="13">
      <c r="B695" s="209"/>
      <c r="C695" s="70"/>
    </row>
    <row r="696" spans="2:3" ht="13">
      <c r="B696" s="209"/>
      <c r="C696" s="70"/>
    </row>
    <row r="697" spans="2:3" ht="13">
      <c r="B697" s="209"/>
      <c r="C697" s="70"/>
    </row>
    <row r="698" spans="2:3" ht="13">
      <c r="B698" s="209"/>
      <c r="C698" s="70"/>
    </row>
    <row r="699" spans="2:3" ht="13">
      <c r="B699" s="209"/>
      <c r="C699" s="70"/>
    </row>
    <row r="700" spans="2:3" ht="13">
      <c r="B700" s="209"/>
      <c r="C700" s="70"/>
    </row>
    <row r="701" spans="2:3" ht="13">
      <c r="B701" s="209"/>
      <c r="C701" s="70"/>
    </row>
    <row r="702" spans="2:3" ht="13">
      <c r="B702" s="209"/>
      <c r="C702" s="70"/>
    </row>
    <row r="703" spans="2:3" ht="13">
      <c r="B703" s="209"/>
      <c r="C703" s="70"/>
    </row>
    <row r="704" spans="2:3" ht="13">
      <c r="B704" s="209"/>
      <c r="C704" s="70"/>
    </row>
    <row r="705" spans="2:3" ht="13">
      <c r="B705" s="209"/>
      <c r="C705" s="70"/>
    </row>
    <row r="706" spans="2:3" ht="13">
      <c r="B706" s="209"/>
      <c r="C706" s="70"/>
    </row>
    <row r="707" spans="2:3" ht="13">
      <c r="B707" s="209"/>
      <c r="C707" s="70"/>
    </row>
    <row r="708" spans="2:3" ht="13">
      <c r="B708" s="209"/>
      <c r="C708" s="70"/>
    </row>
    <row r="709" spans="2:3" ht="13">
      <c r="B709" s="209"/>
      <c r="C709" s="70"/>
    </row>
    <row r="710" spans="2:3" ht="13">
      <c r="B710" s="209"/>
      <c r="C710" s="70"/>
    </row>
    <row r="711" spans="2:3" ht="13">
      <c r="B711" s="209"/>
      <c r="C711" s="70"/>
    </row>
    <row r="712" spans="2:3" ht="13">
      <c r="B712" s="209"/>
      <c r="C712" s="70"/>
    </row>
    <row r="713" spans="2:3" ht="13">
      <c r="B713" s="209"/>
      <c r="C713" s="70"/>
    </row>
    <row r="714" spans="2:3" ht="13">
      <c r="B714" s="209"/>
      <c r="C714" s="70"/>
    </row>
    <row r="715" spans="2:3" ht="13">
      <c r="B715" s="209"/>
      <c r="C715" s="70"/>
    </row>
    <row r="716" spans="2:3" ht="13">
      <c r="B716" s="209"/>
      <c r="C716" s="70"/>
    </row>
    <row r="717" spans="2:3" ht="13">
      <c r="B717" s="209"/>
      <c r="C717" s="70"/>
    </row>
    <row r="718" spans="2:3" ht="13">
      <c r="B718" s="209"/>
      <c r="C718" s="70"/>
    </row>
    <row r="719" spans="2:3" ht="13">
      <c r="B719" s="209"/>
      <c r="C719" s="70"/>
    </row>
    <row r="720" spans="2:3" ht="13">
      <c r="B720" s="209"/>
      <c r="C720" s="70"/>
    </row>
    <row r="721" spans="2:3" ht="13">
      <c r="B721" s="209"/>
      <c r="C721" s="70"/>
    </row>
    <row r="722" spans="2:3" ht="13">
      <c r="B722" s="209"/>
      <c r="C722" s="70"/>
    </row>
    <row r="723" spans="2:3" ht="13">
      <c r="B723" s="209"/>
      <c r="C723" s="70"/>
    </row>
    <row r="724" spans="2:3" ht="13">
      <c r="B724" s="209"/>
      <c r="C724" s="70"/>
    </row>
    <row r="725" spans="2:3" ht="13">
      <c r="B725" s="209"/>
      <c r="C725" s="70"/>
    </row>
    <row r="726" spans="2:3" ht="13">
      <c r="B726" s="209"/>
      <c r="C726" s="70"/>
    </row>
    <row r="727" spans="2:3" ht="13">
      <c r="B727" s="209"/>
      <c r="C727" s="70"/>
    </row>
    <row r="728" spans="2:3" ht="13">
      <c r="B728" s="209"/>
      <c r="C728" s="70"/>
    </row>
    <row r="729" spans="2:3" ht="13">
      <c r="B729" s="209"/>
      <c r="C729" s="70"/>
    </row>
    <row r="730" spans="2:3" ht="13">
      <c r="B730" s="209"/>
      <c r="C730" s="70"/>
    </row>
    <row r="731" spans="2:3" ht="13">
      <c r="B731" s="209"/>
      <c r="C731" s="70"/>
    </row>
    <row r="732" spans="2:3" ht="13">
      <c r="B732" s="209"/>
      <c r="C732" s="70"/>
    </row>
    <row r="733" spans="2:3" ht="13">
      <c r="B733" s="209"/>
      <c r="C733" s="70"/>
    </row>
    <row r="734" spans="2:3" ht="13">
      <c r="B734" s="209"/>
      <c r="C734" s="70"/>
    </row>
    <row r="735" spans="2:3" ht="13">
      <c r="B735" s="209"/>
      <c r="C735" s="70"/>
    </row>
    <row r="736" spans="2:3" ht="13">
      <c r="B736" s="209"/>
      <c r="C736" s="70"/>
    </row>
    <row r="737" spans="2:3" ht="13">
      <c r="B737" s="209"/>
      <c r="C737" s="70"/>
    </row>
    <row r="738" spans="2:3" ht="13">
      <c r="B738" s="209"/>
      <c r="C738" s="70"/>
    </row>
    <row r="739" spans="2:3" ht="13">
      <c r="B739" s="209"/>
      <c r="C739" s="70"/>
    </row>
    <row r="740" spans="2:3" ht="13">
      <c r="B740" s="209"/>
      <c r="C740" s="70"/>
    </row>
    <row r="741" spans="2:3" ht="13">
      <c r="B741" s="209"/>
      <c r="C741" s="70"/>
    </row>
    <row r="742" spans="2:3" ht="13">
      <c r="B742" s="209"/>
      <c r="C742" s="70"/>
    </row>
    <row r="743" spans="2:3" ht="13">
      <c r="B743" s="209"/>
      <c r="C743" s="70"/>
    </row>
    <row r="744" spans="2:3" ht="13">
      <c r="B744" s="209"/>
      <c r="C744" s="70"/>
    </row>
    <row r="745" spans="2:3" ht="13">
      <c r="B745" s="209"/>
      <c r="C745" s="70"/>
    </row>
    <row r="746" spans="2:3" ht="13">
      <c r="B746" s="209"/>
      <c r="C746" s="70"/>
    </row>
    <row r="747" spans="2:3" ht="13">
      <c r="B747" s="209"/>
      <c r="C747" s="70"/>
    </row>
    <row r="748" spans="2:3" ht="13">
      <c r="B748" s="209"/>
      <c r="C748" s="70"/>
    </row>
    <row r="749" spans="2:3" ht="13">
      <c r="B749" s="209"/>
      <c r="C749" s="70"/>
    </row>
    <row r="750" spans="2:3" ht="13">
      <c r="B750" s="209"/>
      <c r="C750" s="70"/>
    </row>
    <row r="751" spans="2:3" ht="13">
      <c r="B751" s="209"/>
      <c r="C751" s="70"/>
    </row>
    <row r="752" spans="2:3" ht="13">
      <c r="B752" s="209"/>
      <c r="C752" s="70"/>
    </row>
    <row r="753" spans="2:3" ht="13">
      <c r="B753" s="209"/>
      <c r="C753" s="70"/>
    </row>
    <row r="754" spans="2:3" ht="13">
      <c r="B754" s="209"/>
      <c r="C754" s="70"/>
    </row>
    <row r="755" spans="2:3" ht="13">
      <c r="B755" s="209"/>
      <c r="C755" s="70"/>
    </row>
    <row r="756" spans="2:3" ht="13">
      <c r="B756" s="209"/>
      <c r="C756" s="70"/>
    </row>
    <row r="757" spans="2:3" ht="13">
      <c r="B757" s="209"/>
      <c r="C757" s="70"/>
    </row>
    <row r="758" spans="2:3" ht="13">
      <c r="B758" s="209"/>
      <c r="C758" s="70"/>
    </row>
    <row r="759" spans="2:3" ht="13">
      <c r="B759" s="209"/>
      <c r="C759" s="70"/>
    </row>
    <row r="760" spans="2:3" ht="13">
      <c r="B760" s="209"/>
      <c r="C760" s="70"/>
    </row>
    <row r="761" spans="2:3" ht="13">
      <c r="B761" s="209"/>
      <c r="C761" s="70"/>
    </row>
    <row r="762" spans="2:3" ht="13">
      <c r="B762" s="209"/>
      <c r="C762" s="70"/>
    </row>
    <row r="763" spans="2:3" ht="13">
      <c r="B763" s="209"/>
      <c r="C763" s="70"/>
    </row>
    <row r="764" spans="2:3" ht="13">
      <c r="B764" s="209"/>
      <c r="C764" s="70"/>
    </row>
    <row r="765" spans="2:3" ht="13">
      <c r="B765" s="209"/>
      <c r="C765" s="70"/>
    </row>
    <row r="766" spans="2:3" ht="13">
      <c r="B766" s="209"/>
      <c r="C766" s="70"/>
    </row>
    <row r="767" spans="2:3" ht="13">
      <c r="B767" s="209"/>
      <c r="C767" s="70"/>
    </row>
    <row r="768" spans="2:3" ht="13">
      <c r="B768" s="209"/>
      <c r="C768" s="70"/>
    </row>
    <row r="769" spans="2:3" ht="13">
      <c r="B769" s="209"/>
      <c r="C769" s="70"/>
    </row>
    <row r="770" spans="2:3" ht="13">
      <c r="B770" s="209"/>
      <c r="C770" s="70"/>
    </row>
    <row r="771" spans="2:3" ht="13">
      <c r="B771" s="209"/>
      <c r="C771" s="70"/>
    </row>
    <row r="772" spans="2:3" ht="13">
      <c r="B772" s="209"/>
      <c r="C772" s="70"/>
    </row>
    <row r="773" spans="2:3" ht="13">
      <c r="B773" s="209"/>
      <c r="C773" s="70"/>
    </row>
    <row r="774" spans="2:3" ht="13">
      <c r="B774" s="209"/>
      <c r="C774" s="70"/>
    </row>
    <row r="775" spans="2:3" ht="13">
      <c r="B775" s="209"/>
      <c r="C775" s="70"/>
    </row>
    <row r="776" spans="2:3" ht="13">
      <c r="B776" s="209"/>
      <c r="C776" s="70"/>
    </row>
    <row r="777" spans="2:3" ht="13">
      <c r="B777" s="209"/>
      <c r="C777" s="70"/>
    </row>
    <row r="778" spans="2:3" ht="13">
      <c r="B778" s="209"/>
      <c r="C778" s="70"/>
    </row>
    <row r="779" spans="2:3" ht="13">
      <c r="B779" s="209"/>
      <c r="C779" s="70"/>
    </row>
    <row r="780" spans="2:3" ht="13">
      <c r="B780" s="209"/>
      <c r="C780" s="70"/>
    </row>
    <row r="781" spans="2:3" ht="13">
      <c r="B781" s="209"/>
      <c r="C781" s="70"/>
    </row>
    <row r="782" spans="2:3" ht="13">
      <c r="B782" s="209"/>
      <c r="C782" s="70"/>
    </row>
    <row r="783" spans="2:3" ht="13">
      <c r="B783" s="209"/>
      <c r="C783" s="70"/>
    </row>
    <row r="784" spans="2:3" ht="13">
      <c r="B784" s="209"/>
      <c r="C784" s="70"/>
    </row>
    <row r="785" spans="2:3" ht="13">
      <c r="B785" s="209"/>
      <c r="C785" s="70"/>
    </row>
    <row r="786" spans="2:3" ht="13">
      <c r="B786" s="209"/>
      <c r="C786" s="70"/>
    </row>
    <row r="787" spans="2:3" ht="13">
      <c r="B787" s="209"/>
      <c r="C787" s="70"/>
    </row>
    <row r="788" spans="2:3" ht="13">
      <c r="B788" s="209"/>
      <c r="C788" s="70"/>
    </row>
    <row r="789" spans="2:3" ht="13">
      <c r="B789" s="209"/>
      <c r="C789" s="70"/>
    </row>
    <row r="790" spans="2:3" ht="13">
      <c r="B790" s="209"/>
      <c r="C790" s="70"/>
    </row>
    <row r="791" spans="2:3" ht="13">
      <c r="B791" s="209"/>
      <c r="C791" s="70"/>
    </row>
    <row r="792" spans="2:3" ht="13">
      <c r="B792" s="209"/>
      <c r="C792" s="70"/>
    </row>
    <row r="793" spans="2:3" ht="13">
      <c r="B793" s="209"/>
      <c r="C793" s="70"/>
    </row>
    <row r="794" spans="2:3" ht="13">
      <c r="B794" s="209"/>
      <c r="C794" s="70"/>
    </row>
    <row r="795" spans="2:3" ht="13">
      <c r="B795" s="209"/>
      <c r="C795" s="70"/>
    </row>
    <row r="796" spans="2:3" ht="13">
      <c r="B796" s="209"/>
      <c r="C796" s="70"/>
    </row>
    <row r="797" spans="2:3" ht="13">
      <c r="B797" s="209"/>
      <c r="C797" s="70"/>
    </row>
    <row r="798" spans="2:3" ht="13">
      <c r="B798" s="209"/>
      <c r="C798" s="70"/>
    </row>
    <row r="799" spans="2:3" ht="13">
      <c r="B799" s="209"/>
      <c r="C799" s="70"/>
    </row>
    <row r="800" spans="2:3" ht="13">
      <c r="B800" s="209"/>
      <c r="C800" s="70"/>
    </row>
    <row r="801" spans="2:3" ht="13">
      <c r="B801" s="209"/>
      <c r="C801" s="70"/>
    </row>
    <row r="802" spans="2:3" ht="13">
      <c r="B802" s="209"/>
      <c r="C802" s="70"/>
    </row>
    <row r="803" spans="2:3" ht="13">
      <c r="B803" s="209"/>
      <c r="C803" s="70"/>
    </row>
    <row r="804" spans="2:3" ht="13">
      <c r="B804" s="209"/>
      <c r="C804" s="70"/>
    </row>
    <row r="805" spans="2:3" ht="13">
      <c r="B805" s="209"/>
      <c r="C805" s="70"/>
    </row>
    <row r="806" spans="2:3" ht="13">
      <c r="B806" s="209"/>
      <c r="C806" s="70"/>
    </row>
    <row r="807" spans="2:3" ht="13">
      <c r="B807" s="209"/>
      <c r="C807" s="70"/>
    </row>
    <row r="808" spans="2:3" ht="13">
      <c r="B808" s="209"/>
      <c r="C808" s="70"/>
    </row>
    <row r="809" spans="2:3" ht="13">
      <c r="B809" s="209"/>
      <c r="C809" s="70"/>
    </row>
    <row r="810" spans="2:3" ht="13">
      <c r="B810" s="209"/>
      <c r="C810" s="70"/>
    </row>
    <row r="811" spans="2:3" ht="13">
      <c r="B811" s="209"/>
      <c r="C811" s="70"/>
    </row>
    <row r="812" spans="2:3" ht="13">
      <c r="B812" s="209"/>
      <c r="C812" s="70"/>
    </row>
    <row r="813" spans="2:3" ht="13">
      <c r="B813" s="209"/>
      <c r="C813" s="70"/>
    </row>
    <row r="814" spans="2:3" ht="13">
      <c r="B814" s="209"/>
      <c r="C814" s="70"/>
    </row>
    <row r="815" spans="2:3" ht="13">
      <c r="B815" s="209"/>
      <c r="C815" s="70"/>
    </row>
    <row r="816" spans="2:3" ht="13">
      <c r="B816" s="209"/>
      <c r="C816" s="70"/>
    </row>
    <row r="817" spans="2:3" ht="13">
      <c r="B817" s="209"/>
      <c r="C817" s="70"/>
    </row>
    <row r="818" spans="2:3" ht="13">
      <c r="B818" s="209"/>
      <c r="C818" s="70"/>
    </row>
    <row r="819" spans="2:3" ht="13">
      <c r="B819" s="209"/>
      <c r="C819" s="70"/>
    </row>
    <row r="820" spans="2:3" ht="13">
      <c r="B820" s="209"/>
      <c r="C820" s="70"/>
    </row>
    <row r="821" spans="2:3" ht="13">
      <c r="B821" s="209"/>
      <c r="C821" s="70"/>
    </row>
    <row r="822" spans="2:3" ht="13">
      <c r="B822" s="209"/>
      <c r="C822" s="70"/>
    </row>
    <row r="823" spans="2:3" ht="13">
      <c r="B823" s="209"/>
      <c r="C823" s="70"/>
    </row>
    <row r="824" spans="2:3" ht="13">
      <c r="B824" s="209"/>
      <c r="C824" s="70"/>
    </row>
    <row r="825" spans="2:3" ht="13">
      <c r="B825" s="209"/>
      <c r="C825" s="70"/>
    </row>
    <row r="826" spans="2:3" ht="13">
      <c r="B826" s="209"/>
      <c r="C826" s="70"/>
    </row>
    <row r="827" spans="2:3" ht="13">
      <c r="B827" s="209"/>
      <c r="C827" s="70"/>
    </row>
    <row r="828" spans="2:3" ht="13">
      <c r="B828" s="209"/>
      <c r="C828" s="70"/>
    </row>
    <row r="829" spans="2:3" ht="13">
      <c r="B829" s="209"/>
      <c r="C829" s="70"/>
    </row>
    <row r="830" spans="2:3" ht="13">
      <c r="B830" s="209"/>
      <c r="C830" s="70"/>
    </row>
    <row r="831" spans="2:3" ht="13">
      <c r="B831" s="209"/>
      <c r="C831" s="70"/>
    </row>
    <row r="832" spans="2:3" ht="13">
      <c r="B832" s="209"/>
      <c r="C832" s="70"/>
    </row>
    <row r="833" spans="2:3" ht="13">
      <c r="B833" s="209"/>
      <c r="C833" s="70"/>
    </row>
    <row r="834" spans="2:3" ht="13">
      <c r="B834" s="209"/>
      <c r="C834" s="70"/>
    </row>
    <row r="835" spans="2:3" ht="13">
      <c r="B835" s="209"/>
      <c r="C835" s="70"/>
    </row>
    <row r="836" spans="2:3" ht="13">
      <c r="B836" s="209"/>
      <c r="C836" s="70"/>
    </row>
    <row r="837" spans="2:3" ht="13">
      <c r="B837" s="209"/>
      <c r="C837" s="70"/>
    </row>
    <row r="838" spans="2:3" ht="13">
      <c r="B838" s="209"/>
      <c r="C838" s="70"/>
    </row>
    <row r="839" spans="2:3" ht="13">
      <c r="B839" s="209"/>
      <c r="C839" s="70"/>
    </row>
    <row r="840" spans="2:3" ht="13">
      <c r="B840" s="209"/>
      <c r="C840" s="70"/>
    </row>
    <row r="841" spans="2:3" ht="13">
      <c r="B841" s="209"/>
      <c r="C841" s="70"/>
    </row>
    <row r="842" spans="2:3" ht="13">
      <c r="B842" s="209"/>
      <c r="C842" s="70"/>
    </row>
    <row r="843" spans="2:3" ht="13">
      <c r="B843" s="209"/>
      <c r="C843" s="70"/>
    </row>
    <row r="844" spans="2:3" ht="13">
      <c r="B844" s="209"/>
      <c r="C844" s="70"/>
    </row>
    <row r="845" spans="2:3" ht="13">
      <c r="B845" s="209"/>
      <c r="C845" s="70"/>
    </row>
    <row r="846" spans="2:3" ht="13">
      <c r="B846" s="209"/>
      <c r="C846" s="70"/>
    </row>
    <row r="847" spans="2:3" ht="13">
      <c r="B847" s="209"/>
      <c r="C847" s="70"/>
    </row>
    <row r="848" spans="2:3" ht="13">
      <c r="B848" s="209"/>
      <c r="C848" s="70"/>
    </row>
    <row r="849" spans="2:3" ht="13">
      <c r="B849" s="209"/>
      <c r="C849" s="70"/>
    </row>
    <row r="850" spans="2:3" ht="13">
      <c r="B850" s="209"/>
      <c r="C850" s="70"/>
    </row>
    <row r="851" spans="2:3" ht="13">
      <c r="B851" s="209"/>
      <c r="C851" s="70"/>
    </row>
    <row r="852" spans="2:3" ht="13">
      <c r="B852" s="209"/>
      <c r="C852" s="70"/>
    </row>
    <row r="853" spans="2:3" ht="13">
      <c r="B853" s="209"/>
      <c r="C853" s="70"/>
    </row>
    <row r="854" spans="2:3" ht="13">
      <c r="B854" s="209"/>
      <c r="C854" s="70"/>
    </row>
    <row r="855" spans="2:3" ht="13">
      <c r="B855" s="209"/>
      <c r="C855" s="70"/>
    </row>
    <row r="856" spans="2:3" ht="13">
      <c r="B856" s="209"/>
      <c r="C856" s="70"/>
    </row>
    <row r="857" spans="2:3" ht="13">
      <c r="B857" s="209"/>
      <c r="C857" s="70"/>
    </row>
    <row r="858" spans="2:3" ht="13">
      <c r="B858" s="209"/>
      <c r="C858" s="70"/>
    </row>
    <row r="859" spans="2:3" ht="13">
      <c r="B859" s="209"/>
      <c r="C859" s="70"/>
    </row>
    <row r="860" spans="2:3" ht="13">
      <c r="B860" s="209"/>
      <c r="C860" s="70"/>
    </row>
    <row r="861" spans="2:3" ht="13">
      <c r="B861" s="209"/>
      <c r="C861" s="70"/>
    </row>
    <row r="862" spans="2:3" ht="13">
      <c r="B862" s="209"/>
      <c r="C862" s="70"/>
    </row>
    <row r="863" spans="2:3" ht="13">
      <c r="B863" s="209"/>
      <c r="C863" s="70"/>
    </row>
    <row r="864" spans="2:3" ht="13">
      <c r="B864" s="209"/>
      <c r="C864" s="70"/>
    </row>
    <row r="865" spans="2:3" ht="13">
      <c r="B865" s="209"/>
      <c r="C865" s="70"/>
    </row>
    <row r="866" spans="2:3" ht="13">
      <c r="B866" s="209"/>
      <c r="C866" s="70"/>
    </row>
    <row r="867" spans="2:3" ht="13">
      <c r="B867" s="209"/>
      <c r="C867" s="70"/>
    </row>
    <row r="868" spans="2:3" ht="13">
      <c r="B868" s="209"/>
      <c r="C868" s="70"/>
    </row>
    <row r="869" spans="2:3" ht="13">
      <c r="B869" s="209"/>
      <c r="C869" s="70"/>
    </row>
    <row r="870" spans="2:3" ht="13">
      <c r="B870" s="209"/>
      <c r="C870" s="70"/>
    </row>
    <row r="871" spans="2:3" ht="13">
      <c r="B871" s="209"/>
      <c r="C871" s="70"/>
    </row>
    <row r="872" spans="2:3" ht="13">
      <c r="B872" s="209"/>
      <c r="C872" s="70"/>
    </row>
    <row r="873" spans="2:3" ht="13">
      <c r="B873" s="209"/>
      <c r="C873" s="70"/>
    </row>
    <row r="874" spans="2:3" ht="13">
      <c r="B874" s="209"/>
      <c r="C874" s="70"/>
    </row>
    <row r="875" spans="2:3" ht="13">
      <c r="B875" s="209"/>
      <c r="C875" s="70"/>
    </row>
    <row r="876" spans="2:3" ht="13">
      <c r="B876" s="209"/>
      <c r="C876" s="70"/>
    </row>
    <row r="877" spans="2:3" ht="13">
      <c r="B877" s="209"/>
      <c r="C877" s="70"/>
    </row>
    <row r="878" spans="2:3" ht="13">
      <c r="B878" s="209"/>
      <c r="C878" s="70"/>
    </row>
    <row r="879" spans="2:3" ht="13">
      <c r="B879" s="209"/>
      <c r="C879" s="70"/>
    </row>
    <row r="880" spans="2:3" ht="13">
      <c r="B880" s="209"/>
      <c r="C880" s="70"/>
    </row>
    <row r="881" spans="2:3" ht="13">
      <c r="B881" s="209"/>
      <c r="C881" s="70"/>
    </row>
    <row r="882" spans="2:3" ht="13">
      <c r="B882" s="209"/>
      <c r="C882" s="70"/>
    </row>
    <row r="883" spans="2:3" ht="13">
      <c r="B883" s="209"/>
      <c r="C883" s="70"/>
    </row>
    <row r="884" spans="2:3" ht="13">
      <c r="B884" s="209"/>
      <c r="C884" s="70"/>
    </row>
    <row r="885" spans="2:3" ht="13">
      <c r="B885" s="209"/>
      <c r="C885" s="70"/>
    </row>
    <row r="886" spans="2:3" ht="13">
      <c r="B886" s="209"/>
      <c r="C886" s="70"/>
    </row>
    <row r="887" spans="2:3" ht="13">
      <c r="B887" s="209"/>
      <c r="C887" s="70"/>
    </row>
    <row r="888" spans="2:3" ht="13">
      <c r="B888" s="209"/>
      <c r="C888" s="70"/>
    </row>
    <row r="889" spans="2:3" ht="13">
      <c r="B889" s="209"/>
      <c r="C889" s="70"/>
    </row>
    <row r="890" spans="2:3" ht="13">
      <c r="B890" s="209"/>
      <c r="C890" s="70"/>
    </row>
    <row r="891" spans="2:3" ht="13">
      <c r="B891" s="209"/>
      <c r="C891" s="70"/>
    </row>
    <row r="892" spans="2:3" ht="13">
      <c r="B892" s="209"/>
      <c r="C892" s="70"/>
    </row>
    <row r="893" spans="2:3" ht="13">
      <c r="B893" s="209"/>
      <c r="C893" s="70"/>
    </row>
    <row r="894" spans="2:3" ht="13">
      <c r="B894" s="209"/>
      <c r="C894" s="70"/>
    </row>
    <row r="895" spans="2:3" ht="13">
      <c r="B895" s="209"/>
      <c r="C895" s="70"/>
    </row>
    <row r="896" spans="2:3" ht="13">
      <c r="B896" s="209"/>
      <c r="C896" s="70"/>
    </row>
    <row r="897" spans="2:3" ht="13">
      <c r="B897" s="209"/>
      <c r="C897" s="70"/>
    </row>
    <row r="898" spans="2:3" ht="13">
      <c r="B898" s="209"/>
      <c r="C898" s="70"/>
    </row>
    <row r="899" spans="2:3" ht="13">
      <c r="B899" s="209"/>
      <c r="C899" s="70"/>
    </row>
    <row r="900" spans="2:3" ht="13">
      <c r="B900" s="209"/>
      <c r="C900" s="70"/>
    </row>
    <row r="901" spans="2:3" ht="13">
      <c r="B901" s="209"/>
      <c r="C901" s="70"/>
    </row>
    <row r="902" spans="2:3" ht="13">
      <c r="B902" s="209"/>
      <c r="C902" s="70"/>
    </row>
    <row r="903" spans="2:3" ht="13">
      <c r="B903" s="209"/>
      <c r="C903" s="70"/>
    </row>
    <row r="904" spans="2:3" ht="13">
      <c r="B904" s="209"/>
      <c r="C904" s="70"/>
    </row>
    <row r="905" spans="2:3" ht="13">
      <c r="B905" s="209"/>
      <c r="C905" s="70"/>
    </row>
    <row r="906" spans="2:3" ht="13">
      <c r="B906" s="209"/>
      <c r="C906" s="70"/>
    </row>
    <row r="907" spans="2:3" ht="13">
      <c r="B907" s="209"/>
      <c r="C907" s="70"/>
    </row>
    <row r="908" spans="2:3" ht="13">
      <c r="B908" s="209"/>
      <c r="C908" s="70"/>
    </row>
    <row r="909" spans="2:3" ht="13">
      <c r="B909" s="209"/>
      <c r="C909" s="70"/>
    </row>
    <row r="910" spans="2:3" ht="13">
      <c r="B910" s="209"/>
      <c r="C910" s="70"/>
    </row>
    <row r="911" spans="2:3" ht="13">
      <c r="B911" s="209"/>
      <c r="C911" s="70"/>
    </row>
    <row r="912" spans="2:3" ht="13">
      <c r="B912" s="209"/>
      <c r="C912" s="70"/>
    </row>
    <row r="913" spans="2:3" ht="13">
      <c r="B913" s="209"/>
      <c r="C913" s="70"/>
    </row>
    <row r="914" spans="2:3" ht="13">
      <c r="B914" s="209"/>
      <c r="C914" s="70"/>
    </row>
    <row r="915" spans="2:3" ht="13">
      <c r="B915" s="209"/>
      <c r="C915" s="70"/>
    </row>
    <row r="916" spans="2:3" ht="13">
      <c r="B916" s="209"/>
      <c r="C916" s="70"/>
    </row>
    <row r="917" spans="2:3" ht="13">
      <c r="B917" s="209"/>
      <c r="C917" s="70"/>
    </row>
    <row r="918" spans="2:3" ht="13">
      <c r="B918" s="209"/>
      <c r="C918" s="70"/>
    </row>
    <row r="919" spans="2:3" ht="13">
      <c r="B919" s="209"/>
      <c r="C919" s="70"/>
    </row>
    <row r="920" spans="2:3" ht="13">
      <c r="B920" s="209"/>
      <c r="C920" s="70"/>
    </row>
    <row r="921" spans="2:3" ht="13">
      <c r="B921" s="209"/>
      <c r="C921" s="70"/>
    </row>
    <row r="922" spans="2:3" ht="13">
      <c r="B922" s="209"/>
      <c r="C922" s="70"/>
    </row>
    <row r="923" spans="2:3" ht="13">
      <c r="B923" s="209"/>
      <c r="C923" s="70"/>
    </row>
    <row r="924" spans="2:3" ht="13">
      <c r="B924" s="209"/>
      <c r="C924" s="70"/>
    </row>
    <row r="925" spans="2:3" ht="13">
      <c r="B925" s="209"/>
      <c r="C925" s="70"/>
    </row>
    <row r="926" spans="2:3" ht="13">
      <c r="B926" s="209"/>
      <c r="C926" s="70"/>
    </row>
    <row r="927" spans="2:3" ht="13">
      <c r="B927" s="209"/>
      <c r="C927" s="70"/>
    </row>
    <row r="928" spans="2:3" ht="13">
      <c r="B928" s="209"/>
      <c r="C928" s="70"/>
    </row>
    <row r="929" spans="2:3" ht="13">
      <c r="B929" s="209"/>
      <c r="C929" s="70"/>
    </row>
    <row r="930" spans="2:3" ht="13">
      <c r="B930" s="209"/>
      <c r="C930" s="70"/>
    </row>
    <row r="931" spans="2:3" ht="13">
      <c r="B931" s="209"/>
      <c r="C931" s="70"/>
    </row>
    <row r="932" spans="2:3" ht="13">
      <c r="B932" s="209"/>
      <c r="C932" s="70"/>
    </row>
    <row r="933" spans="2:3" ht="13">
      <c r="B933" s="209"/>
      <c r="C933" s="70"/>
    </row>
    <row r="934" spans="2:3" ht="13">
      <c r="B934" s="209"/>
      <c r="C934" s="70"/>
    </row>
    <row r="935" spans="2:3" ht="13">
      <c r="B935" s="209"/>
      <c r="C935" s="70"/>
    </row>
    <row r="936" spans="2:3" ht="13">
      <c r="B936" s="209"/>
      <c r="C936" s="70"/>
    </row>
    <row r="937" spans="2:3" ht="13">
      <c r="B937" s="209"/>
      <c r="C937" s="70"/>
    </row>
    <row r="938" spans="2:3" ht="13">
      <c r="B938" s="209"/>
      <c r="C938" s="70"/>
    </row>
    <row r="939" spans="2:3" ht="13">
      <c r="B939" s="209"/>
      <c r="C939" s="70"/>
    </row>
    <row r="940" spans="2:3" ht="13">
      <c r="B940" s="209"/>
      <c r="C940" s="70"/>
    </row>
    <row r="941" spans="2:3" ht="13">
      <c r="B941" s="209"/>
      <c r="C941" s="70"/>
    </row>
    <row r="942" spans="2:3" ht="13">
      <c r="B942" s="209"/>
      <c r="C942" s="70"/>
    </row>
    <row r="943" spans="2:3" ht="13">
      <c r="B943" s="209"/>
      <c r="C943" s="70"/>
    </row>
    <row r="944" spans="2:3" ht="13">
      <c r="B944" s="209"/>
      <c r="C944" s="70"/>
    </row>
    <row r="945" spans="2:3" ht="13">
      <c r="B945" s="209"/>
      <c r="C945" s="70"/>
    </row>
    <row r="946" spans="2:3" ht="13">
      <c r="B946" s="209"/>
      <c r="C946" s="70"/>
    </row>
    <row r="947" spans="2:3" ht="13">
      <c r="B947" s="209"/>
      <c r="C947" s="70"/>
    </row>
    <row r="948" spans="2:3" ht="13">
      <c r="B948" s="209"/>
      <c r="C948" s="70"/>
    </row>
    <row r="949" spans="2:3" ht="13">
      <c r="B949" s="209"/>
      <c r="C949" s="70"/>
    </row>
    <row r="950" spans="2:3" ht="13">
      <c r="B950" s="209"/>
      <c r="C950" s="70"/>
    </row>
    <row r="951" spans="2:3" ht="13">
      <c r="B951" s="209"/>
      <c r="C951" s="70"/>
    </row>
    <row r="952" spans="2:3" ht="13">
      <c r="B952" s="209"/>
      <c r="C952" s="70"/>
    </row>
    <row r="953" spans="2:3" ht="13">
      <c r="B953" s="209"/>
      <c r="C953" s="70"/>
    </row>
    <row r="954" spans="2:3" ht="13">
      <c r="B954" s="209"/>
      <c r="C954" s="70"/>
    </row>
    <row r="955" spans="2:3" ht="13">
      <c r="B955" s="209"/>
      <c r="C955" s="70"/>
    </row>
    <row r="956" spans="2:3" ht="13">
      <c r="B956" s="209"/>
      <c r="C956" s="70"/>
    </row>
    <row r="957" spans="2:3" ht="13">
      <c r="B957" s="209"/>
      <c r="C957" s="70"/>
    </row>
    <row r="958" spans="2:3" ht="13">
      <c r="B958" s="209"/>
      <c r="C958" s="70"/>
    </row>
    <row r="959" spans="2:3" ht="13">
      <c r="B959" s="209"/>
      <c r="C959" s="70"/>
    </row>
    <row r="960" spans="2:3" ht="13">
      <c r="B960" s="209"/>
      <c r="C960" s="70"/>
    </row>
    <row r="961" spans="2:3" ht="13">
      <c r="B961" s="209"/>
      <c r="C961" s="70"/>
    </row>
    <row r="962" spans="2:3" ht="13">
      <c r="B962" s="209"/>
      <c r="C962" s="70"/>
    </row>
    <row r="963" spans="2:3" ht="13">
      <c r="B963" s="209"/>
      <c r="C963" s="70"/>
    </row>
    <row r="964" spans="2:3" ht="13">
      <c r="B964" s="209"/>
      <c r="C964" s="70"/>
    </row>
    <row r="965" spans="2:3" ht="13">
      <c r="B965" s="209"/>
      <c r="C965" s="70"/>
    </row>
    <row r="966" spans="2:3" ht="13">
      <c r="B966" s="209"/>
      <c r="C966" s="70"/>
    </row>
    <row r="967" spans="2:3" ht="13">
      <c r="B967" s="209"/>
      <c r="C967" s="70"/>
    </row>
    <row r="968" spans="2:3" ht="13">
      <c r="B968" s="209"/>
      <c r="C968" s="70"/>
    </row>
    <row r="969" spans="2:3" ht="13">
      <c r="B969" s="209"/>
      <c r="C969" s="70"/>
    </row>
    <row r="970" spans="2:3" ht="13">
      <c r="B970" s="209"/>
      <c r="C970" s="70"/>
    </row>
    <row r="971" spans="2:3" ht="13">
      <c r="B971" s="209"/>
      <c r="C971" s="70"/>
    </row>
    <row r="972" spans="2:3" ht="13">
      <c r="B972" s="209"/>
      <c r="C972" s="70"/>
    </row>
    <row r="973" spans="2:3" ht="13">
      <c r="B973" s="209"/>
      <c r="C973" s="70"/>
    </row>
    <row r="974" spans="2:3" ht="13">
      <c r="B974" s="209"/>
      <c r="C974" s="70"/>
    </row>
    <row r="975" spans="2:3" ht="13">
      <c r="B975" s="209"/>
      <c r="C975" s="70"/>
    </row>
    <row r="976" spans="2:3" ht="13">
      <c r="B976" s="209"/>
      <c r="C976" s="70"/>
    </row>
    <row r="977" spans="2:3" ht="13">
      <c r="B977" s="209"/>
      <c r="C977" s="70"/>
    </row>
    <row r="978" spans="2:3" ht="13">
      <c r="B978" s="209"/>
      <c r="C978" s="70"/>
    </row>
    <row r="979" spans="2:3" ht="13">
      <c r="B979" s="209"/>
      <c r="C979" s="70"/>
    </row>
    <row r="980" spans="2:3" ht="13">
      <c r="B980" s="209"/>
      <c r="C980" s="70"/>
    </row>
    <row r="981" spans="2:3" ht="13">
      <c r="B981" s="209"/>
      <c r="C981" s="70"/>
    </row>
    <row r="982" spans="2:3" ht="13">
      <c r="B982" s="209"/>
      <c r="C982" s="70"/>
    </row>
    <row r="983" spans="2:3" ht="13">
      <c r="B983" s="209"/>
      <c r="C983" s="70"/>
    </row>
    <row r="984" spans="2:3" ht="13">
      <c r="B984" s="209"/>
      <c r="C984" s="70"/>
    </row>
    <row r="985" spans="2:3" ht="13">
      <c r="B985" s="209"/>
      <c r="C985" s="70"/>
    </row>
    <row r="986" spans="2:3" ht="13">
      <c r="B986" s="209"/>
      <c r="C986" s="70"/>
    </row>
    <row r="987" spans="2:3" ht="13">
      <c r="B987" s="209"/>
      <c r="C987" s="70"/>
    </row>
    <row r="988" spans="2:3" ht="13">
      <c r="B988" s="209"/>
      <c r="C988" s="70"/>
    </row>
    <row r="989" spans="2:3" ht="13">
      <c r="B989" s="209"/>
      <c r="C989" s="70"/>
    </row>
    <row r="990" spans="2:3" ht="13">
      <c r="B990" s="209"/>
      <c r="C990" s="70"/>
    </row>
    <row r="991" spans="2:3" ht="13">
      <c r="B991" s="209"/>
      <c r="C991" s="70"/>
    </row>
    <row r="992" spans="2:3" ht="13">
      <c r="B992" s="209"/>
      <c r="C992" s="70"/>
    </row>
    <row r="993" spans="2:3" ht="13">
      <c r="B993" s="209"/>
      <c r="C993" s="70"/>
    </row>
    <row r="994" spans="2:3" ht="13">
      <c r="B994" s="209"/>
      <c r="C994" s="70"/>
    </row>
    <row r="995" spans="2:3" ht="13">
      <c r="B995" s="209"/>
      <c r="C995" s="70"/>
    </row>
    <row r="996" spans="2:3" ht="13">
      <c r="B996" s="209"/>
      <c r="C996" s="70"/>
    </row>
    <row r="997" spans="2:3" ht="13">
      <c r="B997" s="209"/>
      <c r="C997" s="70"/>
    </row>
    <row r="998" spans="2:3" ht="13">
      <c r="B998" s="209"/>
      <c r="C998" s="70"/>
    </row>
    <row r="999" spans="2:3" ht="13">
      <c r="B999" s="209"/>
      <c r="C999" s="70"/>
    </row>
    <row r="1000" spans="2:3" ht="13">
      <c r="B1000" s="209"/>
      <c r="C1000" s="70"/>
    </row>
    <row r="1001" spans="2:3" ht="13">
      <c r="B1001" s="209"/>
      <c r="C1001" s="70"/>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A30"/>
  <sheetViews>
    <sheetView workbookViewId="0">
      <pane ySplit="1" topLeftCell="A2" activePane="bottomLeft" state="frozen"/>
      <selection pane="bottomLeft" activeCell="B3" sqref="B3"/>
    </sheetView>
  </sheetViews>
  <sheetFormatPr baseColWidth="10" defaultColWidth="14.5" defaultRowHeight="15.75" customHeight="1"/>
  <cols>
    <col min="2" max="2" width="8" customWidth="1"/>
    <col min="3" max="3" width="88.33203125" customWidth="1"/>
    <col min="4" max="4" width="77.1640625" customWidth="1"/>
    <col min="8" max="8" width="16.6640625" customWidth="1"/>
  </cols>
  <sheetData>
    <row r="1" spans="1:27" ht="15.75" customHeight="1">
      <c r="A1" s="210" t="s">
        <v>2447</v>
      </c>
      <c r="B1" s="210" t="s">
        <v>2308</v>
      </c>
      <c r="C1" s="137" t="s">
        <v>2448</v>
      </c>
      <c r="D1" s="137" t="s">
        <v>1184</v>
      </c>
      <c r="E1" s="50"/>
      <c r="F1" s="50"/>
      <c r="G1" s="50"/>
      <c r="H1" s="129"/>
      <c r="I1" s="50"/>
      <c r="J1" s="50"/>
      <c r="K1" s="50"/>
      <c r="L1" s="50"/>
      <c r="M1" s="50"/>
      <c r="N1" s="50"/>
      <c r="O1" s="50"/>
      <c r="P1" s="50"/>
      <c r="Q1" s="50"/>
      <c r="R1" s="50"/>
      <c r="S1" s="50"/>
      <c r="T1" s="50"/>
      <c r="U1" s="50"/>
      <c r="V1" s="50"/>
      <c r="W1" s="50"/>
      <c r="X1" s="50"/>
      <c r="Y1" s="50"/>
      <c r="Z1" s="50"/>
      <c r="AA1" s="50"/>
    </row>
    <row r="2" spans="1:27" ht="15.75" customHeight="1">
      <c r="A2" s="104" t="s">
        <v>2293</v>
      </c>
      <c r="B2" s="104" t="s">
        <v>232</v>
      </c>
      <c r="C2" s="211" t="s">
        <v>2449</v>
      </c>
      <c r="D2" s="212" t="s">
        <v>2450</v>
      </c>
      <c r="F2" s="42"/>
      <c r="G2" s="42"/>
    </row>
    <row r="3" spans="1:27" ht="15.75" customHeight="1">
      <c r="A3" s="104" t="s">
        <v>1584</v>
      </c>
      <c r="B3" s="104" t="s">
        <v>232</v>
      </c>
      <c r="C3" s="211" t="s">
        <v>2451</v>
      </c>
      <c r="D3" s="114" t="s">
        <v>2452</v>
      </c>
      <c r="F3" s="42"/>
      <c r="G3" s="42"/>
    </row>
    <row r="4" spans="1:27" ht="15.75" customHeight="1">
      <c r="A4" s="104" t="s">
        <v>2287</v>
      </c>
      <c r="B4" s="104" t="s">
        <v>232</v>
      </c>
      <c r="C4" s="211" t="s">
        <v>2453</v>
      </c>
      <c r="D4" s="114" t="s">
        <v>2454</v>
      </c>
      <c r="F4" s="42"/>
      <c r="G4" s="42"/>
    </row>
    <row r="5" spans="1:27" ht="15.75" customHeight="1">
      <c r="A5" s="104" t="s">
        <v>2292</v>
      </c>
      <c r="B5" s="104" t="s">
        <v>232</v>
      </c>
      <c r="C5" s="211" t="s">
        <v>2455</v>
      </c>
      <c r="D5" s="114"/>
      <c r="F5" s="42"/>
    </row>
    <row r="6" spans="1:27" ht="15.75" customHeight="1">
      <c r="A6" s="104" t="s">
        <v>2288</v>
      </c>
      <c r="B6" s="104" t="s">
        <v>2456</v>
      </c>
      <c r="C6" s="211" t="s">
        <v>2457</v>
      </c>
      <c r="D6" s="114" t="s">
        <v>2458</v>
      </c>
      <c r="F6" s="42"/>
      <c r="G6" s="42"/>
    </row>
    <row r="7" spans="1:27" ht="15.75" customHeight="1">
      <c r="A7" s="104" t="s">
        <v>2294</v>
      </c>
      <c r="B7" s="104" t="s">
        <v>2456</v>
      </c>
      <c r="C7" s="114" t="s">
        <v>2459</v>
      </c>
      <c r="D7" s="114" t="s">
        <v>2460</v>
      </c>
      <c r="F7" s="42"/>
      <c r="G7" s="42"/>
    </row>
    <row r="8" spans="1:27" ht="15.75" customHeight="1">
      <c r="A8" s="104" t="s">
        <v>2461</v>
      </c>
      <c r="B8" s="104" t="s">
        <v>2456</v>
      </c>
      <c r="C8" s="114" t="s">
        <v>2462</v>
      </c>
      <c r="D8" s="114" t="s">
        <v>2463</v>
      </c>
      <c r="F8" s="42"/>
      <c r="G8" s="42"/>
    </row>
    <row r="9" spans="1:27" ht="15.75" customHeight="1">
      <c r="A9" s="104" t="s">
        <v>1422</v>
      </c>
      <c r="B9" s="104" t="s">
        <v>1400</v>
      </c>
      <c r="C9" s="211" t="s">
        <v>2464</v>
      </c>
      <c r="D9" s="114"/>
      <c r="F9" s="42"/>
      <c r="G9" s="42"/>
    </row>
    <row r="10" spans="1:27" ht="15.75" customHeight="1">
      <c r="A10" s="104" t="s">
        <v>1537</v>
      </c>
      <c r="B10" s="104" t="s">
        <v>1400</v>
      </c>
      <c r="C10" s="211" t="s">
        <v>2465</v>
      </c>
      <c r="D10" s="114"/>
      <c r="F10" s="42"/>
      <c r="G10" s="42"/>
    </row>
    <row r="11" spans="1:27" ht="15.75" customHeight="1">
      <c r="A11" s="104" t="s">
        <v>1574</v>
      </c>
      <c r="B11" s="104" t="s">
        <v>1400</v>
      </c>
      <c r="C11" s="211" t="s">
        <v>2466</v>
      </c>
      <c r="D11" s="114" t="s">
        <v>2467</v>
      </c>
      <c r="F11" s="42"/>
      <c r="G11" s="42"/>
    </row>
    <row r="12" spans="1:27" ht="15.75" customHeight="1">
      <c r="A12" s="104" t="s">
        <v>1618</v>
      </c>
      <c r="B12" s="104" t="s">
        <v>1400</v>
      </c>
      <c r="C12" s="211" t="s">
        <v>2468</v>
      </c>
      <c r="D12" s="114" t="s">
        <v>2469</v>
      </c>
      <c r="F12" s="42"/>
      <c r="G12" s="42"/>
    </row>
    <row r="13" spans="1:27" ht="15.75" customHeight="1">
      <c r="A13" s="104" t="s">
        <v>1667</v>
      </c>
      <c r="B13" s="104" t="s">
        <v>1400</v>
      </c>
      <c r="C13" s="211" t="s">
        <v>2470</v>
      </c>
      <c r="D13" s="114" t="s">
        <v>2471</v>
      </c>
      <c r="F13" s="42"/>
      <c r="G13" s="42"/>
    </row>
    <row r="14" spans="1:27" ht="15.75" customHeight="1">
      <c r="A14" s="104" t="s">
        <v>1727</v>
      </c>
      <c r="B14" s="104" t="s">
        <v>1400</v>
      </c>
      <c r="C14" s="211" t="s">
        <v>2472</v>
      </c>
      <c r="D14" s="114" t="s">
        <v>2473</v>
      </c>
      <c r="F14" s="42"/>
      <c r="G14" s="42"/>
    </row>
    <row r="15" spans="1:27" ht="15.75" customHeight="1">
      <c r="A15" s="104" t="s">
        <v>1624</v>
      </c>
      <c r="B15" s="104" t="s">
        <v>1400</v>
      </c>
      <c r="C15" s="211" t="s">
        <v>2474</v>
      </c>
      <c r="D15" s="114"/>
      <c r="F15" s="42"/>
      <c r="G15" s="42"/>
    </row>
    <row r="16" spans="1:27" ht="15.75" customHeight="1">
      <c r="A16" s="104" t="s">
        <v>1824</v>
      </c>
      <c r="B16" s="104" t="s">
        <v>1400</v>
      </c>
      <c r="C16" s="211" t="s">
        <v>2475</v>
      </c>
      <c r="D16" s="96"/>
      <c r="F16" s="42"/>
      <c r="G16" s="42"/>
    </row>
    <row r="17" spans="1:7" ht="15.75" customHeight="1">
      <c r="A17" s="104" t="s">
        <v>1913</v>
      </c>
      <c r="B17" s="104" t="s">
        <v>1400</v>
      </c>
      <c r="C17" s="114" t="s">
        <v>2476</v>
      </c>
      <c r="D17" s="114" t="s">
        <v>2477</v>
      </c>
      <c r="F17" s="42"/>
      <c r="G17" s="42"/>
    </row>
    <row r="18" spans="1:7" ht="15.75" customHeight="1">
      <c r="A18" s="104" t="s">
        <v>1976</v>
      </c>
      <c r="B18" s="104" t="s">
        <v>1400</v>
      </c>
      <c r="C18" s="211" t="s">
        <v>2478</v>
      </c>
      <c r="D18" s="114"/>
      <c r="F18" s="42"/>
    </row>
    <row r="19" spans="1:7" ht="15.75" customHeight="1">
      <c r="A19" s="104" t="s">
        <v>2479</v>
      </c>
      <c r="B19" s="104" t="s">
        <v>2480</v>
      </c>
      <c r="C19" s="114" t="s">
        <v>2481</v>
      </c>
      <c r="D19" s="114" t="s">
        <v>2482</v>
      </c>
      <c r="F19" s="42"/>
    </row>
    <row r="20" spans="1:7" ht="15.75" customHeight="1">
      <c r="A20" s="104" t="s">
        <v>2483</v>
      </c>
      <c r="B20" s="104" t="s">
        <v>2480</v>
      </c>
      <c r="C20" s="114" t="s">
        <v>2484</v>
      </c>
      <c r="D20" s="114" t="s">
        <v>2485</v>
      </c>
      <c r="F20" s="42"/>
    </row>
    <row r="21" spans="1:7" ht="15.75" customHeight="1">
      <c r="A21" s="104" t="s">
        <v>2486</v>
      </c>
      <c r="B21" s="104" t="s">
        <v>2480</v>
      </c>
      <c r="C21" s="114" t="s">
        <v>2487</v>
      </c>
      <c r="D21" s="114" t="s">
        <v>2488</v>
      </c>
      <c r="G21" s="42"/>
    </row>
    <row r="22" spans="1:7" ht="15.75" customHeight="1">
      <c r="A22" s="104" t="s">
        <v>2489</v>
      </c>
      <c r="B22" s="104" t="s">
        <v>2480</v>
      </c>
      <c r="C22" s="211" t="s">
        <v>2490</v>
      </c>
      <c r="D22" s="114" t="s">
        <v>2491</v>
      </c>
    </row>
    <row r="23" spans="1:7" ht="15.75" customHeight="1">
      <c r="A23" s="104" t="s">
        <v>2492</v>
      </c>
      <c r="B23" s="104" t="s">
        <v>2480</v>
      </c>
      <c r="C23" s="114" t="s">
        <v>2493</v>
      </c>
      <c r="D23" s="114" t="s">
        <v>2494</v>
      </c>
    </row>
    <row r="24" spans="1:7" ht="15.75" customHeight="1">
      <c r="A24" s="104" t="s">
        <v>2495</v>
      </c>
      <c r="B24" s="104" t="s">
        <v>2480</v>
      </c>
      <c r="C24" s="114" t="s">
        <v>2496</v>
      </c>
      <c r="D24" s="114" t="s">
        <v>2497</v>
      </c>
    </row>
    <row r="25" spans="1:7" ht="15.75" customHeight="1">
      <c r="A25" s="104" t="s">
        <v>2498</v>
      </c>
      <c r="B25" s="104" t="s">
        <v>2480</v>
      </c>
      <c r="C25" s="114" t="s">
        <v>2499</v>
      </c>
      <c r="D25" s="114" t="s">
        <v>2500</v>
      </c>
    </row>
    <row r="26" spans="1:7" ht="15.75" customHeight="1">
      <c r="A26" s="60"/>
      <c r="B26" s="60"/>
      <c r="C26" s="70"/>
      <c r="D26" s="70"/>
    </row>
    <row r="27" spans="1:7" ht="15.75" customHeight="1">
      <c r="A27" s="60"/>
      <c r="B27" s="60"/>
      <c r="C27" s="70"/>
      <c r="D27" s="69"/>
    </row>
    <row r="28" spans="1:7" ht="15.75" customHeight="1">
      <c r="A28" s="60"/>
      <c r="B28" s="60"/>
      <c r="C28" s="70"/>
      <c r="D28" s="70"/>
    </row>
    <row r="29" spans="1:7" ht="15.75" customHeight="1">
      <c r="A29" s="60"/>
      <c r="B29" s="60"/>
      <c r="C29" s="70"/>
      <c r="D29" s="70"/>
    </row>
    <row r="30" spans="1:7" ht="15.75" customHeight="1">
      <c r="A30" s="60"/>
      <c r="B30" s="60"/>
      <c r="C30" s="70"/>
      <c r="D30" s="70"/>
    </row>
  </sheetData>
  <pageMargins left="0.7" right="0.7" top="0.75" bottom="0.75" header="0.3" footer="0.3"/>
  <legacyDrawing r:id="rId1"/>
  <tableParts count="1">
    <tablePart r:id="rId2"/>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40"/>
  <sheetViews>
    <sheetView workbookViewId="0">
      <pane ySplit="1" topLeftCell="A2" activePane="bottomLeft" state="frozen"/>
      <selection pane="bottomLeft" activeCell="B3" sqref="B3"/>
    </sheetView>
  </sheetViews>
  <sheetFormatPr baseColWidth="10" defaultColWidth="14.5" defaultRowHeight="15.75" customHeight="1"/>
  <cols>
    <col min="1" max="1" width="16.1640625" customWidth="1"/>
    <col min="2" max="2" width="100.5" customWidth="1"/>
    <col min="5" max="5" width="27.33203125" customWidth="1"/>
  </cols>
  <sheetData>
    <row r="1" spans="1:26" ht="15.75" customHeight="1">
      <c r="A1" s="10" t="s">
        <v>2501</v>
      </c>
      <c r="B1" s="143" t="s">
        <v>1410</v>
      </c>
      <c r="C1" s="129" t="s">
        <v>2502</v>
      </c>
      <c r="D1" s="50"/>
      <c r="E1" s="167" t="s">
        <v>2503</v>
      </c>
      <c r="F1" s="167" t="s">
        <v>2504</v>
      </c>
      <c r="G1" s="50"/>
      <c r="H1" s="50"/>
      <c r="I1" s="50"/>
      <c r="J1" s="50"/>
      <c r="K1" s="50"/>
      <c r="L1" s="50"/>
      <c r="M1" s="50"/>
      <c r="N1" s="50"/>
      <c r="O1" s="50"/>
      <c r="P1" s="50"/>
      <c r="Q1" s="50"/>
      <c r="R1" s="50"/>
      <c r="S1" s="50"/>
      <c r="T1" s="50"/>
      <c r="U1" s="50"/>
      <c r="V1" s="50"/>
      <c r="W1" s="50"/>
      <c r="X1" s="50"/>
      <c r="Y1" s="50"/>
      <c r="Z1" s="50"/>
    </row>
    <row r="2" spans="1:26" ht="15.75" customHeight="1">
      <c r="A2" s="14" t="s">
        <v>2505</v>
      </c>
      <c r="B2" s="147" t="s">
        <v>2506</v>
      </c>
      <c r="E2" s="42">
        <v>1</v>
      </c>
      <c r="F2" s="42">
        <v>1</v>
      </c>
    </row>
    <row r="3" spans="1:26" ht="15.75" customHeight="1">
      <c r="A3" s="14" t="s">
        <v>2507</v>
      </c>
      <c r="B3" s="69" t="s">
        <v>2508</v>
      </c>
      <c r="E3" s="42">
        <v>3</v>
      </c>
      <c r="F3" s="42">
        <v>2</v>
      </c>
    </row>
    <row r="4" spans="1:26" ht="15.75" customHeight="1">
      <c r="A4" s="60" t="s">
        <v>2509</v>
      </c>
      <c r="B4" s="69" t="s">
        <v>2510</v>
      </c>
      <c r="E4" s="42">
        <v>8</v>
      </c>
      <c r="F4" s="42">
        <v>3</v>
      </c>
    </row>
    <row r="5" spans="1:26" ht="15.75" customHeight="1">
      <c r="A5" s="14" t="s">
        <v>2511</v>
      </c>
      <c r="B5" s="147" t="s">
        <v>2512</v>
      </c>
      <c r="E5" s="42">
        <v>13</v>
      </c>
      <c r="F5" s="42">
        <v>4</v>
      </c>
    </row>
    <row r="6" spans="1:26" ht="15.75" customHeight="1">
      <c r="A6" s="14" t="s">
        <v>2513</v>
      </c>
      <c r="B6" s="69" t="s">
        <v>2514</v>
      </c>
      <c r="E6" s="42">
        <v>18</v>
      </c>
      <c r="F6" s="42">
        <v>5</v>
      </c>
    </row>
    <row r="7" spans="1:26" ht="15.75" customHeight="1">
      <c r="A7" s="14" t="s">
        <v>2515</v>
      </c>
      <c r="B7" s="147" t="s">
        <v>2516</v>
      </c>
      <c r="C7" s="42" t="s">
        <v>2517</v>
      </c>
      <c r="E7" s="42">
        <v>23</v>
      </c>
      <c r="F7" s="42">
        <v>6</v>
      </c>
    </row>
    <row r="8" spans="1:26" ht="15.75" customHeight="1">
      <c r="A8" s="14" t="s">
        <v>2518</v>
      </c>
      <c r="B8" s="69" t="s">
        <v>2519</v>
      </c>
      <c r="C8" s="42" t="s">
        <v>2520</v>
      </c>
      <c r="E8" s="42">
        <v>28</v>
      </c>
      <c r="F8" s="42">
        <v>7</v>
      </c>
    </row>
    <row r="9" spans="1:26" ht="15.75" customHeight="1">
      <c r="A9" s="14" t="s">
        <v>2521</v>
      </c>
      <c r="B9" s="69" t="s">
        <v>2522</v>
      </c>
      <c r="E9" s="42">
        <v>33</v>
      </c>
      <c r="F9" s="42">
        <v>8</v>
      </c>
    </row>
    <row r="10" spans="1:26" ht="15.75" customHeight="1">
      <c r="A10" s="14" t="s">
        <v>2523</v>
      </c>
      <c r="B10" s="69" t="s">
        <v>2524</v>
      </c>
      <c r="C10" s="42" t="s">
        <v>2520</v>
      </c>
    </row>
    <row r="11" spans="1:26" ht="15.75" customHeight="1">
      <c r="A11" s="14" t="s">
        <v>2525</v>
      </c>
      <c r="B11" s="69" t="s">
        <v>2526</v>
      </c>
    </row>
    <row r="12" spans="1:26" ht="15.75" customHeight="1">
      <c r="A12" s="60" t="s">
        <v>2527</v>
      </c>
      <c r="B12" s="69" t="s">
        <v>2528</v>
      </c>
      <c r="C12" s="42" t="s">
        <v>2529</v>
      </c>
    </row>
    <row r="13" spans="1:26" ht="15.75" customHeight="1">
      <c r="A13" s="60" t="s">
        <v>2530</v>
      </c>
      <c r="B13" s="69" t="s">
        <v>2531</v>
      </c>
    </row>
    <row r="14" spans="1:26" ht="15.75" customHeight="1">
      <c r="A14" s="14" t="s">
        <v>2532</v>
      </c>
      <c r="B14" s="148" t="s">
        <v>2533</v>
      </c>
    </row>
    <row r="15" spans="1:26" ht="15.75" customHeight="1">
      <c r="A15" s="14" t="s">
        <v>2534</v>
      </c>
      <c r="B15" s="69" t="s">
        <v>2535</v>
      </c>
    </row>
    <row r="16" spans="1:26" ht="15.75" customHeight="1">
      <c r="A16" s="60" t="s">
        <v>2536</v>
      </c>
      <c r="B16" s="69" t="s">
        <v>2537</v>
      </c>
      <c r="C16" s="42" t="s">
        <v>2538</v>
      </c>
    </row>
    <row r="17" spans="1:5" ht="15.75" customHeight="1">
      <c r="A17" s="60" t="s">
        <v>2539</v>
      </c>
      <c r="B17" s="69" t="s">
        <v>2540</v>
      </c>
    </row>
    <row r="18" spans="1:5" ht="15.75" customHeight="1">
      <c r="A18" s="14" t="s">
        <v>2541</v>
      </c>
      <c r="B18" s="147" t="s">
        <v>2542</v>
      </c>
      <c r="C18" s="42" t="s">
        <v>2543</v>
      </c>
    </row>
    <row r="19" spans="1:5" ht="15.75" customHeight="1">
      <c r="A19" s="60" t="s">
        <v>2544</v>
      </c>
      <c r="B19" s="69" t="s">
        <v>2545</v>
      </c>
    </row>
    <row r="20" spans="1:5" ht="15.75" customHeight="1">
      <c r="A20" s="14" t="s">
        <v>2546</v>
      </c>
      <c r="B20" s="69" t="s">
        <v>2547</v>
      </c>
    </row>
    <row r="21" spans="1:5" ht="15.75" customHeight="1">
      <c r="A21" s="14" t="s">
        <v>2548</v>
      </c>
      <c r="B21" s="147" t="s">
        <v>2549</v>
      </c>
    </row>
    <row r="22" spans="1:5" ht="15.75" customHeight="1">
      <c r="A22" s="14" t="s">
        <v>2550</v>
      </c>
      <c r="B22" s="147" t="s">
        <v>2551</v>
      </c>
    </row>
    <row r="23" spans="1:5" ht="15.75" customHeight="1">
      <c r="A23" s="14" t="s">
        <v>2552</v>
      </c>
      <c r="B23" s="69" t="s">
        <v>2553</v>
      </c>
    </row>
    <row r="24" spans="1:5" ht="15.75" customHeight="1">
      <c r="A24" s="60" t="s">
        <v>2355</v>
      </c>
      <c r="B24" s="69" t="s">
        <v>2554</v>
      </c>
    </row>
    <row r="25" spans="1:5" ht="15.75" customHeight="1">
      <c r="A25" s="14" t="s">
        <v>2555</v>
      </c>
      <c r="B25" s="147" t="s">
        <v>2556</v>
      </c>
    </row>
    <row r="26" spans="1:5" ht="15.75" customHeight="1">
      <c r="A26" s="60" t="s">
        <v>2557</v>
      </c>
      <c r="B26" s="69" t="s">
        <v>2558</v>
      </c>
      <c r="E26" s="213"/>
    </row>
    <row r="27" spans="1:5" ht="15.75" customHeight="1">
      <c r="A27" s="14" t="s">
        <v>2559</v>
      </c>
      <c r="B27" s="147" t="s">
        <v>2560</v>
      </c>
      <c r="C27" s="42" t="s">
        <v>2529</v>
      </c>
    </row>
    <row r="28" spans="1:5" ht="15.75" customHeight="1">
      <c r="A28" s="14" t="s">
        <v>2561</v>
      </c>
      <c r="B28" s="147" t="s">
        <v>2562</v>
      </c>
      <c r="C28" s="42" t="s">
        <v>1514</v>
      </c>
    </row>
    <row r="29" spans="1:5" ht="15.75" customHeight="1">
      <c r="A29" s="14" t="s">
        <v>2563</v>
      </c>
      <c r="B29" s="69" t="s">
        <v>2564</v>
      </c>
    </row>
    <row r="30" spans="1:5" ht="15.75" customHeight="1">
      <c r="A30" s="14" t="s">
        <v>2565</v>
      </c>
      <c r="B30" s="147" t="s">
        <v>2566</v>
      </c>
    </row>
    <row r="31" spans="1:5" ht="15.75" customHeight="1">
      <c r="A31" s="14" t="s">
        <v>2567</v>
      </c>
      <c r="B31" s="69" t="s">
        <v>2568</v>
      </c>
      <c r="C31" s="42"/>
    </row>
    <row r="32" spans="1:5" ht="15.75" customHeight="1">
      <c r="A32" s="14" t="s">
        <v>2569</v>
      </c>
      <c r="B32" s="69" t="s">
        <v>2570</v>
      </c>
    </row>
    <row r="33" spans="1:3" ht="15.75" customHeight="1">
      <c r="A33" s="60" t="s">
        <v>2571</v>
      </c>
      <c r="B33" s="69" t="s">
        <v>2572</v>
      </c>
      <c r="C33" s="42" t="s">
        <v>2573</v>
      </c>
    </row>
    <row r="34" spans="1:3" ht="15.75" customHeight="1">
      <c r="A34" s="14" t="s">
        <v>2574</v>
      </c>
      <c r="B34" s="69" t="s">
        <v>2575</v>
      </c>
    </row>
    <row r="35" spans="1:3" ht="15.75" customHeight="1">
      <c r="A35" s="14" t="s">
        <v>2576</v>
      </c>
      <c r="B35" s="147" t="s">
        <v>2577</v>
      </c>
      <c r="C35" s="42"/>
    </row>
    <row r="36" spans="1:3" ht="15.75" customHeight="1">
      <c r="A36" s="14" t="s">
        <v>2578</v>
      </c>
      <c r="B36" s="69" t="s">
        <v>2579</v>
      </c>
    </row>
    <row r="37" spans="1:3" ht="15.75" customHeight="1">
      <c r="A37" s="14" t="s">
        <v>2580</v>
      </c>
      <c r="B37" s="214" t="s">
        <v>2581</v>
      </c>
    </row>
    <row r="38" spans="1:3" ht="15.75" customHeight="1">
      <c r="A38" s="14" t="s">
        <v>2582</v>
      </c>
      <c r="B38" s="147" t="s">
        <v>2583</v>
      </c>
    </row>
    <row r="39" spans="1:3" ht="15.75" customHeight="1">
      <c r="A39" s="60"/>
      <c r="B39" s="69"/>
    </row>
    <row r="40" spans="1:3" ht="15.75" customHeight="1">
      <c r="A40" s="60"/>
      <c r="B40" s="70"/>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25"/>
  <sheetViews>
    <sheetView workbookViewId="0">
      <pane ySplit="1" topLeftCell="A2" activePane="bottomLeft" state="frozen"/>
      <selection pane="bottomLeft" activeCell="B3" sqref="B3"/>
    </sheetView>
  </sheetViews>
  <sheetFormatPr baseColWidth="10" defaultColWidth="14.5" defaultRowHeight="15.75" customHeight="1"/>
  <cols>
    <col min="2" max="2" width="18.5" customWidth="1"/>
    <col min="3" max="3" width="67.6640625" customWidth="1"/>
  </cols>
  <sheetData>
    <row r="1" spans="1:26" ht="15.75" customHeight="1">
      <c r="A1" s="129" t="s">
        <v>2584</v>
      </c>
      <c r="B1" s="129" t="s">
        <v>2585</v>
      </c>
      <c r="C1" s="129" t="s">
        <v>1410</v>
      </c>
      <c r="D1" s="50"/>
      <c r="E1" s="50"/>
      <c r="F1" s="50"/>
      <c r="G1" s="50"/>
      <c r="H1" s="50"/>
      <c r="I1" s="50"/>
      <c r="J1" s="50"/>
      <c r="K1" s="50"/>
      <c r="L1" s="50"/>
      <c r="M1" s="50"/>
      <c r="N1" s="50"/>
      <c r="O1" s="50"/>
      <c r="P1" s="50"/>
      <c r="Q1" s="50"/>
      <c r="R1" s="50"/>
      <c r="S1" s="50"/>
      <c r="T1" s="50"/>
      <c r="U1" s="50"/>
      <c r="V1" s="50"/>
      <c r="W1" s="50"/>
      <c r="X1" s="50"/>
      <c r="Y1" s="50"/>
      <c r="Z1" s="50"/>
    </row>
    <row r="2" spans="1:26" ht="15.75" customHeight="1">
      <c r="A2" s="42" t="s">
        <v>1485</v>
      </c>
      <c r="B2" s="42" t="s">
        <v>2586</v>
      </c>
      <c r="C2" s="180" t="s">
        <v>2587</v>
      </c>
    </row>
    <row r="3" spans="1:26" ht="15.75" customHeight="1">
      <c r="A3" s="42" t="s">
        <v>1485</v>
      </c>
      <c r="B3" s="42" t="s">
        <v>1484</v>
      </c>
      <c r="C3" s="42" t="s">
        <v>2588</v>
      </c>
    </row>
    <row r="4" spans="1:26" ht="15.75" customHeight="1">
      <c r="A4" s="42" t="s">
        <v>1485</v>
      </c>
      <c r="B4" s="42" t="s">
        <v>2589</v>
      </c>
      <c r="C4" s="180" t="s">
        <v>2590</v>
      </c>
    </row>
    <row r="5" spans="1:26" ht="15.75" customHeight="1">
      <c r="A5" s="42" t="s">
        <v>1489</v>
      </c>
      <c r="B5" s="42" t="s">
        <v>2591</v>
      </c>
      <c r="C5" s="180" t="s">
        <v>2592</v>
      </c>
    </row>
    <row r="6" spans="1:26" ht="15.75" customHeight="1">
      <c r="A6" s="42" t="s">
        <v>1489</v>
      </c>
      <c r="B6" s="42" t="s">
        <v>2593</v>
      </c>
      <c r="C6" s="42" t="s">
        <v>2594</v>
      </c>
    </row>
    <row r="7" spans="1:26" ht="15.75" customHeight="1">
      <c r="A7" s="42" t="s">
        <v>1489</v>
      </c>
      <c r="B7" s="42" t="s">
        <v>1488</v>
      </c>
      <c r="C7" s="42" t="s">
        <v>2588</v>
      </c>
    </row>
    <row r="8" spans="1:26" ht="15.75" customHeight="1">
      <c r="A8" s="42" t="s">
        <v>1496</v>
      </c>
      <c r="B8" s="42" t="s">
        <v>1495</v>
      </c>
      <c r="C8" s="42" t="s">
        <v>2588</v>
      </c>
    </row>
    <row r="9" spans="1:26" ht="15.75" customHeight="1">
      <c r="A9" s="42" t="s">
        <v>1496</v>
      </c>
      <c r="B9" s="42" t="s">
        <v>2595</v>
      </c>
      <c r="C9" s="180" t="s">
        <v>2596</v>
      </c>
    </row>
    <row r="10" spans="1:26" ht="15.75" customHeight="1">
      <c r="A10" s="42" t="s">
        <v>1496</v>
      </c>
      <c r="B10" s="42" t="s">
        <v>2597</v>
      </c>
      <c r="C10" s="180" t="s">
        <v>2598</v>
      </c>
    </row>
    <row r="11" spans="1:26" ht="15.75" customHeight="1">
      <c r="A11" s="42" t="s">
        <v>1503</v>
      </c>
      <c r="B11" s="42" t="s">
        <v>2599</v>
      </c>
      <c r="C11" s="42" t="s">
        <v>2600</v>
      </c>
    </row>
    <row r="12" spans="1:26" ht="15.75" customHeight="1">
      <c r="A12" s="42" t="s">
        <v>1503</v>
      </c>
      <c r="B12" s="42" t="s">
        <v>1502</v>
      </c>
      <c r="C12" s="42" t="s">
        <v>2588</v>
      </c>
    </row>
    <row r="13" spans="1:26" ht="15.75" customHeight="1">
      <c r="A13" s="42" t="s">
        <v>1503</v>
      </c>
      <c r="B13" s="42" t="s">
        <v>2601</v>
      </c>
      <c r="C13" s="180" t="s">
        <v>2602</v>
      </c>
    </row>
    <row r="14" spans="1:26" ht="15.75" customHeight="1">
      <c r="A14" s="42" t="s">
        <v>1503</v>
      </c>
      <c r="B14" s="42" t="s">
        <v>2603</v>
      </c>
      <c r="C14" s="180" t="s">
        <v>2604</v>
      </c>
    </row>
    <row r="15" spans="1:26" ht="15.75" customHeight="1">
      <c r="A15" s="42" t="s">
        <v>1520</v>
      </c>
      <c r="B15" s="42" t="s">
        <v>2605</v>
      </c>
      <c r="C15" s="42" t="s">
        <v>2606</v>
      </c>
    </row>
    <row r="16" spans="1:26" ht="15.75" customHeight="1">
      <c r="A16" s="42" t="s">
        <v>1520</v>
      </c>
      <c r="B16" s="42" t="s">
        <v>1519</v>
      </c>
      <c r="C16" s="42" t="s">
        <v>2588</v>
      </c>
    </row>
    <row r="17" spans="1:3" ht="15.75" customHeight="1">
      <c r="A17" s="42" t="s">
        <v>1520</v>
      </c>
      <c r="B17" s="42" t="s">
        <v>2607</v>
      </c>
      <c r="C17" s="42" t="s">
        <v>2608</v>
      </c>
    </row>
    <row r="18" spans="1:3" ht="15.75" customHeight="1">
      <c r="A18" s="14" t="s">
        <v>1520</v>
      </c>
      <c r="B18" s="14" t="s">
        <v>1520</v>
      </c>
      <c r="C18" s="69" t="s">
        <v>2609</v>
      </c>
    </row>
    <row r="21" spans="1:3" ht="15.75" customHeight="1">
      <c r="C21" s="42" t="s">
        <v>2610</v>
      </c>
    </row>
    <row r="22" spans="1:3" ht="15.75" customHeight="1">
      <c r="C22" s="181" t="s">
        <v>2611</v>
      </c>
    </row>
    <row r="23" spans="1:3" ht="15.75" customHeight="1">
      <c r="C23" s="181" t="s">
        <v>2612</v>
      </c>
    </row>
    <row r="24" spans="1:3" ht="15.75" customHeight="1">
      <c r="C24" s="181" t="s">
        <v>2613</v>
      </c>
    </row>
    <row r="25" spans="1:3" ht="15.75" customHeight="1">
      <c r="C25" s="181" t="s">
        <v>2614</v>
      </c>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E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75" customHeight="1"/>
  <cols>
    <col min="1" max="1" width="14.1640625" customWidth="1"/>
    <col min="2" max="2" width="12.5" customWidth="1"/>
    <col min="3" max="3" width="13.33203125" customWidth="1"/>
    <col min="4" max="4" width="12.5" customWidth="1"/>
    <col min="5" max="5" width="14.33203125" customWidth="1"/>
    <col min="6" max="10" width="4.33203125" customWidth="1"/>
    <col min="11" max="12" width="15.5" customWidth="1"/>
    <col min="13" max="13" width="19.83203125" customWidth="1"/>
    <col min="14" max="14" width="22.5" customWidth="1"/>
    <col min="15" max="15" width="14.6640625" customWidth="1"/>
    <col min="16" max="16" width="25.5" customWidth="1"/>
  </cols>
  <sheetData>
    <row r="1" spans="1:31" ht="15.75" customHeight="1">
      <c r="A1" s="129" t="s">
        <v>2615</v>
      </c>
      <c r="B1" s="129" t="s">
        <v>1401</v>
      </c>
      <c r="C1" s="129" t="s">
        <v>1402</v>
      </c>
      <c r="D1" s="129" t="s">
        <v>2480</v>
      </c>
      <c r="E1" s="129" t="s">
        <v>2501</v>
      </c>
      <c r="F1" s="215" t="s">
        <v>1748</v>
      </c>
      <c r="G1" s="216" t="s">
        <v>1850</v>
      </c>
      <c r="H1" s="215" t="s">
        <v>1427</v>
      </c>
      <c r="I1" s="216" t="s">
        <v>2616</v>
      </c>
      <c r="J1" s="215" t="s">
        <v>2617</v>
      </c>
      <c r="K1" s="129" t="s">
        <v>2618</v>
      </c>
      <c r="L1" s="129" t="s">
        <v>2619</v>
      </c>
      <c r="M1" s="129" t="s">
        <v>2620</v>
      </c>
      <c r="N1" s="129" t="s">
        <v>42</v>
      </c>
      <c r="O1" s="129" t="s">
        <v>133</v>
      </c>
      <c r="P1" s="129" t="s">
        <v>2621</v>
      </c>
      <c r="Q1" s="167" t="s">
        <v>2622</v>
      </c>
      <c r="R1" s="50"/>
      <c r="S1" s="50"/>
      <c r="T1" s="50"/>
      <c r="U1" s="50"/>
      <c r="V1" s="50"/>
      <c r="W1" s="50"/>
      <c r="X1" s="50"/>
      <c r="Y1" s="50"/>
      <c r="Z1" s="50"/>
      <c r="AA1" s="50"/>
      <c r="AB1" s="50"/>
      <c r="AC1" s="50"/>
      <c r="AD1" s="50"/>
      <c r="AE1" s="50"/>
    </row>
    <row r="2" spans="1:31" ht="15.75" customHeight="1">
      <c r="A2" s="129" t="s">
        <v>2623</v>
      </c>
      <c r="B2" s="42" t="s">
        <v>1422</v>
      </c>
      <c r="C2" s="42" t="s">
        <v>1976</v>
      </c>
      <c r="D2" s="42" t="s">
        <v>2489</v>
      </c>
      <c r="E2" s="177" t="s">
        <v>2513</v>
      </c>
      <c r="F2" s="7">
        <v>1</v>
      </c>
      <c r="G2" s="217"/>
      <c r="H2" s="7">
        <v>1</v>
      </c>
      <c r="I2" s="217">
        <v>1</v>
      </c>
      <c r="J2" s="7"/>
      <c r="K2" s="42" t="s">
        <v>1994</v>
      </c>
      <c r="L2" s="42" t="s">
        <v>1447</v>
      </c>
      <c r="M2" s="42" t="s">
        <v>1424</v>
      </c>
      <c r="N2" s="42" t="s">
        <v>2624</v>
      </c>
      <c r="O2" s="42" t="s">
        <v>126</v>
      </c>
      <c r="P2" s="42" t="s">
        <v>530</v>
      </c>
      <c r="Q2" s="42">
        <v>100</v>
      </c>
    </row>
    <row r="3" spans="1:31" ht="15.75" customHeight="1">
      <c r="A3" s="129" t="s">
        <v>2625</v>
      </c>
      <c r="B3" s="42" t="s">
        <v>1618</v>
      </c>
      <c r="C3" s="42" t="s">
        <v>1667</v>
      </c>
      <c r="D3" s="42" t="s">
        <v>2479</v>
      </c>
      <c r="E3" s="42" t="s">
        <v>2539</v>
      </c>
      <c r="F3" s="7">
        <v>1</v>
      </c>
      <c r="G3" s="218"/>
      <c r="H3" s="7">
        <v>1</v>
      </c>
      <c r="I3" s="217">
        <v>1</v>
      </c>
      <c r="J3" s="130"/>
      <c r="K3" s="42" t="s">
        <v>1697</v>
      </c>
      <c r="L3" s="42" t="s">
        <v>1546</v>
      </c>
      <c r="M3" s="42" t="s">
        <v>1688</v>
      </c>
      <c r="N3" s="42" t="s">
        <v>2626</v>
      </c>
      <c r="O3" s="42" t="s">
        <v>131</v>
      </c>
      <c r="P3" s="42" t="s">
        <v>379</v>
      </c>
      <c r="Q3" s="42">
        <v>10</v>
      </c>
    </row>
    <row r="4" spans="1:31" ht="15.75" customHeight="1">
      <c r="A4" s="129" t="s">
        <v>2627</v>
      </c>
      <c r="B4" s="42" t="s">
        <v>2628</v>
      </c>
      <c r="C4" s="42" t="s">
        <v>2288</v>
      </c>
      <c r="D4" s="42" t="s">
        <v>2483</v>
      </c>
      <c r="E4" s="42" t="s">
        <v>2557</v>
      </c>
      <c r="F4" s="130"/>
      <c r="G4" s="218"/>
      <c r="H4" s="7">
        <v>1</v>
      </c>
      <c r="I4" s="217">
        <v>2</v>
      </c>
      <c r="J4" s="130"/>
      <c r="K4" s="42" t="s">
        <v>1952</v>
      </c>
      <c r="L4" s="42" t="s">
        <v>1944</v>
      </c>
      <c r="M4" s="42" t="s">
        <v>1942</v>
      </c>
      <c r="N4" s="42" t="s">
        <v>1162</v>
      </c>
      <c r="O4" s="42" t="s">
        <v>131</v>
      </c>
      <c r="P4" s="42" t="s">
        <v>358</v>
      </c>
      <c r="Q4" s="42">
        <v>40</v>
      </c>
    </row>
    <row r="5" spans="1:31" ht="15.75" customHeight="1">
      <c r="A5" s="129" t="s">
        <v>2629</v>
      </c>
      <c r="B5" s="42" t="s">
        <v>1618</v>
      </c>
      <c r="C5" s="42" t="s">
        <v>1422</v>
      </c>
      <c r="D5" s="42" t="s">
        <v>2483</v>
      </c>
      <c r="E5" s="42" t="s">
        <v>2530</v>
      </c>
      <c r="F5" s="130"/>
      <c r="G5" s="218"/>
      <c r="H5" s="7">
        <v>2</v>
      </c>
      <c r="I5" s="217">
        <v>1</v>
      </c>
      <c r="J5" s="130"/>
      <c r="K5" s="42" t="s">
        <v>1644</v>
      </c>
      <c r="L5" s="42" t="s">
        <v>1652</v>
      </c>
      <c r="M5" s="42" t="s">
        <v>1438</v>
      </c>
      <c r="N5" s="42" t="s">
        <v>1155</v>
      </c>
      <c r="O5" s="42" t="s">
        <v>126</v>
      </c>
      <c r="P5" s="219" t="s">
        <v>126</v>
      </c>
      <c r="Q5" s="42">
        <v>0</v>
      </c>
    </row>
    <row r="6" spans="1:31" ht="15.75" customHeight="1">
      <c r="A6" s="129" t="s">
        <v>2630</v>
      </c>
      <c r="B6" s="42" t="s">
        <v>1537</v>
      </c>
      <c r="C6" s="42" t="s">
        <v>1976</v>
      </c>
      <c r="D6" s="42" t="s">
        <v>2479</v>
      </c>
      <c r="E6" s="42" t="s">
        <v>2355</v>
      </c>
      <c r="F6" s="7">
        <v>1</v>
      </c>
      <c r="G6" s="218"/>
      <c r="H6" s="130"/>
      <c r="I6" s="217">
        <v>2</v>
      </c>
      <c r="J6" s="130"/>
      <c r="K6" s="42" t="s">
        <v>1997</v>
      </c>
      <c r="L6" s="42" t="s">
        <v>2001</v>
      </c>
      <c r="M6" s="42" t="s">
        <v>1544</v>
      </c>
      <c r="N6" s="42" t="s">
        <v>1158</v>
      </c>
      <c r="O6" s="42" t="s">
        <v>131</v>
      </c>
      <c r="P6" s="42" t="s">
        <v>358</v>
      </c>
      <c r="Q6" s="42">
        <v>40</v>
      </c>
    </row>
    <row r="7" spans="1:31" ht="15.75" customHeight="1">
      <c r="A7" s="129" t="s">
        <v>2631</v>
      </c>
      <c r="B7" s="42" t="s">
        <v>1976</v>
      </c>
      <c r="C7" s="42" t="s">
        <v>1667</v>
      </c>
      <c r="D7" s="42" t="s">
        <v>2495</v>
      </c>
      <c r="E7" s="42" t="s">
        <v>2527</v>
      </c>
      <c r="F7" s="7">
        <v>1</v>
      </c>
      <c r="G7" s="218"/>
      <c r="H7" s="7">
        <v>1</v>
      </c>
      <c r="I7" s="217">
        <v>1</v>
      </c>
      <c r="J7" s="130"/>
      <c r="K7" s="42" t="s">
        <v>1994</v>
      </c>
      <c r="L7" s="42" t="s">
        <v>1709</v>
      </c>
      <c r="M7" s="42" t="s">
        <v>1688</v>
      </c>
      <c r="N7" s="42" t="s">
        <v>1161</v>
      </c>
      <c r="O7" s="42" t="s">
        <v>126</v>
      </c>
      <c r="P7" s="42" t="s">
        <v>510</v>
      </c>
      <c r="Q7" s="42">
        <v>70</v>
      </c>
    </row>
    <row r="8" spans="1:31" ht="15.75" customHeight="1">
      <c r="A8" s="129" t="s">
        <v>2632</v>
      </c>
      <c r="B8" s="42" t="s">
        <v>1976</v>
      </c>
      <c r="C8" s="42" t="s">
        <v>2292</v>
      </c>
      <c r="D8" s="42" t="s">
        <v>2479</v>
      </c>
      <c r="E8" s="42" t="s">
        <v>2355</v>
      </c>
      <c r="F8" s="7">
        <v>2</v>
      </c>
      <c r="G8" s="218"/>
      <c r="H8" s="130"/>
      <c r="I8" s="217">
        <v>1</v>
      </c>
      <c r="J8" s="130"/>
      <c r="K8" s="42" t="s">
        <v>1994</v>
      </c>
      <c r="L8" s="42" t="s">
        <v>1997</v>
      </c>
      <c r="M8" s="42" t="s">
        <v>2008</v>
      </c>
      <c r="N8" s="42" t="s">
        <v>2633</v>
      </c>
      <c r="O8" s="42" t="s">
        <v>126</v>
      </c>
      <c r="P8" s="42" t="s">
        <v>358</v>
      </c>
      <c r="Q8" s="177">
        <v>40</v>
      </c>
    </row>
    <row r="9" spans="1:31" ht="15.75" customHeight="1">
      <c r="A9" s="129" t="s">
        <v>2634</v>
      </c>
      <c r="B9" s="42" t="s">
        <v>1727</v>
      </c>
      <c r="C9" s="42" t="s">
        <v>2292</v>
      </c>
      <c r="D9" s="42" t="s">
        <v>2489</v>
      </c>
      <c r="E9" s="42" t="s">
        <v>2355</v>
      </c>
      <c r="F9" s="7">
        <v>2</v>
      </c>
      <c r="G9" s="217">
        <v>2</v>
      </c>
      <c r="H9" s="130"/>
      <c r="I9" s="218"/>
      <c r="J9" s="130"/>
      <c r="K9" s="42" t="s">
        <v>1733</v>
      </c>
      <c r="L9" s="42" t="s">
        <v>1755</v>
      </c>
      <c r="M9" s="42" t="s">
        <v>1779</v>
      </c>
      <c r="N9" s="42" t="s">
        <v>2635</v>
      </c>
      <c r="O9" s="42" t="s">
        <v>126</v>
      </c>
      <c r="P9" s="42" t="s">
        <v>376</v>
      </c>
      <c r="Q9" s="42">
        <v>30</v>
      </c>
    </row>
    <row r="10" spans="1:31" ht="15.75" customHeight="1">
      <c r="A10" s="129" t="s">
        <v>2636</v>
      </c>
      <c r="B10" s="42" t="s">
        <v>1574</v>
      </c>
      <c r="C10" s="42" t="s">
        <v>1624</v>
      </c>
      <c r="D10" s="42" t="s">
        <v>2486</v>
      </c>
      <c r="E10" s="42" t="s">
        <v>2509</v>
      </c>
      <c r="F10" s="130"/>
      <c r="G10" s="217">
        <v>2</v>
      </c>
      <c r="H10" s="130"/>
      <c r="I10" s="218"/>
      <c r="J10" s="7">
        <v>1</v>
      </c>
      <c r="K10" s="42" t="s">
        <v>2637</v>
      </c>
      <c r="L10" s="42" t="s">
        <v>2638</v>
      </c>
      <c r="M10" s="42" t="s">
        <v>1594</v>
      </c>
      <c r="N10" s="42" t="s">
        <v>2639</v>
      </c>
      <c r="O10" s="42" t="s">
        <v>126</v>
      </c>
      <c r="P10" s="42" t="s">
        <v>2640</v>
      </c>
      <c r="Q10" s="42">
        <v>140</v>
      </c>
    </row>
    <row r="11" spans="1:31" ht="15.75" customHeight="1">
      <c r="A11" s="129" t="s">
        <v>2641</v>
      </c>
      <c r="B11" s="42" t="s">
        <v>1824</v>
      </c>
      <c r="C11" s="42" t="s">
        <v>2642</v>
      </c>
      <c r="D11" s="42" t="s">
        <v>2492</v>
      </c>
      <c r="E11" s="42" t="s">
        <v>2571</v>
      </c>
      <c r="F11" s="130"/>
      <c r="G11" s="217">
        <v>2</v>
      </c>
      <c r="H11" s="130"/>
      <c r="I11" s="217">
        <v>1</v>
      </c>
      <c r="J11" s="130"/>
      <c r="K11" s="42" t="s">
        <v>1844</v>
      </c>
      <c r="L11" s="42" t="s">
        <v>1846</v>
      </c>
      <c r="M11" s="42" t="s">
        <v>1875</v>
      </c>
      <c r="N11" s="42" t="s">
        <v>2643</v>
      </c>
      <c r="O11" s="42" t="s">
        <v>126</v>
      </c>
      <c r="P11" s="42" t="s">
        <v>382</v>
      </c>
      <c r="Q11" s="42">
        <v>40</v>
      </c>
    </row>
    <row r="12" spans="1:31" ht="15.75" customHeight="1">
      <c r="A12" s="129" t="s">
        <v>2644</v>
      </c>
      <c r="B12" s="42" t="s">
        <v>1824</v>
      </c>
      <c r="C12" s="42" t="s">
        <v>1727</v>
      </c>
      <c r="D12" s="42" t="s">
        <v>2498</v>
      </c>
      <c r="E12" s="42" t="s">
        <v>2536</v>
      </c>
      <c r="F12" s="130"/>
      <c r="G12" s="217">
        <v>2</v>
      </c>
      <c r="H12" s="130"/>
      <c r="I12" s="218"/>
      <c r="J12" s="7">
        <v>2</v>
      </c>
      <c r="K12" s="42" t="s">
        <v>1846</v>
      </c>
      <c r="L12" s="42" t="s">
        <v>1755</v>
      </c>
      <c r="M12" s="42" t="s">
        <v>1752</v>
      </c>
      <c r="N12" s="42" t="s">
        <v>1171</v>
      </c>
      <c r="O12" s="42" t="s">
        <v>126</v>
      </c>
      <c r="P12" s="42" t="s">
        <v>376</v>
      </c>
      <c r="Q12" s="42">
        <v>30</v>
      </c>
    </row>
    <row r="13" spans="1:31" ht="15.75" customHeight="1">
      <c r="A13" s="129" t="s">
        <v>2645</v>
      </c>
      <c r="B13" s="42" t="s">
        <v>1574</v>
      </c>
      <c r="C13" s="42" t="s">
        <v>1537</v>
      </c>
      <c r="D13" s="42" t="s">
        <v>2479</v>
      </c>
      <c r="E13" s="42" t="s">
        <v>2557</v>
      </c>
      <c r="F13" s="130"/>
      <c r="G13" s="217">
        <v>2</v>
      </c>
      <c r="H13" s="7">
        <v>1</v>
      </c>
      <c r="I13" s="218"/>
      <c r="J13" s="130"/>
      <c r="K13" s="42" t="s">
        <v>1606</v>
      </c>
      <c r="L13" s="42" t="s">
        <v>1547</v>
      </c>
      <c r="M13" s="42" t="s">
        <v>1594</v>
      </c>
      <c r="N13" s="42" t="s">
        <v>1173</v>
      </c>
      <c r="O13" s="42" t="s">
        <v>126</v>
      </c>
      <c r="P13" s="42" t="s">
        <v>2646</v>
      </c>
      <c r="Q13" s="42">
        <v>90</v>
      </c>
    </row>
    <row r="14" spans="1:31" ht="15.75" customHeight="1">
      <c r="A14" s="129" t="s">
        <v>2647</v>
      </c>
      <c r="B14" s="42" t="s">
        <v>1824</v>
      </c>
      <c r="C14" s="42" t="s">
        <v>1667</v>
      </c>
      <c r="D14" s="42" t="s">
        <v>2489</v>
      </c>
      <c r="E14" s="42" t="s">
        <v>2544</v>
      </c>
      <c r="F14" s="130"/>
      <c r="G14" s="217">
        <v>1</v>
      </c>
      <c r="H14" s="7">
        <v>1</v>
      </c>
      <c r="I14" s="217">
        <v>1</v>
      </c>
      <c r="J14" s="130"/>
      <c r="K14" s="42" t="s">
        <v>1848</v>
      </c>
      <c r="L14" s="42" t="s">
        <v>1709</v>
      </c>
      <c r="M14" s="42" t="s">
        <v>1711</v>
      </c>
      <c r="N14" s="42" t="s">
        <v>1171</v>
      </c>
      <c r="O14" s="42" t="s">
        <v>126</v>
      </c>
      <c r="P14" s="42" t="s">
        <v>382</v>
      </c>
      <c r="Q14" s="42">
        <v>40</v>
      </c>
    </row>
    <row r="15" spans="1:31" ht="15.75" customHeight="1">
      <c r="A15" s="129" t="s">
        <v>2648</v>
      </c>
      <c r="B15" s="42" t="s">
        <v>1537</v>
      </c>
      <c r="C15" s="42" t="s">
        <v>1624</v>
      </c>
      <c r="D15" s="42" t="s">
        <v>2483</v>
      </c>
      <c r="E15" s="42" t="s">
        <v>2530</v>
      </c>
      <c r="F15" s="130"/>
      <c r="G15" s="218"/>
      <c r="H15" s="7">
        <v>2</v>
      </c>
      <c r="I15" s="217">
        <v>1</v>
      </c>
      <c r="J15" s="130"/>
      <c r="K15" s="42" t="s">
        <v>1805</v>
      </c>
      <c r="L15" s="42" t="s">
        <v>1547</v>
      </c>
      <c r="M15" s="42" t="s">
        <v>1814</v>
      </c>
      <c r="N15" s="42" t="s">
        <v>2649</v>
      </c>
      <c r="O15" s="42" t="s">
        <v>126</v>
      </c>
      <c r="P15" s="42" t="s">
        <v>530</v>
      </c>
      <c r="Q15" s="42">
        <v>100</v>
      </c>
    </row>
    <row r="16" spans="1:31" ht="15.75" customHeight="1">
      <c r="A16" s="50"/>
      <c r="F16" s="130"/>
      <c r="G16" s="130"/>
      <c r="H16" s="130"/>
      <c r="I16" s="130"/>
      <c r="J16" s="130"/>
    </row>
    <row r="17" spans="1:10" ht="15.75" customHeight="1">
      <c r="A17" s="50"/>
      <c r="F17" s="130"/>
      <c r="G17" s="130"/>
      <c r="H17" s="130"/>
      <c r="I17" s="130"/>
      <c r="J17" s="130"/>
    </row>
    <row r="18" spans="1:10" ht="15.75" customHeight="1">
      <c r="A18" s="50"/>
      <c r="F18" s="130"/>
      <c r="G18" s="130"/>
      <c r="H18" s="130"/>
      <c r="I18" s="130"/>
      <c r="J18" s="130"/>
    </row>
    <row r="19" spans="1:10" ht="15.75" customHeight="1">
      <c r="A19" s="50"/>
      <c r="F19" s="130"/>
      <c r="G19" s="130"/>
      <c r="H19" s="130"/>
      <c r="I19" s="130"/>
      <c r="J19" s="130"/>
    </row>
    <row r="20" spans="1:10" ht="15.75" customHeight="1">
      <c r="A20" s="50"/>
      <c r="F20" s="130"/>
      <c r="G20" s="130"/>
      <c r="H20" s="130"/>
      <c r="I20" s="130"/>
      <c r="J20" s="130"/>
    </row>
    <row r="21" spans="1:10" ht="15.75" customHeight="1">
      <c r="A21" s="50"/>
      <c r="F21" s="130"/>
      <c r="G21" s="130"/>
      <c r="H21" s="130"/>
      <c r="I21" s="130"/>
      <c r="J21" s="130"/>
    </row>
    <row r="22" spans="1:10" ht="15.75" customHeight="1">
      <c r="A22" s="50"/>
      <c r="F22" s="130"/>
      <c r="G22" s="130"/>
      <c r="H22" s="130"/>
      <c r="I22" s="130"/>
      <c r="J22" s="130"/>
    </row>
    <row r="23" spans="1:10" ht="15.75" customHeight="1">
      <c r="A23" s="50"/>
      <c r="F23" s="130"/>
      <c r="G23" s="130"/>
      <c r="H23" s="130"/>
      <c r="I23" s="130"/>
      <c r="J23" s="130"/>
    </row>
    <row r="24" spans="1:10" ht="15.75" customHeight="1">
      <c r="A24" s="50"/>
      <c r="F24" s="130"/>
      <c r="G24" s="130"/>
      <c r="H24" s="130"/>
      <c r="I24" s="130"/>
      <c r="J24" s="130"/>
    </row>
    <row r="25" spans="1:10" ht="15.75" customHeight="1">
      <c r="A25" s="50"/>
      <c r="F25" s="130"/>
      <c r="G25" s="130"/>
      <c r="H25" s="130"/>
      <c r="I25" s="130"/>
      <c r="J25" s="130"/>
    </row>
    <row r="26" spans="1:10" ht="15.75" customHeight="1">
      <c r="A26" s="50"/>
      <c r="F26" s="130"/>
      <c r="G26" s="130"/>
      <c r="H26" s="130"/>
      <c r="I26" s="130"/>
      <c r="J26" s="130"/>
    </row>
    <row r="27" spans="1:10" ht="15.75" customHeight="1">
      <c r="A27" s="50"/>
      <c r="F27" s="130"/>
      <c r="G27" s="130"/>
      <c r="H27" s="130"/>
      <c r="I27" s="130"/>
      <c r="J27" s="130"/>
    </row>
    <row r="28" spans="1:10" ht="15.75" customHeight="1">
      <c r="A28" s="50"/>
      <c r="F28" s="130"/>
      <c r="G28" s="130"/>
      <c r="H28" s="130"/>
      <c r="I28" s="130"/>
      <c r="J28" s="130"/>
    </row>
    <row r="29" spans="1:10" ht="15.75" customHeight="1">
      <c r="A29" s="50"/>
      <c r="F29" s="130"/>
      <c r="G29" s="130"/>
      <c r="H29" s="130"/>
      <c r="I29" s="130"/>
      <c r="J29" s="130"/>
    </row>
    <row r="30" spans="1:10" ht="15.75" customHeight="1">
      <c r="A30" s="50"/>
      <c r="F30" s="130"/>
      <c r="G30" s="130"/>
      <c r="H30" s="130"/>
      <c r="I30" s="130"/>
      <c r="J30" s="130"/>
    </row>
    <row r="31" spans="1:10" ht="15.75" customHeight="1">
      <c r="A31" s="50"/>
      <c r="F31" s="130"/>
      <c r="G31" s="130"/>
      <c r="H31" s="130"/>
      <c r="I31" s="130"/>
      <c r="J31" s="130"/>
    </row>
    <row r="32" spans="1:10" ht="15.75" customHeight="1">
      <c r="A32" s="50"/>
      <c r="F32" s="130"/>
      <c r="G32" s="130"/>
      <c r="H32" s="130"/>
      <c r="I32" s="130"/>
      <c r="J32" s="130"/>
    </row>
    <row r="33" spans="1:10" ht="15.75" customHeight="1">
      <c r="A33" s="50"/>
      <c r="F33" s="130"/>
      <c r="G33" s="130"/>
      <c r="H33" s="130"/>
      <c r="I33" s="130"/>
      <c r="J33" s="130"/>
    </row>
    <row r="34" spans="1:10" ht="15.75" customHeight="1">
      <c r="A34" s="50"/>
      <c r="F34" s="130"/>
      <c r="G34" s="130"/>
      <c r="H34" s="130"/>
      <c r="I34" s="130"/>
      <c r="J34" s="130"/>
    </row>
    <row r="35" spans="1:10" ht="15.75" customHeight="1">
      <c r="A35" s="50"/>
      <c r="F35" s="130"/>
      <c r="G35" s="130"/>
      <c r="H35" s="130"/>
      <c r="I35" s="130"/>
      <c r="J35" s="130"/>
    </row>
    <row r="36" spans="1:10" ht="15.75" customHeight="1">
      <c r="A36" s="50"/>
      <c r="F36" s="130"/>
      <c r="G36" s="130"/>
      <c r="H36" s="130"/>
      <c r="I36" s="130"/>
      <c r="J36" s="130"/>
    </row>
    <row r="37" spans="1:10" ht="15.75" customHeight="1">
      <c r="A37" s="50"/>
      <c r="F37" s="130"/>
      <c r="G37" s="130"/>
      <c r="H37" s="130"/>
      <c r="I37" s="130"/>
      <c r="J37" s="130"/>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B36"/>
  <sheetViews>
    <sheetView workbookViewId="0">
      <pane ySplit="1" topLeftCell="A2" activePane="bottomLeft" state="frozen"/>
      <selection pane="bottomLeft" activeCell="B3" sqref="B3"/>
    </sheetView>
  </sheetViews>
  <sheetFormatPr baseColWidth="10" defaultColWidth="14.5" defaultRowHeight="15.75" customHeight="1"/>
  <cols>
    <col min="1" max="1" width="10.1640625" customWidth="1"/>
    <col min="2" max="2" width="6.83203125" customWidth="1"/>
    <col min="3" max="3" width="7.6640625" customWidth="1"/>
    <col min="4" max="4" width="10.5" customWidth="1"/>
    <col min="5" max="7" width="6.83203125" customWidth="1"/>
    <col min="8" max="9" width="7.83203125" customWidth="1"/>
    <col min="10" max="11" width="8.1640625" customWidth="1"/>
    <col min="12" max="12" width="1.6640625" customWidth="1"/>
    <col min="13" max="13" width="91.5" customWidth="1"/>
  </cols>
  <sheetData>
    <row r="1" spans="1:28" ht="15.75" customHeight="1">
      <c r="A1" s="129" t="s">
        <v>232</v>
      </c>
      <c r="B1" s="215" t="s">
        <v>214</v>
      </c>
      <c r="C1" s="129" t="s">
        <v>2308</v>
      </c>
      <c r="D1" s="129" t="s">
        <v>2378</v>
      </c>
      <c r="E1" s="215" t="s">
        <v>2650</v>
      </c>
      <c r="F1" s="167" t="s">
        <v>2651</v>
      </c>
      <c r="G1" s="167" t="s">
        <v>2652</v>
      </c>
      <c r="H1" s="167" t="s">
        <v>2653</v>
      </c>
      <c r="I1" s="167" t="s">
        <v>2654</v>
      </c>
      <c r="J1" s="167" t="s">
        <v>2655</v>
      </c>
      <c r="K1" s="167" t="s">
        <v>2656</v>
      </c>
      <c r="L1" s="167"/>
      <c r="M1" s="129" t="s">
        <v>1184</v>
      </c>
      <c r="N1" s="50"/>
      <c r="O1" s="50"/>
      <c r="P1" s="50"/>
      <c r="Q1" s="50"/>
      <c r="R1" s="50"/>
      <c r="S1" s="50"/>
      <c r="T1" s="50"/>
      <c r="U1" s="50"/>
      <c r="V1" s="50"/>
      <c r="W1" s="50"/>
      <c r="X1" s="50"/>
      <c r="Y1" s="50"/>
      <c r="Z1" s="50"/>
      <c r="AA1" s="50"/>
      <c r="AB1" s="50"/>
    </row>
    <row r="2" spans="1:28" ht="15.75" customHeight="1">
      <c r="A2" s="129" t="s">
        <v>2657</v>
      </c>
      <c r="B2" s="7">
        <v>1</v>
      </c>
      <c r="C2" s="42" t="s">
        <v>1996</v>
      </c>
      <c r="D2" s="42" t="s">
        <v>2297</v>
      </c>
      <c r="E2" s="7">
        <v>1.5</v>
      </c>
      <c r="F2" s="220">
        <v>4.5</v>
      </c>
      <c r="G2" s="42">
        <v>10</v>
      </c>
      <c r="H2" s="42">
        <v>19.5</v>
      </c>
      <c r="I2" s="42">
        <v>38</v>
      </c>
      <c r="J2" s="42">
        <v>89</v>
      </c>
      <c r="K2" s="42">
        <v>125</v>
      </c>
    </row>
    <row r="3" spans="1:28" ht="15.75" customHeight="1">
      <c r="A3" s="129" t="s">
        <v>2658</v>
      </c>
      <c r="B3" s="7">
        <v>1</v>
      </c>
      <c r="C3" s="42" t="s">
        <v>1996</v>
      </c>
      <c r="D3" s="42" t="s">
        <v>2297</v>
      </c>
      <c r="E3" s="7">
        <v>1.5</v>
      </c>
      <c r="F3" s="220">
        <v>4.5</v>
      </c>
      <c r="G3" s="42">
        <v>10</v>
      </c>
      <c r="H3" s="42">
        <v>19.5</v>
      </c>
      <c r="I3" s="42">
        <v>38.5</v>
      </c>
      <c r="J3" s="42">
        <v>89</v>
      </c>
      <c r="K3" s="42">
        <v>124.5</v>
      </c>
    </row>
    <row r="4" spans="1:28" ht="15.75" customHeight="1">
      <c r="A4" s="129" t="s">
        <v>2659</v>
      </c>
      <c r="B4" s="7">
        <v>1</v>
      </c>
      <c r="C4" s="42" t="s">
        <v>1996</v>
      </c>
      <c r="D4" s="42" t="s">
        <v>2297</v>
      </c>
      <c r="E4" s="7">
        <v>1.5</v>
      </c>
      <c r="F4" s="220">
        <v>4.5</v>
      </c>
      <c r="G4" s="42">
        <v>10.5</v>
      </c>
      <c r="H4" s="42">
        <v>19.5</v>
      </c>
      <c r="I4" s="42">
        <v>38.5</v>
      </c>
      <c r="J4" s="42">
        <v>89</v>
      </c>
      <c r="K4" s="42">
        <v>124.5</v>
      </c>
    </row>
    <row r="5" spans="1:28" ht="15.75" customHeight="1">
      <c r="A5" s="129" t="s">
        <v>320</v>
      </c>
      <c r="B5" s="7">
        <v>1</v>
      </c>
      <c r="C5" s="42" t="s">
        <v>1996</v>
      </c>
      <c r="D5" s="42" t="s">
        <v>2298</v>
      </c>
      <c r="E5" s="7">
        <v>1</v>
      </c>
      <c r="F5" s="220">
        <v>3.5</v>
      </c>
      <c r="G5" s="42">
        <v>8.5</v>
      </c>
      <c r="H5" s="42">
        <v>16</v>
      </c>
      <c r="I5" s="42">
        <v>31.5</v>
      </c>
      <c r="J5" s="42">
        <v>73.5</v>
      </c>
      <c r="K5" s="42">
        <v>102.5</v>
      </c>
      <c r="M5" s="42" t="s">
        <v>2660</v>
      </c>
    </row>
    <row r="6" spans="1:28" ht="15.75" customHeight="1">
      <c r="A6" s="129" t="s">
        <v>2661</v>
      </c>
      <c r="B6" s="7">
        <v>1</v>
      </c>
      <c r="C6" s="42" t="s">
        <v>2661</v>
      </c>
      <c r="D6" s="42" t="s">
        <v>2296</v>
      </c>
      <c r="E6" s="7">
        <v>13</v>
      </c>
      <c r="F6" s="220">
        <v>3.5</v>
      </c>
      <c r="G6" s="42">
        <v>8.5</v>
      </c>
      <c r="H6" s="42">
        <v>16</v>
      </c>
      <c r="I6" s="42">
        <v>31.5</v>
      </c>
      <c r="J6" s="42">
        <v>73.5</v>
      </c>
      <c r="K6" s="42">
        <v>102.5</v>
      </c>
      <c r="M6" s="42" t="s">
        <v>2662</v>
      </c>
    </row>
    <row r="7" spans="1:28" ht="15.75" customHeight="1">
      <c r="A7" s="134" t="s">
        <v>2657</v>
      </c>
      <c r="B7" s="133">
        <v>2</v>
      </c>
      <c r="C7" s="176" t="s">
        <v>1996</v>
      </c>
      <c r="D7" s="176" t="s">
        <v>2297</v>
      </c>
      <c r="E7" s="133">
        <v>2</v>
      </c>
      <c r="F7" s="221">
        <v>6.5</v>
      </c>
      <c r="G7" s="176">
        <v>16</v>
      </c>
      <c r="H7" s="176">
        <v>30.5</v>
      </c>
      <c r="I7" s="176">
        <v>60</v>
      </c>
      <c r="J7" s="176">
        <v>139.5</v>
      </c>
      <c r="K7" s="176">
        <v>195.5</v>
      </c>
      <c r="L7" s="135"/>
      <c r="M7" s="135"/>
      <c r="N7" s="135"/>
      <c r="O7" s="135"/>
      <c r="P7" s="135"/>
      <c r="Q7" s="135"/>
      <c r="R7" s="135"/>
      <c r="S7" s="135"/>
      <c r="T7" s="135"/>
      <c r="U7" s="135"/>
      <c r="V7" s="135"/>
      <c r="W7" s="135"/>
      <c r="X7" s="135"/>
      <c r="Y7" s="135"/>
      <c r="Z7" s="135"/>
      <c r="AA7" s="135"/>
      <c r="AB7" s="135"/>
    </row>
    <row r="8" spans="1:28" ht="15.75" customHeight="1">
      <c r="A8" s="134" t="s">
        <v>2658</v>
      </c>
      <c r="B8" s="133">
        <v>2</v>
      </c>
      <c r="C8" s="176" t="s">
        <v>1996</v>
      </c>
      <c r="D8" s="176" t="s">
        <v>2297</v>
      </c>
      <c r="E8" s="133">
        <v>2</v>
      </c>
      <c r="F8" s="221">
        <v>6.5</v>
      </c>
      <c r="G8" s="176">
        <v>16</v>
      </c>
      <c r="H8" s="176">
        <v>30.5</v>
      </c>
      <c r="I8" s="176">
        <v>60</v>
      </c>
      <c r="J8" s="176">
        <v>139.5</v>
      </c>
      <c r="K8" s="176">
        <v>195.5</v>
      </c>
      <c r="L8" s="135"/>
      <c r="M8" s="135"/>
      <c r="N8" s="135"/>
      <c r="O8" s="135"/>
      <c r="P8" s="135"/>
      <c r="Q8" s="135"/>
      <c r="R8" s="135"/>
      <c r="S8" s="135"/>
      <c r="T8" s="135"/>
      <c r="U8" s="135"/>
      <c r="V8" s="135"/>
      <c r="W8" s="135"/>
      <c r="X8" s="135"/>
      <c r="Y8" s="135"/>
      <c r="Z8" s="135"/>
      <c r="AA8" s="135"/>
      <c r="AB8" s="135"/>
    </row>
    <row r="9" spans="1:28" ht="15.75" customHeight="1">
      <c r="A9" s="134" t="s">
        <v>2659</v>
      </c>
      <c r="B9" s="133">
        <v>2</v>
      </c>
      <c r="C9" s="176" t="s">
        <v>1996</v>
      </c>
      <c r="D9" s="176" t="s">
        <v>2297</v>
      </c>
      <c r="E9" s="133">
        <v>2</v>
      </c>
      <c r="F9" s="221">
        <v>6.5</v>
      </c>
      <c r="G9" s="176">
        <v>16.5</v>
      </c>
      <c r="H9" s="176">
        <v>30.5</v>
      </c>
      <c r="I9" s="176">
        <v>60</v>
      </c>
      <c r="J9" s="176">
        <v>140</v>
      </c>
      <c r="K9" s="176">
        <v>195.5</v>
      </c>
      <c r="L9" s="135"/>
      <c r="M9" s="135"/>
      <c r="N9" s="135"/>
      <c r="O9" s="135"/>
      <c r="P9" s="135"/>
      <c r="Q9" s="135"/>
      <c r="R9" s="135"/>
      <c r="S9" s="135"/>
      <c r="T9" s="135"/>
      <c r="U9" s="135"/>
      <c r="V9" s="135"/>
      <c r="W9" s="135"/>
      <c r="X9" s="135"/>
      <c r="Y9" s="135"/>
      <c r="Z9" s="135"/>
      <c r="AA9" s="135"/>
      <c r="AB9" s="135"/>
    </row>
    <row r="10" spans="1:28" ht="15.75" customHeight="1">
      <c r="A10" s="134" t="s">
        <v>2663</v>
      </c>
      <c r="B10" s="133">
        <v>2</v>
      </c>
      <c r="C10" s="176" t="s">
        <v>1996</v>
      </c>
      <c r="D10" s="176" t="s">
        <v>2298</v>
      </c>
      <c r="E10" s="133">
        <v>3</v>
      </c>
      <c r="F10" s="221">
        <v>6.5</v>
      </c>
      <c r="G10" s="176">
        <v>15.5</v>
      </c>
      <c r="H10" s="176">
        <v>29</v>
      </c>
      <c r="I10" s="176">
        <v>57</v>
      </c>
      <c r="J10" s="176">
        <v>133</v>
      </c>
      <c r="K10" s="176">
        <v>186</v>
      </c>
      <c r="L10" s="135"/>
      <c r="M10" s="176" t="s">
        <v>2664</v>
      </c>
      <c r="N10" s="135"/>
      <c r="O10" s="135"/>
      <c r="P10" s="135"/>
      <c r="Q10" s="135"/>
      <c r="R10" s="135"/>
      <c r="S10" s="135"/>
      <c r="T10" s="135"/>
      <c r="U10" s="135"/>
      <c r="V10" s="135"/>
      <c r="W10" s="135"/>
      <c r="X10" s="135"/>
      <c r="Y10" s="135"/>
      <c r="Z10" s="135"/>
      <c r="AA10" s="135"/>
      <c r="AB10" s="135"/>
    </row>
    <row r="11" spans="1:28" ht="15.75" customHeight="1">
      <c r="A11" s="134" t="s">
        <v>1535</v>
      </c>
      <c r="B11" s="133">
        <v>2</v>
      </c>
      <c r="C11" s="176" t="s">
        <v>1996</v>
      </c>
      <c r="D11" s="176" t="s">
        <v>2296</v>
      </c>
      <c r="E11" s="133">
        <v>2</v>
      </c>
      <c r="F11" s="221">
        <v>6</v>
      </c>
      <c r="G11" s="176">
        <v>14.5</v>
      </c>
      <c r="H11" s="176">
        <v>27.5</v>
      </c>
      <c r="I11" s="176">
        <v>54</v>
      </c>
      <c r="J11" s="176">
        <v>126.5</v>
      </c>
      <c r="K11" s="176">
        <v>177</v>
      </c>
      <c r="L11" s="135"/>
      <c r="M11" s="176" t="s">
        <v>2665</v>
      </c>
      <c r="N11" s="135"/>
      <c r="O11" s="135"/>
      <c r="P11" s="135"/>
      <c r="Q11" s="135"/>
      <c r="R11" s="135"/>
      <c r="S11" s="135"/>
      <c r="T11" s="135"/>
      <c r="U11" s="135"/>
      <c r="V11" s="135"/>
      <c r="W11" s="135"/>
      <c r="X11" s="135"/>
      <c r="Y11" s="135"/>
      <c r="Z11" s="135"/>
      <c r="AA11" s="135"/>
      <c r="AB11" s="135"/>
    </row>
    <row r="12" spans="1:28" ht="15.75" customHeight="1">
      <c r="A12" s="173" t="s">
        <v>2666</v>
      </c>
      <c r="B12" s="222">
        <v>2</v>
      </c>
      <c r="C12" s="177" t="s">
        <v>1584</v>
      </c>
      <c r="D12" s="177" t="s">
        <v>2298</v>
      </c>
      <c r="E12" s="222">
        <v>13</v>
      </c>
      <c r="F12" s="223">
        <v>5.5</v>
      </c>
      <c r="G12" s="177">
        <v>14</v>
      </c>
      <c r="H12" s="177">
        <v>26</v>
      </c>
      <c r="I12" s="177">
        <v>51.5</v>
      </c>
      <c r="J12" s="177">
        <v>119.5</v>
      </c>
      <c r="K12" s="177">
        <v>167.5</v>
      </c>
      <c r="L12" s="182"/>
      <c r="M12" s="182"/>
      <c r="N12" s="135"/>
      <c r="O12" s="135"/>
      <c r="P12" s="135"/>
      <c r="Q12" s="135"/>
      <c r="R12" s="135"/>
      <c r="S12" s="135"/>
      <c r="T12" s="135"/>
      <c r="U12" s="135"/>
      <c r="V12" s="135"/>
      <c r="W12" s="135"/>
      <c r="X12" s="135"/>
      <c r="Y12" s="135"/>
      <c r="Z12" s="135"/>
      <c r="AA12" s="135"/>
      <c r="AB12" s="135"/>
    </row>
    <row r="13" spans="1:28" ht="15.75" customHeight="1">
      <c r="A13" s="173" t="s">
        <v>1150</v>
      </c>
      <c r="B13" s="222">
        <v>2</v>
      </c>
      <c r="C13" s="177" t="s">
        <v>1584</v>
      </c>
      <c r="D13" s="177" t="s">
        <v>2298</v>
      </c>
      <c r="E13" s="222">
        <v>13</v>
      </c>
      <c r="F13" s="223">
        <v>6.5</v>
      </c>
      <c r="G13" s="177">
        <v>15.5</v>
      </c>
      <c r="H13" s="177">
        <v>29</v>
      </c>
      <c r="I13" s="177">
        <v>57</v>
      </c>
      <c r="J13" s="177">
        <v>133</v>
      </c>
      <c r="K13" s="177">
        <v>186</v>
      </c>
      <c r="L13" s="182"/>
      <c r="M13" s="177" t="s">
        <v>2667</v>
      </c>
      <c r="N13" s="135"/>
      <c r="O13" s="135"/>
      <c r="P13" s="135"/>
      <c r="Q13" s="135"/>
      <c r="R13" s="135"/>
      <c r="S13" s="135"/>
      <c r="T13" s="135"/>
      <c r="U13" s="135"/>
      <c r="V13" s="135"/>
      <c r="W13" s="135"/>
      <c r="X13" s="135"/>
      <c r="Y13" s="135"/>
      <c r="Z13" s="135"/>
      <c r="AA13" s="135"/>
      <c r="AB13" s="135"/>
    </row>
    <row r="14" spans="1:28" ht="15.75" customHeight="1">
      <c r="A14" s="50"/>
      <c r="B14" s="130"/>
      <c r="E14" s="130"/>
    </row>
    <row r="15" spans="1:28" ht="15.75" customHeight="1">
      <c r="A15" s="274" t="s">
        <v>2668</v>
      </c>
      <c r="B15" s="273"/>
      <c r="C15" s="273"/>
      <c r="D15" s="273"/>
      <c r="E15" s="273"/>
      <c r="F15">
        <f t="shared" ref="F15:K15" si="0">ROUND((F5+F5*0.5)*1.75,1)</f>
        <v>9.1999999999999993</v>
      </c>
      <c r="G15">
        <f t="shared" si="0"/>
        <v>22.3</v>
      </c>
      <c r="H15">
        <f t="shared" si="0"/>
        <v>42</v>
      </c>
      <c r="I15">
        <f t="shared" si="0"/>
        <v>82.7</v>
      </c>
      <c r="J15">
        <f t="shared" si="0"/>
        <v>192.9</v>
      </c>
      <c r="K15">
        <f t="shared" si="0"/>
        <v>269.10000000000002</v>
      </c>
      <c r="M15" s="42" t="s">
        <v>2669</v>
      </c>
    </row>
    <row r="16" spans="1:28" ht="15.75" customHeight="1">
      <c r="A16" s="274" t="s">
        <v>2670</v>
      </c>
      <c r="B16" s="273"/>
      <c r="C16" s="273"/>
      <c r="D16" s="273"/>
      <c r="E16" s="273"/>
      <c r="F16">
        <f t="shared" ref="F16:K16" si="1">F10</f>
        <v>6.5</v>
      </c>
      <c r="G16">
        <f t="shared" si="1"/>
        <v>15.5</v>
      </c>
      <c r="H16">
        <f t="shared" si="1"/>
        <v>29</v>
      </c>
      <c r="I16">
        <f t="shared" si="1"/>
        <v>57</v>
      </c>
      <c r="J16">
        <f t="shared" si="1"/>
        <v>133</v>
      </c>
      <c r="K16">
        <f t="shared" si="1"/>
        <v>186</v>
      </c>
      <c r="M16" s="42" t="s">
        <v>2671</v>
      </c>
    </row>
    <row r="17" spans="1:15" ht="15.75" customHeight="1">
      <c r="A17" s="274" t="s">
        <v>2672</v>
      </c>
      <c r="B17" s="273"/>
      <c r="C17" s="273"/>
      <c r="D17" s="273"/>
      <c r="E17" s="273"/>
      <c r="F17">
        <f t="shared" ref="F17:K17" si="2">F2+F2*0.5</f>
        <v>6.75</v>
      </c>
      <c r="G17">
        <f t="shared" si="2"/>
        <v>15</v>
      </c>
      <c r="H17">
        <f t="shared" si="2"/>
        <v>29.25</v>
      </c>
      <c r="I17">
        <f t="shared" si="2"/>
        <v>57</v>
      </c>
      <c r="J17">
        <f t="shared" si="2"/>
        <v>133.5</v>
      </c>
      <c r="K17">
        <f t="shared" si="2"/>
        <v>187.5</v>
      </c>
      <c r="M17" s="42" t="s">
        <v>2673</v>
      </c>
    </row>
    <row r="18" spans="1:15" ht="15.75" customHeight="1">
      <c r="A18" s="274" t="s">
        <v>2674</v>
      </c>
      <c r="B18" s="273"/>
      <c r="C18" s="273"/>
      <c r="D18" s="273"/>
      <c r="E18" s="273"/>
      <c r="F18">
        <f t="shared" ref="F18:K18" si="3">F7</f>
        <v>6.5</v>
      </c>
      <c r="G18">
        <f t="shared" si="3"/>
        <v>16</v>
      </c>
      <c r="H18">
        <f t="shared" si="3"/>
        <v>30.5</v>
      </c>
      <c r="I18">
        <f t="shared" si="3"/>
        <v>60</v>
      </c>
      <c r="J18">
        <f t="shared" si="3"/>
        <v>139.5</v>
      </c>
      <c r="K18">
        <f t="shared" si="3"/>
        <v>195.5</v>
      </c>
      <c r="M18" s="42"/>
      <c r="O18" s="182"/>
    </row>
    <row r="19" spans="1:15" ht="15.75" customHeight="1">
      <c r="A19" s="274" t="s">
        <v>2675</v>
      </c>
      <c r="B19" s="273"/>
      <c r="C19" s="273"/>
      <c r="D19" s="273"/>
      <c r="E19" s="273"/>
      <c r="F19" s="224">
        <f t="shared" ref="F19:K19" si="4">F18-F17</f>
        <v>-0.25</v>
      </c>
      <c r="G19">
        <f t="shared" si="4"/>
        <v>1</v>
      </c>
      <c r="H19">
        <f t="shared" si="4"/>
        <v>1.25</v>
      </c>
      <c r="I19">
        <f t="shared" si="4"/>
        <v>3</v>
      </c>
      <c r="J19">
        <f t="shared" si="4"/>
        <v>6</v>
      </c>
      <c r="K19">
        <f t="shared" si="4"/>
        <v>8</v>
      </c>
      <c r="M19" s="42" t="s">
        <v>2676</v>
      </c>
    </row>
    <row r="20" spans="1:15" ht="15.75" customHeight="1">
      <c r="A20" s="198"/>
      <c r="B20" s="192"/>
      <c r="C20" s="192"/>
      <c r="D20" s="192"/>
      <c r="E20" s="192"/>
    </row>
    <row r="21" spans="1:15" ht="15.75" customHeight="1">
      <c r="A21" s="198"/>
      <c r="B21" s="192"/>
      <c r="C21" s="192"/>
      <c r="D21" s="192"/>
      <c r="E21" s="192"/>
    </row>
    <row r="22" spans="1:15" ht="15.75" customHeight="1">
      <c r="A22" s="274" t="s">
        <v>2677</v>
      </c>
      <c r="B22" s="273"/>
      <c r="C22" s="273"/>
      <c r="D22" s="273"/>
      <c r="E22" s="273"/>
      <c r="F22">
        <f t="shared" ref="F22:K22" si="5">F6+F6*0.5</f>
        <v>5.25</v>
      </c>
      <c r="G22">
        <f t="shared" si="5"/>
        <v>12.75</v>
      </c>
      <c r="H22">
        <f t="shared" si="5"/>
        <v>24</v>
      </c>
      <c r="I22">
        <f t="shared" si="5"/>
        <v>47.25</v>
      </c>
      <c r="J22">
        <f t="shared" si="5"/>
        <v>110.25</v>
      </c>
      <c r="K22">
        <f t="shared" si="5"/>
        <v>153.75</v>
      </c>
      <c r="M22" s="42" t="s">
        <v>2678</v>
      </c>
    </row>
    <row r="23" spans="1:15" ht="15.75" customHeight="1">
      <c r="A23" s="274" t="s">
        <v>1535</v>
      </c>
      <c r="B23" s="273"/>
      <c r="C23" s="273"/>
      <c r="D23" s="273"/>
      <c r="E23" s="273"/>
      <c r="F23">
        <f t="shared" ref="F23:K23" si="6">F11</f>
        <v>6</v>
      </c>
      <c r="G23">
        <f t="shared" si="6"/>
        <v>14.5</v>
      </c>
      <c r="H23">
        <f t="shared" si="6"/>
        <v>27.5</v>
      </c>
      <c r="I23">
        <f t="shared" si="6"/>
        <v>54</v>
      </c>
      <c r="J23">
        <f t="shared" si="6"/>
        <v>126.5</v>
      </c>
      <c r="K23">
        <f t="shared" si="6"/>
        <v>177</v>
      </c>
      <c r="M23" s="42" t="s">
        <v>2679</v>
      </c>
    </row>
    <row r="24" spans="1:15" ht="15.75" customHeight="1">
      <c r="A24" s="274" t="s">
        <v>2680</v>
      </c>
      <c r="B24" s="273"/>
      <c r="C24" s="273"/>
      <c r="D24" s="273"/>
      <c r="E24" s="273"/>
      <c r="F24">
        <f t="shared" ref="F24:K24" si="7">F23-F22</f>
        <v>0.75</v>
      </c>
      <c r="G24">
        <f t="shared" si="7"/>
        <v>1.75</v>
      </c>
      <c r="H24">
        <f t="shared" si="7"/>
        <v>3.5</v>
      </c>
      <c r="I24">
        <f t="shared" si="7"/>
        <v>6.75</v>
      </c>
      <c r="J24">
        <f t="shared" si="7"/>
        <v>16.25</v>
      </c>
      <c r="K24">
        <f t="shared" si="7"/>
        <v>23.25</v>
      </c>
      <c r="M24" s="42" t="s">
        <v>2681</v>
      </c>
    </row>
    <row r="25" spans="1:15" ht="15.75" customHeight="1">
      <c r="A25" s="50"/>
      <c r="B25" s="130"/>
      <c r="E25" s="130"/>
    </row>
    <row r="26" spans="1:15" ht="15.75" customHeight="1">
      <c r="A26" s="42"/>
    </row>
    <row r="27" spans="1:15" ht="15.75" customHeight="1">
      <c r="A27" s="129"/>
      <c r="B27" s="130"/>
      <c r="E27" s="130"/>
    </row>
    <row r="28" spans="1:15" ht="15.75" customHeight="1">
      <c r="A28" s="129"/>
      <c r="B28" s="130"/>
      <c r="E28" s="130"/>
    </row>
    <row r="29" spans="1:15" ht="15.75" customHeight="1">
      <c r="A29" s="129"/>
      <c r="B29" s="130"/>
      <c r="E29" s="130"/>
      <c r="M29" s="42"/>
    </row>
    <row r="30" spans="1:15" ht="15.75" customHeight="1">
      <c r="A30" s="129"/>
      <c r="B30" s="130"/>
      <c r="E30" s="130"/>
    </row>
    <row r="31" spans="1:15" ht="15.75" customHeight="1">
      <c r="A31" s="129"/>
      <c r="B31" s="130"/>
      <c r="E31" s="130"/>
    </row>
    <row r="32" spans="1:15" ht="15.75" customHeight="1">
      <c r="A32" s="129"/>
      <c r="B32" s="130"/>
      <c r="E32" s="130"/>
    </row>
    <row r="33" spans="1:5" ht="15.75" customHeight="1">
      <c r="A33" s="129"/>
      <c r="B33" s="130"/>
      <c r="E33" s="130"/>
    </row>
    <row r="34" spans="1:5" ht="15.75" customHeight="1">
      <c r="A34" s="129"/>
      <c r="B34" s="130"/>
      <c r="E34" s="130"/>
    </row>
    <row r="35" spans="1:5" ht="15.75" customHeight="1">
      <c r="A35" s="129"/>
      <c r="B35" s="130"/>
      <c r="E35" s="130"/>
    </row>
    <row r="36" spans="1:5" ht="15.75" customHeight="1">
      <c r="A36" s="129"/>
      <c r="B36" s="130"/>
      <c r="E36" s="130"/>
    </row>
  </sheetData>
  <mergeCells count="8">
    <mergeCell ref="A22:E22"/>
    <mergeCell ref="A23:E23"/>
    <mergeCell ref="A24:E24"/>
    <mergeCell ref="A15:E15"/>
    <mergeCell ref="A16:E16"/>
    <mergeCell ref="A17:E17"/>
    <mergeCell ref="A18:E18"/>
    <mergeCell ref="A19:E19"/>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T1001"/>
  <sheetViews>
    <sheetView workbookViewId="0">
      <pane ySplit="1" topLeftCell="A2" activePane="bottomLeft" state="frozen"/>
      <selection pane="bottomLeft" activeCell="B3" sqref="B3"/>
    </sheetView>
  </sheetViews>
  <sheetFormatPr baseColWidth="10" defaultColWidth="14.5" defaultRowHeight="15.75" customHeight="1"/>
  <cols>
    <col min="1" max="1" width="12.33203125" customWidth="1"/>
    <col min="2" max="2" width="9.33203125" customWidth="1"/>
    <col min="3" max="3" width="11" customWidth="1"/>
    <col min="4" max="4" width="2.5" customWidth="1"/>
    <col min="5" max="5" width="10.33203125" customWidth="1"/>
    <col min="6" max="6" width="8" customWidth="1"/>
    <col min="7" max="7" width="2.5" customWidth="1"/>
    <col min="8" max="8" width="11.33203125" customWidth="1"/>
    <col min="9" max="9" width="9" customWidth="1"/>
    <col min="10" max="10" width="2.5" customWidth="1"/>
    <col min="11" max="11" width="11.33203125" customWidth="1"/>
    <col min="12" max="12" width="9" customWidth="1"/>
  </cols>
  <sheetData>
    <row r="1" spans="1:20" ht="15.75" customHeight="1">
      <c r="A1" s="129" t="s">
        <v>44</v>
      </c>
      <c r="B1" s="129" t="s">
        <v>2682</v>
      </c>
      <c r="C1" s="129" t="s">
        <v>2378</v>
      </c>
      <c r="D1" s="215"/>
      <c r="E1" s="215" t="s">
        <v>2683</v>
      </c>
      <c r="F1" s="215" t="s">
        <v>2684</v>
      </c>
      <c r="G1" s="215"/>
      <c r="H1" s="215" t="s">
        <v>2685</v>
      </c>
      <c r="I1" s="215" t="s">
        <v>2686</v>
      </c>
      <c r="J1" s="215"/>
      <c r="K1" s="215" t="s">
        <v>2687</v>
      </c>
      <c r="L1" s="215" t="s">
        <v>2688</v>
      </c>
      <c r="M1" s="50"/>
      <c r="N1" s="50"/>
      <c r="O1" s="50"/>
      <c r="P1" s="50"/>
      <c r="Q1" s="50"/>
      <c r="R1" s="50"/>
      <c r="S1" s="50"/>
      <c r="T1" s="50"/>
    </row>
    <row r="2" spans="1:20" ht="15.75" customHeight="1">
      <c r="A2" s="129" t="s">
        <v>2689</v>
      </c>
      <c r="B2" s="42" t="s">
        <v>218</v>
      </c>
      <c r="C2" s="42" t="s">
        <v>2296</v>
      </c>
      <c r="D2" s="7"/>
      <c r="E2" s="7">
        <v>1</v>
      </c>
      <c r="F2" s="7">
        <v>3</v>
      </c>
      <c r="G2" s="222"/>
      <c r="H2" s="7">
        <v>6</v>
      </c>
      <c r="I2" s="7">
        <v>31</v>
      </c>
      <c r="J2" s="7"/>
      <c r="K2" s="7">
        <v>53</v>
      </c>
      <c r="L2" s="7">
        <v>313</v>
      </c>
      <c r="M2" s="275" t="s">
        <v>2690</v>
      </c>
    </row>
    <row r="3" spans="1:20" ht="15.75" customHeight="1">
      <c r="A3" s="129" t="s">
        <v>2691</v>
      </c>
      <c r="B3" s="42" t="s">
        <v>218</v>
      </c>
      <c r="C3" s="42" t="s">
        <v>2298</v>
      </c>
      <c r="D3" s="7"/>
      <c r="E3" s="7">
        <v>2</v>
      </c>
      <c r="F3" s="7">
        <v>1</v>
      </c>
      <c r="G3" s="222"/>
      <c r="H3" s="7">
        <v>18</v>
      </c>
      <c r="I3" s="7">
        <v>11</v>
      </c>
      <c r="J3" s="7"/>
      <c r="K3" s="7">
        <v>174</v>
      </c>
      <c r="L3" s="7">
        <v>105</v>
      </c>
      <c r="M3" s="273"/>
    </row>
    <row r="4" spans="1:20" ht="15.75" customHeight="1">
      <c r="A4" s="129" t="s">
        <v>2692</v>
      </c>
      <c r="B4" s="42" t="s">
        <v>218</v>
      </c>
      <c r="C4" s="42" t="s">
        <v>2297</v>
      </c>
      <c r="D4" s="7"/>
      <c r="E4" s="7">
        <v>3</v>
      </c>
      <c r="F4" s="7">
        <v>1</v>
      </c>
      <c r="G4" s="222"/>
      <c r="H4" s="7">
        <v>31</v>
      </c>
      <c r="I4" s="7">
        <v>6</v>
      </c>
      <c r="J4" s="7"/>
      <c r="K4" s="7">
        <v>313</v>
      </c>
      <c r="L4" s="7">
        <v>53</v>
      </c>
      <c r="M4" s="273"/>
    </row>
    <row r="5" spans="1:20" ht="15.75" customHeight="1">
      <c r="A5" s="129"/>
      <c r="B5" s="42"/>
      <c r="C5" s="42"/>
      <c r="D5" s="7"/>
      <c r="E5" s="7"/>
      <c r="F5" s="7"/>
      <c r="G5" s="222"/>
      <c r="H5" s="7"/>
      <c r="I5" s="7"/>
      <c r="J5" s="7"/>
      <c r="K5" s="7"/>
      <c r="L5" s="7"/>
      <c r="M5" s="273"/>
    </row>
    <row r="6" spans="1:20" ht="15.75" customHeight="1">
      <c r="A6" s="129" t="s">
        <v>2689</v>
      </c>
      <c r="B6" s="42" t="s">
        <v>215</v>
      </c>
      <c r="C6" s="42" t="s">
        <v>2296</v>
      </c>
      <c r="D6" s="7"/>
      <c r="E6" s="7">
        <v>1</v>
      </c>
      <c r="F6" s="7">
        <v>3</v>
      </c>
      <c r="G6" s="222"/>
      <c r="H6" s="7">
        <v>6</v>
      </c>
      <c r="I6" s="7">
        <v>31</v>
      </c>
      <c r="J6" s="7"/>
      <c r="K6" s="7">
        <v>53</v>
      </c>
      <c r="L6" s="7">
        <v>313</v>
      </c>
      <c r="M6" s="273"/>
    </row>
    <row r="7" spans="1:20" ht="15.75" customHeight="1">
      <c r="A7" s="129" t="s">
        <v>2691</v>
      </c>
      <c r="B7" s="42" t="s">
        <v>215</v>
      </c>
      <c r="C7" s="42" t="s">
        <v>2298</v>
      </c>
      <c r="D7" s="7"/>
      <c r="E7" s="7">
        <v>2</v>
      </c>
      <c r="F7" s="7">
        <v>1</v>
      </c>
      <c r="G7" s="222"/>
      <c r="H7" s="7">
        <v>18</v>
      </c>
      <c r="I7" s="7">
        <v>11</v>
      </c>
      <c r="J7" s="7"/>
      <c r="K7" s="7">
        <v>174</v>
      </c>
      <c r="L7" s="7">
        <v>105</v>
      </c>
      <c r="M7" s="273"/>
    </row>
    <row r="8" spans="1:20" ht="15.75" customHeight="1">
      <c r="A8" s="129" t="s">
        <v>2692</v>
      </c>
      <c r="B8" s="42" t="s">
        <v>215</v>
      </c>
      <c r="C8" s="42" t="s">
        <v>2297</v>
      </c>
      <c r="D8" s="7"/>
      <c r="E8" s="7">
        <v>3</v>
      </c>
      <c r="F8" s="7">
        <v>1</v>
      </c>
      <c r="G8" s="222"/>
      <c r="H8" s="7">
        <v>31</v>
      </c>
      <c r="I8" s="7">
        <v>6</v>
      </c>
      <c r="J8" s="7"/>
      <c r="K8" s="7">
        <v>313</v>
      </c>
      <c r="L8" s="7">
        <v>53</v>
      </c>
      <c r="M8" s="273"/>
    </row>
    <row r="9" spans="1:20" ht="15.75" customHeight="1">
      <c r="A9" s="129"/>
      <c r="B9" s="42"/>
      <c r="C9" s="42"/>
      <c r="D9" s="7"/>
      <c r="E9" s="7"/>
      <c r="F9" s="7"/>
      <c r="G9" s="222"/>
      <c r="H9" s="7"/>
      <c r="I9" s="7"/>
      <c r="J9" s="7"/>
      <c r="K9" s="7"/>
      <c r="L9" s="7"/>
      <c r="M9" s="273"/>
    </row>
    <row r="10" spans="1:20" ht="15.75" customHeight="1">
      <c r="A10" s="129" t="s">
        <v>2689</v>
      </c>
      <c r="B10" s="42" t="s">
        <v>2693</v>
      </c>
      <c r="C10" s="42" t="s">
        <v>2296</v>
      </c>
      <c r="D10" s="7"/>
      <c r="E10" s="7">
        <v>1</v>
      </c>
      <c r="F10" s="7">
        <v>3</v>
      </c>
      <c r="G10" s="222"/>
      <c r="H10" s="7">
        <v>6</v>
      </c>
      <c r="I10" s="7">
        <v>36</v>
      </c>
      <c r="J10" s="7"/>
      <c r="K10" s="7">
        <v>53</v>
      </c>
      <c r="L10" s="7">
        <v>313</v>
      </c>
      <c r="M10" s="273"/>
    </row>
    <row r="11" spans="1:20" ht="15.75" customHeight="1">
      <c r="A11" s="129" t="s">
        <v>2691</v>
      </c>
      <c r="B11" s="42" t="s">
        <v>2693</v>
      </c>
      <c r="C11" s="42" t="s">
        <v>2298</v>
      </c>
      <c r="D11" s="7"/>
      <c r="E11" s="7">
        <v>2</v>
      </c>
      <c r="F11" s="7">
        <v>1</v>
      </c>
      <c r="G11" s="222"/>
      <c r="H11" s="7">
        <v>20</v>
      </c>
      <c r="I11" s="7">
        <v>12</v>
      </c>
      <c r="J11" s="7"/>
      <c r="K11" s="7">
        <v>174</v>
      </c>
      <c r="L11" s="7">
        <v>105</v>
      </c>
      <c r="M11" s="273"/>
    </row>
    <row r="12" spans="1:20" ht="15.75" customHeight="1">
      <c r="A12" s="129" t="s">
        <v>2692</v>
      </c>
      <c r="B12" s="42" t="s">
        <v>2693</v>
      </c>
      <c r="C12" s="42" t="s">
        <v>2297</v>
      </c>
      <c r="D12" s="7"/>
      <c r="E12" s="7">
        <v>3</v>
      </c>
      <c r="F12" s="7">
        <v>1</v>
      </c>
      <c r="G12" s="222"/>
      <c r="H12" s="7">
        <v>36</v>
      </c>
      <c r="I12" s="7">
        <v>6</v>
      </c>
      <c r="J12" s="7"/>
      <c r="K12" s="7">
        <v>313</v>
      </c>
      <c r="L12" s="7">
        <v>53</v>
      </c>
      <c r="M12" s="273"/>
    </row>
    <row r="13" spans="1:20" ht="15.75" customHeight="1">
      <c r="A13" s="129"/>
      <c r="B13" s="42"/>
      <c r="C13" s="42"/>
      <c r="D13" s="7"/>
      <c r="E13" s="7"/>
      <c r="F13" s="7"/>
      <c r="G13" s="222"/>
      <c r="H13" s="7"/>
      <c r="I13" s="7"/>
      <c r="J13" s="7"/>
      <c r="K13" s="7"/>
      <c r="L13" s="7"/>
    </row>
    <row r="14" spans="1:20" ht="15.75" customHeight="1">
      <c r="A14" s="129" t="s">
        <v>2689</v>
      </c>
      <c r="B14" s="42" t="s">
        <v>85</v>
      </c>
      <c r="C14" s="42" t="s">
        <v>2296</v>
      </c>
      <c r="D14" s="7"/>
      <c r="E14" s="7">
        <v>1</v>
      </c>
      <c r="F14" s="7">
        <v>5</v>
      </c>
      <c r="G14" s="222"/>
      <c r="H14" s="7">
        <v>11</v>
      </c>
      <c r="I14" s="7">
        <v>62</v>
      </c>
      <c r="J14" s="7"/>
      <c r="K14" s="7">
        <v>105</v>
      </c>
      <c r="L14" s="7">
        <v>626</v>
      </c>
    </row>
    <row r="15" spans="1:20" ht="15.75" customHeight="1">
      <c r="A15" s="129" t="s">
        <v>2691</v>
      </c>
      <c r="B15" s="42" t="s">
        <v>85</v>
      </c>
      <c r="C15" s="42" t="s">
        <v>2298</v>
      </c>
      <c r="D15" s="7"/>
      <c r="E15" s="7">
        <v>3</v>
      </c>
      <c r="F15" s="7">
        <v>2</v>
      </c>
      <c r="G15" s="222"/>
      <c r="H15" s="7">
        <v>38</v>
      </c>
      <c r="I15" s="7">
        <v>24</v>
      </c>
      <c r="J15" s="7"/>
      <c r="K15" s="7">
        <v>383</v>
      </c>
      <c r="L15" s="7">
        <v>244</v>
      </c>
    </row>
    <row r="16" spans="1:20" ht="15.75" customHeight="1">
      <c r="A16" s="129" t="s">
        <v>2692</v>
      </c>
      <c r="B16" s="42" t="s">
        <v>85</v>
      </c>
      <c r="C16" s="42" t="s">
        <v>2297</v>
      </c>
      <c r="D16" s="7"/>
      <c r="E16" s="7">
        <v>5</v>
      </c>
      <c r="F16" s="7">
        <v>1</v>
      </c>
      <c r="G16" s="222"/>
      <c r="H16" s="7">
        <v>62</v>
      </c>
      <c r="I16" s="7">
        <v>11</v>
      </c>
      <c r="J16" s="7"/>
      <c r="K16" s="7">
        <v>626</v>
      </c>
      <c r="L16" s="7">
        <v>105</v>
      </c>
    </row>
    <row r="17" spans="1:13" ht="15.75" customHeight="1">
      <c r="A17" s="129"/>
      <c r="B17" s="42"/>
      <c r="C17" s="42"/>
      <c r="D17" s="7"/>
      <c r="E17" s="7"/>
      <c r="F17" s="7"/>
      <c r="G17" s="222"/>
      <c r="H17" s="7"/>
      <c r="I17" s="7"/>
      <c r="J17" s="7"/>
      <c r="K17" s="7"/>
      <c r="L17" s="7"/>
    </row>
    <row r="18" spans="1:13" ht="15.75" customHeight="1">
      <c r="A18" s="129" t="s">
        <v>2689</v>
      </c>
      <c r="B18" s="42" t="s">
        <v>2694</v>
      </c>
      <c r="C18" s="42" t="s">
        <v>2296</v>
      </c>
      <c r="D18" s="7"/>
      <c r="E18" s="7">
        <v>1</v>
      </c>
      <c r="F18" s="7">
        <v>4</v>
      </c>
      <c r="G18" s="222"/>
      <c r="H18" s="7">
        <v>6</v>
      </c>
      <c r="I18" s="7">
        <v>31</v>
      </c>
      <c r="J18" s="7"/>
      <c r="K18" s="7">
        <v>70</v>
      </c>
      <c r="L18" s="7">
        <v>417</v>
      </c>
    </row>
    <row r="19" spans="1:13" ht="15.75" customHeight="1">
      <c r="A19" s="129" t="s">
        <v>2691</v>
      </c>
      <c r="B19" s="42" t="s">
        <v>2694</v>
      </c>
      <c r="C19" s="42" t="s">
        <v>2298</v>
      </c>
      <c r="D19" s="7"/>
      <c r="E19" s="7">
        <v>2</v>
      </c>
      <c r="F19" s="7">
        <v>1</v>
      </c>
      <c r="G19" s="222"/>
      <c r="H19" s="7">
        <v>18</v>
      </c>
      <c r="I19" s="7">
        <v>11</v>
      </c>
      <c r="J19" s="7"/>
      <c r="K19" s="7">
        <v>232</v>
      </c>
      <c r="L19" s="7">
        <v>139</v>
      </c>
    </row>
    <row r="20" spans="1:13" ht="15.75" customHeight="1">
      <c r="A20" s="129" t="s">
        <v>2692</v>
      </c>
      <c r="B20" s="42" t="s">
        <v>2694</v>
      </c>
      <c r="C20" s="42" t="s">
        <v>2297</v>
      </c>
      <c r="D20" s="7"/>
      <c r="E20" s="7">
        <v>4</v>
      </c>
      <c r="F20" s="7">
        <v>1</v>
      </c>
      <c r="G20" s="222"/>
      <c r="H20" s="7">
        <v>31</v>
      </c>
      <c r="I20" s="7">
        <v>6</v>
      </c>
      <c r="J20" s="7"/>
      <c r="K20" s="7">
        <v>417</v>
      </c>
      <c r="L20" s="7">
        <v>70</v>
      </c>
    </row>
    <row r="21" spans="1:13" ht="15.75" customHeight="1">
      <c r="A21" s="129"/>
      <c r="B21" s="42"/>
      <c r="C21" s="42"/>
      <c r="D21" s="7"/>
      <c r="E21" s="7"/>
      <c r="F21" s="7"/>
      <c r="G21" s="222"/>
      <c r="H21" s="7"/>
      <c r="I21" s="7"/>
      <c r="J21" s="7"/>
      <c r="K21" s="7"/>
      <c r="L21" s="7"/>
    </row>
    <row r="22" spans="1:13" ht="15.75" customHeight="1">
      <c r="A22" s="129" t="s">
        <v>229</v>
      </c>
      <c r="B22" s="42" t="s">
        <v>229</v>
      </c>
      <c r="C22" s="42" t="s">
        <v>126</v>
      </c>
      <c r="D22" s="7"/>
      <c r="E22" s="7">
        <v>2</v>
      </c>
      <c r="F22" s="7">
        <v>0</v>
      </c>
      <c r="G22" s="7"/>
      <c r="H22" s="7">
        <v>23</v>
      </c>
      <c r="I22" s="7">
        <v>0</v>
      </c>
      <c r="J22" s="7"/>
      <c r="K22" s="7">
        <v>232</v>
      </c>
      <c r="L22" s="7">
        <v>0</v>
      </c>
    </row>
    <row r="23" spans="1:13" ht="15.75" customHeight="1">
      <c r="A23" s="129" t="s">
        <v>225</v>
      </c>
      <c r="B23" s="42" t="s">
        <v>225</v>
      </c>
      <c r="C23" s="42" t="s">
        <v>126</v>
      </c>
      <c r="D23" s="7"/>
      <c r="E23" s="7">
        <v>0</v>
      </c>
      <c r="F23" s="7">
        <v>2</v>
      </c>
      <c r="G23" s="7"/>
      <c r="H23" s="7">
        <v>0</v>
      </c>
      <c r="I23" s="7">
        <v>19</v>
      </c>
      <c r="J23" s="7"/>
      <c r="K23" s="7">
        <v>0</v>
      </c>
      <c r="L23" s="7">
        <v>186</v>
      </c>
    </row>
    <row r="24" spans="1:13" ht="15.75" customHeight="1">
      <c r="A24" s="129" t="s">
        <v>201</v>
      </c>
      <c r="B24" s="42" t="s">
        <v>201</v>
      </c>
      <c r="C24" s="42" t="s">
        <v>126</v>
      </c>
      <c r="D24" s="7"/>
      <c r="E24" s="7">
        <v>0</v>
      </c>
      <c r="F24" s="7">
        <v>3</v>
      </c>
      <c r="G24" s="7"/>
      <c r="H24" s="7">
        <v>0</v>
      </c>
      <c r="I24" s="7">
        <v>28</v>
      </c>
      <c r="J24" s="7"/>
      <c r="K24" s="7">
        <v>0</v>
      </c>
      <c r="L24" s="7">
        <v>279</v>
      </c>
    </row>
    <row r="25" spans="1:13" ht="15.75" customHeight="1">
      <c r="A25" s="129" t="s">
        <v>133</v>
      </c>
      <c r="B25" s="42" t="s">
        <v>2695</v>
      </c>
      <c r="C25" s="42" t="s">
        <v>2696</v>
      </c>
      <c r="D25" s="7"/>
      <c r="E25" s="7">
        <v>8</v>
      </c>
      <c r="F25" s="7">
        <v>6</v>
      </c>
      <c r="G25" s="7"/>
      <c r="H25" s="7">
        <v>103</v>
      </c>
      <c r="I25" s="7">
        <v>69</v>
      </c>
      <c r="J25" s="7"/>
      <c r="K25" s="7">
        <v>1043</v>
      </c>
      <c r="L25" s="7">
        <v>695</v>
      </c>
    </row>
    <row r="26" spans="1:13" ht="15.75" customHeight="1">
      <c r="A26" s="50"/>
      <c r="D26" s="130"/>
      <c r="E26" s="130"/>
      <c r="F26" s="130"/>
      <c r="G26" s="130"/>
      <c r="H26" s="130"/>
      <c r="I26" s="130"/>
      <c r="J26" s="130"/>
      <c r="K26" s="130"/>
      <c r="L26" s="130"/>
    </row>
    <row r="27" spans="1:13" ht="15.75" customHeight="1">
      <c r="A27" s="129" t="s">
        <v>2697</v>
      </c>
      <c r="B27" s="42" t="s">
        <v>2698</v>
      </c>
      <c r="D27" s="130"/>
      <c r="E27" s="130">
        <f ca="1">IFERROR(__xludf.DUMMYFUNCTION("sum(filter(E$2:E$24,$A$2:$A$24=""Cloth""))+sum(E$12:E$24)"),26)</f>
        <v>26</v>
      </c>
      <c r="F27" s="130">
        <f ca="1">IFERROR(__xludf.DUMMYFUNCTION("sum(filter(F$2:F$24,$A$2:$A$24=""Cloth""))+sum(F$12:F$24)"),38)</f>
        <v>38</v>
      </c>
      <c r="G27" s="130"/>
      <c r="H27" s="130">
        <f ca="1">IFERROR(__xludf.DUMMYFUNCTION("sum(filter(H$2:H$24,$A$2:$A$24=""Cloth""))+sum(H$12:H$24)"),260)</f>
        <v>260</v>
      </c>
      <c r="I27" s="130">
        <f ca="1">IFERROR(__xludf.DUMMYFUNCTION("sum(filter(I$2:I$24,$A$2:$A$24=""Cloth""))+sum(I$12:I$24)"),389)</f>
        <v>389</v>
      </c>
      <c r="J27" s="130"/>
      <c r="K27" s="130">
        <f ca="1">IFERROR(__xludf.DUMMYFUNCTION("sum(filter(K$2:K$24,$A$2:$A$24=""Cloth""))+sum(K$12:K$24)"),2712)</f>
        <v>2712</v>
      </c>
      <c r="L27" s="130">
        <f ca="1">IFERROR(__xludf.DUMMYFUNCTION("sum(filter(L$2:L$24,$A$2:$A$24=""Cloth""))+sum(L$12:L$24)"),4101)</f>
        <v>4101</v>
      </c>
      <c r="M27" s="42"/>
    </row>
    <row r="28" spans="1:13" ht="15.75" customHeight="1">
      <c r="A28" s="129" t="s">
        <v>2699</v>
      </c>
      <c r="B28" s="42" t="s">
        <v>2698</v>
      </c>
      <c r="D28" s="130"/>
      <c r="E28" s="130">
        <f ca="1">IFERROR(__xludf.DUMMYFUNCTION("sum(filter(E$2:E$24,$A$2:$A$24=""Leather""))+sum(E$12:E$24)"),32)</f>
        <v>32</v>
      </c>
      <c r="F28" s="130">
        <f ca="1">IFERROR(__xludf.DUMMYFUNCTION("sum(filter(F$2:F$24,$A$2:$A$24=""Leather""))+sum(F$12:F$24)"),26)</f>
        <v>26</v>
      </c>
      <c r="G28" s="130"/>
      <c r="H28" s="130">
        <f ca="1">IFERROR(__xludf.DUMMYFUNCTION("sum(filter(H$2:H$24,$A$2:$A$24=""Leather""))+sum(H$12:H$24)"),337)</f>
        <v>337</v>
      </c>
      <c r="I28" s="130">
        <f ca="1">IFERROR(__xludf.DUMMYFUNCTION("sum(filter(I$2:I$24,$A$2:$A$24=""Leather""))+sum(I$12:I$24)"),267)</f>
        <v>267</v>
      </c>
      <c r="J28" s="130"/>
      <c r="K28" s="130">
        <f ca="1">IFERROR(__xludf.DUMMYFUNCTION("sum(filter(K$2:K$24,$A$2:$A$24=""Leather""))+sum(K$12:K$24)"),3515)</f>
        <v>3515</v>
      </c>
      <c r="L28" s="130">
        <f ca="1">IFERROR(__xludf.DUMMYFUNCTION("sum(filter(L$2:L$24,$A$2:$A$24=""Leather""))+sum(L$12:L$24)"),2817)</f>
        <v>2817</v>
      </c>
      <c r="M28" s="42"/>
    </row>
    <row r="29" spans="1:13" ht="15.75" customHeight="1">
      <c r="A29" s="129" t="s">
        <v>2700</v>
      </c>
      <c r="B29" s="42" t="s">
        <v>2698</v>
      </c>
      <c r="D29" s="130"/>
      <c r="E29" s="130">
        <f ca="1">IFERROR(__xludf.DUMMYFUNCTION("sum(filter(E$2:E$24,$A$2:$A$24=""Plate""))+sum(E$12:E$24)"),39)</f>
        <v>39</v>
      </c>
      <c r="F29" s="130">
        <f ca="1">IFERROR(__xludf.DUMMYFUNCTION("sum(filter(F$2:F$24,$A$2:$A$24=""Plate""))+sum(F$12:F$24)"),25)</f>
        <v>25</v>
      </c>
      <c r="G29" s="130"/>
      <c r="H29" s="130">
        <f ca="1">IFERROR(__xludf.DUMMYFUNCTION("sum(filter(H$2:H$24,$A$2:$A$24=""Plate""))+sum(H$12:H$24)"),416)</f>
        <v>416</v>
      </c>
      <c r="I29" s="130">
        <f ca="1">IFERROR(__xludf.DUMMYFUNCTION("sum(filter(I$2:I$24,$A$2:$A$24=""Plate""))+sum(I$12:I$24)"),233)</f>
        <v>233</v>
      </c>
      <c r="J29" s="130"/>
      <c r="K29" s="130">
        <f ca="1">IFERROR(__xludf.DUMMYFUNCTION("sum(filter(K$2:K$24,$A$2:$A$24=""Plate""))+sum(K$12:K$24)"),4360)</f>
        <v>4360</v>
      </c>
      <c r="L29" s="130">
        <f ca="1">IFERROR(__xludf.DUMMYFUNCTION("sum(filter(L$2:L$24,$A$2:$A$24=""Plate""))+sum(L$12:L$24)"),2453)</f>
        <v>2453</v>
      </c>
      <c r="M29" s="42"/>
    </row>
    <row r="30" spans="1:13" ht="15.75" customHeight="1">
      <c r="A30" s="129"/>
      <c r="B30" s="42"/>
      <c r="D30" s="130"/>
      <c r="E30" s="130"/>
      <c r="F30" s="130"/>
      <c r="G30" s="130"/>
      <c r="H30" s="130"/>
      <c r="I30" s="130"/>
      <c r="J30" s="130"/>
      <c r="K30" s="130"/>
      <c r="L30" s="130"/>
    </row>
    <row r="31" spans="1:13" ht="15.75" customHeight="1">
      <c r="A31" s="129" t="s">
        <v>2697</v>
      </c>
      <c r="B31" s="42" t="s">
        <v>2701</v>
      </c>
      <c r="D31" s="130"/>
      <c r="E31" s="130">
        <f ca="1">IFERROR(__xludf.DUMMYFUNCTION("sum(filter(E$2:E$24,$A$2:$A$24=""Cloth""))+sum(E$12:E$24)+E25"),34)</f>
        <v>34</v>
      </c>
      <c r="F31" s="130">
        <f ca="1">IFERROR(__xludf.DUMMYFUNCTION("sum(filter(F$2:F$24,$A$2:$A$24=""Cloth""))+sum(F$12:F$24)+F25"),44)</f>
        <v>44</v>
      </c>
      <c r="G31" s="130"/>
      <c r="H31" s="130">
        <f ca="1">IFERROR(__xludf.DUMMYFUNCTION("sum(filter(H$2:H$24,$A$2:$A$24=""Cloth""))+sum(H$12:H$24)+H25"),363)</f>
        <v>363</v>
      </c>
      <c r="I31" s="130">
        <f ca="1">IFERROR(__xludf.DUMMYFUNCTION("sum(filter(I$2:I$24,$A$2:$A$24=""Cloth""))+sum(I$12:I$24)+I25"),458)</f>
        <v>458</v>
      </c>
      <c r="J31" s="130"/>
      <c r="K31" s="130">
        <f ca="1">IFERROR(__xludf.DUMMYFUNCTION("sum(filter(K$2:K$24,$A$2:$A$24=""Cloth""))+sum(K$12:K$24)+K25"),3755)</f>
        <v>3755</v>
      </c>
      <c r="L31" s="130">
        <f ca="1">IFERROR(__xludf.DUMMYFUNCTION("sum(filter(L$2:L$24,$A$2:$A$24=""Cloth""))+sum(L$12:L$24)+L25"),4796)</f>
        <v>4796</v>
      </c>
    </row>
    <row r="32" spans="1:13" ht="15.75" customHeight="1">
      <c r="A32" s="129" t="s">
        <v>2699</v>
      </c>
      <c r="B32" s="42" t="s">
        <v>2701</v>
      </c>
      <c r="D32" s="130"/>
      <c r="E32" s="130">
        <f ca="1">IFERROR(__xludf.DUMMYFUNCTION("sum(filter(E$2:E$24,$A$2:$A$24=""Leather""))+sum(E$12:E$24)+E25"),40)</f>
        <v>40</v>
      </c>
      <c r="F32" s="130">
        <f ca="1">IFERROR(__xludf.DUMMYFUNCTION("sum(filter(F$2:F$24,$A$2:$A$24=""Leather""))+sum(F$12:F$24)+F25"),32)</f>
        <v>32</v>
      </c>
      <c r="G32" s="130"/>
      <c r="H32" s="130">
        <f ca="1">IFERROR(__xludf.DUMMYFUNCTION("sum(filter(H$2:H$24,$A$2:$A$24=""Leather""))+sum(H$12:H$24)+H25"),440)</f>
        <v>440</v>
      </c>
      <c r="I32" s="130">
        <f ca="1">IFERROR(__xludf.DUMMYFUNCTION("sum(filter(I$2:I$24,$A$2:$A$24=""Leather""))+sum(I$12:I$24)+I25"),336)</f>
        <v>336</v>
      </c>
      <c r="J32" s="130"/>
      <c r="K32" s="130">
        <f ca="1">IFERROR(__xludf.DUMMYFUNCTION("sum(filter(K$2:K$24,$A$2:$A$24=""Leather""))+sum(K$12:K$24)+K25"),4558)</f>
        <v>4558</v>
      </c>
      <c r="L32" s="130">
        <f ca="1">IFERROR(__xludf.DUMMYFUNCTION("sum(filter(L$2:L$24,$A$2:$A$24=""Leather""))+sum(L$12:L$24)+L25"),3512)</f>
        <v>3512</v>
      </c>
    </row>
    <row r="33" spans="1:12" ht="15.75" customHeight="1">
      <c r="A33" s="129" t="s">
        <v>2700</v>
      </c>
      <c r="B33" s="42" t="s">
        <v>2701</v>
      </c>
      <c r="D33" s="130"/>
      <c r="E33" s="130">
        <f ca="1">IFERROR(__xludf.DUMMYFUNCTION("sum(filter(E$2:E$24,$A$2:$A$24=""Plate""))+sum(E$12:E$24)+E25"),47)</f>
        <v>47</v>
      </c>
      <c r="F33" s="130">
        <f ca="1">IFERROR(__xludf.DUMMYFUNCTION("sum(filter(F$2:F$24,$A$2:$A$24=""Plate""))+sum(F$12:F$24)+F25"),31)</f>
        <v>31</v>
      </c>
      <c r="G33" s="130"/>
      <c r="H33" s="130">
        <f ca="1">IFERROR(__xludf.DUMMYFUNCTION("sum(filter(H$2:H$24,$A$2:$A$24=""Plate""))+sum(H$12:H$24)+H25"),519)</f>
        <v>519</v>
      </c>
      <c r="I33" s="130">
        <f ca="1">IFERROR(__xludf.DUMMYFUNCTION("sum(filter(I$2:I$24,$A$2:$A$24=""Plate""))+sum(I$12:I$24)+I25"),302)</f>
        <v>302</v>
      </c>
      <c r="J33" s="130"/>
      <c r="K33" s="130">
        <f ca="1">IFERROR(__xludf.DUMMYFUNCTION("sum(filter(K$2:K$24,$A$2:$A$24=""Plate""))+sum(K$12:K$24)+K25"),5403)</f>
        <v>5403</v>
      </c>
      <c r="L33" s="130">
        <f ca="1">IFERROR(__xludf.DUMMYFUNCTION("sum(filter(L$2:L$24,$A$2:$A$24=""Plate""))+sum(L$12:L$24)+L25"),3148)</f>
        <v>3148</v>
      </c>
    </row>
    <row r="34" spans="1:12" ht="15.75" customHeight="1">
      <c r="A34" s="50"/>
      <c r="D34" s="130"/>
      <c r="E34" s="130"/>
      <c r="F34" s="130"/>
      <c r="G34" s="130"/>
      <c r="H34" s="130"/>
      <c r="I34" s="130"/>
      <c r="J34" s="130"/>
      <c r="K34" s="130"/>
      <c r="L34" s="130"/>
    </row>
    <row r="35" spans="1:12" ht="15.75" customHeight="1">
      <c r="A35" s="276" t="s">
        <v>2702</v>
      </c>
      <c r="B35" s="273"/>
      <c r="C35">
        <f t="shared" ref="C35:C37" ca="1" si="0">K27+L27</f>
        <v>6813</v>
      </c>
      <c r="D35" s="130"/>
      <c r="E35" s="130"/>
      <c r="F35" s="130"/>
      <c r="G35" s="130"/>
      <c r="H35" s="130"/>
      <c r="I35" s="130"/>
      <c r="J35" s="130"/>
      <c r="K35" s="130"/>
      <c r="L35" s="130"/>
    </row>
    <row r="36" spans="1:12" ht="15.75" customHeight="1">
      <c r="A36" s="276" t="s">
        <v>2703</v>
      </c>
      <c r="B36" s="273"/>
      <c r="C36">
        <f t="shared" ca="1" si="0"/>
        <v>6332</v>
      </c>
      <c r="D36" s="130"/>
      <c r="E36" s="130"/>
      <c r="F36" s="130"/>
      <c r="G36" s="130"/>
      <c r="H36" s="130"/>
      <c r="I36" s="130"/>
      <c r="J36" s="130"/>
      <c r="K36" s="130"/>
      <c r="L36" s="130"/>
    </row>
    <row r="37" spans="1:12" ht="15.75" customHeight="1">
      <c r="A37" s="276" t="s">
        <v>2704</v>
      </c>
      <c r="B37" s="273"/>
      <c r="C37">
        <f t="shared" ca="1" si="0"/>
        <v>6813</v>
      </c>
      <c r="D37" s="130"/>
      <c r="E37" s="130"/>
      <c r="F37" s="130"/>
      <c r="G37" s="130"/>
      <c r="H37" s="130"/>
      <c r="I37" s="130"/>
      <c r="J37" s="130"/>
      <c r="K37" s="130"/>
      <c r="L37" s="130"/>
    </row>
    <row r="38" spans="1:12" ht="15.75" customHeight="1">
      <c r="A38" s="50"/>
      <c r="D38" s="130"/>
      <c r="E38" s="130"/>
      <c r="F38" s="130"/>
      <c r="G38" s="130"/>
      <c r="H38" s="130"/>
      <c r="I38" s="130"/>
      <c r="J38" s="130"/>
      <c r="K38" s="130"/>
      <c r="L38" s="130"/>
    </row>
    <row r="39" spans="1:12" ht="15.75" customHeight="1">
      <c r="A39" s="50"/>
      <c r="D39" s="130"/>
      <c r="E39" s="130"/>
      <c r="F39" s="130"/>
      <c r="G39" s="130"/>
      <c r="H39" s="130"/>
      <c r="I39" s="130"/>
      <c r="J39" s="130"/>
      <c r="K39" s="130"/>
      <c r="L39" s="130"/>
    </row>
    <row r="40" spans="1:12" ht="15.75" customHeight="1">
      <c r="A40" s="276" t="s">
        <v>2705</v>
      </c>
      <c r="B40" s="273"/>
      <c r="D40" s="130"/>
      <c r="E40" s="130"/>
      <c r="F40" s="130"/>
      <c r="G40" s="130"/>
      <c r="H40" s="130"/>
      <c r="I40" s="130"/>
      <c r="J40" s="130"/>
      <c r="K40" s="130"/>
      <c r="L40" s="130"/>
    </row>
    <row r="41" spans="1:12" ht="15.75" customHeight="1">
      <c r="A41" s="276" t="s">
        <v>2706</v>
      </c>
      <c r="B41" s="273"/>
      <c r="D41" s="130"/>
      <c r="E41" s="130"/>
      <c r="F41" s="130"/>
      <c r="G41" s="130"/>
      <c r="H41" s="130"/>
      <c r="I41" s="130"/>
      <c r="J41" s="130"/>
      <c r="K41" s="130"/>
      <c r="L41" s="130"/>
    </row>
    <row r="42" spans="1:12" ht="15.75" customHeight="1">
      <c r="A42" s="276" t="s">
        <v>2707</v>
      </c>
      <c r="B42" s="273"/>
      <c r="D42" s="130"/>
      <c r="E42" s="130"/>
      <c r="F42" s="130"/>
      <c r="G42" s="130"/>
      <c r="H42" s="130"/>
      <c r="I42" s="130"/>
      <c r="J42" s="130"/>
      <c r="K42" s="130"/>
      <c r="L42" s="130"/>
    </row>
    <row r="43" spans="1:12" ht="15.75" customHeight="1">
      <c r="A43" s="276" t="s">
        <v>2708</v>
      </c>
      <c r="B43" s="273"/>
      <c r="D43" s="130"/>
      <c r="E43" s="130"/>
      <c r="F43" s="130"/>
      <c r="G43" s="130"/>
      <c r="H43" s="130"/>
      <c r="I43" s="130"/>
      <c r="J43" s="130"/>
      <c r="K43" s="130"/>
      <c r="L43" s="130"/>
    </row>
    <row r="44" spans="1:12" ht="15.75" customHeight="1">
      <c r="A44" s="129" t="s">
        <v>2709</v>
      </c>
      <c r="D44" s="130"/>
      <c r="E44" s="130"/>
      <c r="F44" s="130"/>
      <c r="G44" s="130"/>
      <c r="H44" s="130"/>
      <c r="I44" s="130"/>
      <c r="J44" s="130"/>
      <c r="K44" s="130"/>
      <c r="L44" s="130"/>
    </row>
    <row r="45" spans="1:12" ht="15.75" customHeight="1">
      <c r="A45" s="129" t="s">
        <v>2710</v>
      </c>
      <c r="D45" s="130"/>
      <c r="E45" s="130"/>
      <c r="F45" s="130"/>
      <c r="G45" s="130"/>
      <c r="H45" s="130"/>
      <c r="I45" s="130"/>
      <c r="J45" s="130"/>
      <c r="K45" s="130"/>
      <c r="L45" s="130"/>
    </row>
    <row r="46" spans="1:12" ht="15.75" customHeight="1">
      <c r="A46" s="50"/>
      <c r="D46" s="130"/>
      <c r="E46" s="130"/>
      <c r="F46" s="130"/>
      <c r="G46" s="130"/>
      <c r="H46" s="130"/>
      <c r="I46" s="130"/>
      <c r="J46" s="130"/>
      <c r="K46" s="130"/>
      <c r="L46" s="130"/>
    </row>
    <row r="47" spans="1:12" ht="15.75" customHeight="1">
      <c r="A47" s="50"/>
      <c r="D47" s="130"/>
      <c r="E47" s="130"/>
      <c r="F47" s="130"/>
      <c r="G47" s="130"/>
      <c r="H47" s="130"/>
      <c r="I47" s="130"/>
      <c r="J47" s="130"/>
      <c r="K47" s="130"/>
      <c r="L47" s="130"/>
    </row>
    <row r="48" spans="1:12" ht="15.75" customHeight="1">
      <c r="A48" s="50"/>
      <c r="D48" s="130"/>
      <c r="E48" s="130"/>
      <c r="F48" s="130"/>
      <c r="G48" s="130"/>
      <c r="H48" s="130"/>
      <c r="I48" s="130"/>
      <c r="J48" s="130"/>
      <c r="K48" s="130"/>
      <c r="L48" s="130"/>
    </row>
    <row r="49" spans="1:12" ht="15.75" customHeight="1">
      <c r="A49" s="50"/>
      <c r="D49" s="130"/>
      <c r="E49" s="130"/>
      <c r="F49" s="130"/>
      <c r="G49" s="130"/>
      <c r="H49" s="130"/>
      <c r="I49" s="130"/>
      <c r="J49" s="130"/>
      <c r="K49" s="130"/>
      <c r="L49" s="130"/>
    </row>
    <row r="50" spans="1:12" ht="15.75" customHeight="1">
      <c r="A50" s="50"/>
      <c r="D50" s="130"/>
      <c r="E50" s="130"/>
      <c r="F50" s="130"/>
      <c r="G50" s="130"/>
      <c r="H50" s="130"/>
      <c r="I50" s="130"/>
      <c r="J50" s="130"/>
      <c r="K50" s="130"/>
      <c r="L50" s="130"/>
    </row>
    <row r="51" spans="1:12" ht="15.75" customHeight="1">
      <c r="A51" s="50"/>
      <c r="D51" s="130"/>
      <c r="E51" s="130"/>
      <c r="F51" s="130"/>
      <c r="G51" s="130"/>
      <c r="H51" s="130"/>
      <c r="I51" s="130"/>
      <c r="J51" s="130"/>
      <c r="K51" s="130"/>
      <c r="L51" s="130"/>
    </row>
    <row r="52" spans="1:12" ht="15.75" customHeight="1">
      <c r="A52" s="50"/>
      <c r="D52" s="130"/>
      <c r="E52" s="130"/>
      <c r="F52" s="130"/>
      <c r="G52" s="130"/>
      <c r="H52" s="130"/>
      <c r="I52" s="130"/>
      <c r="J52" s="130"/>
      <c r="K52" s="130"/>
      <c r="L52" s="130"/>
    </row>
    <row r="53" spans="1:12" ht="15.75" customHeight="1">
      <c r="A53" s="50"/>
      <c r="D53" s="130"/>
      <c r="E53" s="130"/>
      <c r="F53" s="130"/>
      <c r="G53" s="130"/>
      <c r="H53" s="130"/>
      <c r="I53" s="130"/>
      <c r="J53" s="130"/>
      <c r="K53" s="130"/>
      <c r="L53" s="130"/>
    </row>
    <row r="54" spans="1:12" ht="15.75" customHeight="1">
      <c r="A54" s="50"/>
      <c r="D54" s="130"/>
      <c r="E54" s="130"/>
      <c r="F54" s="130"/>
      <c r="G54" s="130"/>
      <c r="H54" s="130"/>
      <c r="I54" s="130"/>
      <c r="J54" s="130"/>
      <c r="K54" s="130"/>
      <c r="L54" s="130"/>
    </row>
    <row r="55" spans="1:12" ht="15.75" customHeight="1">
      <c r="A55" s="50"/>
      <c r="D55" s="130"/>
      <c r="E55" s="130"/>
      <c r="F55" s="130"/>
      <c r="G55" s="130"/>
      <c r="H55" s="130"/>
      <c r="I55" s="130"/>
      <c r="J55" s="130"/>
      <c r="K55" s="130"/>
      <c r="L55" s="130"/>
    </row>
    <row r="56" spans="1:12" ht="15.75" customHeight="1">
      <c r="A56" s="50"/>
      <c r="D56" s="130"/>
      <c r="E56" s="130"/>
      <c r="F56" s="130"/>
      <c r="G56" s="130"/>
      <c r="H56" s="130"/>
      <c r="I56" s="130"/>
      <c r="J56" s="130"/>
      <c r="K56" s="130"/>
      <c r="L56" s="130"/>
    </row>
    <row r="57" spans="1:12" ht="15.75" customHeight="1">
      <c r="A57" s="50"/>
      <c r="D57" s="130"/>
      <c r="E57" s="130"/>
      <c r="F57" s="130"/>
      <c r="G57" s="130"/>
      <c r="H57" s="130"/>
      <c r="I57" s="130"/>
      <c r="J57" s="130"/>
      <c r="K57" s="130"/>
      <c r="L57" s="130"/>
    </row>
    <row r="58" spans="1:12" ht="13">
      <c r="A58" s="50"/>
      <c r="D58" s="130"/>
      <c r="E58" s="130"/>
      <c r="F58" s="130"/>
      <c r="G58" s="130"/>
      <c r="H58" s="130"/>
      <c r="I58" s="130"/>
      <c r="J58" s="130"/>
      <c r="K58" s="130"/>
      <c r="L58" s="130"/>
    </row>
    <row r="59" spans="1:12" ht="13">
      <c r="A59" s="50"/>
      <c r="D59" s="130"/>
      <c r="E59" s="130"/>
      <c r="F59" s="130"/>
      <c r="G59" s="130"/>
      <c r="H59" s="130"/>
      <c r="I59" s="130"/>
      <c r="J59" s="130"/>
      <c r="K59" s="130"/>
      <c r="L59" s="130"/>
    </row>
    <row r="60" spans="1:12" ht="13">
      <c r="A60" s="50"/>
      <c r="D60" s="130"/>
      <c r="E60" s="130"/>
      <c r="F60" s="130"/>
      <c r="G60" s="130"/>
      <c r="H60" s="130"/>
      <c r="I60" s="130"/>
      <c r="J60" s="130"/>
      <c r="K60" s="130"/>
      <c r="L60" s="130"/>
    </row>
    <row r="61" spans="1:12" ht="13">
      <c r="A61" s="50"/>
      <c r="D61" s="130"/>
      <c r="E61" s="130"/>
      <c r="F61" s="130"/>
      <c r="G61" s="130"/>
      <c r="H61" s="130"/>
      <c r="I61" s="130"/>
      <c r="J61" s="130"/>
      <c r="K61" s="130"/>
      <c r="L61" s="130"/>
    </row>
    <row r="62" spans="1:12" ht="13">
      <c r="A62" s="50"/>
      <c r="D62" s="130"/>
      <c r="E62" s="130"/>
      <c r="F62" s="130"/>
      <c r="G62" s="130"/>
      <c r="H62" s="130"/>
      <c r="I62" s="130"/>
      <c r="J62" s="130"/>
      <c r="K62" s="130"/>
      <c r="L62" s="130"/>
    </row>
    <row r="63" spans="1:12" ht="13">
      <c r="A63" s="50"/>
      <c r="D63" s="130"/>
      <c r="E63" s="130"/>
      <c r="F63" s="130"/>
      <c r="G63" s="130"/>
      <c r="H63" s="130"/>
      <c r="I63" s="130"/>
      <c r="J63" s="130"/>
      <c r="K63" s="130"/>
      <c r="L63" s="130"/>
    </row>
    <row r="64" spans="1:12" ht="13">
      <c r="A64" s="50"/>
      <c r="D64" s="130"/>
      <c r="E64" s="130"/>
      <c r="F64" s="130"/>
      <c r="G64" s="130"/>
      <c r="H64" s="130"/>
      <c r="I64" s="130"/>
      <c r="J64" s="130"/>
      <c r="K64" s="130"/>
      <c r="L64" s="130"/>
    </row>
    <row r="65" spans="1:12" ht="13">
      <c r="A65" s="50"/>
      <c r="D65" s="130"/>
      <c r="E65" s="130"/>
      <c r="F65" s="130"/>
      <c r="G65" s="130"/>
      <c r="H65" s="130"/>
      <c r="I65" s="130"/>
      <c r="J65" s="130"/>
      <c r="K65" s="130"/>
      <c r="L65" s="130"/>
    </row>
    <row r="66" spans="1:12" ht="13">
      <c r="A66" s="50"/>
      <c r="D66" s="130"/>
      <c r="E66" s="130"/>
      <c r="F66" s="130"/>
      <c r="G66" s="130"/>
      <c r="H66" s="130"/>
      <c r="I66" s="130"/>
      <c r="J66" s="130"/>
      <c r="K66" s="130"/>
      <c r="L66" s="130"/>
    </row>
    <row r="67" spans="1:12" ht="13">
      <c r="A67" s="50"/>
      <c r="D67" s="130"/>
      <c r="E67" s="130"/>
      <c r="F67" s="130"/>
      <c r="G67" s="130"/>
      <c r="H67" s="130"/>
      <c r="I67" s="130"/>
      <c r="J67" s="130"/>
      <c r="K67" s="130"/>
      <c r="L67" s="130"/>
    </row>
    <row r="68" spans="1:12" ht="13">
      <c r="A68" s="50"/>
      <c r="D68" s="130"/>
      <c r="E68" s="130"/>
      <c r="F68" s="130"/>
      <c r="G68" s="130"/>
      <c r="H68" s="130"/>
      <c r="I68" s="130"/>
      <c r="J68" s="130"/>
      <c r="K68" s="130"/>
      <c r="L68" s="130"/>
    </row>
    <row r="69" spans="1:12" ht="13">
      <c r="A69" s="50"/>
      <c r="D69" s="130"/>
      <c r="E69" s="130"/>
      <c r="F69" s="130"/>
      <c r="G69" s="130"/>
      <c r="H69" s="130"/>
      <c r="I69" s="130"/>
      <c r="J69" s="130"/>
      <c r="K69" s="130"/>
      <c r="L69" s="130"/>
    </row>
    <row r="70" spans="1:12" ht="13">
      <c r="A70" s="50"/>
      <c r="D70" s="130"/>
      <c r="E70" s="130"/>
      <c r="F70" s="130"/>
      <c r="G70" s="130"/>
      <c r="H70" s="130"/>
      <c r="I70" s="130"/>
      <c r="J70" s="130"/>
      <c r="K70" s="130"/>
      <c r="L70" s="130"/>
    </row>
    <row r="71" spans="1:12" ht="13">
      <c r="A71" s="50"/>
      <c r="D71" s="130"/>
      <c r="E71" s="130"/>
      <c r="F71" s="130"/>
      <c r="G71" s="130"/>
      <c r="H71" s="130"/>
      <c r="I71" s="130"/>
      <c r="J71" s="130"/>
      <c r="K71" s="130"/>
      <c r="L71" s="130"/>
    </row>
    <row r="72" spans="1:12" ht="13">
      <c r="A72" s="50"/>
      <c r="D72" s="130"/>
      <c r="E72" s="130"/>
      <c r="F72" s="130"/>
      <c r="G72" s="130"/>
      <c r="H72" s="130"/>
      <c r="I72" s="130"/>
      <c r="J72" s="130"/>
      <c r="K72" s="130"/>
      <c r="L72" s="130"/>
    </row>
    <row r="73" spans="1:12" ht="13">
      <c r="A73" s="50"/>
      <c r="D73" s="130"/>
      <c r="E73" s="130"/>
      <c r="F73" s="130"/>
      <c r="G73" s="130"/>
      <c r="H73" s="130"/>
      <c r="I73" s="130"/>
      <c r="J73" s="130"/>
      <c r="K73" s="130"/>
      <c r="L73" s="130"/>
    </row>
    <row r="74" spans="1:12" ht="13">
      <c r="A74" s="50"/>
      <c r="D74" s="130"/>
      <c r="E74" s="130"/>
      <c r="F74" s="130"/>
      <c r="G74" s="130"/>
      <c r="H74" s="130"/>
      <c r="I74" s="130"/>
      <c r="J74" s="130"/>
      <c r="K74" s="130"/>
      <c r="L74" s="130"/>
    </row>
    <row r="75" spans="1:12" ht="13">
      <c r="A75" s="50"/>
      <c r="D75" s="130"/>
      <c r="E75" s="130"/>
      <c r="F75" s="130"/>
      <c r="G75" s="130"/>
      <c r="H75" s="130"/>
      <c r="I75" s="130"/>
      <c r="J75" s="130"/>
      <c r="K75" s="130"/>
      <c r="L75" s="130"/>
    </row>
    <row r="76" spans="1:12" ht="13">
      <c r="A76" s="50"/>
      <c r="D76" s="130"/>
      <c r="E76" s="130"/>
      <c r="F76" s="130"/>
      <c r="G76" s="130"/>
      <c r="H76" s="130"/>
      <c r="I76" s="130"/>
      <c r="J76" s="130"/>
      <c r="K76" s="130"/>
      <c r="L76" s="130"/>
    </row>
    <row r="77" spans="1:12" ht="13">
      <c r="A77" s="50"/>
      <c r="D77" s="130"/>
      <c r="E77" s="130"/>
      <c r="F77" s="130"/>
      <c r="G77" s="130"/>
      <c r="H77" s="130"/>
      <c r="I77" s="130"/>
      <c r="J77" s="130"/>
      <c r="K77" s="130"/>
      <c r="L77" s="130"/>
    </row>
    <row r="78" spans="1:12" ht="13">
      <c r="A78" s="50"/>
      <c r="D78" s="130"/>
      <c r="E78" s="130"/>
      <c r="F78" s="130"/>
      <c r="G78" s="130"/>
      <c r="H78" s="130"/>
      <c r="I78" s="130"/>
      <c r="J78" s="130"/>
      <c r="K78" s="130"/>
      <c r="L78" s="130"/>
    </row>
    <row r="79" spans="1:12" ht="13">
      <c r="A79" s="50"/>
      <c r="D79" s="130"/>
      <c r="E79" s="130"/>
      <c r="F79" s="130"/>
      <c r="G79" s="130"/>
      <c r="H79" s="130"/>
      <c r="I79" s="130"/>
      <c r="J79" s="130"/>
      <c r="K79" s="130"/>
      <c r="L79" s="130"/>
    </row>
    <row r="80" spans="1:12" ht="13">
      <c r="A80" s="50"/>
      <c r="D80" s="130"/>
      <c r="E80" s="130"/>
      <c r="F80" s="130"/>
      <c r="G80" s="130"/>
      <c r="H80" s="130"/>
      <c r="I80" s="130"/>
      <c r="J80" s="130"/>
      <c r="K80" s="130"/>
      <c r="L80" s="130"/>
    </row>
    <row r="81" spans="1:12" ht="13">
      <c r="A81" s="50"/>
      <c r="D81" s="130"/>
      <c r="E81" s="130"/>
      <c r="F81" s="130"/>
      <c r="G81" s="130"/>
      <c r="H81" s="130"/>
      <c r="I81" s="130"/>
      <c r="J81" s="130"/>
      <c r="K81" s="130"/>
      <c r="L81" s="130"/>
    </row>
    <row r="82" spans="1:12" ht="13">
      <c r="A82" s="50"/>
      <c r="D82" s="130"/>
      <c r="E82" s="130"/>
      <c r="F82" s="130"/>
      <c r="G82" s="130"/>
      <c r="H82" s="130"/>
      <c r="I82" s="130"/>
      <c r="J82" s="130"/>
      <c r="K82" s="130"/>
      <c r="L82" s="130"/>
    </row>
    <row r="83" spans="1:12" ht="13">
      <c r="A83" s="50"/>
      <c r="D83" s="130"/>
      <c r="E83" s="130"/>
      <c r="F83" s="130"/>
      <c r="G83" s="130"/>
      <c r="H83" s="130"/>
      <c r="I83" s="130"/>
      <c r="J83" s="130"/>
      <c r="K83" s="130"/>
      <c r="L83" s="130"/>
    </row>
    <row r="84" spans="1:12" ht="13">
      <c r="A84" s="50"/>
      <c r="D84" s="130"/>
      <c r="E84" s="130"/>
      <c r="F84" s="130"/>
      <c r="G84" s="130"/>
      <c r="H84" s="130"/>
      <c r="I84" s="130"/>
      <c r="J84" s="130"/>
      <c r="K84" s="130"/>
      <c r="L84" s="130"/>
    </row>
    <row r="85" spans="1:12" ht="13">
      <c r="A85" s="50"/>
      <c r="D85" s="130"/>
      <c r="E85" s="130"/>
      <c r="F85" s="130"/>
      <c r="G85" s="130"/>
      <c r="H85" s="130"/>
      <c r="I85" s="130"/>
      <c r="J85" s="130"/>
      <c r="K85" s="130"/>
      <c r="L85" s="130"/>
    </row>
    <row r="86" spans="1:12" ht="13">
      <c r="A86" s="50"/>
      <c r="D86" s="130"/>
      <c r="E86" s="130"/>
      <c r="F86" s="130"/>
      <c r="G86" s="130"/>
      <c r="H86" s="130"/>
      <c r="I86" s="130"/>
      <c r="J86" s="130"/>
      <c r="K86" s="130"/>
      <c r="L86" s="130"/>
    </row>
    <row r="87" spans="1:12" ht="13">
      <c r="A87" s="50"/>
      <c r="D87" s="130"/>
      <c r="E87" s="130"/>
      <c r="F87" s="130"/>
      <c r="G87" s="130"/>
      <c r="H87" s="130"/>
      <c r="I87" s="130"/>
      <c r="J87" s="130"/>
      <c r="K87" s="130"/>
      <c r="L87" s="130"/>
    </row>
    <row r="88" spans="1:12" ht="13">
      <c r="A88" s="50"/>
      <c r="D88" s="130"/>
      <c r="E88" s="130"/>
      <c r="F88" s="130"/>
      <c r="G88" s="130"/>
      <c r="H88" s="130"/>
      <c r="I88" s="130"/>
      <c r="J88" s="130"/>
      <c r="K88" s="130"/>
      <c r="L88" s="130"/>
    </row>
    <row r="89" spans="1:12" ht="13">
      <c r="A89" s="50"/>
      <c r="D89" s="130"/>
      <c r="E89" s="130"/>
      <c r="F89" s="130"/>
      <c r="G89" s="130"/>
      <c r="H89" s="130"/>
      <c r="I89" s="130"/>
      <c r="J89" s="130"/>
      <c r="K89" s="130"/>
      <c r="L89" s="130"/>
    </row>
    <row r="90" spans="1:12" ht="13">
      <c r="A90" s="50"/>
      <c r="D90" s="130"/>
      <c r="E90" s="130"/>
      <c r="F90" s="130"/>
      <c r="G90" s="130"/>
      <c r="H90" s="130"/>
      <c r="I90" s="130"/>
      <c r="J90" s="130"/>
      <c r="K90" s="130"/>
      <c r="L90" s="130"/>
    </row>
    <row r="91" spans="1:12" ht="13">
      <c r="A91" s="50"/>
      <c r="D91" s="130"/>
      <c r="E91" s="130"/>
      <c r="F91" s="130"/>
      <c r="G91" s="130"/>
      <c r="H91" s="130"/>
      <c r="I91" s="130"/>
      <c r="J91" s="130"/>
      <c r="K91" s="130"/>
      <c r="L91" s="130"/>
    </row>
    <row r="92" spans="1:12" ht="13">
      <c r="A92" s="50"/>
      <c r="D92" s="130"/>
      <c r="E92" s="130"/>
      <c r="F92" s="130"/>
      <c r="G92" s="130"/>
      <c r="H92" s="130"/>
      <c r="I92" s="130"/>
      <c r="J92" s="130"/>
      <c r="K92" s="130"/>
      <c r="L92" s="130"/>
    </row>
    <row r="93" spans="1:12" ht="13">
      <c r="A93" s="50"/>
      <c r="D93" s="130"/>
      <c r="E93" s="130"/>
      <c r="F93" s="130"/>
      <c r="G93" s="130"/>
      <c r="H93" s="130"/>
      <c r="I93" s="130"/>
      <c r="J93" s="130"/>
      <c r="K93" s="130"/>
      <c r="L93" s="130"/>
    </row>
    <row r="94" spans="1:12" ht="13">
      <c r="A94" s="50"/>
      <c r="D94" s="130"/>
      <c r="E94" s="130"/>
      <c r="F94" s="130"/>
      <c r="G94" s="130"/>
      <c r="H94" s="130"/>
      <c r="I94" s="130"/>
      <c r="J94" s="130"/>
      <c r="K94" s="130"/>
      <c r="L94" s="130"/>
    </row>
    <row r="95" spans="1:12" ht="13">
      <c r="A95" s="50"/>
      <c r="D95" s="130"/>
      <c r="E95" s="130"/>
      <c r="F95" s="130"/>
      <c r="G95" s="130"/>
      <c r="H95" s="130"/>
      <c r="I95" s="130"/>
      <c r="J95" s="130"/>
      <c r="K95" s="130"/>
      <c r="L95" s="130"/>
    </row>
    <row r="96" spans="1:12" ht="13">
      <c r="A96" s="50"/>
      <c r="D96" s="130"/>
      <c r="E96" s="130"/>
      <c r="F96" s="130"/>
      <c r="G96" s="130"/>
      <c r="H96" s="130"/>
      <c r="I96" s="130"/>
      <c r="J96" s="130"/>
      <c r="K96" s="130"/>
      <c r="L96" s="130"/>
    </row>
    <row r="97" spans="1:12" ht="13">
      <c r="A97" s="50"/>
      <c r="D97" s="130"/>
      <c r="E97" s="130"/>
      <c r="F97" s="130"/>
      <c r="G97" s="130"/>
      <c r="H97" s="130"/>
      <c r="I97" s="130"/>
      <c r="J97" s="130"/>
      <c r="K97" s="130"/>
      <c r="L97" s="130"/>
    </row>
    <row r="98" spans="1:12" ht="13">
      <c r="A98" s="50"/>
      <c r="D98" s="130"/>
      <c r="E98" s="130"/>
      <c r="F98" s="130"/>
      <c r="G98" s="130"/>
      <c r="H98" s="130"/>
      <c r="I98" s="130"/>
      <c r="J98" s="130"/>
      <c r="K98" s="130"/>
      <c r="L98" s="130"/>
    </row>
    <row r="99" spans="1:12" ht="13">
      <c r="A99" s="50"/>
      <c r="D99" s="130"/>
      <c r="E99" s="130"/>
      <c r="F99" s="130"/>
      <c r="G99" s="130"/>
      <c r="H99" s="130"/>
      <c r="I99" s="130"/>
      <c r="J99" s="130"/>
      <c r="K99" s="130"/>
      <c r="L99" s="130"/>
    </row>
    <row r="100" spans="1:12" ht="13">
      <c r="A100" s="50"/>
      <c r="D100" s="130"/>
      <c r="E100" s="130"/>
      <c r="F100" s="130"/>
      <c r="G100" s="130"/>
      <c r="H100" s="130"/>
      <c r="I100" s="130"/>
      <c r="J100" s="130"/>
      <c r="K100" s="130"/>
      <c r="L100" s="130"/>
    </row>
    <row r="101" spans="1:12" ht="13">
      <c r="A101" s="50"/>
      <c r="D101" s="130"/>
      <c r="E101" s="130"/>
      <c r="F101" s="130"/>
      <c r="G101" s="130"/>
      <c r="H101" s="130"/>
      <c r="I101" s="130"/>
      <c r="J101" s="130"/>
      <c r="K101" s="130"/>
      <c r="L101" s="130"/>
    </row>
    <row r="102" spans="1:12" ht="13">
      <c r="A102" s="50"/>
      <c r="D102" s="130"/>
      <c r="E102" s="130"/>
      <c r="F102" s="130"/>
      <c r="G102" s="130"/>
      <c r="H102" s="130"/>
      <c r="I102" s="130"/>
      <c r="J102" s="130"/>
      <c r="K102" s="130"/>
      <c r="L102" s="130"/>
    </row>
    <row r="103" spans="1:12" ht="13">
      <c r="A103" s="50"/>
      <c r="D103" s="130"/>
      <c r="E103" s="130"/>
      <c r="F103" s="130"/>
      <c r="G103" s="130"/>
      <c r="H103" s="130"/>
      <c r="I103" s="130"/>
      <c r="J103" s="130"/>
      <c r="K103" s="130"/>
      <c r="L103" s="130"/>
    </row>
    <row r="104" spans="1:12" ht="13">
      <c r="A104" s="50"/>
      <c r="D104" s="130"/>
      <c r="E104" s="130"/>
      <c r="F104" s="130"/>
      <c r="G104" s="130"/>
      <c r="H104" s="130"/>
      <c r="I104" s="130"/>
      <c r="J104" s="130"/>
      <c r="K104" s="130"/>
      <c r="L104" s="130"/>
    </row>
    <row r="105" spans="1:12" ht="13">
      <c r="A105" s="50"/>
      <c r="D105" s="130"/>
      <c r="E105" s="130"/>
      <c r="F105" s="130"/>
      <c r="G105" s="130"/>
      <c r="H105" s="130"/>
      <c r="I105" s="130"/>
      <c r="J105" s="130"/>
      <c r="K105" s="130"/>
      <c r="L105" s="130"/>
    </row>
    <row r="106" spans="1:12" ht="13">
      <c r="A106" s="50"/>
      <c r="D106" s="130"/>
      <c r="E106" s="130"/>
      <c r="F106" s="130"/>
      <c r="G106" s="130"/>
      <c r="H106" s="130"/>
      <c r="I106" s="130"/>
      <c r="J106" s="130"/>
      <c r="K106" s="130"/>
      <c r="L106" s="130"/>
    </row>
    <row r="107" spans="1:12" ht="13">
      <c r="A107" s="50"/>
      <c r="D107" s="130"/>
      <c r="E107" s="130"/>
      <c r="F107" s="130"/>
      <c r="G107" s="130"/>
      <c r="H107" s="130"/>
      <c r="I107" s="130"/>
      <c r="J107" s="130"/>
      <c r="K107" s="130"/>
      <c r="L107" s="130"/>
    </row>
    <row r="108" spans="1:12" ht="13">
      <c r="A108" s="50"/>
      <c r="D108" s="130"/>
      <c r="E108" s="130"/>
      <c r="F108" s="130"/>
      <c r="G108" s="130"/>
      <c r="H108" s="130"/>
      <c r="I108" s="130"/>
      <c r="J108" s="130"/>
      <c r="K108" s="130"/>
      <c r="L108" s="130"/>
    </row>
    <row r="109" spans="1:12" ht="13">
      <c r="A109" s="50"/>
      <c r="D109" s="130"/>
      <c r="E109" s="130"/>
      <c r="F109" s="130"/>
      <c r="G109" s="130"/>
      <c r="H109" s="130"/>
      <c r="I109" s="130"/>
      <c r="J109" s="130"/>
      <c r="K109" s="130"/>
      <c r="L109" s="130"/>
    </row>
    <row r="110" spans="1:12" ht="13">
      <c r="A110" s="50"/>
      <c r="D110" s="130"/>
      <c r="E110" s="130"/>
      <c r="F110" s="130"/>
      <c r="G110" s="130"/>
      <c r="H110" s="130"/>
      <c r="I110" s="130"/>
      <c r="J110" s="130"/>
      <c r="K110" s="130"/>
      <c r="L110" s="130"/>
    </row>
    <row r="111" spans="1:12" ht="13">
      <c r="A111" s="50"/>
      <c r="D111" s="130"/>
      <c r="E111" s="130"/>
      <c r="F111" s="130"/>
      <c r="G111" s="130"/>
      <c r="H111" s="130"/>
      <c r="I111" s="130"/>
      <c r="J111" s="130"/>
      <c r="K111" s="130"/>
      <c r="L111" s="130"/>
    </row>
    <row r="112" spans="1:12" ht="13">
      <c r="A112" s="50"/>
      <c r="D112" s="130"/>
      <c r="E112" s="130"/>
      <c r="F112" s="130"/>
      <c r="G112" s="130"/>
      <c r="H112" s="130"/>
      <c r="I112" s="130"/>
      <c r="J112" s="130"/>
      <c r="K112" s="130"/>
      <c r="L112" s="130"/>
    </row>
    <row r="113" spans="1:12" ht="13">
      <c r="A113" s="50"/>
      <c r="D113" s="130"/>
      <c r="E113" s="130"/>
      <c r="F113" s="130"/>
      <c r="G113" s="130"/>
      <c r="H113" s="130"/>
      <c r="I113" s="130"/>
      <c r="J113" s="130"/>
      <c r="K113" s="130"/>
      <c r="L113" s="130"/>
    </row>
    <row r="114" spans="1:12" ht="13">
      <c r="A114" s="50"/>
      <c r="D114" s="130"/>
      <c r="E114" s="130"/>
      <c r="F114" s="130"/>
      <c r="G114" s="130"/>
      <c r="H114" s="130"/>
      <c r="I114" s="130"/>
      <c r="J114" s="130"/>
      <c r="K114" s="130"/>
      <c r="L114" s="130"/>
    </row>
    <row r="115" spans="1:12" ht="13">
      <c r="A115" s="50"/>
      <c r="D115" s="130"/>
      <c r="E115" s="130"/>
      <c r="F115" s="130"/>
      <c r="G115" s="130"/>
      <c r="H115" s="130"/>
      <c r="I115" s="130"/>
      <c r="J115" s="130"/>
      <c r="K115" s="130"/>
      <c r="L115" s="130"/>
    </row>
    <row r="116" spans="1:12" ht="13">
      <c r="A116" s="50"/>
      <c r="D116" s="130"/>
      <c r="E116" s="130"/>
      <c r="F116" s="130"/>
      <c r="G116" s="130"/>
      <c r="H116" s="130"/>
      <c r="I116" s="130"/>
      <c r="J116" s="130"/>
      <c r="K116" s="130"/>
      <c r="L116" s="130"/>
    </row>
    <row r="117" spans="1:12" ht="13">
      <c r="A117" s="50"/>
      <c r="D117" s="130"/>
      <c r="E117" s="130"/>
      <c r="F117" s="130"/>
      <c r="G117" s="130"/>
      <c r="H117" s="130"/>
      <c r="I117" s="130"/>
      <c r="J117" s="130"/>
      <c r="K117" s="130"/>
      <c r="L117" s="130"/>
    </row>
    <row r="118" spans="1:12" ht="13">
      <c r="A118" s="50"/>
      <c r="D118" s="130"/>
      <c r="E118" s="130"/>
      <c r="F118" s="130"/>
      <c r="G118" s="130"/>
      <c r="H118" s="130"/>
      <c r="I118" s="130"/>
      <c r="J118" s="130"/>
      <c r="K118" s="130"/>
      <c r="L118" s="130"/>
    </row>
    <row r="119" spans="1:12" ht="13">
      <c r="A119" s="50"/>
      <c r="D119" s="130"/>
      <c r="E119" s="130"/>
      <c r="F119" s="130"/>
      <c r="G119" s="130"/>
      <c r="H119" s="130"/>
      <c r="I119" s="130"/>
      <c r="J119" s="130"/>
      <c r="K119" s="130"/>
      <c r="L119" s="130"/>
    </row>
    <row r="120" spans="1:12" ht="13">
      <c r="A120" s="50"/>
      <c r="D120" s="130"/>
      <c r="E120" s="130"/>
      <c r="F120" s="130"/>
      <c r="G120" s="130"/>
      <c r="H120" s="130"/>
      <c r="I120" s="130"/>
      <c r="J120" s="130"/>
      <c r="K120" s="130"/>
      <c r="L120" s="130"/>
    </row>
    <row r="121" spans="1:12" ht="13">
      <c r="A121" s="50"/>
      <c r="D121" s="130"/>
      <c r="E121" s="130"/>
      <c r="F121" s="130"/>
      <c r="G121" s="130"/>
      <c r="H121" s="130"/>
      <c r="I121" s="130"/>
      <c r="J121" s="130"/>
      <c r="K121" s="130"/>
      <c r="L121" s="130"/>
    </row>
    <row r="122" spans="1:12" ht="13">
      <c r="A122" s="50"/>
      <c r="D122" s="130"/>
      <c r="E122" s="130"/>
      <c r="F122" s="130"/>
      <c r="G122" s="130"/>
      <c r="H122" s="130"/>
      <c r="I122" s="130"/>
      <c r="J122" s="130"/>
      <c r="K122" s="130"/>
      <c r="L122" s="130"/>
    </row>
    <row r="123" spans="1:12" ht="13">
      <c r="A123" s="50"/>
      <c r="D123" s="130"/>
      <c r="E123" s="130"/>
      <c r="F123" s="130"/>
      <c r="G123" s="130"/>
      <c r="H123" s="130"/>
      <c r="I123" s="130"/>
      <c r="J123" s="130"/>
      <c r="K123" s="130"/>
      <c r="L123" s="130"/>
    </row>
    <row r="124" spans="1:12" ht="13">
      <c r="A124" s="50"/>
      <c r="D124" s="130"/>
      <c r="E124" s="130"/>
      <c r="F124" s="130"/>
      <c r="G124" s="130"/>
      <c r="H124" s="130"/>
      <c r="I124" s="130"/>
      <c r="J124" s="130"/>
      <c r="K124" s="130"/>
      <c r="L124" s="130"/>
    </row>
    <row r="125" spans="1:12" ht="13">
      <c r="A125" s="50"/>
      <c r="D125" s="130"/>
      <c r="E125" s="130"/>
      <c r="F125" s="130"/>
      <c r="G125" s="130"/>
      <c r="H125" s="130"/>
      <c r="I125" s="130"/>
      <c r="J125" s="130"/>
      <c r="K125" s="130"/>
      <c r="L125" s="130"/>
    </row>
    <row r="126" spans="1:12" ht="13">
      <c r="A126" s="50"/>
      <c r="D126" s="130"/>
      <c r="E126" s="130"/>
      <c r="F126" s="130"/>
      <c r="G126" s="130"/>
      <c r="H126" s="130"/>
      <c r="I126" s="130"/>
      <c r="J126" s="130"/>
      <c r="K126" s="130"/>
      <c r="L126" s="130"/>
    </row>
    <row r="127" spans="1:12" ht="13">
      <c r="A127" s="50"/>
      <c r="D127" s="130"/>
      <c r="E127" s="130"/>
      <c r="F127" s="130"/>
      <c r="G127" s="130"/>
      <c r="H127" s="130"/>
      <c r="I127" s="130"/>
      <c r="J127" s="130"/>
      <c r="K127" s="130"/>
      <c r="L127" s="130"/>
    </row>
    <row r="128" spans="1:12" ht="13">
      <c r="A128" s="50"/>
      <c r="D128" s="130"/>
      <c r="E128" s="130"/>
      <c r="F128" s="130"/>
      <c r="G128" s="130"/>
      <c r="H128" s="130"/>
      <c r="I128" s="130"/>
      <c r="J128" s="130"/>
      <c r="K128" s="130"/>
      <c r="L128" s="130"/>
    </row>
    <row r="129" spans="1:12" ht="13">
      <c r="A129" s="50"/>
      <c r="D129" s="130"/>
      <c r="E129" s="130"/>
      <c r="F129" s="130"/>
      <c r="G129" s="130"/>
      <c r="H129" s="130"/>
      <c r="I129" s="130"/>
      <c r="J129" s="130"/>
      <c r="K129" s="130"/>
      <c r="L129" s="130"/>
    </row>
    <row r="130" spans="1:12" ht="13">
      <c r="A130" s="50"/>
      <c r="D130" s="130"/>
      <c r="E130" s="130"/>
      <c r="F130" s="130"/>
      <c r="G130" s="130"/>
      <c r="H130" s="130"/>
      <c r="I130" s="130"/>
      <c r="J130" s="130"/>
      <c r="K130" s="130"/>
      <c r="L130" s="130"/>
    </row>
    <row r="131" spans="1:12" ht="13">
      <c r="A131" s="50"/>
      <c r="D131" s="130"/>
      <c r="E131" s="130"/>
      <c r="F131" s="130"/>
      <c r="G131" s="130"/>
      <c r="H131" s="130"/>
      <c r="I131" s="130"/>
      <c r="J131" s="130"/>
      <c r="K131" s="130"/>
      <c r="L131" s="130"/>
    </row>
    <row r="132" spans="1:12" ht="13">
      <c r="A132" s="50"/>
      <c r="D132" s="130"/>
      <c r="E132" s="130"/>
      <c r="F132" s="130"/>
      <c r="G132" s="130"/>
      <c r="H132" s="130"/>
      <c r="I132" s="130"/>
      <c r="J132" s="130"/>
      <c r="K132" s="130"/>
      <c r="L132" s="130"/>
    </row>
    <row r="133" spans="1:12" ht="13">
      <c r="A133" s="50"/>
      <c r="D133" s="130"/>
      <c r="E133" s="130"/>
      <c r="F133" s="130"/>
      <c r="G133" s="130"/>
      <c r="H133" s="130"/>
      <c r="I133" s="130"/>
      <c r="J133" s="130"/>
      <c r="K133" s="130"/>
      <c r="L133" s="130"/>
    </row>
    <row r="134" spans="1:12" ht="13">
      <c r="A134" s="50"/>
      <c r="D134" s="130"/>
      <c r="E134" s="130"/>
      <c r="F134" s="130"/>
      <c r="G134" s="130"/>
      <c r="H134" s="130"/>
      <c r="I134" s="130"/>
      <c r="J134" s="130"/>
      <c r="K134" s="130"/>
      <c r="L134" s="130"/>
    </row>
    <row r="135" spans="1:12" ht="13">
      <c r="A135" s="50"/>
      <c r="D135" s="130"/>
      <c r="E135" s="130"/>
      <c r="F135" s="130"/>
      <c r="G135" s="130"/>
      <c r="H135" s="130"/>
      <c r="I135" s="130"/>
      <c r="J135" s="130"/>
      <c r="K135" s="130"/>
      <c r="L135" s="130"/>
    </row>
    <row r="136" spans="1:12" ht="13">
      <c r="A136" s="50"/>
      <c r="D136" s="130"/>
      <c r="E136" s="130"/>
      <c r="F136" s="130"/>
      <c r="G136" s="130"/>
      <c r="H136" s="130"/>
      <c r="I136" s="130"/>
      <c r="J136" s="130"/>
      <c r="K136" s="130"/>
      <c r="L136" s="130"/>
    </row>
    <row r="137" spans="1:12" ht="13">
      <c r="A137" s="50"/>
      <c r="D137" s="130"/>
      <c r="E137" s="130"/>
      <c r="F137" s="130"/>
      <c r="G137" s="130"/>
      <c r="H137" s="130"/>
      <c r="I137" s="130"/>
      <c r="J137" s="130"/>
      <c r="K137" s="130"/>
      <c r="L137" s="130"/>
    </row>
    <row r="138" spans="1:12" ht="13">
      <c r="A138" s="50"/>
      <c r="D138" s="130"/>
      <c r="E138" s="130"/>
      <c r="F138" s="130"/>
      <c r="G138" s="130"/>
      <c r="H138" s="130"/>
      <c r="I138" s="130"/>
      <c r="J138" s="130"/>
      <c r="K138" s="130"/>
      <c r="L138" s="130"/>
    </row>
    <row r="139" spans="1:12" ht="13">
      <c r="A139" s="50"/>
      <c r="D139" s="130"/>
      <c r="E139" s="130"/>
      <c r="F139" s="130"/>
      <c r="G139" s="130"/>
      <c r="H139" s="130"/>
      <c r="I139" s="130"/>
      <c r="J139" s="130"/>
      <c r="K139" s="130"/>
      <c r="L139" s="130"/>
    </row>
    <row r="140" spans="1:12" ht="13">
      <c r="A140" s="50"/>
      <c r="D140" s="130"/>
      <c r="E140" s="130"/>
      <c r="F140" s="130"/>
      <c r="G140" s="130"/>
      <c r="H140" s="130"/>
      <c r="I140" s="130"/>
      <c r="J140" s="130"/>
      <c r="K140" s="130"/>
      <c r="L140" s="130"/>
    </row>
    <row r="141" spans="1:12" ht="13">
      <c r="A141" s="50"/>
      <c r="D141" s="130"/>
      <c r="E141" s="130"/>
      <c r="F141" s="130"/>
      <c r="G141" s="130"/>
      <c r="H141" s="130"/>
      <c r="I141" s="130"/>
      <c r="J141" s="130"/>
      <c r="K141" s="130"/>
      <c r="L141" s="130"/>
    </row>
    <row r="142" spans="1:12" ht="13">
      <c r="A142" s="50"/>
      <c r="D142" s="130"/>
      <c r="E142" s="130"/>
      <c r="F142" s="130"/>
      <c r="G142" s="130"/>
      <c r="H142" s="130"/>
      <c r="I142" s="130"/>
      <c r="J142" s="130"/>
      <c r="K142" s="130"/>
      <c r="L142" s="130"/>
    </row>
    <row r="143" spans="1:12" ht="13">
      <c r="A143" s="50"/>
      <c r="D143" s="130"/>
      <c r="E143" s="130"/>
      <c r="F143" s="130"/>
      <c r="G143" s="130"/>
      <c r="H143" s="130"/>
      <c r="I143" s="130"/>
      <c r="J143" s="130"/>
      <c r="K143" s="130"/>
      <c r="L143" s="130"/>
    </row>
    <row r="144" spans="1:12" ht="13">
      <c r="A144" s="50"/>
      <c r="D144" s="130"/>
      <c r="E144" s="130"/>
      <c r="F144" s="130"/>
      <c r="G144" s="130"/>
      <c r="H144" s="130"/>
      <c r="I144" s="130"/>
      <c r="J144" s="130"/>
      <c r="K144" s="130"/>
      <c r="L144" s="130"/>
    </row>
    <row r="145" spans="1:12" ht="13">
      <c r="A145" s="50"/>
      <c r="D145" s="130"/>
      <c r="E145" s="130"/>
      <c r="F145" s="130"/>
      <c r="G145" s="130"/>
      <c r="H145" s="130"/>
      <c r="I145" s="130"/>
      <c r="J145" s="130"/>
      <c r="K145" s="130"/>
      <c r="L145" s="130"/>
    </row>
    <row r="146" spans="1:12" ht="13">
      <c r="A146" s="50"/>
      <c r="D146" s="130"/>
      <c r="E146" s="130"/>
      <c r="F146" s="130"/>
      <c r="G146" s="130"/>
      <c r="H146" s="130"/>
      <c r="I146" s="130"/>
      <c r="J146" s="130"/>
      <c r="K146" s="130"/>
      <c r="L146" s="130"/>
    </row>
    <row r="147" spans="1:12" ht="13">
      <c r="A147" s="50"/>
      <c r="D147" s="130"/>
      <c r="E147" s="130"/>
      <c r="F147" s="130"/>
      <c r="G147" s="130"/>
      <c r="H147" s="130"/>
      <c r="I147" s="130"/>
      <c r="J147" s="130"/>
      <c r="K147" s="130"/>
      <c r="L147" s="130"/>
    </row>
    <row r="148" spans="1:12" ht="13">
      <c r="A148" s="50"/>
      <c r="D148" s="130"/>
      <c r="E148" s="130"/>
      <c r="F148" s="130"/>
      <c r="G148" s="130"/>
      <c r="H148" s="130"/>
      <c r="I148" s="130"/>
      <c r="J148" s="130"/>
      <c r="K148" s="130"/>
      <c r="L148" s="130"/>
    </row>
    <row r="149" spans="1:12" ht="13">
      <c r="A149" s="50"/>
      <c r="D149" s="130"/>
      <c r="E149" s="130"/>
      <c r="F149" s="130"/>
      <c r="G149" s="130"/>
      <c r="H149" s="130"/>
      <c r="I149" s="130"/>
      <c r="J149" s="130"/>
      <c r="K149" s="130"/>
      <c r="L149" s="130"/>
    </row>
    <row r="150" spans="1:12" ht="13">
      <c r="A150" s="50"/>
      <c r="D150" s="130"/>
      <c r="E150" s="130"/>
      <c r="F150" s="130"/>
      <c r="G150" s="130"/>
      <c r="H150" s="130"/>
      <c r="I150" s="130"/>
      <c r="J150" s="130"/>
      <c r="K150" s="130"/>
      <c r="L150" s="130"/>
    </row>
    <row r="151" spans="1:12" ht="13">
      <c r="A151" s="50"/>
      <c r="D151" s="130"/>
      <c r="E151" s="130"/>
      <c r="F151" s="130"/>
      <c r="G151" s="130"/>
      <c r="H151" s="130"/>
      <c r="I151" s="130"/>
      <c r="J151" s="130"/>
      <c r="K151" s="130"/>
      <c r="L151" s="130"/>
    </row>
    <row r="152" spans="1:12" ht="13">
      <c r="A152" s="50"/>
      <c r="D152" s="130"/>
      <c r="E152" s="130"/>
      <c r="F152" s="130"/>
      <c r="G152" s="130"/>
      <c r="H152" s="130"/>
      <c r="I152" s="130"/>
      <c r="J152" s="130"/>
      <c r="K152" s="130"/>
      <c r="L152" s="130"/>
    </row>
    <row r="153" spans="1:12" ht="13">
      <c r="A153" s="50"/>
      <c r="D153" s="130"/>
      <c r="E153" s="130"/>
      <c r="F153" s="130"/>
      <c r="G153" s="130"/>
      <c r="H153" s="130"/>
      <c r="I153" s="130"/>
      <c r="J153" s="130"/>
      <c r="K153" s="130"/>
      <c r="L153" s="130"/>
    </row>
    <row r="154" spans="1:12" ht="13">
      <c r="A154" s="50"/>
      <c r="D154" s="130"/>
      <c r="E154" s="130"/>
      <c r="F154" s="130"/>
      <c r="G154" s="130"/>
      <c r="H154" s="130"/>
      <c r="I154" s="130"/>
      <c r="J154" s="130"/>
      <c r="K154" s="130"/>
      <c r="L154" s="130"/>
    </row>
    <row r="155" spans="1:12" ht="13">
      <c r="A155" s="50"/>
      <c r="D155" s="130"/>
      <c r="E155" s="130"/>
      <c r="F155" s="130"/>
      <c r="G155" s="130"/>
      <c r="H155" s="130"/>
      <c r="I155" s="130"/>
      <c r="J155" s="130"/>
      <c r="K155" s="130"/>
      <c r="L155" s="130"/>
    </row>
    <row r="156" spans="1:12" ht="13">
      <c r="A156" s="50"/>
      <c r="D156" s="130"/>
      <c r="E156" s="130"/>
      <c r="F156" s="130"/>
      <c r="G156" s="130"/>
      <c r="H156" s="130"/>
      <c r="I156" s="130"/>
      <c r="J156" s="130"/>
      <c r="K156" s="130"/>
      <c r="L156" s="130"/>
    </row>
    <row r="157" spans="1:12" ht="13">
      <c r="A157" s="50"/>
      <c r="D157" s="130"/>
      <c r="E157" s="130"/>
      <c r="F157" s="130"/>
      <c r="G157" s="130"/>
      <c r="H157" s="130"/>
      <c r="I157" s="130"/>
      <c r="J157" s="130"/>
      <c r="K157" s="130"/>
      <c r="L157" s="130"/>
    </row>
    <row r="158" spans="1:12" ht="13">
      <c r="A158" s="50"/>
      <c r="D158" s="130"/>
      <c r="E158" s="130"/>
      <c r="F158" s="130"/>
      <c r="G158" s="130"/>
      <c r="H158" s="130"/>
      <c r="I158" s="130"/>
      <c r="J158" s="130"/>
      <c r="K158" s="130"/>
      <c r="L158" s="130"/>
    </row>
    <row r="159" spans="1:12" ht="13">
      <c r="A159" s="50"/>
      <c r="D159" s="130"/>
      <c r="E159" s="130"/>
      <c r="F159" s="130"/>
      <c r="G159" s="130"/>
      <c r="H159" s="130"/>
      <c r="I159" s="130"/>
      <c r="J159" s="130"/>
      <c r="K159" s="130"/>
      <c r="L159" s="130"/>
    </row>
    <row r="160" spans="1:12" ht="13">
      <c r="A160" s="50"/>
      <c r="D160" s="130"/>
      <c r="E160" s="130"/>
      <c r="F160" s="130"/>
      <c r="G160" s="130"/>
      <c r="H160" s="130"/>
      <c r="I160" s="130"/>
      <c r="J160" s="130"/>
      <c r="K160" s="130"/>
      <c r="L160" s="130"/>
    </row>
    <row r="161" spans="1:12" ht="13">
      <c r="A161" s="50"/>
      <c r="D161" s="130"/>
      <c r="E161" s="130"/>
      <c r="F161" s="130"/>
      <c r="G161" s="130"/>
      <c r="H161" s="130"/>
      <c r="I161" s="130"/>
      <c r="J161" s="130"/>
      <c r="K161" s="130"/>
      <c r="L161" s="130"/>
    </row>
    <row r="162" spans="1:12" ht="13">
      <c r="A162" s="50"/>
      <c r="D162" s="130"/>
      <c r="E162" s="130"/>
      <c r="F162" s="130"/>
      <c r="G162" s="130"/>
      <c r="H162" s="130"/>
      <c r="I162" s="130"/>
      <c r="J162" s="130"/>
      <c r="K162" s="130"/>
      <c r="L162" s="130"/>
    </row>
    <row r="163" spans="1:12" ht="13">
      <c r="A163" s="50"/>
      <c r="D163" s="130"/>
      <c r="E163" s="130"/>
      <c r="F163" s="130"/>
      <c r="G163" s="130"/>
      <c r="H163" s="130"/>
      <c r="I163" s="130"/>
      <c r="J163" s="130"/>
      <c r="K163" s="130"/>
      <c r="L163" s="130"/>
    </row>
    <row r="164" spans="1:12" ht="13">
      <c r="A164" s="50"/>
      <c r="D164" s="130"/>
      <c r="E164" s="130"/>
      <c r="F164" s="130"/>
      <c r="G164" s="130"/>
      <c r="H164" s="130"/>
      <c r="I164" s="130"/>
      <c r="J164" s="130"/>
      <c r="K164" s="130"/>
      <c r="L164" s="130"/>
    </row>
    <row r="165" spans="1:12" ht="13">
      <c r="A165" s="50"/>
      <c r="D165" s="130"/>
      <c r="E165" s="130"/>
      <c r="F165" s="130"/>
      <c r="G165" s="130"/>
      <c r="H165" s="130"/>
      <c r="I165" s="130"/>
      <c r="J165" s="130"/>
      <c r="K165" s="130"/>
      <c r="L165" s="130"/>
    </row>
    <row r="166" spans="1:12" ht="13">
      <c r="A166" s="50"/>
      <c r="D166" s="130"/>
      <c r="E166" s="130"/>
      <c r="F166" s="130"/>
      <c r="G166" s="130"/>
      <c r="H166" s="130"/>
      <c r="I166" s="130"/>
      <c r="J166" s="130"/>
      <c r="K166" s="130"/>
      <c r="L166" s="130"/>
    </row>
    <row r="167" spans="1:12" ht="13">
      <c r="A167" s="50"/>
      <c r="D167" s="130"/>
      <c r="E167" s="130"/>
      <c r="F167" s="130"/>
      <c r="G167" s="130"/>
      <c r="H167" s="130"/>
      <c r="I167" s="130"/>
      <c r="J167" s="130"/>
      <c r="K167" s="130"/>
      <c r="L167" s="130"/>
    </row>
    <row r="168" spans="1:12" ht="13">
      <c r="A168" s="50"/>
      <c r="D168" s="130"/>
      <c r="E168" s="130"/>
      <c r="F168" s="130"/>
      <c r="G168" s="130"/>
      <c r="H168" s="130"/>
      <c r="I168" s="130"/>
      <c r="J168" s="130"/>
      <c r="K168" s="130"/>
      <c r="L168" s="130"/>
    </row>
    <row r="169" spans="1:12" ht="13">
      <c r="A169" s="50"/>
      <c r="D169" s="130"/>
      <c r="E169" s="130"/>
      <c r="F169" s="130"/>
      <c r="G169" s="130"/>
      <c r="H169" s="130"/>
      <c r="I169" s="130"/>
      <c r="J169" s="130"/>
      <c r="K169" s="130"/>
      <c r="L169" s="130"/>
    </row>
    <row r="170" spans="1:12" ht="13">
      <c r="A170" s="50"/>
      <c r="D170" s="130"/>
      <c r="E170" s="130"/>
      <c r="F170" s="130"/>
      <c r="G170" s="130"/>
      <c r="H170" s="130"/>
      <c r="I170" s="130"/>
      <c r="J170" s="130"/>
      <c r="K170" s="130"/>
      <c r="L170" s="130"/>
    </row>
    <row r="171" spans="1:12" ht="13">
      <c r="A171" s="50"/>
      <c r="D171" s="130"/>
      <c r="E171" s="130"/>
      <c r="F171" s="130"/>
      <c r="G171" s="130"/>
      <c r="H171" s="130"/>
      <c r="I171" s="130"/>
      <c r="J171" s="130"/>
      <c r="K171" s="130"/>
      <c r="L171" s="130"/>
    </row>
    <row r="172" spans="1:12" ht="13">
      <c r="A172" s="50"/>
      <c r="D172" s="130"/>
      <c r="E172" s="130"/>
      <c r="F172" s="130"/>
      <c r="G172" s="130"/>
      <c r="H172" s="130"/>
      <c r="I172" s="130"/>
      <c r="J172" s="130"/>
      <c r="K172" s="130"/>
      <c r="L172" s="130"/>
    </row>
    <row r="173" spans="1:12" ht="13">
      <c r="A173" s="50"/>
      <c r="D173" s="130"/>
      <c r="E173" s="130"/>
      <c r="F173" s="130"/>
      <c r="G173" s="130"/>
      <c r="H173" s="130"/>
      <c r="I173" s="130"/>
      <c r="J173" s="130"/>
      <c r="K173" s="130"/>
      <c r="L173" s="130"/>
    </row>
    <row r="174" spans="1:12" ht="13">
      <c r="A174" s="50"/>
      <c r="D174" s="130"/>
      <c r="E174" s="130"/>
      <c r="F174" s="130"/>
      <c r="G174" s="130"/>
      <c r="H174" s="130"/>
      <c r="I174" s="130"/>
      <c r="J174" s="130"/>
      <c r="K174" s="130"/>
      <c r="L174" s="130"/>
    </row>
    <row r="175" spans="1:12" ht="13">
      <c r="A175" s="50"/>
      <c r="D175" s="130"/>
      <c r="E175" s="130"/>
      <c r="F175" s="130"/>
      <c r="G175" s="130"/>
      <c r="H175" s="130"/>
      <c r="I175" s="130"/>
      <c r="J175" s="130"/>
      <c r="K175" s="130"/>
      <c r="L175" s="130"/>
    </row>
    <row r="176" spans="1:12" ht="13">
      <c r="A176" s="50"/>
      <c r="D176" s="130"/>
      <c r="E176" s="130"/>
      <c r="F176" s="130"/>
      <c r="G176" s="130"/>
      <c r="H176" s="130"/>
      <c r="I176" s="130"/>
      <c r="J176" s="130"/>
      <c r="K176" s="130"/>
      <c r="L176" s="130"/>
    </row>
    <row r="177" spans="1:12" ht="13">
      <c r="A177" s="50"/>
      <c r="D177" s="130"/>
      <c r="E177" s="130"/>
      <c r="F177" s="130"/>
      <c r="G177" s="130"/>
      <c r="H177" s="130"/>
      <c r="I177" s="130"/>
      <c r="J177" s="130"/>
      <c r="K177" s="130"/>
      <c r="L177" s="130"/>
    </row>
    <row r="178" spans="1:12" ht="13">
      <c r="A178" s="50"/>
      <c r="D178" s="130"/>
      <c r="E178" s="130"/>
      <c r="F178" s="130"/>
      <c r="G178" s="130"/>
      <c r="H178" s="130"/>
      <c r="I178" s="130"/>
      <c r="J178" s="130"/>
      <c r="K178" s="130"/>
      <c r="L178" s="130"/>
    </row>
    <row r="179" spans="1:12" ht="13">
      <c r="A179" s="50"/>
      <c r="D179" s="130"/>
      <c r="E179" s="130"/>
      <c r="F179" s="130"/>
      <c r="G179" s="130"/>
      <c r="H179" s="130"/>
      <c r="I179" s="130"/>
      <c r="J179" s="130"/>
      <c r="K179" s="130"/>
      <c r="L179" s="130"/>
    </row>
    <row r="180" spans="1:12" ht="13">
      <c r="A180" s="50"/>
      <c r="D180" s="130"/>
      <c r="E180" s="130"/>
      <c r="F180" s="130"/>
      <c r="G180" s="130"/>
      <c r="H180" s="130"/>
      <c r="I180" s="130"/>
      <c r="J180" s="130"/>
      <c r="K180" s="130"/>
      <c r="L180" s="130"/>
    </row>
    <row r="181" spans="1:12" ht="13">
      <c r="A181" s="50"/>
      <c r="D181" s="130"/>
      <c r="E181" s="130"/>
      <c r="F181" s="130"/>
      <c r="G181" s="130"/>
      <c r="H181" s="130"/>
      <c r="I181" s="130"/>
      <c r="J181" s="130"/>
      <c r="K181" s="130"/>
      <c r="L181" s="130"/>
    </row>
    <row r="182" spans="1:12" ht="13">
      <c r="A182" s="50"/>
      <c r="D182" s="130"/>
      <c r="E182" s="130"/>
      <c r="F182" s="130"/>
      <c r="G182" s="130"/>
      <c r="H182" s="130"/>
      <c r="I182" s="130"/>
      <c r="J182" s="130"/>
      <c r="K182" s="130"/>
      <c r="L182" s="130"/>
    </row>
    <row r="183" spans="1:12" ht="13">
      <c r="A183" s="50"/>
      <c r="D183" s="130"/>
      <c r="E183" s="130"/>
      <c r="F183" s="130"/>
      <c r="G183" s="130"/>
      <c r="H183" s="130"/>
      <c r="I183" s="130"/>
      <c r="J183" s="130"/>
      <c r="K183" s="130"/>
      <c r="L183" s="130"/>
    </row>
    <row r="184" spans="1:12" ht="13">
      <c r="A184" s="50"/>
      <c r="D184" s="130"/>
      <c r="E184" s="130"/>
      <c r="F184" s="130"/>
      <c r="G184" s="130"/>
      <c r="H184" s="130"/>
      <c r="I184" s="130"/>
      <c r="J184" s="130"/>
      <c r="K184" s="130"/>
      <c r="L184" s="130"/>
    </row>
    <row r="185" spans="1:12" ht="13">
      <c r="A185" s="50"/>
      <c r="D185" s="130"/>
      <c r="E185" s="130"/>
      <c r="F185" s="130"/>
      <c r="G185" s="130"/>
      <c r="H185" s="130"/>
      <c r="I185" s="130"/>
      <c r="J185" s="130"/>
      <c r="K185" s="130"/>
      <c r="L185" s="130"/>
    </row>
    <row r="186" spans="1:12" ht="13">
      <c r="A186" s="50"/>
      <c r="D186" s="130"/>
      <c r="E186" s="130"/>
      <c r="F186" s="130"/>
      <c r="G186" s="130"/>
      <c r="H186" s="130"/>
      <c r="I186" s="130"/>
      <c r="J186" s="130"/>
      <c r="K186" s="130"/>
      <c r="L186" s="130"/>
    </row>
    <row r="187" spans="1:12" ht="13">
      <c r="A187" s="50"/>
      <c r="D187" s="130"/>
      <c r="E187" s="130"/>
      <c r="F187" s="130"/>
      <c r="G187" s="130"/>
      <c r="H187" s="130"/>
      <c r="I187" s="130"/>
      <c r="J187" s="130"/>
      <c r="K187" s="130"/>
      <c r="L187" s="130"/>
    </row>
    <row r="188" spans="1:12" ht="13">
      <c r="A188" s="50"/>
      <c r="D188" s="130"/>
      <c r="E188" s="130"/>
      <c r="F188" s="130"/>
      <c r="G188" s="130"/>
      <c r="H188" s="130"/>
      <c r="I188" s="130"/>
      <c r="J188" s="130"/>
      <c r="K188" s="130"/>
      <c r="L188" s="130"/>
    </row>
    <row r="189" spans="1:12" ht="13">
      <c r="A189" s="50"/>
      <c r="D189" s="130"/>
      <c r="E189" s="130"/>
      <c r="F189" s="130"/>
      <c r="G189" s="130"/>
      <c r="H189" s="130"/>
      <c r="I189" s="130"/>
      <c r="J189" s="130"/>
      <c r="K189" s="130"/>
      <c r="L189" s="130"/>
    </row>
    <row r="190" spans="1:12" ht="13">
      <c r="A190" s="50"/>
      <c r="D190" s="130"/>
      <c r="E190" s="130"/>
      <c r="F190" s="130"/>
      <c r="G190" s="130"/>
      <c r="H190" s="130"/>
      <c r="I190" s="130"/>
      <c r="J190" s="130"/>
      <c r="K190" s="130"/>
      <c r="L190" s="130"/>
    </row>
    <row r="191" spans="1:12" ht="13">
      <c r="A191" s="50"/>
      <c r="D191" s="130"/>
      <c r="E191" s="130"/>
      <c r="F191" s="130"/>
      <c r="G191" s="130"/>
      <c r="H191" s="130"/>
      <c r="I191" s="130"/>
      <c r="J191" s="130"/>
      <c r="K191" s="130"/>
      <c r="L191" s="130"/>
    </row>
    <row r="192" spans="1:12" ht="13">
      <c r="A192" s="50"/>
      <c r="D192" s="130"/>
      <c r="E192" s="130"/>
      <c r="F192" s="130"/>
      <c r="G192" s="130"/>
      <c r="H192" s="130"/>
      <c r="I192" s="130"/>
      <c r="J192" s="130"/>
      <c r="K192" s="130"/>
      <c r="L192" s="130"/>
    </row>
    <row r="193" spans="1:12" ht="13">
      <c r="A193" s="50"/>
      <c r="D193" s="130"/>
      <c r="E193" s="130"/>
      <c r="F193" s="130"/>
      <c r="G193" s="130"/>
      <c r="H193" s="130"/>
      <c r="I193" s="130"/>
      <c r="J193" s="130"/>
      <c r="K193" s="130"/>
      <c r="L193" s="130"/>
    </row>
    <row r="194" spans="1:12" ht="13">
      <c r="A194" s="50"/>
      <c r="D194" s="130"/>
      <c r="E194" s="130"/>
      <c r="F194" s="130"/>
      <c r="G194" s="130"/>
      <c r="H194" s="130"/>
      <c r="I194" s="130"/>
      <c r="J194" s="130"/>
      <c r="K194" s="130"/>
      <c r="L194" s="130"/>
    </row>
    <row r="195" spans="1:12" ht="13">
      <c r="A195" s="50"/>
      <c r="D195" s="130"/>
      <c r="E195" s="130"/>
      <c r="F195" s="130"/>
      <c r="G195" s="130"/>
      <c r="H195" s="130"/>
      <c r="I195" s="130"/>
      <c r="J195" s="130"/>
      <c r="K195" s="130"/>
      <c r="L195" s="130"/>
    </row>
    <row r="196" spans="1:12" ht="13">
      <c r="A196" s="50"/>
      <c r="D196" s="130"/>
      <c r="E196" s="130"/>
      <c r="F196" s="130"/>
      <c r="G196" s="130"/>
      <c r="H196" s="130"/>
      <c r="I196" s="130"/>
      <c r="J196" s="130"/>
      <c r="K196" s="130"/>
      <c r="L196" s="130"/>
    </row>
    <row r="197" spans="1:12" ht="13">
      <c r="A197" s="50"/>
      <c r="D197" s="130"/>
      <c r="E197" s="130"/>
      <c r="F197" s="130"/>
      <c r="G197" s="130"/>
      <c r="H197" s="130"/>
      <c r="I197" s="130"/>
      <c r="J197" s="130"/>
      <c r="K197" s="130"/>
      <c r="L197" s="130"/>
    </row>
    <row r="198" spans="1:12" ht="13">
      <c r="A198" s="50"/>
      <c r="D198" s="130"/>
      <c r="E198" s="130"/>
      <c r="F198" s="130"/>
      <c r="G198" s="130"/>
      <c r="H198" s="130"/>
      <c r="I198" s="130"/>
      <c r="J198" s="130"/>
      <c r="K198" s="130"/>
      <c r="L198" s="130"/>
    </row>
    <row r="199" spans="1:12" ht="13">
      <c r="A199" s="50"/>
      <c r="D199" s="130"/>
      <c r="E199" s="130"/>
      <c r="F199" s="130"/>
      <c r="G199" s="130"/>
      <c r="H199" s="130"/>
      <c r="I199" s="130"/>
      <c r="J199" s="130"/>
      <c r="K199" s="130"/>
      <c r="L199" s="130"/>
    </row>
    <row r="200" spans="1:12" ht="13">
      <c r="A200" s="50"/>
      <c r="D200" s="130"/>
      <c r="E200" s="130"/>
      <c r="F200" s="130"/>
      <c r="G200" s="130"/>
      <c r="H200" s="130"/>
      <c r="I200" s="130"/>
      <c r="J200" s="130"/>
      <c r="K200" s="130"/>
      <c r="L200" s="130"/>
    </row>
    <row r="201" spans="1:12" ht="13">
      <c r="A201" s="50"/>
      <c r="D201" s="130"/>
      <c r="E201" s="130"/>
      <c r="F201" s="130"/>
      <c r="G201" s="130"/>
      <c r="H201" s="130"/>
      <c r="I201" s="130"/>
      <c r="J201" s="130"/>
      <c r="K201" s="130"/>
      <c r="L201" s="130"/>
    </row>
    <row r="202" spans="1:12" ht="13">
      <c r="A202" s="50"/>
      <c r="D202" s="130"/>
      <c r="E202" s="130"/>
      <c r="F202" s="130"/>
      <c r="G202" s="130"/>
      <c r="H202" s="130"/>
      <c r="I202" s="130"/>
      <c r="J202" s="130"/>
      <c r="K202" s="130"/>
      <c r="L202" s="130"/>
    </row>
    <row r="203" spans="1:12" ht="13">
      <c r="A203" s="50"/>
      <c r="D203" s="130"/>
      <c r="E203" s="130"/>
      <c r="F203" s="130"/>
      <c r="G203" s="130"/>
      <c r="H203" s="130"/>
      <c r="I203" s="130"/>
      <c r="J203" s="130"/>
      <c r="K203" s="130"/>
      <c r="L203" s="130"/>
    </row>
    <row r="204" spans="1:12" ht="13">
      <c r="A204" s="50"/>
      <c r="D204" s="130"/>
      <c r="E204" s="130"/>
      <c r="F204" s="130"/>
      <c r="G204" s="130"/>
      <c r="H204" s="130"/>
      <c r="I204" s="130"/>
      <c r="J204" s="130"/>
      <c r="K204" s="130"/>
      <c r="L204" s="130"/>
    </row>
    <row r="205" spans="1:12" ht="13">
      <c r="A205" s="50"/>
      <c r="D205" s="130"/>
      <c r="E205" s="130"/>
      <c r="F205" s="130"/>
      <c r="G205" s="130"/>
      <c r="H205" s="130"/>
      <c r="I205" s="130"/>
      <c r="J205" s="130"/>
      <c r="K205" s="130"/>
      <c r="L205" s="130"/>
    </row>
    <row r="206" spans="1:12" ht="13">
      <c r="A206" s="50"/>
      <c r="D206" s="130"/>
      <c r="E206" s="130"/>
      <c r="F206" s="130"/>
      <c r="G206" s="130"/>
      <c r="H206" s="130"/>
      <c r="I206" s="130"/>
      <c r="J206" s="130"/>
      <c r="K206" s="130"/>
      <c r="L206" s="130"/>
    </row>
    <row r="207" spans="1:12" ht="13">
      <c r="A207" s="50"/>
      <c r="D207" s="130"/>
      <c r="E207" s="130"/>
      <c r="F207" s="130"/>
      <c r="G207" s="130"/>
      <c r="H207" s="130"/>
      <c r="I207" s="130"/>
      <c r="J207" s="130"/>
      <c r="K207" s="130"/>
      <c r="L207" s="130"/>
    </row>
    <row r="208" spans="1:12" ht="13">
      <c r="A208" s="50"/>
      <c r="D208" s="130"/>
      <c r="E208" s="130"/>
      <c r="F208" s="130"/>
      <c r="G208" s="130"/>
      <c r="H208" s="130"/>
      <c r="I208" s="130"/>
      <c r="J208" s="130"/>
      <c r="K208" s="130"/>
      <c r="L208" s="130"/>
    </row>
    <row r="209" spans="1:12" ht="13">
      <c r="A209" s="50"/>
      <c r="D209" s="130"/>
      <c r="E209" s="130"/>
      <c r="F209" s="130"/>
      <c r="G209" s="130"/>
      <c r="H209" s="130"/>
      <c r="I209" s="130"/>
      <c r="J209" s="130"/>
      <c r="K209" s="130"/>
      <c r="L209" s="130"/>
    </row>
    <row r="210" spans="1:12" ht="13">
      <c r="A210" s="50"/>
      <c r="D210" s="130"/>
      <c r="E210" s="130"/>
      <c r="F210" s="130"/>
      <c r="G210" s="130"/>
      <c r="H210" s="130"/>
      <c r="I210" s="130"/>
      <c r="J210" s="130"/>
      <c r="K210" s="130"/>
      <c r="L210" s="130"/>
    </row>
    <row r="211" spans="1:12" ht="13">
      <c r="A211" s="50"/>
      <c r="D211" s="130"/>
      <c r="E211" s="130"/>
      <c r="F211" s="130"/>
      <c r="G211" s="130"/>
      <c r="H211" s="130"/>
      <c r="I211" s="130"/>
      <c r="J211" s="130"/>
      <c r="K211" s="130"/>
      <c r="L211" s="130"/>
    </row>
    <row r="212" spans="1:12" ht="13">
      <c r="A212" s="50"/>
      <c r="D212" s="130"/>
      <c r="E212" s="130"/>
      <c r="F212" s="130"/>
      <c r="G212" s="130"/>
      <c r="H212" s="130"/>
      <c r="I212" s="130"/>
      <c r="J212" s="130"/>
      <c r="K212" s="130"/>
      <c r="L212" s="130"/>
    </row>
    <row r="213" spans="1:12" ht="13">
      <c r="A213" s="50"/>
      <c r="D213" s="130"/>
      <c r="E213" s="130"/>
      <c r="F213" s="130"/>
      <c r="G213" s="130"/>
      <c r="H213" s="130"/>
      <c r="I213" s="130"/>
      <c r="J213" s="130"/>
      <c r="K213" s="130"/>
      <c r="L213" s="130"/>
    </row>
    <row r="214" spans="1:12" ht="13">
      <c r="A214" s="50"/>
      <c r="D214" s="130"/>
      <c r="E214" s="130"/>
      <c r="F214" s="130"/>
      <c r="G214" s="130"/>
      <c r="H214" s="130"/>
      <c r="I214" s="130"/>
      <c r="J214" s="130"/>
      <c r="K214" s="130"/>
      <c r="L214" s="130"/>
    </row>
    <row r="215" spans="1:12" ht="13">
      <c r="A215" s="50"/>
      <c r="D215" s="130"/>
      <c r="E215" s="130"/>
      <c r="F215" s="130"/>
      <c r="G215" s="130"/>
      <c r="H215" s="130"/>
      <c r="I215" s="130"/>
      <c r="J215" s="130"/>
      <c r="K215" s="130"/>
      <c r="L215" s="130"/>
    </row>
    <row r="216" spans="1:12" ht="13">
      <c r="A216" s="50"/>
      <c r="D216" s="130"/>
      <c r="E216" s="130"/>
      <c r="F216" s="130"/>
      <c r="G216" s="130"/>
      <c r="H216" s="130"/>
      <c r="I216" s="130"/>
      <c r="J216" s="130"/>
      <c r="K216" s="130"/>
      <c r="L216" s="130"/>
    </row>
    <row r="217" spans="1:12" ht="13">
      <c r="A217" s="50"/>
      <c r="D217" s="130"/>
      <c r="E217" s="130"/>
      <c r="F217" s="130"/>
      <c r="G217" s="130"/>
      <c r="H217" s="130"/>
      <c r="I217" s="130"/>
      <c r="J217" s="130"/>
      <c r="K217" s="130"/>
      <c r="L217" s="130"/>
    </row>
    <row r="218" spans="1:12" ht="13">
      <c r="A218" s="50"/>
      <c r="D218" s="130"/>
      <c r="E218" s="130"/>
      <c r="F218" s="130"/>
      <c r="G218" s="130"/>
      <c r="H218" s="130"/>
      <c r="I218" s="130"/>
      <c r="J218" s="130"/>
      <c r="K218" s="130"/>
      <c r="L218" s="130"/>
    </row>
    <row r="219" spans="1:12" ht="13">
      <c r="A219" s="50"/>
      <c r="D219" s="130"/>
      <c r="E219" s="130"/>
      <c r="F219" s="130"/>
      <c r="G219" s="130"/>
      <c r="H219" s="130"/>
      <c r="I219" s="130"/>
      <c r="J219" s="130"/>
      <c r="K219" s="130"/>
      <c r="L219" s="130"/>
    </row>
    <row r="220" spans="1:12" ht="13">
      <c r="A220" s="50"/>
      <c r="D220" s="130"/>
      <c r="E220" s="130"/>
      <c r="F220" s="130"/>
      <c r="G220" s="130"/>
      <c r="H220" s="130"/>
      <c r="I220" s="130"/>
      <c r="J220" s="130"/>
      <c r="K220" s="130"/>
      <c r="L220" s="130"/>
    </row>
    <row r="221" spans="1:12" ht="13">
      <c r="A221" s="50"/>
      <c r="D221" s="130"/>
      <c r="E221" s="130"/>
      <c r="F221" s="130"/>
      <c r="G221" s="130"/>
      <c r="H221" s="130"/>
      <c r="I221" s="130"/>
      <c r="J221" s="130"/>
      <c r="K221" s="130"/>
      <c r="L221" s="130"/>
    </row>
    <row r="222" spans="1:12" ht="13">
      <c r="A222" s="50"/>
      <c r="D222" s="130"/>
      <c r="E222" s="130"/>
      <c r="F222" s="130"/>
      <c r="G222" s="130"/>
      <c r="H222" s="130"/>
      <c r="I222" s="130"/>
      <c r="J222" s="130"/>
      <c r="K222" s="130"/>
      <c r="L222" s="130"/>
    </row>
    <row r="223" spans="1:12" ht="13">
      <c r="A223" s="50"/>
      <c r="D223" s="130"/>
      <c r="E223" s="130"/>
      <c r="F223" s="130"/>
      <c r="G223" s="130"/>
      <c r="H223" s="130"/>
      <c r="I223" s="130"/>
      <c r="J223" s="130"/>
      <c r="K223" s="130"/>
      <c r="L223" s="130"/>
    </row>
    <row r="224" spans="1:12" ht="13">
      <c r="A224" s="50"/>
      <c r="D224" s="130"/>
      <c r="E224" s="130"/>
      <c r="F224" s="130"/>
      <c r="G224" s="130"/>
      <c r="H224" s="130"/>
      <c r="I224" s="130"/>
      <c r="J224" s="130"/>
      <c r="K224" s="130"/>
      <c r="L224" s="130"/>
    </row>
    <row r="225" spans="1:12" ht="13">
      <c r="A225" s="50"/>
      <c r="D225" s="130"/>
      <c r="E225" s="130"/>
      <c r="F225" s="130"/>
      <c r="G225" s="130"/>
      <c r="H225" s="130"/>
      <c r="I225" s="130"/>
      <c r="J225" s="130"/>
      <c r="K225" s="130"/>
      <c r="L225" s="130"/>
    </row>
    <row r="226" spans="1:12" ht="13">
      <c r="A226" s="50"/>
      <c r="D226" s="130"/>
      <c r="E226" s="130"/>
      <c r="F226" s="130"/>
      <c r="G226" s="130"/>
      <c r="H226" s="130"/>
      <c r="I226" s="130"/>
      <c r="J226" s="130"/>
      <c r="K226" s="130"/>
      <c r="L226" s="130"/>
    </row>
    <row r="227" spans="1:12" ht="13">
      <c r="A227" s="50"/>
      <c r="D227" s="130"/>
      <c r="E227" s="130"/>
      <c r="F227" s="130"/>
      <c r="G227" s="130"/>
      <c r="H227" s="130"/>
      <c r="I227" s="130"/>
      <c r="J227" s="130"/>
      <c r="K227" s="130"/>
      <c r="L227" s="130"/>
    </row>
    <row r="228" spans="1:12" ht="13">
      <c r="A228" s="50"/>
      <c r="D228" s="130"/>
      <c r="E228" s="130"/>
      <c r="F228" s="130"/>
      <c r="G228" s="130"/>
      <c r="H228" s="130"/>
      <c r="I228" s="130"/>
      <c r="J228" s="130"/>
      <c r="K228" s="130"/>
      <c r="L228" s="130"/>
    </row>
    <row r="229" spans="1:12" ht="13">
      <c r="A229" s="50"/>
      <c r="D229" s="130"/>
      <c r="E229" s="130"/>
      <c r="F229" s="130"/>
      <c r="G229" s="130"/>
      <c r="H229" s="130"/>
      <c r="I229" s="130"/>
      <c r="J229" s="130"/>
      <c r="K229" s="130"/>
      <c r="L229" s="130"/>
    </row>
    <row r="230" spans="1:12" ht="13">
      <c r="A230" s="50"/>
      <c r="D230" s="130"/>
      <c r="E230" s="130"/>
      <c r="F230" s="130"/>
      <c r="G230" s="130"/>
      <c r="H230" s="130"/>
      <c r="I230" s="130"/>
      <c r="J230" s="130"/>
      <c r="K230" s="130"/>
      <c r="L230" s="130"/>
    </row>
    <row r="231" spans="1:12" ht="13">
      <c r="A231" s="50"/>
      <c r="D231" s="130"/>
      <c r="E231" s="130"/>
      <c r="F231" s="130"/>
      <c r="G231" s="130"/>
      <c r="H231" s="130"/>
      <c r="I231" s="130"/>
      <c r="J231" s="130"/>
      <c r="K231" s="130"/>
      <c r="L231" s="130"/>
    </row>
    <row r="232" spans="1:12" ht="13">
      <c r="A232" s="50"/>
      <c r="D232" s="130"/>
      <c r="E232" s="130"/>
      <c r="F232" s="130"/>
      <c r="G232" s="130"/>
      <c r="H232" s="130"/>
      <c r="I232" s="130"/>
      <c r="J232" s="130"/>
      <c r="K232" s="130"/>
      <c r="L232" s="130"/>
    </row>
    <row r="233" spans="1:12" ht="13">
      <c r="A233" s="50"/>
      <c r="D233" s="130"/>
      <c r="E233" s="130"/>
      <c r="F233" s="130"/>
      <c r="G233" s="130"/>
      <c r="H233" s="130"/>
      <c r="I233" s="130"/>
      <c r="J233" s="130"/>
      <c r="K233" s="130"/>
      <c r="L233" s="130"/>
    </row>
    <row r="234" spans="1:12" ht="13">
      <c r="A234" s="50"/>
      <c r="D234" s="130"/>
      <c r="E234" s="130"/>
      <c r="F234" s="130"/>
      <c r="G234" s="130"/>
      <c r="H234" s="130"/>
      <c r="I234" s="130"/>
      <c r="J234" s="130"/>
      <c r="K234" s="130"/>
      <c r="L234" s="130"/>
    </row>
    <row r="235" spans="1:12" ht="13">
      <c r="A235" s="50"/>
      <c r="D235" s="130"/>
      <c r="E235" s="130"/>
      <c r="F235" s="130"/>
      <c r="G235" s="130"/>
      <c r="H235" s="130"/>
      <c r="I235" s="130"/>
      <c r="J235" s="130"/>
      <c r="K235" s="130"/>
      <c r="L235" s="130"/>
    </row>
    <row r="236" spans="1:12" ht="13">
      <c r="A236" s="50"/>
      <c r="D236" s="130"/>
      <c r="E236" s="130"/>
      <c r="F236" s="130"/>
      <c r="G236" s="130"/>
      <c r="H236" s="130"/>
      <c r="I236" s="130"/>
      <c r="J236" s="130"/>
      <c r="K236" s="130"/>
      <c r="L236" s="130"/>
    </row>
    <row r="237" spans="1:12" ht="13">
      <c r="A237" s="50"/>
      <c r="D237" s="130"/>
      <c r="E237" s="130"/>
      <c r="F237" s="130"/>
      <c r="G237" s="130"/>
      <c r="H237" s="130"/>
      <c r="I237" s="130"/>
      <c r="J237" s="130"/>
      <c r="K237" s="130"/>
      <c r="L237" s="130"/>
    </row>
    <row r="238" spans="1:12" ht="13">
      <c r="A238" s="50"/>
      <c r="D238" s="130"/>
      <c r="E238" s="130"/>
      <c r="F238" s="130"/>
      <c r="G238" s="130"/>
      <c r="H238" s="130"/>
      <c r="I238" s="130"/>
      <c r="J238" s="130"/>
      <c r="K238" s="130"/>
      <c r="L238" s="130"/>
    </row>
    <row r="239" spans="1:12" ht="13">
      <c r="A239" s="50"/>
      <c r="D239" s="130"/>
      <c r="E239" s="130"/>
      <c r="F239" s="130"/>
      <c r="G239" s="130"/>
      <c r="H239" s="130"/>
      <c r="I239" s="130"/>
      <c r="J239" s="130"/>
      <c r="K239" s="130"/>
      <c r="L239" s="130"/>
    </row>
    <row r="240" spans="1:12" ht="13">
      <c r="A240" s="50"/>
      <c r="D240" s="130"/>
      <c r="E240" s="130"/>
      <c r="F240" s="130"/>
      <c r="G240" s="130"/>
      <c r="H240" s="130"/>
      <c r="I240" s="130"/>
      <c r="J240" s="130"/>
      <c r="K240" s="130"/>
      <c r="L240" s="130"/>
    </row>
    <row r="241" spans="1:12" ht="13">
      <c r="A241" s="50"/>
      <c r="D241" s="130"/>
      <c r="E241" s="130"/>
      <c r="F241" s="130"/>
      <c r="G241" s="130"/>
      <c r="H241" s="130"/>
      <c r="I241" s="130"/>
      <c r="J241" s="130"/>
      <c r="K241" s="130"/>
      <c r="L241" s="130"/>
    </row>
    <row r="242" spans="1:12" ht="13">
      <c r="A242" s="50"/>
      <c r="D242" s="130"/>
      <c r="E242" s="130"/>
      <c r="F242" s="130"/>
      <c r="G242" s="130"/>
      <c r="H242" s="130"/>
      <c r="I242" s="130"/>
      <c r="J242" s="130"/>
      <c r="K242" s="130"/>
      <c r="L242" s="130"/>
    </row>
    <row r="243" spans="1:12" ht="13">
      <c r="A243" s="50"/>
      <c r="D243" s="130"/>
      <c r="E243" s="130"/>
      <c r="F243" s="130"/>
      <c r="G243" s="130"/>
      <c r="H243" s="130"/>
      <c r="I243" s="130"/>
      <c r="J243" s="130"/>
      <c r="K243" s="130"/>
      <c r="L243" s="130"/>
    </row>
    <row r="244" spans="1:12" ht="13">
      <c r="A244" s="50"/>
      <c r="D244" s="130"/>
      <c r="E244" s="130"/>
      <c r="F244" s="130"/>
      <c r="G244" s="130"/>
      <c r="H244" s="130"/>
      <c r="I244" s="130"/>
      <c r="J244" s="130"/>
      <c r="K244" s="130"/>
      <c r="L244" s="130"/>
    </row>
    <row r="245" spans="1:12" ht="13">
      <c r="A245" s="50"/>
      <c r="D245" s="130"/>
      <c r="E245" s="130"/>
      <c r="F245" s="130"/>
      <c r="G245" s="130"/>
      <c r="H245" s="130"/>
      <c r="I245" s="130"/>
      <c r="J245" s="130"/>
      <c r="K245" s="130"/>
      <c r="L245" s="130"/>
    </row>
    <row r="246" spans="1:12" ht="13">
      <c r="A246" s="50"/>
      <c r="D246" s="130"/>
      <c r="E246" s="130"/>
      <c r="F246" s="130"/>
      <c r="G246" s="130"/>
      <c r="H246" s="130"/>
      <c r="I246" s="130"/>
      <c r="J246" s="130"/>
      <c r="K246" s="130"/>
      <c r="L246" s="130"/>
    </row>
    <row r="247" spans="1:12" ht="13">
      <c r="A247" s="50"/>
      <c r="D247" s="130"/>
      <c r="E247" s="130"/>
      <c r="F247" s="130"/>
      <c r="G247" s="130"/>
      <c r="H247" s="130"/>
      <c r="I247" s="130"/>
      <c r="J247" s="130"/>
      <c r="K247" s="130"/>
      <c r="L247" s="130"/>
    </row>
    <row r="248" spans="1:12" ht="13">
      <c r="A248" s="50"/>
      <c r="D248" s="130"/>
      <c r="E248" s="130"/>
      <c r="F248" s="130"/>
      <c r="G248" s="130"/>
      <c r="H248" s="130"/>
      <c r="I248" s="130"/>
      <c r="J248" s="130"/>
      <c r="K248" s="130"/>
      <c r="L248" s="130"/>
    </row>
    <row r="249" spans="1:12" ht="13">
      <c r="A249" s="50"/>
      <c r="D249" s="130"/>
      <c r="E249" s="130"/>
      <c r="F249" s="130"/>
      <c r="G249" s="130"/>
      <c r="H249" s="130"/>
      <c r="I249" s="130"/>
      <c r="J249" s="130"/>
      <c r="K249" s="130"/>
      <c r="L249" s="130"/>
    </row>
    <row r="250" spans="1:12" ht="13">
      <c r="A250" s="50"/>
      <c r="D250" s="130"/>
      <c r="E250" s="130"/>
      <c r="F250" s="130"/>
      <c r="G250" s="130"/>
      <c r="H250" s="130"/>
      <c r="I250" s="130"/>
      <c r="J250" s="130"/>
      <c r="K250" s="130"/>
      <c r="L250" s="130"/>
    </row>
    <row r="251" spans="1:12" ht="13">
      <c r="A251" s="50"/>
      <c r="D251" s="130"/>
      <c r="E251" s="130"/>
      <c r="F251" s="130"/>
      <c r="G251" s="130"/>
      <c r="H251" s="130"/>
      <c r="I251" s="130"/>
      <c r="J251" s="130"/>
      <c r="K251" s="130"/>
      <c r="L251" s="130"/>
    </row>
    <row r="252" spans="1:12" ht="13">
      <c r="A252" s="50"/>
      <c r="D252" s="130"/>
      <c r="E252" s="130"/>
      <c r="F252" s="130"/>
      <c r="G252" s="130"/>
      <c r="H252" s="130"/>
      <c r="I252" s="130"/>
      <c r="J252" s="130"/>
      <c r="K252" s="130"/>
      <c r="L252" s="130"/>
    </row>
    <row r="253" spans="1:12" ht="13">
      <c r="A253" s="50"/>
      <c r="D253" s="130"/>
      <c r="E253" s="130"/>
      <c r="F253" s="130"/>
      <c r="G253" s="130"/>
      <c r="H253" s="130"/>
      <c r="I253" s="130"/>
      <c r="J253" s="130"/>
      <c r="K253" s="130"/>
      <c r="L253" s="130"/>
    </row>
    <row r="254" spans="1:12" ht="13">
      <c r="A254" s="50"/>
      <c r="D254" s="130"/>
      <c r="E254" s="130"/>
      <c r="F254" s="130"/>
      <c r="G254" s="130"/>
      <c r="H254" s="130"/>
      <c r="I254" s="130"/>
      <c r="J254" s="130"/>
      <c r="K254" s="130"/>
      <c r="L254" s="130"/>
    </row>
    <row r="255" spans="1:12" ht="13">
      <c r="A255" s="50"/>
      <c r="D255" s="130"/>
      <c r="E255" s="130"/>
      <c r="F255" s="130"/>
      <c r="G255" s="130"/>
      <c r="H255" s="130"/>
      <c r="I255" s="130"/>
      <c r="J255" s="130"/>
      <c r="K255" s="130"/>
      <c r="L255" s="130"/>
    </row>
    <row r="256" spans="1:12" ht="13">
      <c r="A256" s="50"/>
      <c r="D256" s="130"/>
      <c r="E256" s="130"/>
      <c r="F256" s="130"/>
      <c r="G256" s="130"/>
      <c r="H256" s="130"/>
      <c r="I256" s="130"/>
      <c r="J256" s="130"/>
      <c r="K256" s="130"/>
      <c r="L256" s="130"/>
    </row>
    <row r="257" spans="1:12" ht="13">
      <c r="A257" s="50"/>
      <c r="D257" s="130"/>
      <c r="E257" s="130"/>
      <c r="F257" s="130"/>
      <c r="G257" s="130"/>
      <c r="H257" s="130"/>
      <c r="I257" s="130"/>
      <c r="J257" s="130"/>
      <c r="K257" s="130"/>
      <c r="L257" s="130"/>
    </row>
    <row r="258" spans="1:12" ht="13">
      <c r="A258" s="50"/>
      <c r="D258" s="130"/>
      <c r="E258" s="130"/>
      <c r="F258" s="130"/>
      <c r="G258" s="130"/>
      <c r="H258" s="130"/>
      <c r="I258" s="130"/>
      <c r="J258" s="130"/>
      <c r="K258" s="130"/>
      <c r="L258" s="130"/>
    </row>
    <row r="259" spans="1:12" ht="13">
      <c r="A259" s="50"/>
      <c r="D259" s="130"/>
      <c r="E259" s="130"/>
      <c r="F259" s="130"/>
      <c r="G259" s="130"/>
      <c r="H259" s="130"/>
      <c r="I259" s="130"/>
      <c r="J259" s="130"/>
      <c r="K259" s="130"/>
      <c r="L259" s="130"/>
    </row>
    <row r="260" spans="1:12" ht="13">
      <c r="A260" s="50"/>
      <c r="D260" s="130"/>
      <c r="E260" s="130"/>
      <c r="F260" s="130"/>
      <c r="G260" s="130"/>
      <c r="H260" s="130"/>
      <c r="I260" s="130"/>
      <c r="J260" s="130"/>
      <c r="K260" s="130"/>
      <c r="L260" s="130"/>
    </row>
    <row r="261" spans="1:12" ht="13">
      <c r="A261" s="50"/>
      <c r="D261" s="130"/>
      <c r="E261" s="130"/>
      <c r="F261" s="130"/>
      <c r="G261" s="130"/>
      <c r="H261" s="130"/>
      <c r="I261" s="130"/>
      <c r="J261" s="130"/>
      <c r="K261" s="130"/>
      <c r="L261" s="130"/>
    </row>
    <row r="262" spans="1:12" ht="13">
      <c r="A262" s="50"/>
      <c r="D262" s="130"/>
      <c r="E262" s="130"/>
      <c r="F262" s="130"/>
      <c r="G262" s="130"/>
      <c r="H262" s="130"/>
      <c r="I262" s="130"/>
      <c r="J262" s="130"/>
      <c r="K262" s="130"/>
      <c r="L262" s="130"/>
    </row>
    <row r="263" spans="1:12" ht="13">
      <c r="A263" s="50"/>
      <c r="D263" s="130"/>
      <c r="E263" s="130"/>
      <c r="F263" s="130"/>
      <c r="G263" s="130"/>
      <c r="H263" s="130"/>
      <c r="I263" s="130"/>
      <c r="J263" s="130"/>
      <c r="K263" s="130"/>
      <c r="L263" s="130"/>
    </row>
    <row r="264" spans="1:12" ht="13">
      <c r="A264" s="50"/>
      <c r="D264" s="130"/>
      <c r="E264" s="130"/>
      <c r="F264" s="130"/>
      <c r="G264" s="130"/>
      <c r="H264" s="130"/>
      <c r="I264" s="130"/>
      <c r="J264" s="130"/>
      <c r="K264" s="130"/>
      <c r="L264" s="130"/>
    </row>
    <row r="265" spans="1:12" ht="13">
      <c r="A265" s="50"/>
      <c r="D265" s="130"/>
      <c r="E265" s="130"/>
      <c r="F265" s="130"/>
      <c r="G265" s="130"/>
      <c r="H265" s="130"/>
      <c r="I265" s="130"/>
      <c r="J265" s="130"/>
      <c r="K265" s="130"/>
      <c r="L265" s="130"/>
    </row>
    <row r="266" spans="1:12" ht="13">
      <c r="A266" s="50"/>
      <c r="D266" s="130"/>
      <c r="E266" s="130"/>
      <c r="F266" s="130"/>
      <c r="G266" s="130"/>
      <c r="H266" s="130"/>
      <c r="I266" s="130"/>
      <c r="J266" s="130"/>
      <c r="K266" s="130"/>
      <c r="L266" s="130"/>
    </row>
    <row r="267" spans="1:12" ht="13">
      <c r="A267" s="50"/>
      <c r="D267" s="130"/>
      <c r="E267" s="130"/>
      <c r="F267" s="130"/>
      <c r="G267" s="130"/>
      <c r="H267" s="130"/>
      <c r="I267" s="130"/>
      <c r="J267" s="130"/>
      <c r="K267" s="130"/>
      <c r="L267" s="130"/>
    </row>
    <row r="268" spans="1:12" ht="13">
      <c r="A268" s="50"/>
      <c r="D268" s="130"/>
      <c r="E268" s="130"/>
      <c r="F268" s="130"/>
      <c r="G268" s="130"/>
      <c r="H268" s="130"/>
      <c r="I268" s="130"/>
      <c r="J268" s="130"/>
      <c r="K268" s="130"/>
      <c r="L268" s="130"/>
    </row>
    <row r="269" spans="1:12" ht="13">
      <c r="A269" s="50"/>
      <c r="D269" s="130"/>
      <c r="E269" s="130"/>
      <c r="F269" s="130"/>
      <c r="G269" s="130"/>
      <c r="H269" s="130"/>
      <c r="I269" s="130"/>
      <c r="J269" s="130"/>
      <c r="K269" s="130"/>
      <c r="L269" s="130"/>
    </row>
    <row r="270" spans="1:12" ht="13">
      <c r="A270" s="50"/>
      <c r="D270" s="130"/>
      <c r="E270" s="130"/>
      <c r="F270" s="130"/>
      <c r="G270" s="130"/>
      <c r="H270" s="130"/>
      <c r="I270" s="130"/>
      <c r="J270" s="130"/>
      <c r="K270" s="130"/>
      <c r="L270" s="130"/>
    </row>
    <row r="271" spans="1:12" ht="13">
      <c r="A271" s="50"/>
      <c r="D271" s="130"/>
      <c r="E271" s="130"/>
      <c r="F271" s="130"/>
      <c r="G271" s="130"/>
      <c r="H271" s="130"/>
      <c r="I271" s="130"/>
      <c r="J271" s="130"/>
      <c r="K271" s="130"/>
      <c r="L271" s="130"/>
    </row>
    <row r="272" spans="1:12" ht="13">
      <c r="A272" s="50"/>
      <c r="D272" s="130"/>
      <c r="E272" s="130"/>
      <c r="F272" s="130"/>
      <c r="G272" s="130"/>
      <c r="H272" s="130"/>
      <c r="I272" s="130"/>
      <c r="J272" s="130"/>
      <c r="K272" s="130"/>
      <c r="L272" s="130"/>
    </row>
    <row r="273" spans="1:12" ht="13">
      <c r="A273" s="50"/>
      <c r="D273" s="130"/>
      <c r="E273" s="130"/>
      <c r="F273" s="130"/>
      <c r="G273" s="130"/>
      <c r="H273" s="130"/>
      <c r="I273" s="130"/>
      <c r="J273" s="130"/>
      <c r="K273" s="130"/>
      <c r="L273" s="130"/>
    </row>
    <row r="274" spans="1:12" ht="13">
      <c r="A274" s="50"/>
      <c r="D274" s="130"/>
      <c r="E274" s="130"/>
      <c r="F274" s="130"/>
      <c r="G274" s="130"/>
      <c r="H274" s="130"/>
      <c r="I274" s="130"/>
      <c r="J274" s="130"/>
      <c r="K274" s="130"/>
      <c r="L274" s="130"/>
    </row>
    <row r="275" spans="1:12" ht="13">
      <c r="A275" s="50"/>
      <c r="D275" s="130"/>
      <c r="E275" s="130"/>
      <c r="F275" s="130"/>
      <c r="G275" s="130"/>
      <c r="H275" s="130"/>
      <c r="I275" s="130"/>
      <c r="J275" s="130"/>
      <c r="K275" s="130"/>
      <c r="L275" s="130"/>
    </row>
    <row r="276" spans="1:12" ht="13">
      <c r="A276" s="50"/>
      <c r="D276" s="130"/>
      <c r="E276" s="130"/>
      <c r="F276" s="130"/>
      <c r="G276" s="130"/>
      <c r="H276" s="130"/>
      <c r="I276" s="130"/>
      <c r="J276" s="130"/>
      <c r="K276" s="130"/>
      <c r="L276" s="130"/>
    </row>
    <row r="277" spans="1:12" ht="13">
      <c r="A277" s="50"/>
      <c r="D277" s="130"/>
      <c r="E277" s="130"/>
      <c r="F277" s="130"/>
      <c r="G277" s="130"/>
      <c r="H277" s="130"/>
      <c r="I277" s="130"/>
      <c r="J277" s="130"/>
      <c r="K277" s="130"/>
      <c r="L277" s="130"/>
    </row>
    <row r="278" spans="1:12" ht="13">
      <c r="A278" s="50"/>
      <c r="D278" s="130"/>
      <c r="E278" s="130"/>
      <c r="F278" s="130"/>
      <c r="G278" s="130"/>
      <c r="H278" s="130"/>
      <c r="I278" s="130"/>
      <c r="J278" s="130"/>
      <c r="K278" s="130"/>
      <c r="L278" s="130"/>
    </row>
    <row r="279" spans="1:12" ht="13">
      <c r="A279" s="50"/>
      <c r="D279" s="130"/>
      <c r="E279" s="130"/>
      <c r="F279" s="130"/>
      <c r="G279" s="130"/>
      <c r="H279" s="130"/>
      <c r="I279" s="130"/>
      <c r="J279" s="130"/>
      <c r="K279" s="130"/>
      <c r="L279" s="130"/>
    </row>
    <row r="280" spans="1:12" ht="13">
      <c r="A280" s="50"/>
      <c r="D280" s="130"/>
      <c r="E280" s="130"/>
      <c r="F280" s="130"/>
      <c r="G280" s="130"/>
      <c r="H280" s="130"/>
      <c r="I280" s="130"/>
      <c r="J280" s="130"/>
      <c r="K280" s="130"/>
      <c r="L280" s="130"/>
    </row>
    <row r="281" spans="1:12" ht="13">
      <c r="A281" s="50"/>
      <c r="D281" s="130"/>
      <c r="E281" s="130"/>
      <c r="F281" s="130"/>
      <c r="G281" s="130"/>
      <c r="H281" s="130"/>
      <c r="I281" s="130"/>
      <c r="J281" s="130"/>
      <c r="K281" s="130"/>
      <c r="L281" s="130"/>
    </row>
    <row r="282" spans="1:12" ht="13">
      <c r="A282" s="50"/>
      <c r="D282" s="130"/>
      <c r="E282" s="130"/>
      <c r="F282" s="130"/>
      <c r="G282" s="130"/>
      <c r="H282" s="130"/>
      <c r="I282" s="130"/>
      <c r="J282" s="130"/>
      <c r="K282" s="130"/>
      <c r="L282" s="130"/>
    </row>
    <row r="283" spans="1:12" ht="13">
      <c r="A283" s="50"/>
      <c r="D283" s="130"/>
      <c r="E283" s="130"/>
      <c r="F283" s="130"/>
      <c r="G283" s="130"/>
      <c r="H283" s="130"/>
      <c r="I283" s="130"/>
      <c r="J283" s="130"/>
      <c r="K283" s="130"/>
      <c r="L283" s="130"/>
    </row>
    <row r="284" spans="1:12" ht="13">
      <c r="A284" s="50"/>
      <c r="D284" s="130"/>
      <c r="E284" s="130"/>
      <c r="F284" s="130"/>
      <c r="G284" s="130"/>
      <c r="H284" s="130"/>
      <c r="I284" s="130"/>
      <c r="J284" s="130"/>
      <c r="K284" s="130"/>
      <c r="L284" s="130"/>
    </row>
    <row r="285" spans="1:12" ht="13">
      <c r="A285" s="50"/>
      <c r="D285" s="130"/>
      <c r="E285" s="130"/>
      <c r="F285" s="130"/>
      <c r="G285" s="130"/>
      <c r="H285" s="130"/>
      <c r="I285" s="130"/>
      <c r="J285" s="130"/>
      <c r="K285" s="130"/>
      <c r="L285" s="130"/>
    </row>
    <row r="286" spans="1:12" ht="13">
      <c r="A286" s="50"/>
      <c r="D286" s="130"/>
      <c r="E286" s="130"/>
      <c r="F286" s="130"/>
      <c r="G286" s="130"/>
      <c r="H286" s="130"/>
      <c r="I286" s="130"/>
      <c r="J286" s="130"/>
      <c r="K286" s="130"/>
      <c r="L286" s="130"/>
    </row>
    <row r="287" spans="1:12" ht="13">
      <c r="A287" s="50"/>
      <c r="D287" s="130"/>
      <c r="E287" s="130"/>
      <c r="F287" s="130"/>
      <c r="G287" s="130"/>
      <c r="H287" s="130"/>
      <c r="I287" s="130"/>
      <c r="J287" s="130"/>
      <c r="K287" s="130"/>
      <c r="L287" s="130"/>
    </row>
    <row r="288" spans="1:12" ht="13">
      <c r="A288" s="50"/>
      <c r="D288" s="130"/>
      <c r="E288" s="130"/>
      <c r="F288" s="130"/>
      <c r="G288" s="130"/>
      <c r="H288" s="130"/>
      <c r="I288" s="130"/>
      <c r="J288" s="130"/>
      <c r="K288" s="130"/>
      <c r="L288" s="130"/>
    </row>
    <row r="289" spans="1:12" ht="13">
      <c r="A289" s="50"/>
      <c r="D289" s="130"/>
      <c r="E289" s="130"/>
      <c r="F289" s="130"/>
      <c r="G289" s="130"/>
      <c r="H289" s="130"/>
      <c r="I289" s="130"/>
      <c r="J289" s="130"/>
      <c r="K289" s="130"/>
      <c r="L289" s="130"/>
    </row>
    <row r="290" spans="1:12" ht="13">
      <c r="A290" s="50"/>
      <c r="D290" s="130"/>
      <c r="E290" s="130"/>
      <c r="F290" s="130"/>
      <c r="G290" s="130"/>
      <c r="H290" s="130"/>
      <c r="I290" s="130"/>
      <c r="J290" s="130"/>
      <c r="K290" s="130"/>
      <c r="L290" s="130"/>
    </row>
    <row r="291" spans="1:12" ht="13">
      <c r="A291" s="50"/>
      <c r="D291" s="130"/>
      <c r="E291" s="130"/>
      <c r="F291" s="130"/>
      <c r="G291" s="130"/>
      <c r="H291" s="130"/>
      <c r="I291" s="130"/>
      <c r="J291" s="130"/>
      <c r="K291" s="130"/>
      <c r="L291" s="130"/>
    </row>
    <row r="292" spans="1:12" ht="13">
      <c r="A292" s="50"/>
      <c r="D292" s="130"/>
      <c r="E292" s="130"/>
      <c r="F292" s="130"/>
      <c r="G292" s="130"/>
      <c r="H292" s="130"/>
      <c r="I292" s="130"/>
      <c r="J292" s="130"/>
      <c r="K292" s="130"/>
      <c r="L292" s="130"/>
    </row>
    <row r="293" spans="1:12" ht="13">
      <c r="A293" s="50"/>
      <c r="D293" s="130"/>
      <c r="E293" s="130"/>
      <c r="F293" s="130"/>
      <c r="G293" s="130"/>
      <c r="H293" s="130"/>
      <c r="I293" s="130"/>
      <c r="J293" s="130"/>
      <c r="K293" s="130"/>
      <c r="L293" s="130"/>
    </row>
    <row r="294" spans="1:12" ht="13">
      <c r="A294" s="50"/>
      <c r="D294" s="130"/>
      <c r="E294" s="130"/>
      <c r="F294" s="130"/>
      <c r="G294" s="130"/>
      <c r="H294" s="130"/>
      <c r="I294" s="130"/>
      <c r="J294" s="130"/>
      <c r="K294" s="130"/>
      <c r="L294" s="130"/>
    </row>
    <row r="295" spans="1:12" ht="13">
      <c r="A295" s="50"/>
      <c r="D295" s="130"/>
      <c r="E295" s="130"/>
      <c r="F295" s="130"/>
      <c r="G295" s="130"/>
      <c r="H295" s="130"/>
      <c r="I295" s="130"/>
      <c r="J295" s="130"/>
      <c r="K295" s="130"/>
      <c r="L295" s="130"/>
    </row>
    <row r="296" spans="1:12" ht="13">
      <c r="A296" s="50"/>
      <c r="D296" s="130"/>
      <c r="E296" s="130"/>
      <c r="F296" s="130"/>
      <c r="G296" s="130"/>
      <c r="H296" s="130"/>
      <c r="I296" s="130"/>
      <c r="J296" s="130"/>
      <c r="K296" s="130"/>
      <c r="L296" s="130"/>
    </row>
    <row r="297" spans="1:12" ht="13">
      <c r="A297" s="50"/>
      <c r="D297" s="130"/>
      <c r="E297" s="130"/>
      <c r="F297" s="130"/>
      <c r="G297" s="130"/>
      <c r="H297" s="130"/>
      <c r="I297" s="130"/>
      <c r="J297" s="130"/>
      <c r="K297" s="130"/>
      <c r="L297" s="130"/>
    </row>
    <row r="298" spans="1:12" ht="13">
      <c r="A298" s="50"/>
      <c r="D298" s="130"/>
      <c r="E298" s="130"/>
      <c r="F298" s="130"/>
      <c r="G298" s="130"/>
      <c r="H298" s="130"/>
      <c r="I298" s="130"/>
      <c r="J298" s="130"/>
      <c r="K298" s="130"/>
      <c r="L298" s="130"/>
    </row>
    <row r="299" spans="1:12" ht="13">
      <c r="A299" s="50"/>
      <c r="D299" s="130"/>
      <c r="E299" s="130"/>
      <c r="F299" s="130"/>
      <c r="G299" s="130"/>
      <c r="H299" s="130"/>
      <c r="I299" s="130"/>
      <c r="J299" s="130"/>
      <c r="K299" s="130"/>
      <c r="L299" s="130"/>
    </row>
    <row r="300" spans="1:12" ht="13">
      <c r="A300" s="50"/>
      <c r="D300" s="130"/>
      <c r="E300" s="130"/>
      <c r="F300" s="130"/>
      <c r="G300" s="130"/>
      <c r="H300" s="130"/>
      <c r="I300" s="130"/>
      <c r="J300" s="130"/>
      <c r="K300" s="130"/>
      <c r="L300" s="130"/>
    </row>
    <row r="301" spans="1:12" ht="13">
      <c r="A301" s="50"/>
      <c r="D301" s="130"/>
      <c r="E301" s="130"/>
      <c r="F301" s="130"/>
      <c r="G301" s="130"/>
      <c r="H301" s="130"/>
      <c r="I301" s="130"/>
      <c r="J301" s="130"/>
      <c r="K301" s="130"/>
      <c r="L301" s="130"/>
    </row>
    <row r="302" spans="1:12" ht="13">
      <c r="A302" s="50"/>
      <c r="D302" s="130"/>
      <c r="E302" s="130"/>
      <c r="F302" s="130"/>
      <c r="G302" s="130"/>
      <c r="H302" s="130"/>
      <c r="I302" s="130"/>
      <c r="J302" s="130"/>
      <c r="K302" s="130"/>
      <c r="L302" s="130"/>
    </row>
    <row r="303" spans="1:12" ht="13">
      <c r="A303" s="50"/>
      <c r="D303" s="130"/>
      <c r="E303" s="130"/>
      <c r="F303" s="130"/>
      <c r="G303" s="130"/>
      <c r="H303" s="130"/>
      <c r="I303" s="130"/>
      <c r="J303" s="130"/>
      <c r="K303" s="130"/>
      <c r="L303" s="130"/>
    </row>
    <row r="304" spans="1:12" ht="13">
      <c r="A304" s="50"/>
      <c r="D304" s="130"/>
      <c r="E304" s="130"/>
      <c r="F304" s="130"/>
      <c r="G304" s="130"/>
      <c r="H304" s="130"/>
      <c r="I304" s="130"/>
      <c r="J304" s="130"/>
      <c r="K304" s="130"/>
      <c r="L304" s="130"/>
    </row>
    <row r="305" spans="1:12" ht="13">
      <c r="A305" s="50"/>
      <c r="D305" s="130"/>
      <c r="E305" s="130"/>
      <c r="F305" s="130"/>
      <c r="G305" s="130"/>
      <c r="H305" s="130"/>
      <c r="I305" s="130"/>
      <c r="J305" s="130"/>
      <c r="K305" s="130"/>
      <c r="L305" s="130"/>
    </row>
    <row r="306" spans="1:12" ht="13">
      <c r="A306" s="50"/>
      <c r="D306" s="130"/>
      <c r="E306" s="130"/>
      <c r="F306" s="130"/>
      <c r="G306" s="130"/>
      <c r="H306" s="130"/>
      <c r="I306" s="130"/>
      <c r="J306" s="130"/>
      <c r="K306" s="130"/>
      <c r="L306" s="130"/>
    </row>
    <row r="307" spans="1:12" ht="13">
      <c r="A307" s="50"/>
      <c r="D307" s="130"/>
      <c r="E307" s="130"/>
      <c r="F307" s="130"/>
      <c r="G307" s="130"/>
      <c r="H307" s="130"/>
      <c r="I307" s="130"/>
      <c r="J307" s="130"/>
      <c r="K307" s="130"/>
      <c r="L307" s="130"/>
    </row>
    <row r="308" spans="1:12" ht="13">
      <c r="A308" s="50"/>
      <c r="D308" s="130"/>
      <c r="E308" s="130"/>
      <c r="F308" s="130"/>
      <c r="G308" s="130"/>
      <c r="H308" s="130"/>
      <c r="I308" s="130"/>
      <c r="J308" s="130"/>
      <c r="K308" s="130"/>
      <c r="L308" s="130"/>
    </row>
    <row r="309" spans="1:12" ht="13">
      <c r="A309" s="50"/>
      <c r="D309" s="130"/>
      <c r="E309" s="130"/>
      <c r="F309" s="130"/>
      <c r="G309" s="130"/>
      <c r="H309" s="130"/>
      <c r="I309" s="130"/>
      <c r="J309" s="130"/>
      <c r="K309" s="130"/>
      <c r="L309" s="130"/>
    </row>
    <row r="310" spans="1:12" ht="13">
      <c r="A310" s="50"/>
      <c r="D310" s="130"/>
      <c r="E310" s="130"/>
      <c r="F310" s="130"/>
      <c r="G310" s="130"/>
      <c r="H310" s="130"/>
      <c r="I310" s="130"/>
      <c r="J310" s="130"/>
      <c r="K310" s="130"/>
      <c r="L310" s="130"/>
    </row>
    <row r="311" spans="1:12" ht="13">
      <c r="A311" s="50"/>
      <c r="D311" s="130"/>
      <c r="E311" s="130"/>
      <c r="F311" s="130"/>
      <c r="G311" s="130"/>
      <c r="H311" s="130"/>
      <c r="I311" s="130"/>
      <c r="J311" s="130"/>
      <c r="K311" s="130"/>
      <c r="L311" s="130"/>
    </row>
    <row r="312" spans="1:12" ht="13">
      <c r="A312" s="50"/>
      <c r="D312" s="130"/>
      <c r="E312" s="130"/>
      <c r="F312" s="130"/>
      <c r="G312" s="130"/>
      <c r="H312" s="130"/>
      <c r="I312" s="130"/>
      <c r="J312" s="130"/>
      <c r="K312" s="130"/>
      <c r="L312" s="130"/>
    </row>
    <row r="313" spans="1:12" ht="13">
      <c r="A313" s="50"/>
      <c r="D313" s="130"/>
      <c r="E313" s="130"/>
      <c r="F313" s="130"/>
      <c r="G313" s="130"/>
      <c r="H313" s="130"/>
      <c r="I313" s="130"/>
      <c r="J313" s="130"/>
      <c r="K313" s="130"/>
      <c r="L313" s="130"/>
    </row>
    <row r="314" spans="1:12" ht="13">
      <c r="A314" s="50"/>
      <c r="D314" s="130"/>
      <c r="E314" s="130"/>
      <c r="F314" s="130"/>
      <c r="G314" s="130"/>
      <c r="H314" s="130"/>
      <c r="I314" s="130"/>
      <c r="J314" s="130"/>
      <c r="K314" s="130"/>
      <c r="L314" s="130"/>
    </row>
    <row r="315" spans="1:12" ht="13">
      <c r="A315" s="50"/>
      <c r="D315" s="130"/>
      <c r="E315" s="130"/>
      <c r="F315" s="130"/>
      <c r="G315" s="130"/>
      <c r="H315" s="130"/>
      <c r="I315" s="130"/>
      <c r="J315" s="130"/>
      <c r="K315" s="130"/>
      <c r="L315" s="130"/>
    </row>
    <row r="316" spans="1:12" ht="13">
      <c r="A316" s="50"/>
      <c r="D316" s="130"/>
      <c r="E316" s="130"/>
      <c r="F316" s="130"/>
      <c r="G316" s="130"/>
      <c r="H316" s="130"/>
      <c r="I316" s="130"/>
      <c r="J316" s="130"/>
      <c r="K316" s="130"/>
      <c r="L316" s="130"/>
    </row>
    <row r="317" spans="1:12" ht="13">
      <c r="A317" s="50"/>
      <c r="D317" s="130"/>
      <c r="E317" s="130"/>
      <c r="F317" s="130"/>
      <c r="G317" s="130"/>
      <c r="H317" s="130"/>
      <c r="I317" s="130"/>
      <c r="J317" s="130"/>
      <c r="K317" s="130"/>
      <c r="L317" s="130"/>
    </row>
    <row r="318" spans="1:12" ht="13">
      <c r="A318" s="50"/>
      <c r="D318" s="130"/>
      <c r="E318" s="130"/>
      <c r="F318" s="130"/>
      <c r="G318" s="130"/>
      <c r="H318" s="130"/>
      <c r="I318" s="130"/>
      <c r="J318" s="130"/>
      <c r="K318" s="130"/>
      <c r="L318" s="130"/>
    </row>
    <row r="319" spans="1:12" ht="13">
      <c r="A319" s="50"/>
      <c r="D319" s="130"/>
      <c r="E319" s="130"/>
      <c r="F319" s="130"/>
      <c r="G319" s="130"/>
      <c r="H319" s="130"/>
      <c r="I319" s="130"/>
      <c r="J319" s="130"/>
      <c r="K319" s="130"/>
      <c r="L319" s="130"/>
    </row>
    <row r="320" spans="1:12" ht="13">
      <c r="A320" s="50"/>
      <c r="D320" s="130"/>
      <c r="E320" s="130"/>
      <c r="F320" s="130"/>
      <c r="G320" s="130"/>
      <c r="H320" s="130"/>
      <c r="I320" s="130"/>
      <c r="J320" s="130"/>
      <c r="K320" s="130"/>
      <c r="L320" s="130"/>
    </row>
    <row r="321" spans="1:12" ht="13">
      <c r="A321" s="50"/>
      <c r="D321" s="130"/>
      <c r="E321" s="130"/>
      <c r="F321" s="130"/>
      <c r="G321" s="130"/>
      <c r="H321" s="130"/>
      <c r="I321" s="130"/>
      <c r="J321" s="130"/>
      <c r="K321" s="130"/>
      <c r="L321" s="130"/>
    </row>
    <row r="322" spans="1:12" ht="13">
      <c r="A322" s="50"/>
      <c r="D322" s="130"/>
      <c r="E322" s="130"/>
      <c r="F322" s="130"/>
      <c r="G322" s="130"/>
      <c r="H322" s="130"/>
      <c r="I322" s="130"/>
      <c r="J322" s="130"/>
      <c r="K322" s="130"/>
      <c r="L322" s="130"/>
    </row>
    <row r="323" spans="1:12" ht="13">
      <c r="A323" s="50"/>
      <c r="D323" s="130"/>
      <c r="E323" s="130"/>
      <c r="F323" s="130"/>
      <c r="G323" s="130"/>
      <c r="H323" s="130"/>
      <c r="I323" s="130"/>
      <c r="J323" s="130"/>
      <c r="K323" s="130"/>
      <c r="L323" s="130"/>
    </row>
    <row r="324" spans="1:12" ht="13">
      <c r="A324" s="50"/>
      <c r="D324" s="130"/>
      <c r="E324" s="130"/>
      <c r="F324" s="130"/>
      <c r="G324" s="130"/>
      <c r="H324" s="130"/>
      <c r="I324" s="130"/>
      <c r="J324" s="130"/>
      <c r="K324" s="130"/>
      <c r="L324" s="130"/>
    </row>
    <row r="325" spans="1:12" ht="13">
      <c r="A325" s="50"/>
      <c r="D325" s="130"/>
      <c r="E325" s="130"/>
      <c r="F325" s="130"/>
      <c r="G325" s="130"/>
      <c r="H325" s="130"/>
      <c r="I325" s="130"/>
      <c r="J325" s="130"/>
      <c r="K325" s="130"/>
      <c r="L325" s="130"/>
    </row>
    <row r="326" spans="1:12" ht="13">
      <c r="A326" s="50"/>
      <c r="D326" s="130"/>
      <c r="E326" s="130"/>
      <c r="F326" s="130"/>
      <c r="G326" s="130"/>
      <c r="H326" s="130"/>
      <c r="I326" s="130"/>
      <c r="J326" s="130"/>
      <c r="K326" s="130"/>
      <c r="L326" s="130"/>
    </row>
    <row r="327" spans="1:12" ht="13">
      <c r="A327" s="50"/>
      <c r="D327" s="130"/>
      <c r="E327" s="130"/>
      <c r="F327" s="130"/>
      <c r="G327" s="130"/>
      <c r="H327" s="130"/>
      <c r="I327" s="130"/>
      <c r="J327" s="130"/>
      <c r="K327" s="130"/>
      <c r="L327" s="130"/>
    </row>
    <row r="328" spans="1:12" ht="13">
      <c r="A328" s="50"/>
      <c r="D328" s="130"/>
      <c r="E328" s="130"/>
      <c r="F328" s="130"/>
      <c r="G328" s="130"/>
      <c r="H328" s="130"/>
      <c r="I328" s="130"/>
      <c r="J328" s="130"/>
      <c r="K328" s="130"/>
      <c r="L328" s="130"/>
    </row>
    <row r="329" spans="1:12" ht="13">
      <c r="A329" s="50"/>
      <c r="D329" s="130"/>
      <c r="E329" s="130"/>
      <c r="F329" s="130"/>
      <c r="G329" s="130"/>
      <c r="H329" s="130"/>
      <c r="I329" s="130"/>
      <c r="J329" s="130"/>
      <c r="K329" s="130"/>
      <c r="L329" s="130"/>
    </row>
    <row r="330" spans="1:12" ht="13">
      <c r="A330" s="50"/>
      <c r="D330" s="130"/>
      <c r="E330" s="130"/>
      <c r="F330" s="130"/>
      <c r="G330" s="130"/>
      <c r="H330" s="130"/>
      <c r="I330" s="130"/>
      <c r="J330" s="130"/>
      <c r="K330" s="130"/>
      <c r="L330" s="130"/>
    </row>
    <row r="331" spans="1:12" ht="13">
      <c r="A331" s="50"/>
      <c r="D331" s="130"/>
      <c r="E331" s="130"/>
      <c r="F331" s="130"/>
      <c r="G331" s="130"/>
      <c r="H331" s="130"/>
      <c r="I331" s="130"/>
      <c r="J331" s="130"/>
      <c r="K331" s="130"/>
      <c r="L331" s="130"/>
    </row>
    <row r="332" spans="1:12" ht="13">
      <c r="A332" s="50"/>
      <c r="D332" s="130"/>
      <c r="E332" s="130"/>
      <c r="F332" s="130"/>
      <c r="G332" s="130"/>
      <c r="H332" s="130"/>
      <c r="I332" s="130"/>
      <c r="J332" s="130"/>
      <c r="K332" s="130"/>
      <c r="L332" s="130"/>
    </row>
    <row r="333" spans="1:12" ht="13">
      <c r="A333" s="50"/>
      <c r="D333" s="130"/>
      <c r="E333" s="130"/>
      <c r="F333" s="130"/>
      <c r="G333" s="130"/>
      <c r="H333" s="130"/>
      <c r="I333" s="130"/>
      <c r="J333" s="130"/>
      <c r="K333" s="130"/>
      <c r="L333" s="130"/>
    </row>
    <row r="334" spans="1:12" ht="13">
      <c r="A334" s="50"/>
      <c r="D334" s="130"/>
      <c r="E334" s="130"/>
      <c r="F334" s="130"/>
      <c r="G334" s="130"/>
      <c r="H334" s="130"/>
      <c r="I334" s="130"/>
      <c r="J334" s="130"/>
      <c r="K334" s="130"/>
      <c r="L334" s="130"/>
    </row>
    <row r="335" spans="1:12" ht="13">
      <c r="A335" s="50"/>
      <c r="D335" s="130"/>
      <c r="E335" s="130"/>
      <c r="F335" s="130"/>
      <c r="G335" s="130"/>
      <c r="H335" s="130"/>
      <c r="I335" s="130"/>
      <c r="J335" s="130"/>
      <c r="K335" s="130"/>
      <c r="L335" s="130"/>
    </row>
    <row r="336" spans="1:12" ht="13">
      <c r="A336" s="50"/>
      <c r="D336" s="130"/>
      <c r="E336" s="130"/>
      <c r="F336" s="130"/>
      <c r="G336" s="130"/>
      <c r="H336" s="130"/>
      <c r="I336" s="130"/>
      <c r="J336" s="130"/>
      <c r="K336" s="130"/>
      <c r="L336" s="130"/>
    </row>
    <row r="337" spans="1:12" ht="13">
      <c r="A337" s="50"/>
      <c r="D337" s="130"/>
      <c r="E337" s="130"/>
      <c r="F337" s="130"/>
      <c r="G337" s="130"/>
      <c r="H337" s="130"/>
      <c r="I337" s="130"/>
      <c r="J337" s="130"/>
      <c r="K337" s="130"/>
      <c r="L337" s="130"/>
    </row>
    <row r="338" spans="1:12" ht="13">
      <c r="A338" s="50"/>
      <c r="D338" s="130"/>
      <c r="E338" s="130"/>
      <c r="F338" s="130"/>
      <c r="G338" s="130"/>
      <c r="H338" s="130"/>
      <c r="I338" s="130"/>
      <c r="J338" s="130"/>
      <c r="K338" s="130"/>
      <c r="L338" s="130"/>
    </row>
    <row r="339" spans="1:12" ht="13">
      <c r="A339" s="50"/>
      <c r="D339" s="130"/>
      <c r="E339" s="130"/>
      <c r="F339" s="130"/>
      <c r="G339" s="130"/>
      <c r="H339" s="130"/>
      <c r="I339" s="130"/>
      <c r="J339" s="130"/>
      <c r="K339" s="130"/>
      <c r="L339" s="130"/>
    </row>
    <row r="340" spans="1:12" ht="13">
      <c r="A340" s="50"/>
      <c r="D340" s="130"/>
      <c r="E340" s="130"/>
      <c r="F340" s="130"/>
      <c r="G340" s="130"/>
      <c r="H340" s="130"/>
      <c r="I340" s="130"/>
      <c r="J340" s="130"/>
      <c r="K340" s="130"/>
      <c r="L340" s="130"/>
    </row>
    <row r="341" spans="1:12" ht="13">
      <c r="A341" s="50"/>
      <c r="D341" s="130"/>
      <c r="E341" s="130"/>
      <c r="F341" s="130"/>
      <c r="G341" s="130"/>
      <c r="H341" s="130"/>
      <c r="I341" s="130"/>
      <c r="J341" s="130"/>
      <c r="K341" s="130"/>
      <c r="L341" s="130"/>
    </row>
    <row r="342" spans="1:12" ht="13">
      <c r="A342" s="50"/>
      <c r="D342" s="130"/>
      <c r="E342" s="130"/>
      <c r="F342" s="130"/>
      <c r="G342" s="130"/>
      <c r="H342" s="130"/>
      <c r="I342" s="130"/>
      <c r="J342" s="130"/>
      <c r="K342" s="130"/>
      <c r="L342" s="130"/>
    </row>
    <row r="343" spans="1:12" ht="13">
      <c r="A343" s="50"/>
      <c r="D343" s="130"/>
      <c r="E343" s="130"/>
      <c r="F343" s="130"/>
      <c r="G343" s="130"/>
      <c r="H343" s="130"/>
      <c r="I343" s="130"/>
      <c r="J343" s="130"/>
      <c r="K343" s="130"/>
      <c r="L343" s="130"/>
    </row>
    <row r="344" spans="1:12" ht="13">
      <c r="A344" s="50"/>
      <c r="D344" s="130"/>
      <c r="E344" s="130"/>
      <c r="F344" s="130"/>
      <c r="G344" s="130"/>
      <c r="H344" s="130"/>
      <c r="I344" s="130"/>
      <c r="J344" s="130"/>
      <c r="K344" s="130"/>
      <c r="L344" s="130"/>
    </row>
    <row r="345" spans="1:12" ht="13">
      <c r="A345" s="50"/>
      <c r="D345" s="130"/>
      <c r="E345" s="130"/>
      <c r="F345" s="130"/>
      <c r="G345" s="130"/>
      <c r="H345" s="130"/>
      <c r="I345" s="130"/>
      <c r="J345" s="130"/>
      <c r="K345" s="130"/>
      <c r="L345" s="130"/>
    </row>
    <row r="346" spans="1:12" ht="13">
      <c r="A346" s="50"/>
      <c r="D346" s="130"/>
      <c r="E346" s="130"/>
      <c r="F346" s="130"/>
      <c r="G346" s="130"/>
      <c r="H346" s="130"/>
      <c r="I346" s="130"/>
      <c r="J346" s="130"/>
      <c r="K346" s="130"/>
      <c r="L346" s="130"/>
    </row>
    <row r="347" spans="1:12" ht="13">
      <c r="A347" s="50"/>
      <c r="D347" s="130"/>
      <c r="E347" s="130"/>
      <c r="F347" s="130"/>
      <c r="G347" s="130"/>
      <c r="H347" s="130"/>
      <c r="I347" s="130"/>
      <c r="J347" s="130"/>
      <c r="K347" s="130"/>
      <c r="L347" s="130"/>
    </row>
    <row r="348" spans="1:12" ht="13">
      <c r="A348" s="50"/>
      <c r="D348" s="130"/>
      <c r="E348" s="130"/>
      <c r="F348" s="130"/>
      <c r="G348" s="130"/>
      <c r="H348" s="130"/>
      <c r="I348" s="130"/>
      <c r="J348" s="130"/>
      <c r="K348" s="130"/>
      <c r="L348" s="130"/>
    </row>
    <row r="349" spans="1:12" ht="13">
      <c r="A349" s="50"/>
      <c r="D349" s="130"/>
      <c r="E349" s="130"/>
      <c r="F349" s="130"/>
      <c r="G349" s="130"/>
      <c r="H349" s="130"/>
      <c r="I349" s="130"/>
      <c r="J349" s="130"/>
      <c r="K349" s="130"/>
      <c r="L349" s="130"/>
    </row>
    <row r="350" spans="1:12" ht="13">
      <c r="A350" s="50"/>
      <c r="D350" s="130"/>
      <c r="E350" s="130"/>
      <c r="F350" s="130"/>
      <c r="G350" s="130"/>
      <c r="H350" s="130"/>
      <c r="I350" s="130"/>
      <c r="J350" s="130"/>
      <c r="K350" s="130"/>
      <c r="L350" s="130"/>
    </row>
    <row r="351" spans="1:12" ht="13">
      <c r="A351" s="50"/>
      <c r="D351" s="130"/>
      <c r="E351" s="130"/>
      <c r="F351" s="130"/>
      <c r="G351" s="130"/>
      <c r="H351" s="130"/>
      <c r="I351" s="130"/>
      <c r="J351" s="130"/>
      <c r="K351" s="130"/>
      <c r="L351" s="130"/>
    </row>
    <row r="352" spans="1:12" ht="13">
      <c r="A352" s="50"/>
      <c r="D352" s="130"/>
      <c r="E352" s="130"/>
      <c r="F352" s="130"/>
      <c r="G352" s="130"/>
      <c r="H352" s="130"/>
      <c r="I352" s="130"/>
      <c r="J352" s="130"/>
      <c r="K352" s="130"/>
      <c r="L352" s="130"/>
    </row>
    <row r="353" spans="1:12" ht="13">
      <c r="A353" s="50"/>
      <c r="D353" s="130"/>
      <c r="E353" s="130"/>
      <c r="F353" s="130"/>
      <c r="G353" s="130"/>
      <c r="H353" s="130"/>
      <c r="I353" s="130"/>
      <c r="J353" s="130"/>
      <c r="K353" s="130"/>
      <c r="L353" s="130"/>
    </row>
    <row r="354" spans="1:12" ht="13">
      <c r="A354" s="50"/>
      <c r="D354" s="130"/>
      <c r="E354" s="130"/>
      <c r="F354" s="130"/>
      <c r="G354" s="130"/>
      <c r="H354" s="130"/>
      <c r="I354" s="130"/>
      <c r="J354" s="130"/>
      <c r="K354" s="130"/>
      <c r="L354" s="130"/>
    </row>
    <row r="355" spans="1:12" ht="13">
      <c r="A355" s="50"/>
      <c r="D355" s="130"/>
      <c r="E355" s="130"/>
      <c r="F355" s="130"/>
      <c r="G355" s="130"/>
      <c r="H355" s="130"/>
      <c r="I355" s="130"/>
      <c r="J355" s="130"/>
      <c r="K355" s="130"/>
      <c r="L355" s="130"/>
    </row>
    <row r="356" spans="1:12" ht="13">
      <c r="A356" s="50"/>
      <c r="D356" s="130"/>
      <c r="E356" s="130"/>
      <c r="F356" s="130"/>
      <c r="G356" s="130"/>
      <c r="H356" s="130"/>
      <c r="I356" s="130"/>
      <c r="J356" s="130"/>
      <c r="K356" s="130"/>
      <c r="L356" s="130"/>
    </row>
    <row r="357" spans="1:12" ht="13">
      <c r="A357" s="50"/>
      <c r="D357" s="130"/>
      <c r="E357" s="130"/>
      <c r="F357" s="130"/>
      <c r="G357" s="130"/>
      <c r="H357" s="130"/>
      <c r="I357" s="130"/>
      <c r="J357" s="130"/>
      <c r="K357" s="130"/>
      <c r="L357" s="130"/>
    </row>
    <row r="358" spans="1:12" ht="13">
      <c r="A358" s="50"/>
      <c r="D358" s="130"/>
      <c r="E358" s="130"/>
      <c r="F358" s="130"/>
      <c r="G358" s="130"/>
      <c r="H358" s="130"/>
      <c r="I358" s="130"/>
      <c r="J358" s="130"/>
      <c r="K358" s="130"/>
      <c r="L358" s="130"/>
    </row>
    <row r="359" spans="1:12" ht="13">
      <c r="A359" s="50"/>
      <c r="D359" s="130"/>
      <c r="E359" s="130"/>
      <c r="F359" s="130"/>
      <c r="G359" s="130"/>
      <c r="H359" s="130"/>
      <c r="I359" s="130"/>
      <c r="J359" s="130"/>
      <c r="K359" s="130"/>
      <c r="L359" s="130"/>
    </row>
    <row r="360" spans="1:12" ht="13">
      <c r="A360" s="50"/>
      <c r="D360" s="130"/>
      <c r="E360" s="130"/>
      <c r="F360" s="130"/>
      <c r="G360" s="130"/>
      <c r="H360" s="130"/>
      <c r="I360" s="130"/>
      <c r="J360" s="130"/>
      <c r="K360" s="130"/>
      <c r="L360" s="130"/>
    </row>
    <row r="361" spans="1:12" ht="13">
      <c r="A361" s="50"/>
      <c r="D361" s="130"/>
      <c r="E361" s="130"/>
      <c r="F361" s="130"/>
      <c r="G361" s="130"/>
      <c r="H361" s="130"/>
      <c r="I361" s="130"/>
      <c r="J361" s="130"/>
      <c r="K361" s="130"/>
      <c r="L361" s="130"/>
    </row>
    <row r="362" spans="1:12" ht="13">
      <c r="A362" s="50"/>
      <c r="D362" s="130"/>
      <c r="E362" s="130"/>
      <c r="F362" s="130"/>
      <c r="G362" s="130"/>
      <c r="H362" s="130"/>
      <c r="I362" s="130"/>
      <c r="J362" s="130"/>
      <c r="K362" s="130"/>
      <c r="L362" s="130"/>
    </row>
    <row r="363" spans="1:12" ht="13">
      <c r="A363" s="50"/>
      <c r="D363" s="130"/>
      <c r="E363" s="130"/>
      <c r="F363" s="130"/>
      <c r="G363" s="130"/>
      <c r="H363" s="130"/>
      <c r="I363" s="130"/>
      <c r="J363" s="130"/>
      <c r="K363" s="130"/>
      <c r="L363" s="130"/>
    </row>
    <row r="364" spans="1:12" ht="13">
      <c r="A364" s="50"/>
      <c r="D364" s="130"/>
      <c r="E364" s="130"/>
      <c r="F364" s="130"/>
      <c r="G364" s="130"/>
      <c r="H364" s="130"/>
      <c r="I364" s="130"/>
      <c r="J364" s="130"/>
      <c r="K364" s="130"/>
      <c r="L364" s="130"/>
    </row>
    <row r="365" spans="1:12" ht="13">
      <c r="A365" s="50"/>
      <c r="D365" s="130"/>
      <c r="E365" s="130"/>
      <c r="F365" s="130"/>
      <c r="G365" s="130"/>
      <c r="H365" s="130"/>
      <c r="I365" s="130"/>
      <c r="J365" s="130"/>
      <c r="K365" s="130"/>
      <c r="L365" s="130"/>
    </row>
    <row r="366" spans="1:12" ht="13">
      <c r="A366" s="50"/>
      <c r="D366" s="130"/>
      <c r="E366" s="130"/>
      <c r="F366" s="130"/>
      <c r="G366" s="130"/>
      <c r="H366" s="130"/>
      <c r="I366" s="130"/>
      <c r="J366" s="130"/>
      <c r="K366" s="130"/>
      <c r="L366" s="130"/>
    </row>
    <row r="367" spans="1:12" ht="13">
      <c r="A367" s="50"/>
      <c r="D367" s="130"/>
      <c r="E367" s="130"/>
      <c r="F367" s="130"/>
      <c r="G367" s="130"/>
      <c r="H367" s="130"/>
      <c r="I367" s="130"/>
      <c r="J367" s="130"/>
      <c r="K367" s="130"/>
      <c r="L367" s="130"/>
    </row>
    <row r="368" spans="1:12" ht="13">
      <c r="A368" s="50"/>
      <c r="D368" s="130"/>
      <c r="E368" s="130"/>
      <c r="F368" s="130"/>
      <c r="G368" s="130"/>
      <c r="H368" s="130"/>
      <c r="I368" s="130"/>
      <c r="J368" s="130"/>
      <c r="K368" s="130"/>
      <c r="L368" s="130"/>
    </row>
    <row r="369" spans="1:12" ht="13">
      <c r="A369" s="50"/>
      <c r="D369" s="130"/>
      <c r="E369" s="130"/>
      <c r="F369" s="130"/>
      <c r="G369" s="130"/>
      <c r="H369" s="130"/>
      <c r="I369" s="130"/>
      <c r="J369" s="130"/>
      <c r="K369" s="130"/>
      <c r="L369" s="130"/>
    </row>
    <row r="370" spans="1:12" ht="13">
      <c r="A370" s="50"/>
      <c r="D370" s="130"/>
      <c r="E370" s="130"/>
      <c r="F370" s="130"/>
      <c r="G370" s="130"/>
      <c r="H370" s="130"/>
      <c r="I370" s="130"/>
      <c r="J370" s="130"/>
      <c r="K370" s="130"/>
      <c r="L370" s="130"/>
    </row>
    <row r="371" spans="1:12" ht="13">
      <c r="A371" s="50"/>
      <c r="D371" s="130"/>
      <c r="E371" s="130"/>
      <c r="F371" s="130"/>
      <c r="G371" s="130"/>
      <c r="H371" s="130"/>
      <c r="I371" s="130"/>
      <c r="J371" s="130"/>
      <c r="K371" s="130"/>
      <c r="L371" s="130"/>
    </row>
    <row r="372" spans="1:12" ht="13">
      <c r="A372" s="50"/>
      <c r="D372" s="130"/>
      <c r="E372" s="130"/>
      <c r="F372" s="130"/>
      <c r="G372" s="130"/>
      <c r="H372" s="130"/>
      <c r="I372" s="130"/>
      <c r="J372" s="130"/>
      <c r="K372" s="130"/>
      <c r="L372" s="130"/>
    </row>
    <row r="373" spans="1:12" ht="13">
      <c r="A373" s="50"/>
      <c r="D373" s="130"/>
      <c r="E373" s="130"/>
      <c r="F373" s="130"/>
      <c r="G373" s="130"/>
      <c r="H373" s="130"/>
      <c r="I373" s="130"/>
      <c r="J373" s="130"/>
      <c r="K373" s="130"/>
      <c r="L373" s="130"/>
    </row>
    <row r="374" spans="1:12" ht="13">
      <c r="A374" s="50"/>
      <c r="D374" s="130"/>
      <c r="E374" s="130"/>
      <c r="F374" s="130"/>
      <c r="G374" s="130"/>
      <c r="H374" s="130"/>
      <c r="I374" s="130"/>
      <c r="J374" s="130"/>
      <c r="K374" s="130"/>
      <c r="L374" s="130"/>
    </row>
    <row r="375" spans="1:12" ht="13">
      <c r="A375" s="50"/>
      <c r="D375" s="130"/>
      <c r="E375" s="130"/>
      <c r="F375" s="130"/>
      <c r="G375" s="130"/>
      <c r="H375" s="130"/>
      <c r="I375" s="130"/>
      <c r="J375" s="130"/>
      <c r="K375" s="130"/>
      <c r="L375" s="130"/>
    </row>
    <row r="376" spans="1:12" ht="13">
      <c r="A376" s="50"/>
      <c r="D376" s="130"/>
      <c r="E376" s="130"/>
      <c r="F376" s="130"/>
      <c r="G376" s="130"/>
      <c r="H376" s="130"/>
      <c r="I376" s="130"/>
      <c r="J376" s="130"/>
      <c r="K376" s="130"/>
      <c r="L376" s="130"/>
    </row>
    <row r="377" spans="1:12" ht="13">
      <c r="A377" s="50"/>
      <c r="D377" s="130"/>
      <c r="E377" s="130"/>
      <c r="F377" s="130"/>
      <c r="G377" s="130"/>
      <c r="H377" s="130"/>
      <c r="I377" s="130"/>
      <c r="J377" s="130"/>
      <c r="K377" s="130"/>
      <c r="L377" s="130"/>
    </row>
    <row r="378" spans="1:12" ht="13">
      <c r="A378" s="50"/>
      <c r="D378" s="130"/>
      <c r="E378" s="130"/>
      <c r="F378" s="130"/>
      <c r="G378" s="130"/>
      <c r="H378" s="130"/>
      <c r="I378" s="130"/>
      <c r="J378" s="130"/>
      <c r="K378" s="130"/>
      <c r="L378" s="130"/>
    </row>
    <row r="379" spans="1:12" ht="13">
      <c r="A379" s="50"/>
      <c r="D379" s="130"/>
      <c r="E379" s="130"/>
      <c r="F379" s="130"/>
      <c r="G379" s="130"/>
      <c r="H379" s="130"/>
      <c r="I379" s="130"/>
      <c r="J379" s="130"/>
      <c r="K379" s="130"/>
      <c r="L379" s="130"/>
    </row>
    <row r="380" spans="1:12" ht="13">
      <c r="A380" s="50"/>
      <c r="D380" s="130"/>
      <c r="E380" s="130"/>
      <c r="F380" s="130"/>
      <c r="G380" s="130"/>
      <c r="H380" s="130"/>
      <c r="I380" s="130"/>
      <c r="J380" s="130"/>
      <c r="K380" s="130"/>
      <c r="L380" s="130"/>
    </row>
    <row r="381" spans="1:12" ht="13">
      <c r="A381" s="50"/>
      <c r="D381" s="130"/>
      <c r="E381" s="130"/>
      <c r="F381" s="130"/>
      <c r="G381" s="130"/>
      <c r="H381" s="130"/>
      <c r="I381" s="130"/>
      <c r="J381" s="130"/>
      <c r="K381" s="130"/>
      <c r="L381" s="130"/>
    </row>
    <row r="382" spans="1:12" ht="13">
      <c r="A382" s="50"/>
      <c r="D382" s="130"/>
      <c r="E382" s="130"/>
      <c r="F382" s="130"/>
      <c r="G382" s="130"/>
      <c r="H382" s="130"/>
      <c r="I382" s="130"/>
      <c r="J382" s="130"/>
      <c r="K382" s="130"/>
      <c r="L382" s="130"/>
    </row>
    <row r="383" spans="1:12" ht="13">
      <c r="A383" s="50"/>
      <c r="D383" s="130"/>
      <c r="E383" s="130"/>
      <c r="F383" s="130"/>
      <c r="G383" s="130"/>
      <c r="H383" s="130"/>
      <c r="I383" s="130"/>
      <c r="J383" s="130"/>
      <c r="K383" s="130"/>
      <c r="L383" s="130"/>
    </row>
    <row r="384" spans="1:12" ht="13">
      <c r="A384" s="50"/>
      <c r="D384" s="130"/>
      <c r="E384" s="130"/>
      <c r="F384" s="130"/>
      <c r="G384" s="130"/>
      <c r="H384" s="130"/>
      <c r="I384" s="130"/>
      <c r="J384" s="130"/>
      <c r="K384" s="130"/>
      <c r="L384" s="130"/>
    </row>
    <row r="385" spans="1:12" ht="13">
      <c r="A385" s="50"/>
      <c r="D385" s="130"/>
      <c r="E385" s="130"/>
      <c r="F385" s="130"/>
      <c r="G385" s="130"/>
      <c r="H385" s="130"/>
      <c r="I385" s="130"/>
      <c r="J385" s="130"/>
      <c r="K385" s="130"/>
      <c r="L385" s="130"/>
    </row>
    <row r="386" spans="1:12" ht="13">
      <c r="A386" s="50"/>
      <c r="D386" s="130"/>
      <c r="E386" s="130"/>
      <c r="F386" s="130"/>
      <c r="G386" s="130"/>
      <c r="H386" s="130"/>
      <c r="I386" s="130"/>
      <c r="J386" s="130"/>
      <c r="K386" s="130"/>
      <c r="L386" s="130"/>
    </row>
    <row r="387" spans="1:12" ht="13">
      <c r="A387" s="50"/>
      <c r="D387" s="130"/>
      <c r="E387" s="130"/>
      <c r="F387" s="130"/>
      <c r="G387" s="130"/>
      <c r="H387" s="130"/>
      <c r="I387" s="130"/>
      <c r="J387" s="130"/>
      <c r="K387" s="130"/>
      <c r="L387" s="130"/>
    </row>
    <row r="388" spans="1:12" ht="13">
      <c r="A388" s="50"/>
      <c r="D388" s="130"/>
      <c r="E388" s="130"/>
      <c r="F388" s="130"/>
      <c r="G388" s="130"/>
      <c r="H388" s="130"/>
      <c r="I388" s="130"/>
      <c r="J388" s="130"/>
      <c r="K388" s="130"/>
      <c r="L388" s="130"/>
    </row>
    <row r="389" spans="1:12" ht="13">
      <c r="A389" s="50"/>
      <c r="D389" s="130"/>
      <c r="E389" s="130"/>
      <c r="F389" s="130"/>
      <c r="G389" s="130"/>
      <c r="H389" s="130"/>
      <c r="I389" s="130"/>
      <c r="J389" s="130"/>
      <c r="K389" s="130"/>
      <c r="L389" s="130"/>
    </row>
    <row r="390" spans="1:12" ht="13">
      <c r="A390" s="50"/>
      <c r="D390" s="130"/>
      <c r="E390" s="130"/>
      <c r="F390" s="130"/>
      <c r="G390" s="130"/>
      <c r="H390" s="130"/>
      <c r="I390" s="130"/>
      <c r="J390" s="130"/>
      <c r="K390" s="130"/>
      <c r="L390" s="130"/>
    </row>
    <row r="391" spans="1:12" ht="13">
      <c r="A391" s="50"/>
      <c r="D391" s="130"/>
      <c r="E391" s="130"/>
      <c r="F391" s="130"/>
      <c r="G391" s="130"/>
      <c r="H391" s="130"/>
      <c r="I391" s="130"/>
      <c r="J391" s="130"/>
      <c r="K391" s="130"/>
      <c r="L391" s="130"/>
    </row>
    <row r="392" spans="1:12" ht="13">
      <c r="A392" s="50"/>
      <c r="D392" s="130"/>
      <c r="E392" s="130"/>
      <c r="F392" s="130"/>
      <c r="G392" s="130"/>
      <c r="H392" s="130"/>
      <c r="I392" s="130"/>
      <c r="J392" s="130"/>
      <c r="K392" s="130"/>
      <c r="L392" s="130"/>
    </row>
    <row r="393" spans="1:12" ht="13">
      <c r="A393" s="50"/>
      <c r="D393" s="130"/>
      <c r="E393" s="130"/>
      <c r="F393" s="130"/>
      <c r="G393" s="130"/>
      <c r="H393" s="130"/>
      <c r="I393" s="130"/>
      <c r="J393" s="130"/>
      <c r="K393" s="130"/>
      <c r="L393" s="130"/>
    </row>
    <row r="394" spans="1:12" ht="13">
      <c r="A394" s="50"/>
      <c r="D394" s="130"/>
      <c r="E394" s="130"/>
      <c r="F394" s="130"/>
      <c r="G394" s="130"/>
      <c r="H394" s="130"/>
      <c r="I394" s="130"/>
      <c r="J394" s="130"/>
      <c r="K394" s="130"/>
      <c r="L394" s="130"/>
    </row>
    <row r="395" spans="1:12" ht="13">
      <c r="A395" s="50"/>
      <c r="D395" s="130"/>
      <c r="E395" s="130"/>
      <c r="F395" s="130"/>
      <c r="G395" s="130"/>
      <c r="H395" s="130"/>
      <c r="I395" s="130"/>
      <c r="J395" s="130"/>
      <c r="K395" s="130"/>
      <c r="L395" s="130"/>
    </row>
    <row r="396" spans="1:12" ht="13">
      <c r="A396" s="50"/>
      <c r="D396" s="130"/>
      <c r="E396" s="130"/>
      <c r="F396" s="130"/>
      <c r="G396" s="130"/>
      <c r="H396" s="130"/>
      <c r="I396" s="130"/>
      <c r="J396" s="130"/>
      <c r="K396" s="130"/>
      <c r="L396" s="130"/>
    </row>
    <row r="397" spans="1:12" ht="13">
      <c r="A397" s="50"/>
      <c r="D397" s="130"/>
      <c r="E397" s="130"/>
      <c r="F397" s="130"/>
      <c r="G397" s="130"/>
      <c r="H397" s="130"/>
      <c r="I397" s="130"/>
      <c r="J397" s="130"/>
      <c r="K397" s="130"/>
      <c r="L397" s="130"/>
    </row>
    <row r="398" spans="1:12" ht="13">
      <c r="A398" s="50"/>
      <c r="D398" s="130"/>
      <c r="E398" s="130"/>
      <c r="F398" s="130"/>
      <c r="G398" s="130"/>
      <c r="H398" s="130"/>
      <c r="I398" s="130"/>
      <c r="J398" s="130"/>
      <c r="K398" s="130"/>
      <c r="L398" s="130"/>
    </row>
    <row r="399" spans="1:12" ht="13">
      <c r="A399" s="50"/>
      <c r="D399" s="130"/>
      <c r="E399" s="130"/>
      <c r="F399" s="130"/>
      <c r="G399" s="130"/>
      <c r="H399" s="130"/>
      <c r="I399" s="130"/>
      <c r="J399" s="130"/>
      <c r="K399" s="130"/>
      <c r="L399" s="130"/>
    </row>
    <row r="400" spans="1:12" ht="13">
      <c r="A400" s="50"/>
      <c r="D400" s="130"/>
      <c r="E400" s="130"/>
      <c r="F400" s="130"/>
      <c r="G400" s="130"/>
      <c r="H400" s="130"/>
      <c r="I400" s="130"/>
      <c r="J400" s="130"/>
      <c r="K400" s="130"/>
      <c r="L400" s="130"/>
    </row>
    <row r="401" spans="1:12" ht="13">
      <c r="A401" s="50"/>
      <c r="D401" s="130"/>
      <c r="E401" s="130"/>
      <c r="F401" s="130"/>
      <c r="G401" s="130"/>
      <c r="H401" s="130"/>
      <c r="I401" s="130"/>
      <c r="J401" s="130"/>
      <c r="K401" s="130"/>
      <c r="L401" s="130"/>
    </row>
    <row r="402" spans="1:12" ht="13">
      <c r="A402" s="50"/>
      <c r="D402" s="130"/>
      <c r="E402" s="130"/>
      <c r="F402" s="130"/>
      <c r="G402" s="130"/>
      <c r="H402" s="130"/>
      <c r="I402" s="130"/>
      <c r="J402" s="130"/>
      <c r="K402" s="130"/>
      <c r="L402" s="130"/>
    </row>
    <row r="403" spans="1:12" ht="13">
      <c r="A403" s="50"/>
      <c r="D403" s="130"/>
      <c r="E403" s="130"/>
      <c r="F403" s="130"/>
      <c r="G403" s="130"/>
      <c r="H403" s="130"/>
      <c r="I403" s="130"/>
      <c r="J403" s="130"/>
      <c r="K403" s="130"/>
      <c r="L403" s="130"/>
    </row>
    <row r="404" spans="1:12" ht="13">
      <c r="A404" s="50"/>
      <c r="D404" s="130"/>
      <c r="E404" s="130"/>
      <c r="F404" s="130"/>
      <c r="G404" s="130"/>
      <c r="H404" s="130"/>
      <c r="I404" s="130"/>
      <c r="J404" s="130"/>
      <c r="K404" s="130"/>
      <c r="L404" s="130"/>
    </row>
    <row r="405" spans="1:12" ht="13">
      <c r="A405" s="50"/>
      <c r="D405" s="130"/>
      <c r="E405" s="130"/>
      <c r="F405" s="130"/>
      <c r="G405" s="130"/>
      <c r="H405" s="130"/>
      <c r="I405" s="130"/>
      <c r="J405" s="130"/>
      <c r="K405" s="130"/>
      <c r="L405" s="130"/>
    </row>
    <row r="406" spans="1:12" ht="13">
      <c r="A406" s="50"/>
      <c r="D406" s="130"/>
      <c r="E406" s="130"/>
      <c r="F406" s="130"/>
      <c r="G406" s="130"/>
      <c r="H406" s="130"/>
      <c r="I406" s="130"/>
      <c r="J406" s="130"/>
      <c r="K406" s="130"/>
      <c r="L406" s="130"/>
    </row>
    <row r="407" spans="1:12" ht="13">
      <c r="A407" s="50"/>
      <c r="D407" s="130"/>
      <c r="E407" s="130"/>
      <c r="F407" s="130"/>
      <c r="G407" s="130"/>
      <c r="H407" s="130"/>
      <c r="I407" s="130"/>
      <c r="J407" s="130"/>
      <c r="K407" s="130"/>
      <c r="L407" s="130"/>
    </row>
    <row r="408" spans="1:12" ht="13">
      <c r="A408" s="50"/>
      <c r="D408" s="130"/>
      <c r="E408" s="130"/>
      <c r="F408" s="130"/>
      <c r="G408" s="130"/>
      <c r="H408" s="130"/>
      <c r="I408" s="130"/>
      <c r="J408" s="130"/>
      <c r="K408" s="130"/>
      <c r="L408" s="130"/>
    </row>
    <row r="409" spans="1:12" ht="13">
      <c r="A409" s="50"/>
      <c r="D409" s="130"/>
      <c r="E409" s="130"/>
      <c r="F409" s="130"/>
      <c r="G409" s="130"/>
      <c r="H409" s="130"/>
      <c r="I409" s="130"/>
      <c r="J409" s="130"/>
      <c r="K409" s="130"/>
      <c r="L409" s="130"/>
    </row>
    <row r="410" spans="1:12" ht="13">
      <c r="A410" s="50"/>
      <c r="D410" s="130"/>
      <c r="E410" s="130"/>
      <c r="F410" s="130"/>
      <c r="G410" s="130"/>
      <c r="H410" s="130"/>
      <c r="I410" s="130"/>
      <c r="J410" s="130"/>
      <c r="K410" s="130"/>
      <c r="L410" s="130"/>
    </row>
    <row r="411" spans="1:12" ht="13">
      <c r="A411" s="50"/>
      <c r="D411" s="130"/>
      <c r="E411" s="130"/>
      <c r="F411" s="130"/>
      <c r="G411" s="130"/>
      <c r="H411" s="130"/>
      <c r="I411" s="130"/>
      <c r="J411" s="130"/>
      <c r="K411" s="130"/>
      <c r="L411" s="130"/>
    </row>
    <row r="412" spans="1:12" ht="13">
      <c r="A412" s="50"/>
      <c r="D412" s="130"/>
      <c r="E412" s="130"/>
      <c r="F412" s="130"/>
      <c r="G412" s="130"/>
      <c r="H412" s="130"/>
      <c r="I412" s="130"/>
      <c r="J412" s="130"/>
      <c r="K412" s="130"/>
      <c r="L412" s="130"/>
    </row>
    <row r="413" spans="1:12" ht="13">
      <c r="A413" s="50"/>
      <c r="D413" s="130"/>
      <c r="E413" s="130"/>
      <c r="F413" s="130"/>
      <c r="G413" s="130"/>
      <c r="H413" s="130"/>
      <c r="I413" s="130"/>
      <c r="J413" s="130"/>
      <c r="K413" s="130"/>
      <c r="L413" s="130"/>
    </row>
    <row r="414" spans="1:12" ht="13">
      <c r="A414" s="50"/>
      <c r="D414" s="130"/>
      <c r="E414" s="130"/>
      <c r="F414" s="130"/>
      <c r="G414" s="130"/>
      <c r="H414" s="130"/>
      <c r="I414" s="130"/>
      <c r="J414" s="130"/>
      <c r="K414" s="130"/>
      <c r="L414" s="130"/>
    </row>
    <row r="415" spans="1:12" ht="13">
      <c r="A415" s="50"/>
      <c r="D415" s="130"/>
      <c r="E415" s="130"/>
      <c r="F415" s="130"/>
      <c r="G415" s="130"/>
      <c r="H415" s="130"/>
      <c r="I415" s="130"/>
      <c r="J415" s="130"/>
      <c r="K415" s="130"/>
      <c r="L415" s="130"/>
    </row>
    <row r="416" spans="1:12" ht="13">
      <c r="A416" s="50"/>
      <c r="D416" s="130"/>
      <c r="E416" s="130"/>
      <c r="F416" s="130"/>
      <c r="G416" s="130"/>
      <c r="H416" s="130"/>
      <c r="I416" s="130"/>
      <c r="J416" s="130"/>
      <c r="K416" s="130"/>
      <c r="L416" s="130"/>
    </row>
    <row r="417" spans="1:12" ht="13">
      <c r="A417" s="50"/>
      <c r="D417" s="130"/>
      <c r="E417" s="130"/>
      <c r="F417" s="130"/>
      <c r="G417" s="130"/>
      <c r="H417" s="130"/>
      <c r="I417" s="130"/>
      <c r="J417" s="130"/>
      <c r="K417" s="130"/>
      <c r="L417" s="130"/>
    </row>
    <row r="418" spans="1:12" ht="13">
      <c r="A418" s="50"/>
      <c r="D418" s="130"/>
      <c r="E418" s="130"/>
      <c r="F418" s="130"/>
      <c r="G418" s="130"/>
      <c r="H418" s="130"/>
      <c r="I418" s="130"/>
      <c r="J418" s="130"/>
      <c r="K418" s="130"/>
      <c r="L418" s="130"/>
    </row>
    <row r="419" spans="1:12" ht="13">
      <c r="A419" s="50"/>
      <c r="D419" s="130"/>
      <c r="E419" s="130"/>
      <c r="F419" s="130"/>
      <c r="G419" s="130"/>
      <c r="H419" s="130"/>
      <c r="I419" s="130"/>
      <c r="J419" s="130"/>
      <c r="K419" s="130"/>
      <c r="L419" s="130"/>
    </row>
    <row r="420" spans="1:12" ht="13">
      <c r="A420" s="50"/>
      <c r="D420" s="130"/>
      <c r="E420" s="130"/>
      <c r="F420" s="130"/>
      <c r="G420" s="130"/>
      <c r="H420" s="130"/>
      <c r="I420" s="130"/>
      <c r="J420" s="130"/>
      <c r="K420" s="130"/>
      <c r="L420" s="130"/>
    </row>
    <row r="421" spans="1:12" ht="13">
      <c r="A421" s="50"/>
      <c r="D421" s="130"/>
      <c r="E421" s="130"/>
      <c r="F421" s="130"/>
      <c r="G421" s="130"/>
      <c r="H421" s="130"/>
      <c r="I421" s="130"/>
      <c r="J421" s="130"/>
      <c r="K421" s="130"/>
      <c r="L421" s="130"/>
    </row>
    <row r="422" spans="1:12" ht="13">
      <c r="A422" s="50"/>
      <c r="D422" s="130"/>
      <c r="E422" s="130"/>
      <c r="F422" s="130"/>
      <c r="G422" s="130"/>
      <c r="H422" s="130"/>
      <c r="I422" s="130"/>
      <c r="J422" s="130"/>
      <c r="K422" s="130"/>
      <c r="L422" s="130"/>
    </row>
    <row r="423" spans="1:12" ht="13">
      <c r="A423" s="50"/>
      <c r="D423" s="130"/>
      <c r="E423" s="130"/>
      <c r="F423" s="130"/>
      <c r="G423" s="130"/>
      <c r="H423" s="130"/>
      <c r="I423" s="130"/>
      <c r="J423" s="130"/>
      <c r="K423" s="130"/>
      <c r="L423" s="130"/>
    </row>
    <row r="424" spans="1:12" ht="13">
      <c r="A424" s="50"/>
      <c r="D424" s="130"/>
      <c r="E424" s="130"/>
      <c r="F424" s="130"/>
      <c r="G424" s="130"/>
      <c r="H424" s="130"/>
      <c r="I424" s="130"/>
      <c r="J424" s="130"/>
      <c r="K424" s="130"/>
      <c r="L424" s="130"/>
    </row>
    <row r="425" spans="1:12" ht="13">
      <c r="A425" s="50"/>
      <c r="D425" s="130"/>
      <c r="E425" s="130"/>
      <c r="F425" s="130"/>
      <c r="G425" s="130"/>
      <c r="H425" s="130"/>
      <c r="I425" s="130"/>
      <c r="J425" s="130"/>
      <c r="K425" s="130"/>
      <c r="L425" s="130"/>
    </row>
    <row r="426" spans="1:12" ht="13">
      <c r="A426" s="50"/>
      <c r="D426" s="130"/>
      <c r="E426" s="130"/>
      <c r="F426" s="130"/>
      <c r="G426" s="130"/>
      <c r="H426" s="130"/>
      <c r="I426" s="130"/>
      <c r="J426" s="130"/>
      <c r="K426" s="130"/>
      <c r="L426" s="130"/>
    </row>
    <row r="427" spans="1:12" ht="13">
      <c r="A427" s="50"/>
      <c r="D427" s="130"/>
      <c r="E427" s="130"/>
      <c r="F427" s="130"/>
      <c r="G427" s="130"/>
      <c r="H427" s="130"/>
      <c r="I427" s="130"/>
      <c r="J427" s="130"/>
      <c r="K427" s="130"/>
      <c r="L427" s="130"/>
    </row>
    <row r="428" spans="1:12" ht="13">
      <c r="A428" s="50"/>
      <c r="D428" s="130"/>
      <c r="E428" s="130"/>
      <c r="F428" s="130"/>
      <c r="G428" s="130"/>
      <c r="H428" s="130"/>
      <c r="I428" s="130"/>
      <c r="J428" s="130"/>
      <c r="K428" s="130"/>
      <c r="L428" s="130"/>
    </row>
    <row r="429" spans="1:12" ht="13">
      <c r="A429" s="50"/>
      <c r="D429" s="130"/>
      <c r="E429" s="130"/>
      <c r="F429" s="130"/>
      <c r="G429" s="130"/>
      <c r="H429" s="130"/>
      <c r="I429" s="130"/>
      <c r="J429" s="130"/>
      <c r="K429" s="130"/>
      <c r="L429" s="130"/>
    </row>
    <row r="430" spans="1:12" ht="13">
      <c r="A430" s="50"/>
      <c r="D430" s="130"/>
      <c r="E430" s="130"/>
      <c r="F430" s="130"/>
      <c r="G430" s="130"/>
      <c r="H430" s="130"/>
      <c r="I430" s="130"/>
      <c r="J430" s="130"/>
      <c r="K430" s="130"/>
      <c r="L430" s="130"/>
    </row>
    <row r="431" spans="1:12" ht="13">
      <c r="A431" s="50"/>
      <c r="D431" s="130"/>
      <c r="E431" s="130"/>
      <c r="F431" s="130"/>
      <c r="G431" s="130"/>
      <c r="H431" s="130"/>
      <c r="I431" s="130"/>
      <c r="J431" s="130"/>
      <c r="K431" s="130"/>
      <c r="L431" s="130"/>
    </row>
    <row r="432" spans="1:12" ht="13">
      <c r="A432" s="50"/>
      <c r="D432" s="130"/>
      <c r="E432" s="130"/>
      <c r="F432" s="130"/>
      <c r="G432" s="130"/>
      <c r="H432" s="130"/>
      <c r="I432" s="130"/>
      <c r="J432" s="130"/>
      <c r="K432" s="130"/>
      <c r="L432" s="130"/>
    </row>
    <row r="433" spans="1:12" ht="13">
      <c r="A433" s="50"/>
      <c r="D433" s="130"/>
      <c r="E433" s="130"/>
      <c r="F433" s="130"/>
      <c r="G433" s="130"/>
      <c r="H433" s="130"/>
      <c r="I433" s="130"/>
      <c r="J433" s="130"/>
      <c r="K433" s="130"/>
      <c r="L433" s="130"/>
    </row>
    <row r="434" spans="1:12" ht="13">
      <c r="A434" s="50"/>
      <c r="D434" s="130"/>
      <c r="E434" s="130"/>
      <c r="F434" s="130"/>
      <c r="G434" s="130"/>
      <c r="H434" s="130"/>
      <c r="I434" s="130"/>
      <c r="J434" s="130"/>
      <c r="K434" s="130"/>
      <c r="L434" s="130"/>
    </row>
    <row r="435" spans="1:12" ht="13">
      <c r="A435" s="50"/>
      <c r="D435" s="130"/>
      <c r="E435" s="130"/>
      <c r="F435" s="130"/>
      <c r="G435" s="130"/>
      <c r="H435" s="130"/>
      <c r="I435" s="130"/>
      <c r="J435" s="130"/>
      <c r="K435" s="130"/>
      <c r="L435" s="130"/>
    </row>
    <row r="436" spans="1:12" ht="13">
      <c r="A436" s="50"/>
      <c r="D436" s="130"/>
      <c r="E436" s="130"/>
      <c r="F436" s="130"/>
      <c r="G436" s="130"/>
      <c r="H436" s="130"/>
      <c r="I436" s="130"/>
      <c r="J436" s="130"/>
      <c r="K436" s="130"/>
      <c r="L436" s="130"/>
    </row>
    <row r="437" spans="1:12" ht="13">
      <c r="A437" s="50"/>
      <c r="D437" s="130"/>
      <c r="E437" s="130"/>
      <c r="F437" s="130"/>
      <c r="G437" s="130"/>
      <c r="H437" s="130"/>
      <c r="I437" s="130"/>
      <c r="J437" s="130"/>
      <c r="K437" s="130"/>
      <c r="L437" s="130"/>
    </row>
    <row r="438" spans="1:12" ht="13">
      <c r="A438" s="50"/>
      <c r="D438" s="130"/>
      <c r="E438" s="130"/>
      <c r="F438" s="130"/>
      <c r="G438" s="130"/>
      <c r="H438" s="130"/>
      <c r="I438" s="130"/>
      <c r="J438" s="130"/>
      <c r="K438" s="130"/>
      <c r="L438" s="130"/>
    </row>
    <row r="439" spans="1:12" ht="13">
      <c r="A439" s="50"/>
      <c r="D439" s="130"/>
      <c r="E439" s="130"/>
      <c r="F439" s="130"/>
      <c r="G439" s="130"/>
      <c r="H439" s="130"/>
      <c r="I439" s="130"/>
      <c r="J439" s="130"/>
      <c r="K439" s="130"/>
      <c r="L439" s="130"/>
    </row>
    <row r="440" spans="1:12" ht="13">
      <c r="A440" s="50"/>
      <c r="D440" s="130"/>
      <c r="E440" s="130"/>
      <c r="F440" s="130"/>
      <c r="G440" s="130"/>
      <c r="H440" s="130"/>
      <c r="I440" s="130"/>
      <c r="J440" s="130"/>
      <c r="K440" s="130"/>
      <c r="L440" s="130"/>
    </row>
    <row r="441" spans="1:12" ht="13">
      <c r="A441" s="50"/>
      <c r="D441" s="130"/>
      <c r="E441" s="130"/>
      <c r="F441" s="130"/>
      <c r="G441" s="130"/>
      <c r="H441" s="130"/>
      <c r="I441" s="130"/>
      <c r="J441" s="130"/>
      <c r="K441" s="130"/>
      <c r="L441" s="130"/>
    </row>
    <row r="442" spans="1:12" ht="13">
      <c r="A442" s="50"/>
      <c r="D442" s="130"/>
      <c r="E442" s="130"/>
      <c r="F442" s="130"/>
      <c r="G442" s="130"/>
      <c r="H442" s="130"/>
      <c r="I442" s="130"/>
      <c r="J442" s="130"/>
      <c r="K442" s="130"/>
      <c r="L442" s="130"/>
    </row>
    <row r="443" spans="1:12" ht="13">
      <c r="A443" s="50"/>
      <c r="D443" s="130"/>
      <c r="E443" s="130"/>
      <c r="F443" s="130"/>
      <c r="G443" s="130"/>
      <c r="H443" s="130"/>
      <c r="I443" s="130"/>
      <c r="J443" s="130"/>
      <c r="K443" s="130"/>
      <c r="L443" s="130"/>
    </row>
    <row r="444" spans="1:12" ht="13">
      <c r="A444" s="50"/>
      <c r="D444" s="130"/>
      <c r="E444" s="130"/>
      <c r="F444" s="130"/>
      <c r="G444" s="130"/>
      <c r="H444" s="130"/>
      <c r="I444" s="130"/>
      <c r="J444" s="130"/>
      <c r="K444" s="130"/>
      <c r="L444" s="130"/>
    </row>
    <row r="445" spans="1:12" ht="13">
      <c r="A445" s="50"/>
      <c r="D445" s="130"/>
      <c r="E445" s="130"/>
      <c r="F445" s="130"/>
      <c r="G445" s="130"/>
      <c r="H445" s="130"/>
      <c r="I445" s="130"/>
      <c r="J445" s="130"/>
      <c r="K445" s="130"/>
      <c r="L445" s="130"/>
    </row>
    <row r="446" spans="1:12" ht="13">
      <c r="A446" s="50"/>
      <c r="D446" s="130"/>
      <c r="E446" s="130"/>
      <c r="F446" s="130"/>
      <c r="G446" s="130"/>
      <c r="H446" s="130"/>
      <c r="I446" s="130"/>
      <c r="J446" s="130"/>
      <c r="K446" s="130"/>
      <c r="L446" s="130"/>
    </row>
    <row r="447" spans="1:12" ht="13">
      <c r="A447" s="50"/>
      <c r="D447" s="130"/>
      <c r="E447" s="130"/>
      <c r="F447" s="130"/>
      <c r="G447" s="130"/>
      <c r="H447" s="130"/>
      <c r="I447" s="130"/>
      <c r="J447" s="130"/>
      <c r="K447" s="130"/>
      <c r="L447" s="130"/>
    </row>
    <row r="448" spans="1:12" ht="13">
      <c r="A448" s="50"/>
      <c r="D448" s="130"/>
      <c r="E448" s="130"/>
      <c r="F448" s="130"/>
      <c r="G448" s="130"/>
      <c r="H448" s="130"/>
      <c r="I448" s="130"/>
      <c r="J448" s="130"/>
      <c r="K448" s="130"/>
      <c r="L448" s="130"/>
    </row>
    <row r="449" spans="1:12" ht="13">
      <c r="A449" s="50"/>
      <c r="D449" s="130"/>
      <c r="E449" s="130"/>
      <c r="F449" s="130"/>
      <c r="G449" s="130"/>
      <c r="H449" s="130"/>
      <c r="I449" s="130"/>
      <c r="J449" s="130"/>
      <c r="K449" s="130"/>
      <c r="L449" s="130"/>
    </row>
    <row r="450" spans="1:12" ht="13">
      <c r="A450" s="50"/>
      <c r="D450" s="130"/>
      <c r="E450" s="130"/>
      <c r="F450" s="130"/>
      <c r="G450" s="130"/>
      <c r="H450" s="130"/>
      <c r="I450" s="130"/>
      <c r="J450" s="130"/>
      <c r="K450" s="130"/>
      <c r="L450" s="130"/>
    </row>
    <row r="451" spans="1:12" ht="13">
      <c r="A451" s="50"/>
      <c r="D451" s="130"/>
      <c r="E451" s="130"/>
      <c r="F451" s="130"/>
      <c r="G451" s="130"/>
      <c r="H451" s="130"/>
      <c r="I451" s="130"/>
      <c r="J451" s="130"/>
      <c r="K451" s="130"/>
      <c r="L451" s="130"/>
    </row>
    <row r="452" spans="1:12" ht="13">
      <c r="A452" s="50"/>
      <c r="D452" s="130"/>
      <c r="E452" s="130"/>
      <c r="F452" s="130"/>
      <c r="G452" s="130"/>
      <c r="H452" s="130"/>
      <c r="I452" s="130"/>
      <c r="J452" s="130"/>
      <c r="K452" s="130"/>
      <c r="L452" s="130"/>
    </row>
    <row r="453" spans="1:12" ht="13">
      <c r="A453" s="50"/>
      <c r="D453" s="130"/>
      <c r="E453" s="130"/>
      <c r="F453" s="130"/>
      <c r="G453" s="130"/>
      <c r="H453" s="130"/>
      <c r="I453" s="130"/>
      <c r="J453" s="130"/>
      <c r="K453" s="130"/>
      <c r="L453" s="130"/>
    </row>
    <row r="454" spans="1:12" ht="13">
      <c r="A454" s="50"/>
      <c r="D454" s="130"/>
      <c r="E454" s="130"/>
      <c r="F454" s="130"/>
      <c r="G454" s="130"/>
      <c r="H454" s="130"/>
      <c r="I454" s="130"/>
      <c r="J454" s="130"/>
      <c r="K454" s="130"/>
      <c r="L454" s="130"/>
    </row>
    <row r="455" spans="1:12" ht="13">
      <c r="A455" s="50"/>
      <c r="D455" s="130"/>
      <c r="E455" s="130"/>
      <c r="F455" s="130"/>
      <c r="G455" s="130"/>
      <c r="H455" s="130"/>
      <c r="I455" s="130"/>
      <c r="J455" s="130"/>
      <c r="K455" s="130"/>
      <c r="L455" s="130"/>
    </row>
    <row r="456" spans="1:12" ht="13">
      <c r="A456" s="50"/>
      <c r="D456" s="130"/>
      <c r="E456" s="130"/>
      <c r="F456" s="130"/>
      <c r="G456" s="130"/>
      <c r="H456" s="130"/>
      <c r="I456" s="130"/>
      <c r="J456" s="130"/>
      <c r="K456" s="130"/>
      <c r="L456" s="130"/>
    </row>
    <row r="457" spans="1:12" ht="13">
      <c r="A457" s="50"/>
      <c r="D457" s="130"/>
      <c r="E457" s="130"/>
      <c r="F457" s="130"/>
      <c r="G457" s="130"/>
      <c r="H457" s="130"/>
      <c r="I457" s="130"/>
      <c r="J457" s="130"/>
      <c r="K457" s="130"/>
      <c r="L457" s="130"/>
    </row>
    <row r="458" spans="1:12" ht="13">
      <c r="A458" s="50"/>
      <c r="D458" s="130"/>
      <c r="E458" s="130"/>
      <c r="F458" s="130"/>
      <c r="G458" s="130"/>
      <c r="H458" s="130"/>
      <c r="I458" s="130"/>
      <c r="J458" s="130"/>
      <c r="K458" s="130"/>
      <c r="L458" s="130"/>
    </row>
    <row r="459" spans="1:12" ht="13">
      <c r="A459" s="50"/>
      <c r="D459" s="130"/>
      <c r="E459" s="130"/>
      <c r="F459" s="130"/>
      <c r="G459" s="130"/>
      <c r="H459" s="130"/>
      <c r="I459" s="130"/>
      <c r="J459" s="130"/>
      <c r="K459" s="130"/>
      <c r="L459" s="130"/>
    </row>
    <row r="460" spans="1:12" ht="13">
      <c r="A460" s="50"/>
      <c r="D460" s="130"/>
      <c r="E460" s="130"/>
      <c r="F460" s="130"/>
      <c r="G460" s="130"/>
      <c r="H460" s="130"/>
      <c r="I460" s="130"/>
      <c r="J460" s="130"/>
      <c r="K460" s="130"/>
      <c r="L460" s="130"/>
    </row>
    <row r="461" spans="1:12" ht="13">
      <c r="A461" s="50"/>
      <c r="D461" s="130"/>
      <c r="E461" s="130"/>
      <c r="F461" s="130"/>
      <c r="G461" s="130"/>
      <c r="H461" s="130"/>
      <c r="I461" s="130"/>
      <c r="J461" s="130"/>
      <c r="K461" s="130"/>
      <c r="L461" s="130"/>
    </row>
    <row r="462" spans="1:12" ht="13">
      <c r="A462" s="50"/>
      <c r="D462" s="130"/>
      <c r="E462" s="130"/>
      <c r="F462" s="130"/>
      <c r="G462" s="130"/>
      <c r="H462" s="130"/>
      <c r="I462" s="130"/>
      <c r="J462" s="130"/>
      <c r="K462" s="130"/>
      <c r="L462" s="130"/>
    </row>
    <row r="463" spans="1:12" ht="13">
      <c r="A463" s="50"/>
      <c r="D463" s="130"/>
      <c r="E463" s="130"/>
      <c r="F463" s="130"/>
      <c r="G463" s="130"/>
      <c r="H463" s="130"/>
      <c r="I463" s="130"/>
      <c r="J463" s="130"/>
      <c r="K463" s="130"/>
      <c r="L463" s="130"/>
    </row>
    <row r="464" spans="1:12" ht="13">
      <c r="A464" s="50"/>
      <c r="D464" s="130"/>
      <c r="E464" s="130"/>
      <c r="F464" s="130"/>
      <c r="G464" s="130"/>
      <c r="H464" s="130"/>
      <c r="I464" s="130"/>
      <c r="J464" s="130"/>
      <c r="K464" s="130"/>
      <c r="L464" s="130"/>
    </row>
    <row r="465" spans="1:12" ht="13">
      <c r="A465" s="50"/>
      <c r="D465" s="130"/>
      <c r="E465" s="130"/>
      <c r="F465" s="130"/>
      <c r="G465" s="130"/>
      <c r="H465" s="130"/>
      <c r="I465" s="130"/>
      <c r="J465" s="130"/>
      <c r="K465" s="130"/>
      <c r="L465" s="130"/>
    </row>
    <row r="466" spans="1:12" ht="13">
      <c r="A466" s="50"/>
      <c r="D466" s="130"/>
      <c r="E466" s="130"/>
      <c r="F466" s="130"/>
      <c r="G466" s="130"/>
      <c r="H466" s="130"/>
      <c r="I466" s="130"/>
      <c r="J466" s="130"/>
      <c r="K466" s="130"/>
      <c r="L466" s="130"/>
    </row>
    <row r="467" spans="1:12" ht="13">
      <c r="A467" s="50"/>
      <c r="D467" s="130"/>
      <c r="E467" s="130"/>
      <c r="F467" s="130"/>
      <c r="G467" s="130"/>
      <c r="H467" s="130"/>
      <c r="I467" s="130"/>
      <c r="J467" s="130"/>
      <c r="K467" s="130"/>
      <c r="L467" s="130"/>
    </row>
    <row r="468" spans="1:12" ht="13">
      <c r="A468" s="50"/>
      <c r="D468" s="130"/>
      <c r="E468" s="130"/>
      <c r="F468" s="130"/>
      <c r="G468" s="130"/>
      <c r="H468" s="130"/>
      <c r="I468" s="130"/>
      <c r="J468" s="130"/>
      <c r="K468" s="130"/>
      <c r="L468" s="130"/>
    </row>
    <row r="469" spans="1:12" ht="13">
      <c r="A469" s="50"/>
      <c r="D469" s="130"/>
      <c r="E469" s="130"/>
      <c r="F469" s="130"/>
      <c r="G469" s="130"/>
      <c r="H469" s="130"/>
      <c r="I469" s="130"/>
      <c r="J469" s="130"/>
      <c r="K469" s="130"/>
      <c r="L469" s="130"/>
    </row>
    <row r="470" spans="1:12" ht="13">
      <c r="A470" s="50"/>
      <c r="D470" s="130"/>
      <c r="E470" s="130"/>
      <c r="F470" s="130"/>
      <c r="G470" s="130"/>
      <c r="H470" s="130"/>
      <c r="I470" s="130"/>
      <c r="J470" s="130"/>
      <c r="K470" s="130"/>
      <c r="L470" s="130"/>
    </row>
    <row r="471" spans="1:12" ht="13">
      <c r="A471" s="50"/>
      <c r="D471" s="130"/>
      <c r="E471" s="130"/>
      <c r="F471" s="130"/>
      <c r="G471" s="130"/>
      <c r="H471" s="130"/>
      <c r="I471" s="130"/>
      <c r="J471" s="130"/>
      <c r="K471" s="130"/>
      <c r="L471" s="130"/>
    </row>
    <row r="472" spans="1:12" ht="13">
      <c r="A472" s="50"/>
      <c r="D472" s="130"/>
      <c r="E472" s="130"/>
      <c r="F472" s="130"/>
      <c r="G472" s="130"/>
      <c r="H472" s="130"/>
      <c r="I472" s="130"/>
      <c r="J472" s="130"/>
      <c r="K472" s="130"/>
      <c r="L472" s="130"/>
    </row>
    <row r="473" spans="1:12" ht="13">
      <c r="A473" s="50"/>
      <c r="D473" s="130"/>
      <c r="E473" s="130"/>
      <c r="F473" s="130"/>
      <c r="G473" s="130"/>
      <c r="H473" s="130"/>
      <c r="I473" s="130"/>
      <c r="J473" s="130"/>
      <c r="K473" s="130"/>
      <c r="L473" s="130"/>
    </row>
    <row r="474" spans="1:12" ht="13">
      <c r="A474" s="50"/>
      <c r="D474" s="130"/>
      <c r="E474" s="130"/>
      <c r="F474" s="130"/>
      <c r="G474" s="130"/>
      <c r="H474" s="130"/>
      <c r="I474" s="130"/>
      <c r="J474" s="130"/>
      <c r="K474" s="130"/>
      <c r="L474" s="130"/>
    </row>
    <row r="475" spans="1:12" ht="13">
      <c r="A475" s="50"/>
      <c r="D475" s="130"/>
      <c r="E475" s="130"/>
      <c r="F475" s="130"/>
      <c r="G475" s="130"/>
      <c r="H475" s="130"/>
      <c r="I475" s="130"/>
      <c r="J475" s="130"/>
      <c r="K475" s="130"/>
      <c r="L475" s="130"/>
    </row>
    <row r="476" spans="1:12" ht="13">
      <c r="A476" s="50"/>
      <c r="D476" s="130"/>
      <c r="E476" s="130"/>
      <c r="F476" s="130"/>
      <c r="G476" s="130"/>
      <c r="H476" s="130"/>
      <c r="I476" s="130"/>
      <c r="J476" s="130"/>
      <c r="K476" s="130"/>
      <c r="L476" s="130"/>
    </row>
    <row r="477" spans="1:12" ht="13">
      <c r="A477" s="50"/>
      <c r="D477" s="130"/>
      <c r="E477" s="130"/>
      <c r="F477" s="130"/>
      <c r="G477" s="130"/>
      <c r="H477" s="130"/>
      <c r="I477" s="130"/>
      <c r="J477" s="130"/>
      <c r="K477" s="130"/>
      <c r="L477" s="130"/>
    </row>
    <row r="478" spans="1:12" ht="13">
      <c r="A478" s="50"/>
      <c r="D478" s="130"/>
      <c r="E478" s="130"/>
      <c r="F478" s="130"/>
      <c r="G478" s="130"/>
      <c r="H478" s="130"/>
      <c r="I478" s="130"/>
      <c r="J478" s="130"/>
      <c r="K478" s="130"/>
      <c r="L478" s="130"/>
    </row>
    <row r="479" spans="1:12" ht="13">
      <c r="A479" s="50"/>
      <c r="D479" s="130"/>
      <c r="E479" s="130"/>
      <c r="F479" s="130"/>
      <c r="G479" s="130"/>
      <c r="H479" s="130"/>
      <c r="I479" s="130"/>
      <c r="J479" s="130"/>
      <c r="K479" s="130"/>
      <c r="L479" s="130"/>
    </row>
    <row r="480" spans="1:12" ht="13">
      <c r="A480" s="50"/>
      <c r="D480" s="130"/>
      <c r="E480" s="130"/>
      <c r="F480" s="130"/>
      <c r="G480" s="130"/>
      <c r="H480" s="130"/>
      <c r="I480" s="130"/>
      <c r="J480" s="130"/>
      <c r="K480" s="130"/>
      <c r="L480" s="130"/>
    </row>
    <row r="481" spans="1:12" ht="13">
      <c r="A481" s="50"/>
      <c r="D481" s="130"/>
      <c r="E481" s="130"/>
      <c r="F481" s="130"/>
      <c r="G481" s="130"/>
      <c r="H481" s="130"/>
      <c r="I481" s="130"/>
      <c r="J481" s="130"/>
      <c r="K481" s="130"/>
      <c r="L481" s="130"/>
    </row>
    <row r="482" spans="1:12" ht="13">
      <c r="A482" s="50"/>
      <c r="D482" s="130"/>
      <c r="E482" s="130"/>
      <c r="F482" s="130"/>
      <c r="G482" s="130"/>
      <c r="H482" s="130"/>
      <c r="I482" s="130"/>
      <c r="J482" s="130"/>
      <c r="K482" s="130"/>
      <c r="L482" s="130"/>
    </row>
    <row r="483" spans="1:12" ht="13">
      <c r="A483" s="50"/>
      <c r="D483" s="130"/>
      <c r="E483" s="130"/>
      <c r="F483" s="130"/>
      <c r="G483" s="130"/>
      <c r="H483" s="130"/>
      <c r="I483" s="130"/>
      <c r="J483" s="130"/>
      <c r="K483" s="130"/>
      <c r="L483" s="130"/>
    </row>
    <row r="484" spans="1:12" ht="13">
      <c r="A484" s="50"/>
      <c r="D484" s="130"/>
      <c r="E484" s="130"/>
      <c r="F484" s="130"/>
      <c r="G484" s="130"/>
      <c r="H484" s="130"/>
      <c r="I484" s="130"/>
      <c r="J484" s="130"/>
      <c r="K484" s="130"/>
      <c r="L484" s="130"/>
    </row>
    <row r="485" spans="1:12" ht="13">
      <c r="A485" s="50"/>
      <c r="D485" s="130"/>
      <c r="E485" s="130"/>
      <c r="F485" s="130"/>
      <c r="G485" s="130"/>
      <c r="H485" s="130"/>
      <c r="I485" s="130"/>
      <c r="J485" s="130"/>
      <c r="K485" s="130"/>
      <c r="L485" s="130"/>
    </row>
    <row r="486" spans="1:12" ht="13">
      <c r="A486" s="50"/>
      <c r="D486" s="130"/>
      <c r="E486" s="130"/>
      <c r="F486" s="130"/>
      <c r="G486" s="130"/>
      <c r="H486" s="130"/>
      <c r="I486" s="130"/>
      <c r="J486" s="130"/>
      <c r="K486" s="130"/>
      <c r="L486" s="130"/>
    </row>
    <row r="487" spans="1:12" ht="13">
      <c r="A487" s="50"/>
      <c r="D487" s="130"/>
      <c r="E487" s="130"/>
      <c r="F487" s="130"/>
      <c r="G487" s="130"/>
      <c r="H487" s="130"/>
      <c r="I487" s="130"/>
      <c r="J487" s="130"/>
      <c r="K487" s="130"/>
      <c r="L487" s="130"/>
    </row>
    <row r="488" spans="1:12" ht="13">
      <c r="A488" s="50"/>
      <c r="D488" s="130"/>
      <c r="E488" s="130"/>
      <c r="F488" s="130"/>
      <c r="G488" s="130"/>
      <c r="H488" s="130"/>
      <c r="I488" s="130"/>
      <c r="J488" s="130"/>
      <c r="K488" s="130"/>
      <c r="L488" s="130"/>
    </row>
    <row r="489" spans="1:12" ht="13">
      <c r="A489" s="50"/>
      <c r="D489" s="130"/>
      <c r="E489" s="130"/>
      <c r="F489" s="130"/>
      <c r="G489" s="130"/>
      <c r="H489" s="130"/>
      <c r="I489" s="130"/>
      <c r="J489" s="130"/>
      <c r="K489" s="130"/>
      <c r="L489" s="130"/>
    </row>
    <row r="490" spans="1:12" ht="13">
      <c r="A490" s="50"/>
      <c r="D490" s="130"/>
      <c r="E490" s="130"/>
      <c r="F490" s="130"/>
      <c r="G490" s="130"/>
      <c r="H490" s="130"/>
      <c r="I490" s="130"/>
      <c r="J490" s="130"/>
      <c r="K490" s="130"/>
      <c r="L490" s="130"/>
    </row>
    <row r="491" spans="1:12" ht="13">
      <c r="A491" s="50"/>
      <c r="D491" s="130"/>
      <c r="E491" s="130"/>
      <c r="F491" s="130"/>
      <c r="G491" s="130"/>
      <c r="H491" s="130"/>
      <c r="I491" s="130"/>
      <c r="J491" s="130"/>
      <c r="K491" s="130"/>
      <c r="L491" s="130"/>
    </row>
    <row r="492" spans="1:12" ht="13">
      <c r="A492" s="50"/>
      <c r="D492" s="130"/>
      <c r="E492" s="130"/>
      <c r="F492" s="130"/>
      <c r="G492" s="130"/>
      <c r="H492" s="130"/>
      <c r="I492" s="130"/>
      <c r="J492" s="130"/>
      <c r="K492" s="130"/>
      <c r="L492" s="130"/>
    </row>
    <row r="493" spans="1:12" ht="13">
      <c r="A493" s="50"/>
      <c r="D493" s="130"/>
      <c r="E493" s="130"/>
      <c r="F493" s="130"/>
      <c r="G493" s="130"/>
      <c r="H493" s="130"/>
      <c r="I493" s="130"/>
      <c r="J493" s="130"/>
      <c r="K493" s="130"/>
      <c r="L493" s="130"/>
    </row>
    <row r="494" spans="1:12" ht="13">
      <c r="A494" s="50"/>
      <c r="D494" s="130"/>
      <c r="E494" s="130"/>
      <c r="F494" s="130"/>
      <c r="G494" s="130"/>
      <c r="H494" s="130"/>
      <c r="I494" s="130"/>
      <c r="J494" s="130"/>
      <c r="K494" s="130"/>
      <c r="L494" s="130"/>
    </row>
    <row r="495" spans="1:12" ht="13">
      <c r="A495" s="50"/>
      <c r="D495" s="130"/>
      <c r="E495" s="130"/>
      <c r="F495" s="130"/>
      <c r="G495" s="130"/>
      <c r="H495" s="130"/>
      <c r="I495" s="130"/>
      <c r="J495" s="130"/>
      <c r="K495" s="130"/>
      <c r="L495" s="130"/>
    </row>
    <row r="496" spans="1:12" ht="13">
      <c r="A496" s="50"/>
      <c r="D496" s="130"/>
      <c r="E496" s="130"/>
      <c r="F496" s="130"/>
      <c r="G496" s="130"/>
      <c r="H496" s="130"/>
      <c r="I496" s="130"/>
      <c r="J496" s="130"/>
      <c r="K496" s="130"/>
      <c r="L496" s="130"/>
    </row>
    <row r="497" spans="1:12" ht="13">
      <c r="A497" s="50"/>
      <c r="D497" s="130"/>
      <c r="E497" s="130"/>
      <c r="F497" s="130"/>
      <c r="G497" s="130"/>
      <c r="H497" s="130"/>
      <c r="I497" s="130"/>
      <c r="J497" s="130"/>
      <c r="K497" s="130"/>
      <c r="L497" s="130"/>
    </row>
    <row r="498" spans="1:12" ht="13">
      <c r="A498" s="50"/>
      <c r="D498" s="130"/>
      <c r="E498" s="130"/>
      <c r="F498" s="130"/>
      <c r="G498" s="130"/>
      <c r="H498" s="130"/>
      <c r="I498" s="130"/>
      <c r="J498" s="130"/>
      <c r="K498" s="130"/>
      <c r="L498" s="130"/>
    </row>
    <row r="499" spans="1:12" ht="13">
      <c r="A499" s="50"/>
      <c r="D499" s="130"/>
      <c r="E499" s="130"/>
      <c r="F499" s="130"/>
      <c r="G499" s="130"/>
      <c r="H499" s="130"/>
      <c r="I499" s="130"/>
      <c r="J499" s="130"/>
      <c r="K499" s="130"/>
      <c r="L499" s="130"/>
    </row>
    <row r="500" spans="1:12" ht="13">
      <c r="A500" s="50"/>
      <c r="D500" s="130"/>
      <c r="E500" s="130"/>
      <c r="F500" s="130"/>
      <c r="G500" s="130"/>
      <c r="H500" s="130"/>
      <c r="I500" s="130"/>
      <c r="J500" s="130"/>
      <c r="K500" s="130"/>
      <c r="L500" s="130"/>
    </row>
    <row r="501" spans="1:12" ht="13">
      <c r="A501" s="50"/>
      <c r="D501" s="130"/>
      <c r="E501" s="130"/>
      <c r="F501" s="130"/>
      <c r="G501" s="130"/>
      <c r="H501" s="130"/>
      <c r="I501" s="130"/>
      <c r="J501" s="130"/>
      <c r="K501" s="130"/>
      <c r="L501" s="130"/>
    </row>
    <row r="502" spans="1:12" ht="13">
      <c r="A502" s="50"/>
      <c r="D502" s="130"/>
      <c r="E502" s="130"/>
      <c r="F502" s="130"/>
      <c r="G502" s="130"/>
      <c r="H502" s="130"/>
      <c r="I502" s="130"/>
      <c r="J502" s="130"/>
      <c r="K502" s="130"/>
      <c r="L502" s="130"/>
    </row>
    <row r="503" spans="1:12" ht="13">
      <c r="A503" s="50"/>
      <c r="D503" s="130"/>
      <c r="E503" s="130"/>
      <c r="F503" s="130"/>
      <c r="G503" s="130"/>
      <c r="H503" s="130"/>
      <c r="I503" s="130"/>
      <c r="J503" s="130"/>
      <c r="K503" s="130"/>
      <c r="L503" s="130"/>
    </row>
    <row r="504" spans="1:12" ht="13">
      <c r="A504" s="50"/>
      <c r="D504" s="130"/>
      <c r="E504" s="130"/>
      <c r="F504" s="130"/>
      <c r="G504" s="130"/>
      <c r="H504" s="130"/>
      <c r="I504" s="130"/>
      <c r="J504" s="130"/>
      <c r="K504" s="130"/>
      <c r="L504" s="130"/>
    </row>
    <row r="505" spans="1:12" ht="13">
      <c r="A505" s="50"/>
      <c r="D505" s="130"/>
      <c r="E505" s="130"/>
      <c r="F505" s="130"/>
      <c r="G505" s="130"/>
      <c r="H505" s="130"/>
      <c r="I505" s="130"/>
      <c r="J505" s="130"/>
      <c r="K505" s="130"/>
      <c r="L505" s="130"/>
    </row>
    <row r="506" spans="1:12" ht="13">
      <c r="A506" s="50"/>
      <c r="D506" s="130"/>
      <c r="E506" s="130"/>
      <c r="F506" s="130"/>
      <c r="G506" s="130"/>
      <c r="H506" s="130"/>
      <c r="I506" s="130"/>
      <c r="J506" s="130"/>
      <c r="K506" s="130"/>
      <c r="L506" s="130"/>
    </row>
    <row r="507" spans="1:12" ht="13">
      <c r="A507" s="50"/>
      <c r="D507" s="130"/>
      <c r="E507" s="130"/>
      <c r="F507" s="130"/>
      <c r="G507" s="130"/>
      <c r="H507" s="130"/>
      <c r="I507" s="130"/>
      <c r="J507" s="130"/>
      <c r="K507" s="130"/>
      <c r="L507" s="130"/>
    </row>
    <row r="508" spans="1:12" ht="13">
      <c r="A508" s="50"/>
      <c r="D508" s="130"/>
      <c r="E508" s="130"/>
      <c r="F508" s="130"/>
      <c r="G508" s="130"/>
      <c r="H508" s="130"/>
      <c r="I508" s="130"/>
      <c r="J508" s="130"/>
      <c r="K508" s="130"/>
      <c r="L508" s="130"/>
    </row>
    <row r="509" spans="1:12" ht="13">
      <c r="A509" s="50"/>
      <c r="D509" s="130"/>
      <c r="E509" s="130"/>
      <c r="F509" s="130"/>
      <c r="G509" s="130"/>
      <c r="H509" s="130"/>
      <c r="I509" s="130"/>
      <c r="J509" s="130"/>
      <c r="K509" s="130"/>
      <c r="L509" s="130"/>
    </row>
    <row r="510" spans="1:12" ht="13">
      <c r="A510" s="50"/>
      <c r="D510" s="130"/>
      <c r="E510" s="130"/>
      <c r="F510" s="130"/>
      <c r="G510" s="130"/>
      <c r="H510" s="130"/>
      <c r="I510" s="130"/>
      <c r="J510" s="130"/>
      <c r="K510" s="130"/>
      <c r="L510" s="130"/>
    </row>
    <row r="511" spans="1:12" ht="13">
      <c r="A511" s="50"/>
      <c r="D511" s="130"/>
      <c r="E511" s="130"/>
      <c r="F511" s="130"/>
      <c r="G511" s="130"/>
      <c r="H511" s="130"/>
      <c r="I511" s="130"/>
      <c r="J511" s="130"/>
      <c r="K511" s="130"/>
      <c r="L511" s="130"/>
    </row>
    <row r="512" spans="1:12" ht="13">
      <c r="A512" s="50"/>
      <c r="D512" s="130"/>
      <c r="E512" s="130"/>
      <c r="F512" s="130"/>
      <c r="G512" s="130"/>
      <c r="H512" s="130"/>
      <c r="I512" s="130"/>
      <c r="J512" s="130"/>
      <c r="K512" s="130"/>
      <c r="L512" s="130"/>
    </row>
    <row r="513" spans="1:12" ht="13">
      <c r="A513" s="50"/>
      <c r="D513" s="130"/>
      <c r="E513" s="130"/>
      <c r="F513" s="130"/>
      <c r="G513" s="130"/>
      <c r="H513" s="130"/>
      <c r="I513" s="130"/>
      <c r="J513" s="130"/>
      <c r="K513" s="130"/>
      <c r="L513" s="130"/>
    </row>
    <row r="514" spans="1:12" ht="13">
      <c r="A514" s="50"/>
      <c r="D514" s="130"/>
      <c r="E514" s="130"/>
      <c r="F514" s="130"/>
      <c r="G514" s="130"/>
      <c r="H514" s="130"/>
      <c r="I514" s="130"/>
      <c r="J514" s="130"/>
      <c r="K514" s="130"/>
      <c r="L514" s="130"/>
    </row>
    <row r="515" spans="1:12" ht="13">
      <c r="A515" s="50"/>
      <c r="D515" s="130"/>
      <c r="E515" s="130"/>
      <c r="F515" s="130"/>
      <c r="G515" s="130"/>
      <c r="H515" s="130"/>
      <c r="I515" s="130"/>
      <c r="J515" s="130"/>
      <c r="K515" s="130"/>
      <c r="L515" s="130"/>
    </row>
    <row r="516" spans="1:12" ht="13">
      <c r="A516" s="50"/>
      <c r="D516" s="130"/>
      <c r="E516" s="130"/>
      <c r="F516" s="130"/>
      <c r="G516" s="130"/>
      <c r="H516" s="130"/>
      <c r="I516" s="130"/>
      <c r="J516" s="130"/>
      <c r="K516" s="130"/>
      <c r="L516" s="130"/>
    </row>
    <row r="517" spans="1:12" ht="13">
      <c r="A517" s="50"/>
      <c r="D517" s="130"/>
      <c r="E517" s="130"/>
      <c r="F517" s="130"/>
      <c r="G517" s="130"/>
      <c r="H517" s="130"/>
      <c r="I517" s="130"/>
      <c r="J517" s="130"/>
      <c r="K517" s="130"/>
      <c r="L517" s="130"/>
    </row>
    <row r="518" spans="1:12" ht="13">
      <c r="A518" s="50"/>
      <c r="D518" s="130"/>
      <c r="E518" s="130"/>
      <c r="F518" s="130"/>
      <c r="G518" s="130"/>
      <c r="H518" s="130"/>
      <c r="I518" s="130"/>
      <c r="J518" s="130"/>
      <c r="K518" s="130"/>
      <c r="L518" s="130"/>
    </row>
    <row r="519" spans="1:12" ht="13">
      <c r="A519" s="50"/>
      <c r="D519" s="130"/>
      <c r="E519" s="130"/>
      <c r="F519" s="130"/>
      <c r="G519" s="130"/>
      <c r="H519" s="130"/>
      <c r="I519" s="130"/>
      <c r="J519" s="130"/>
      <c r="K519" s="130"/>
      <c r="L519" s="130"/>
    </row>
    <row r="520" spans="1:12" ht="13">
      <c r="A520" s="50"/>
      <c r="D520" s="130"/>
      <c r="E520" s="130"/>
      <c r="F520" s="130"/>
      <c r="G520" s="130"/>
      <c r="H520" s="130"/>
      <c r="I520" s="130"/>
      <c r="J520" s="130"/>
      <c r="K520" s="130"/>
      <c r="L520" s="130"/>
    </row>
    <row r="521" spans="1:12" ht="13">
      <c r="A521" s="50"/>
      <c r="D521" s="130"/>
      <c r="E521" s="130"/>
      <c r="F521" s="130"/>
      <c r="G521" s="130"/>
      <c r="H521" s="130"/>
      <c r="I521" s="130"/>
      <c r="J521" s="130"/>
      <c r="K521" s="130"/>
      <c r="L521" s="130"/>
    </row>
    <row r="522" spans="1:12" ht="13">
      <c r="A522" s="50"/>
      <c r="D522" s="130"/>
      <c r="E522" s="130"/>
      <c r="F522" s="130"/>
      <c r="G522" s="130"/>
      <c r="H522" s="130"/>
      <c r="I522" s="130"/>
      <c r="J522" s="130"/>
      <c r="K522" s="130"/>
      <c r="L522" s="130"/>
    </row>
    <row r="523" spans="1:12" ht="13">
      <c r="A523" s="50"/>
      <c r="D523" s="130"/>
      <c r="E523" s="130"/>
      <c r="F523" s="130"/>
      <c r="G523" s="130"/>
      <c r="H523" s="130"/>
      <c r="I523" s="130"/>
      <c r="J523" s="130"/>
      <c r="K523" s="130"/>
      <c r="L523" s="130"/>
    </row>
    <row r="524" spans="1:12" ht="13">
      <c r="A524" s="50"/>
      <c r="D524" s="130"/>
      <c r="E524" s="130"/>
      <c r="F524" s="130"/>
      <c r="G524" s="130"/>
      <c r="H524" s="130"/>
      <c r="I524" s="130"/>
      <c r="J524" s="130"/>
      <c r="K524" s="130"/>
      <c r="L524" s="130"/>
    </row>
    <row r="525" spans="1:12" ht="13">
      <c r="A525" s="50"/>
      <c r="D525" s="130"/>
      <c r="E525" s="130"/>
      <c r="F525" s="130"/>
      <c r="G525" s="130"/>
      <c r="H525" s="130"/>
      <c r="I525" s="130"/>
      <c r="J525" s="130"/>
      <c r="K525" s="130"/>
      <c r="L525" s="130"/>
    </row>
    <row r="526" spans="1:12" ht="13">
      <c r="A526" s="50"/>
      <c r="D526" s="130"/>
      <c r="E526" s="130"/>
      <c r="F526" s="130"/>
      <c r="G526" s="130"/>
      <c r="H526" s="130"/>
      <c r="I526" s="130"/>
      <c r="J526" s="130"/>
      <c r="K526" s="130"/>
      <c r="L526" s="130"/>
    </row>
    <row r="527" spans="1:12" ht="13">
      <c r="A527" s="50"/>
      <c r="D527" s="130"/>
      <c r="E527" s="130"/>
      <c r="F527" s="130"/>
      <c r="G527" s="130"/>
      <c r="H527" s="130"/>
      <c r="I527" s="130"/>
      <c r="J527" s="130"/>
      <c r="K527" s="130"/>
      <c r="L527" s="130"/>
    </row>
    <row r="528" spans="1:12" ht="13">
      <c r="A528" s="50"/>
      <c r="D528" s="130"/>
      <c r="E528" s="130"/>
      <c r="F528" s="130"/>
      <c r="G528" s="130"/>
      <c r="H528" s="130"/>
      <c r="I528" s="130"/>
      <c r="J528" s="130"/>
      <c r="K528" s="130"/>
      <c r="L528" s="130"/>
    </row>
    <row r="529" spans="1:12" ht="13">
      <c r="A529" s="50"/>
      <c r="D529" s="130"/>
      <c r="E529" s="130"/>
      <c r="F529" s="130"/>
      <c r="G529" s="130"/>
      <c r="H529" s="130"/>
      <c r="I529" s="130"/>
      <c r="J529" s="130"/>
      <c r="K529" s="130"/>
      <c r="L529" s="130"/>
    </row>
    <row r="530" spans="1:12" ht="13">
      <c r="A530" s="50"/>
      <c r="D530" s="130"/>
      <c r="E530" s="130"/>
      <c r="F530" s="130"/>
      <c r="G530" s="130"/>
      <c r="H530" s="130"/>
      <c r="I530" s="130"/>
      <c r="J530" s="130"/>
      <c r="K530" s="130"/>
      <c r="L530" s="130"/>
    </row>
    <row r="531" spans="1:12" ht="13">
      <c r="A531" s="50"/>
      <c r="D531" s="130"/>
      <c r="E531" s="130"/>
      <c r="F531" s="130"/>
      <c r="G531" s="130"/>
      <c r="H531" s="130"/>
      <c r="I531" s="130"/>
      <c r="J531" s="130"/>
      <c r="K531" s="130"/>
      <c r="L531" s="130"/>
    </row>
    <row r="532" spans="1:12" ht="13">
      <c r="A532" s="50"/>
      <c r="D532" s="130"/>
      <c r="E532" s="130"/>
      <c r="F532" s="130"/>
      <c r="G532" s="130"/>
      <c r="H532" s="130"/>
      <c r="I532" s="130"/>
      <c r="J532" s="130"/>
      <c r="K532" s="130"/>
      <c r="L532" s="130"/>
    </row>
    <row r="533" spans="1:12" ht="13">
      <c r="A533" s="50"/>
      <c r="D533" s="130"/>
      <c r="E533" s="130"/>
      <c r="F533" s="130"/>
      <c r="G533" s="130"/>
      <c r="H533" s="130"/>
      <c r="I533" s="130"/>
      <c r="J533" s="130"/>
      <c r="K533" s="130"/>
      <c r="L533" s="130"/>
    </row>
    <row r="534" spans="1:12" ht="13">
      <c r="A534" s="50"/>
      <c r="D534" s="130"/>
      <c r="E534" s="130"/>
      <c r="F534" s="130"/>
      <c r="G534" s="130"/>
      <c r="H534" s="130"/>
      <c r="I534" s="130"/>
      <c r="J534" s="130"/>
      <c r="K534" s="130"/>
      <c r="L534" s="130"/>
    </row>
    <row r="535" spans="1:12" ht="13">
      <c r="A535" s="50"/>
      <c r="D535" s="130"/>
      <c r="E535" s="130"/>
      <c r="F535" s="130"/>
      <c r="G535" s="130"/>
      <c r="H535" s="130"/>
      <c r="I535" s="130"/>
      <c r="J535" s="130"/>
      <c r="K535" s="130"/>
      <c r="L535" s="130"/>
    </row>
    <row r="536" spans="1:12" ht="13">
      <c r="A536" s="50"/>
      <c r="D536" s="130"/>
      <c r="E536" s="130"/>
      <c r="F536" s="130"/>
      <c r="G536" s="130"/>
      <c r="H536" s="130"/>
      <c r="I536" s="130"/>
      <c r="J536" s="130"/>
      <c r="K536" s="130"/>
      <c r="L536" s="130"/>
    </row>
    <row r="537" spans="1:12" ht="13">
      <c r="A537" s="50"/>
      <c r="D537" s="130"/>
      <c r="E537" s="130"/>
      <c r="F537" s="130"/>
      <c r="G537" s="130"/>
      <c r="H537" s="130"/>
      <c r="I537" s="130"/>
      <c r="J537" s="130"/>
      <c r="K537" s="130"/>
      <c r="L537" s="130"/>
    </row>
    <row r="538" spans="1:12" ht="13">
      <c r="A538" s="50"/>
      <c r="D538" s="130"/>
      <c r="E538" s="130"/>
      <c r="F538" s="130"/>
      <c r="G538" s="130"/>
      <c r="H538" s="130"/>
      <c r="I538" s="130"/>
      <c r="J538" s="130"/>
      <c r="K538" s="130"/>
      <c r="L538" s="130"/>
    </row>
    <row r="539" spans="1:12" ht="13">
      <c r="A539" s="50"/>
      <c r="D539" s="130"/>
      <c r="E539" s="130"/>
      <c r="F539" s="130"/>
      <c r="G539" s="130"/>
      <c r="H539" s="130"/>
      <c r="I539" s="130"/>
      <c r="J539" s="130"/>
      <c r="K539" s="130"/>
      <c r="L539" s="130"/>
    </row>
    <row r="540" spans="1:12" ht="13">
      <c r="A540" s="50"/>
      <c r="D540" s="130"/>
      <c r="E540" s="130"/>
      <c r="F540" s="130"/>
      <c r="G540" s="130"/>
      <c r="H540" s="130"/>
      <c r="I540" s="130"/>
      <c r="J540" s="130"/>
      <c r="K540" s="130"/>
      <c r="L540" s="130"/>
    </row>
    <row r="541" spans="1:12" ht="13">
      <c r="A541" s="50"/>
      <c r="D541" s="130"/>
      <c r="E541" s="130"/>
      <c r="F541" s="130"/>
      <c r="G541" s="130"/>
      <c r="H541" s="130"/>
      <c r="I541" s="130"/>
      <c r="J541" s="130"/>
      <c r="K541" s="130"/>
      <c r="L541" s="130"/>
    </row>
    <row r="542" spans="1:12" ht="13">
      <c r="A542" s="50"/>
      <c r="D542" s="130"/>
      <c r="E542" s="130"/>
      <c r="F542" s="130"/>
      <c r="G542" s="130"/>
      <c r="H542" s="130"/>
      <c r="I542" s="130"/>
      <c r="J542" s="130"/>
      <c r="K542" s="130"/>
      <c r="L542" s="130"/>
    </row>
    <row r="543" spans="1:12" ht="13">
      <c r="A543" s="50"/>
      <c r="D543" s="130"/>
      <c r="E543" s="130"/>
      <c r="F543" s="130"/>
      <c r="G543" s="130"/>
      <c r="H543" s="130"/>
      <c r="I543" s="130"/>
      <c r="J543" s="130"/>
      <c r="K543" s="130"/>
      <c r="L543" s="130"/>
    </row>
    <row r="544" spans="1:12" ht="13">
      <c r="A544" s="50"/>
      <c r="D544" s="130"/>
      <c r="E544" s="130"/>
      <c r="F544" s="130"/>
      <c r="G544" s="130"/>
      <c r="H544" s="130"/>
      <c r="I544" s="130"/>
      <c r="J544" s="130"/>
      <c r="K544" s="130"/>
      <c r="L544" s="130"/>
    </row>
    <row r="545" spans="1:12" ht="13">
      <c r="A545" s="50"/>
      <c r="D545" s="130"/>
      <c r="E545" s="130"/>
      <c r="F545" s="130"/>
      <c r="G545" s="130"/>
      <c r="H545" s="130"/>
      <c r="I545" s="130"/>
      <c r="J545" s="130"/>
      <c r="K545" s="130"/>
      <c r="L545" s="130"/>
    </row>
    <row r="546" spans="1:12" ht="13">
      <c r="A546" s="50"/>
      <c r="D546" s="130"/>
      <c r="E546" s="130"/>
      <c r="F546" s="130"/>
      <c r="G546" s="130"/>
      <c r="H546" s="130"/>
      <c r="I546" s="130"/>
      <c r="J546" s="130"/>
      <c r="K546" s="130"/>
      <c r="L546" s="130"/>
    </row>
    <row r="547" spans="1:12" ht="13">
      <c r="A547" s="50"/>
      <c r="D547" s="130"/>
      <c r="E547" s="130"/>
      <c r="F547" s="130"/>
      <c r="G547" s="130"/>
      <c r="H547" s="130"/>
      <c r="I547" s="130"/>
      <c r="J547" s="130"/>
      <c r="K547" s="130"/>
      <c r="L547" s="130"/>
    </row>
    <row r="548" spans="1:12" ht="13">
      <c r="A548" s="50"/>
      <c r="D548" s="130"/>
      <c r="E548" s="130"/>
      <c r="F548" s="130"/>
      <c r="G548" s="130"/>
      <c r="H548" s="130"/>
      <c r="I548" s="130"/>
      <c r="J548" s="130"/>
      <c r="K548" s="130"/>
      <c r="L548" s="130"/>
    </row>
    <row r="549" spans="1:12" ht="13">
      <c r="A549" s="50"/>
      <c r="D549" s="130"/>
      <c r="E549" s="130"/>
      <c r="F549" s="130"/>
      <c r="G549" s="130"/>
      <c r="H549" s="130"/>
      <c r="I549" s="130"/>
      <c r="J549" s="130"/>
      <c r="K549" s="130"/>
      <c r="L549" s="130"/>
    </row>
    <row r="550" spans="1:12" ht="13">
      <c r="A550" s="50"/>
      <c r="D550" s="130"/>
      <c r="E550" s="130"/>
      <c r="F550" s="130"/>
      <c r="G550" s="130"/>
      <c r="H550" s="130"/>
      <c r="I550" s="130"/>
      <c r="J550" s="130"/>
      <c r="K550" s="130"/>
      <c r="L550" s="130"/>
    </row>
    <row r="551" spans="1:12" ht="13">
      <c r="A551" s="50"/>
      <c r="D551" s="130"/>
      <c r="E551" s="130"/>
      <c r="F551" s="130"/>
      <c r="G551" s="130"/>
      <c r="H551" s="130"/>
      <c r="I551" s="130"/>
      <c r="J551" s="130"/>
      <c r="K551" s="130"/>
      <c r="L551" s="130"/>
    </row>
    <row r="552" spans="1:12" ht="13">
      <c r="A552" s="50"/>
      <c r="D552" s="130"/>
      <c r="E552" s="130"/>
      <c r="F552" s="130"/>
      <c r="G552" s="130"/>
      <c r="H552" s="130"/>
      <c r="I552" s="130"/>
      <c r="J552" s="130"/>
      <c r="K552" s="130"/>
      <c r="L552" s="130"/>
    </row>
    <row r="553" spans="1:12" ht="13">
      <c r="A553" s="50"/>
      <c r="D553" s="130"/>
      <c r="E553" s="130"/>
      <c r="F553" s="130"/>
      <c r="G553" s="130"/>
      <c r="H553" s="130"/>
      <c r="I553" s="130"/>
      <c r="J553" s="130"/>
      <c r="K553" s="130"/>
      <c r="L553" s="130"/>
    </row>
    <row r="554" spans="1:12" ht="13">
      <c r="A554" s="50"/>
      <c r="D554" s="130"/>
      <c r="E554" s="130"/>
      <c r="F554" s="130"/>
      <c r="G554" s="130"/>
      <c r="H554" s="130"/>
      <c r="I554" s="130"/>
      <c r="J554" s="130"/>
      <c r="K554" s="130"/>
      <c r="L554" s="130"/>
    </row>
    <row r="555" spans="1:12" ht="13">
      <c r="A555" s="50"/>
      <c r="D555" s="130"/>
      <c r="E555" s="130"/>
      <c r="F555" s="130"/>
      <c r="G555" s="130"/>
      <c r="H555" s="130"/>
      <c r="I555" s="130"/>
      <c r="J555" s="130"/>
      <c r="K555" s="130"/>
      <c r="L555" s="130"/>
    </row>
    <row r="556" spans="1:12" ht="13">
      <c r="A556" s="50"/>
      <c r="D556" s="130"/>
      <c r="E556" s="130"/>
      <c r="F556" s="130"/>
      <c r="G556" s="130"/>
      <c r="H556" s="130"/>
      <c r="I556" s="130"/>
      <c r="J556" s="130"/>
      <c r="K556" s="130"/>
      <c r="L556" s="130"/>
    </row>
    <row r="557" spans="1:12" ht="13">
      <c r="A557" s="50"/>
      <c r="D557" s="130"/>
      <c r="E557" s="130"/>
      <c r="F557" s="130"/>
      <c r="G557" s="130"/>
      <c r="H557" s="130"/>
      <c r="I557" s="130"/>
      <c r="J557" s="130"/>
      <c r="K557" s="130"/>
      <c r="L557" s="130"/>
    </row>
    <row r="558" spans="1:12" ht="13">
      <c r="A558" s="50"/>
      <c r="D558" s="130"/>
      <c r="E558" s="130"/>
      <c r="F558" s="130"/>
      <c r="G558" s="130"/>
      <c r="H558" s="130"/>
      <c r="I558" s="130"/>
      <c r="J558" s="130"/>
      <c r="K558" s="130"/>
      <c r="L558" s="130"/>
    </row>
    <row r="559" spans="1:12" ht="13">
      <c r="A559" s="50"/>
      <c r="D559" s="130"/>
      <c r="E559" s="130"/>
      <c r="F559" s="130"/>
      <c r="G559" s="130"/>
      <c r="H559" s="130"/>
      <c r="I559" s="130"/>
      <c r="J559" s="130"/>
      <c r="K559" s="130"/>
      <c r="L559" s="130"/>
    </row>
    <row r="560" spans="1:12" ht="13">
      <c r="A560" s="50"/>
      <c r="D560" s="130"/>
      <c r="E560" s="130"/>
      <c r="F560" s="130"/>
      <c r="G560" s="130"/>
      <c r="H560" s="130"/>
      <c r="I560" s="130"/>
      <c r="J560" s="130"/>
      <c r="K560" s="130"/>
      <c r="L560" s="130"/>
    </row>
    <row r="561" spans="1:12" ht="13">
      <c r="A561" s="50"/>
      <c r="D561" s="130"/>
      <c r="E561" s="130"/>
      <c r="F561" s="130"/>
      <c r="G561" s="130"/>
      <c r="H561" s="130"/>
      <c r="I561" s="130"/>
      <c r="J561" s="130"/>
      <c r="K561" s="130"/>
      <c r="L561" s="130"/>
    </row>
    <row r="562" spans="1:12" ht="13">
      <c r="A562" s="50"/>
      <c r="D562" s="130"/>
      <c r="E562" s="130"/>
      <c r="F562" s="130"/>
      <c r="G562" s="130"/>
      <c r="H562" s="130"/>
      <c r="I562" s="130"/>
      <c r="J562" s="130"/>
      <c r="K562" s="130"/>
      <c r="L562" s="130"/>
    </row>
    <row r="563" spans="1:12" ht="13">
      <c r="A563" s="50"/>
      <c r="D563" s="130"/>
      <c r="E563" s="130"/>
      <c r="F563" s="130"/>
      <c r="G563" s="130"/>
      <c r="H563" s="130"/>
      <c r="I563" s="130"/>
      <c r="J563" s="130"/>
      <c r="K563" s="130"/>
      <c r="L563" s="130"/>
    </row>
    <row r="564" spans="1:12" ht="13">
      <c r="A564" s="50"/>
      <c r="D564" s="130"/>
      <c r="E564" s="130"/>
      <c r="F564" s="130"/>
      <c r="G564" s="130"/>
      <c r="H564" s="130"/>
      <c r="I564" s="130"/>
      <c r="J564" s="130"/>
      <c r="K564" s="130"/>
      <c r="L564" s="130"/>
    </row>
    <row r="565" spans="1:12" ht="13">
      <c r="A565" s="50"/>
      <c r="D565" s="130"/>
      <c r="E565" s="130"/>
      <c r="F565" s="130"/>
      <c r="G565" s="130"/>
      <c r="H565" s="130"/>
      <c r="I565" s="130"/>
      <c r="J565" s="130"/>
      <c r="K565" s="130"/>
      <c r="L565" s="130"/>
    </row>
    <row r="566" spans="1:12" ht="13">
      <c r="A566" s="50"/>
      <c r="D566" s="130"/>
      <c r="E566" s="130"/>
      <c r="F566" s="130"/>
      <c r="G566" s="130"/>
      <c r="H566" s="130"/>
      <c r="I566" s="130"/>
      <c r="J566" s="130"/>
      <c r="K566" s="130"/>
      <c r="L566" s="130"/>
    </row>
    <row r="567" spans="1:12" ht="13">
      <c r="A567" s="50"/>
      <c r="D567" s="130"/>
      <c r="E567" s="130"/>
      <c r="F567" s="130"/>
      <c r="G567" s="130"/>
      <c r="H567" s="130"/>
      <c r="I567" s="130"/>
      <c r="J567" s="130"/>
      <c r="K567" s="130"/>
      <c r="L567" s="130"/>
    </row>
    <row r="568" spans="1:12" ht="13">
      <c r="A568" s="50"/>
      <c r="D568" s="130"/>
      <c r="E568" s="130"/>
      <c r="F568" s="130"/>
      <c r="G568" s="130"/>
      <c r="H568" s="130"/>
      <c r="I568" s="130"/>
      <c r="J568" s="130"/>
      <c r="K568" s="130"/>
      <c r="L568" s="130"/>
    </row>
    <row r="569" spans="1:12" ht="13">
      <c r="A569" s="50"/>
      <c r="D569" s="130"/>
      <c r="E569" s="130"/>
      <c r="F569" s="130"/>
      <c r="G569" s="130"/>
      <c r="H569" s="130"/>
      <c r="I569" s="130"/>
      <c r="J569" s="130"/>
      <c r="K569" s="130"/>
      <c r="L569" s="130"/>
    </row>
    <row r="570" spans="1:12" ht="13">
      <c r="A570" s="50"/>
      <c r="D570" s="130"/>
      <c r="E570" s="130"/>
      <c r="F570" s="130"/>
      <c r="G570" s="130"/>
      <c r="H570" s="130"/>
      <c r="I570" s="130"/>
      <c r="J570" s="130"/>
      <c r="K570" s="130"/>
      <c r="L570" s="130"/>
    </row>
    <row r="571" spans="1:12" ht="13">
      <c r="A571" s="50"/>
      <c r="D571" s="130"/>
      <c r="E571" s="130"/>
      <c r="F571" s="130"/>
      <c r="G571" s="130"/>
      <c r="H571" s="130"/>
      <c r="I571" s="130"/>
      <c r="J571" s="130"/>
      <c r="K571" s="130"/>
      <c r="L571" s="130"/>
    </row>
    <row r="572" spans="1:12" ht="13">
      <c r="A572" s="50"/>
      <c r="D572" s="130"/>
      <c r="E572" s="130"/>
      <c r="F572" s="130"/>
      <c r="G572" s="130"/>
      <c r="H572" s="130"/>
      <c r="I572" s="130"/>
      <c r="J572" s="130"/>
      <c r="K572" s="130"/>
      <c r="L572" s="130"/>
    </row>
    <row r="573" spans="1:12" ht="13">
      <c r="A573" s="50"/>
      <c r="D573" s="130"/>
      <c r="E573" s="130"/>
      <c r="F573" s="130"/>
      <c r="G573" s="130"/>
      <c r="H573" s="130"/>
      <c r="I573" s="130"/>
      <c r="J573" s="130"/>
      <c r="K573" s="130"/>
      <c r="L573" s="130"/>
    </row>
    <row r="574" spans="1:12" ht="13">
      <c r="A574" s="50"/>
      <c r="D574" s="130"/>
      <c r="E574" s="130"/>
      <c r="F574" s="130"/>
      <c r="G574" s="130"/>
      <c r="H574" s="130"/>
      <c r="I574" s="130"/>
      <c r="J574" s="130"/>
      <c r="K574" s="130"/>
      <c r="L574" s="130"/>
    </row>
    <row r="575" spans="1:12" ht="13">
      <c r="A575" s="50"/>
      <c r="D575" s="130"/>
      <c r="E575" s="130"/>
      <c r="F575" s="130"/>
      <c r="G575" s="130"/>
      <c r="H575" s="130"/>
      <c r="I575" s="130"/>
      <c r="J575" s="130"/>
      <c r="K575" s="130"/>
      <c r="L575" s="130"/>
    </row>
    <row r="576" spans="1:12" ht="13">
      <c r="A576" s="50"/>
      <c r="D576" s="130"/>
      <c r="E576" s="130"/>
      <c r="F576" s="130"/>
      <c r="G576" s="130"/>
      <c r="H576" s="130"/>
      <c r="I576" s="130"/>
      <c r="J576" s="130"/>
      <c r="K576" s="130"/>
      <c r="L576" s="130"/>
    </row>
    <row r="577" spans="1:12" ht="13">
      <c r="A577" s="50"/>
      <c r="D577" s="130"/>
      <c r="E577" s="130"/>
      <c r="F577" s="130"/>
      <c r="G577" s="130"/>
      <c r="H577" s="130"/>
      <c r="I577" s="130"/>
      <c r="J577" s="130"/>
      <c r="K577" s="130"/>
      <c r="L577" s="130"/>
    </row>
    <row r="578" spans="1:12" ht="13">
      <c r="A578" s="50"/>
      <c r="D578" s="130"/>
      <c r="E578" s="130"/>
      <c r="F578" s="130"/>
      <c r="G578" s="130"/>
      <c r="H578" s="130"/>
      <c r="I578" s="130"/>
      <c r="J578" s="130"/>
      <c r="K578" s="130"/>
      <c r="L578" s="130"/>
    </row>
    <row r="579" spans="1:12" ht="13">
      <c r="A579" s="50"/>
      <c r="D579" s="130"/>
      <c r="E579" s="130"/>
      <c r="F579" s="130"/>
      <c r="G579" s="130"/>
      <c r="H579" s="130"/>
      <c r="I579" s="130"/>
      <c r="J579" s="130"/>
      <c r="K579" s="130"/>
      <c r="L579" s="130"/>
    </row>
    <row r="580" spans="1:12" ht="13">
      <c r="A580" s="50"/>
      <c r="D580" s="130"/>
      <c r="E580" s="130"/>
      <c r="F580" s="130"/>
      <c r="G580" s="130"/>
      <c r="H580" s="130"/>
      <c r="I580" s="130"/>
      <c r="J580" s="130"/>
      <c r="K580" s="130"/>
      <c r="L580" s="130"/>
    </row>
    <row r="581" spans="1:12" ht="13">
      <c r="A581" s="50"/>
      <c r="D581" s="130"/>
      <c r="E581" s="130"/>
      <c r="F581" s="130"/>
      <c r="G581" s="130"/>
      <c r="H581" s="130"/>
      <c r="I581" s="130"/>
      <c r="J581" s="130"/>
      <c r="K581" s="130"/>
      <c r="L581" s="130"/>
    </row>
    <row r="582" spans="1:12" ht="13">
      <c r="A582" s="50"/>
      <c r="D582" s="130"/>
      <c r="E582" s="130"/>
      <c r="F582" s="130"/>
      <c r="G582" s="130"/>
      <c r="H582" s="130"/>
      <c r="I582" s="130"/>
      <c r="J582" s="130"/>
      <c r="K582" s="130"/>
      <c r="L582" s="130"/>
    </row>
    <row r="583" spans="1:12" ht="13">
      <c r="A583" s="50"/>
      <c r="D583" s="130"/>
      <c r="E583" s="130"/>
      <c r="F583" s="130"/>
      <c r="G583" s="130"/>
      <c r="H583" s="130"/>
      <c r="I583" s="130"/>
      <c r="J583" s="130"/>
      <c r="K583" s="130"/>
      <c r="L583" s="130"/>
    </row>
    <row r="584" spans="1:12" ht="13">
      <c r="A584" s="50"/>
      <c r="D584" s="130"/>
      <c r="E584" s="130"/>
      <c r="F584" s="130"/>
      <c r="G584" s="130"/>
      <c r="H584" s="130"/>
      <c r="I584" s="130"/>
      <c r="J584" s="130"/>
      <c r="K584" s="130"/>
      <c r="L584" s="130"/>
    </row>
    <row r="585" spans="1:12" ht="13">
      <c r="A585" s="50"/>
      <c r="D585" s="130"/>
      <c r="E585" s="130"/>
      <c r="F585" s="130"/>
      <c r="G585" s="130"/>
      <c r="H585" s="130"/>
      <c r="I585" s="130"/>
      <c r="J585" s="130"/>
      <c r="K585" s="130"/>
      <c r="L585" s="130"/>
    </row>
    <row r="586" spans="1:12" ht="13">
      <c r="A586" s="50"/>
      <c r="D586" s="130"/>
      <c r="E586" s="130"/>
      <c r="F586" s="130"/>
      <c r="G586" s="130"/>
      <c r="H586" s="130"/>
      <c r="I586" s="130"/>
      <c r="J586" s="130"/>
      <c r="K586" s="130"/>
      <c r="L586" s="130"/>
    </row>
    <row r="587" spans="1:12" ht="13">
      <c r="A587" s="50"/>
      <c r="D587" s="130"/>
      <c r="E587" s="130"/>
      <c r="F587" s="130"/>
      <c r="G587" s="130"/>
      <c r="H587" s="130"/>
      <c r="I587" s="130"/>
      <c r="J587" s="130"/>
      <c r="K587" s="130"/>
      <c r="L587" s="130"/>
    </row>
    <row r="588" spans="1:12" ht="13">
      <c r="A588" s="50"/>
      <c r="D588" s="130"/>
      <c r="E588" s="130"/>
      <c r="F588" s="130"/>
      <c r="G588" s="130"/>
      <c r="H588" s="130"/>
      <c r="I588" s="130"/>
      <c r="J588" s="130"/>
      <c r="K588" s="130"/>
      <c r="L588" s="130"/>
    </row>
    <row r="589" spans="1:12" ht="13">
      <c r="A589" s="50"/>
      <c r="D589" s="130"/>
      <c r="E589" s="130"/>
      <c r="F589" s="130"/>
      <c r="G589" s="130"/>
      <c r="H589" s="130"/>
      <c r="I589" s="130"/>
      <c r="J589" s="130"/>
      <c r="K589" s="130"/>
      <c r="L589" s="130"/>
    </row>
    <row r="590" spans="1:12" ht="13">
      <c r="A590" s="50"/>
      <c r="D590" s="130"/>
      <c r="E590" s="130"/>
      <c r="F590" s="130"/>
      <c r="G590" s="130"/>
      <c r="H590" s="130"/>
      <c r="I590" s="130"/>
      <c r="J590" s="130"/>
      <c r="K590" s="130"/>
      <c r="L590" s="130"/>
    </row>
    <row r="591" spans="1:12" ht="13">
      <c r="A591" s="50"/>
      <c r="D591" s="130"/>
      <c r="E591" s="130"/>
      <c r="F591" s="130"/>
      <c r="G591" s="130"/>
      <c r="H591" s="130"/>
      <c r="I591" s="130"/>
      <c r="J591" s="130"/>
      <c r="K591" s="130"/>
      <c r="L591" s="130"/>
    </row>
    <row r="592" spans="1:12" ht="13">
      <c r="A592" s="50"/>
      <c r="D592" s="130"/>
      <c r="E592" s="130"/>
      <c r="F592" s="130"/>
      <c r="G592" s="130"/>
      <c r="H592" s="130"/>
      <c r="I592" s="130"/>
      <c r="J592" s="130"/>
      <c r="K592" s="130"/>
      <c r="L592" s="130"/>
    </row>
    <row r="593" spans="1:12" ht="13">
      <c r="A593" s="50"/>
      <c r="D593" s="130"/>
      <c r="E593" s="130"/>
      <c r="F593" s="130"/>
      <c r="G593" s="130"/>
      <c r="H593" s="130"/>
      <c r="I593" s="130"/>
      <c r="J593" s="130"/>
      <c r="K593" s="130"/>
      <c r="L593" s="130"/>
    </row>
    <row r="594" spans="1:12" ht="13">
      <c r="A594" s="50"/>
      <c r="D594" s="130"/>
      <c r="E594" s="130"/>
      <c r="F594" s="130"/>
      <c r="G594" s="130"/>
      <c r="H594" s="130"/>
      <c r="I594" s="130"/>
      <c r="J594" s="130"/>
      <c r="K594" s="130"/>
      <c r="L594" s="130"/>
    </row>
    <row r="595" spans="1:12" ht="13">
      <c r="A595" s="50"/>
      <c r="D595" s="130"/>
      <c r="E595" s="130"/>
      <c r="F595" s="130"/>
      <c r="G595" s="130"/>
      <c r="H595" s="130"/>
      <c r="I595" s="130"/>
      <c r="J595" s="130"/>
      <c r="K595" s="130"/>
      <c r="L595" s="130"/>
    </row>
    <row r="596" spans="1:12" ht="13">
      <c r="A596" s="50"/>
      <c r="D596" s="130"/>
      <c r="E596" s="130"/>
      <c r="F596" s="130"/>
      <c r="G596" s="130"/>
      <c r="H596" s="130"/>
      <c r="I596" s="130"/>
      <c r="J596" s="130"/>
      <c r="K596" s="130"/>
      <c r="L596" s="130"/>
    </row>
    <row r="597" spans="1:12" ht="13">
      <c r="A597" s="50"/>
      <c r="D597" s="130"/>
      <c r="E597" s="130"/>
      <c r="F597" s="130"/>
      <c r="G597" s="130"/>
      <c r="H597" s="130"/>
      <c r="I597" s="130"/>
      <c r="J597" s="130"/>
      <c r="K597" s="130"/>
      <c r="L597" s="130"/>
    </row>
    <row r="598" spans="1:12" ht="13">
      <c r="A598" s="50"/>
      <c r="D598" s="130"/>
      <c r="E598" s="130"/>
      <c r="F598" s="130"/>
      <c r="G598" s="130"/>
      <c r="H598" s="130"/>
      <c r="I598" s="130"/>
      <c r="J598" s="130"/>
      <c r="K598" s="130"/>
      <c r="L598" s="130"/>
    </row>
    <row r="599" spans="1:12" ht="13">
      <c r="A599" s="50"/>
      <c r="D599" s="130"/>
      <c r="E599" s="130"/>
      <c r="F599" s="130"/>
      <c r="G599" s="130"/>
      <c r="H599" s="130"/>
      <c r="I599" s="130"/>
      <c r="J599" s="130"/>
      <c r="K599" s="130"/>
      <c r="L599" s="130"/>
    </row>
    <row r="600" spans="1:12" ht="13">
      <c r="A600" s="50"/>
      <c r="D600" s="130"/>
      <c r="E600" s="130"/>
      <c r="F600" s="130"/>
      <c r="G600" s="130"/>
      <c r="H600" s="130"/>
      <c r="I600" s="130"/>
      <c r="J600" s="130"/>
      <c r="K600" s="130"/>
      <c r="L600" s="130"/>
    </row>
    <row r="601" spans="1:12" ht="13">
      <c r="A601" s="50"/>
      <c r="D601" s="130"/>
      <c r="E601" s="130"/>
      <c r="F601" s="130"/>
      <c r="G601" s="130"/>
      <c r="H601" s="130"/>
      <c r="I601" s="130"/>
      <c r="J601" s="130"/>
      <c r="K601" s="130"/>
      <c r="L601" s="130"/>
    </row>
    <row r="602" spans="1:12" ht="13">
      <c r="A602" s="50"/>
      <c r="D602" s="130"/>
      <c r="E602" s="130"/>
      <c r="F602" s="130"/>
      <c r="G602" s="130"/>
      <c r="H602" s="130"/>
      <c r="I602" s="130"/>
      <c r="J602" s="130"/>
      <c r="K602" s="130"/>
      <c r="L602" s="130"/>
    </row>
    <row r="603" spans="1:12" ht="13">
      <c r="A603" s="50"/>
      <c r="D603" s="130"/>
      <c r="E603" s="130"/>
      <c r="F603" s="130"/>
      <c r="G603" s="130"/>
      <c r="H603" s="130"/>
      <c r="I603" s="130"/>
      <c r="J603" s="130"/>
      <c r="K603" s="130"/>
      <c r="L603" s="130"/>
    </row>
    <row r="604" spans="1:12" ht="13">
      <c r="A604" s="50"/>
      <c r="D604" s="130"/>
      <c r="E604" s="130"/>
      <c r="F604" s="130"/>
      <c r="G604" s="130"/>
      <c r="H604" s="130"/>
      <c r="I604" s="130"/>
      <c r="J604" s="130"/>
      <c r="K604" s="130"/>
      <c r="L604" s="130"/>
    </row>
    <row r="605" spans="1:12" ht="13">
      <c r="A605" s="50"/>
      <c r="D605" s="130"/>
      <c r="E605" s="130"/>
      <c r="F605" s="130"/>
      <c r="G605" s="130"/>
      <c r="H605" s="130"/>
      <c r="I605" s="130"/>
      <c r="J605" s="130"/>
      <c r="K605" s="130"/>
      <c r="L605" s="130"/>
    </row>
    <row r="606" spans="1:12" ht="13">
      <c r="A606" s="50"/>
      <c r="D606" s="130"/>
      <c r="E606" s="130"/>
      <c r="F606" s="130"/>
      <c r="G606" s="130"/>
      <c r="H606" s="130"/>
      <c r="I606" s="130"/>
      <c r="J606" s="130"/>
      <c r="K606" s="130"/>
      <c r="L606" s="130"/>
    </row>
    <row r="607" spans="1:12" ht="13">
      <c r="A607" s="50"/>
      <c r="D607" s="130"/>
      <c r="E607" s="130"/>
      <c r="F607" s="130"/>
      <c r="G607" s="130"/>
      <c r="H607" s="130"/>
      <c r="I607" s="130"/>
      <c r="J607" s="130"/>
      <c r="K607" s="130"/>
      <c r="L607" s="130"/>
    </row>
    <row r="608" spans="1:12" ht="13">
      <c r="A608" s="50"/>
      <c r="D608" s="130"/>
      <c r="E608" s="130"/>
      <c r="F608" s="130"/>
      <c r="G608" s="130"/>
      <c r="H608" s="130"/>
      <c r="I608" s="130"/>
      <c r="J608" s="130"/>
      <c r="K608" s="130"/>
      <c r="L608" s="130"/>
    </row>
    <row r="609" spans="1:12" ht="13">
      <c r="A609" s="50"/>
      <c r="D609" s="130"/>
      <c r="E609" s="130"/>
      <c r="F609" s="130"/>
      <c r="G609" s="130"/>
      <c r="H609" s="130"/>
      <c r="I609" s="130"/>
      <c r="J609" s="130"/>
      <c r="K609" s="130"/>
      <c r="L609" s="130"/>
    </row>
    <row r="610" spans="1:12" ht="13">
      <c r="A610" s="50"/>
      <c r="D610" s="130"/>
      <c r="E610" s="130"/>
      <c r="F610" s="130"/>
      <c r="G610" s="130"/>
      <c r="H610" s="130"/>
      <c r="I610" s="130"/>
      <c r="J610" s="130"/>
      <c r="K610" s="130"/>
      <c r="L610" s="130"/>
    </row>
    <row r="611" spans="1:12" ht="13">
      <c r="A611" s="50"/>
      <c r="D611" s="130"/>
      <c r="E611" s="130"/>
      <c r="F611" s="130"/>
      <c r="G611" s="130"/>
      <c r="H611" s="130"/>
      <c r="I611" s="130"/>
      <c r="J611" s="130"/>
      <c r="K611" s="130"/>
      <c r="L611" s="130"/>
    </row>
    <row r="612" spans="1:12" ht="13">
      <c r="A612" s="50"/>
      <c r="D612" s="130"/>
      <c r="E612" s="130"/>
      <c r="F612" s="130"/>
      <c r="G612" s="130"/>
      <c r="H612" s="130"/>
      <c r="I612" s="130"/>
      <c r="J612" s="130"/>
      <c r="K612" s="130"/>
      <c r="L612" s="130"/>
    </row>
    <row r="613" spans="1:12" ht="13">
      <c r="A613" s="50"/>
      <c r="D613" s="130"/>
      <c r="E613" s="130"/>
      <c r="F613" s="130"/>
      <c r="G613" s="130"/>
      <c r="H613" s="130"/>
      <c r="I613" s="130"/>
      <c r="J613" s="130"/>
      <c r="K613" s="130"/>
      <c r="L613" s="130"/>
    </row>
    <row r="614" spans="1:12" ht="13">
      <c r="A614" s="50"/>
      <c r="D614" s="130"/>
      <c r="E614" s="130"/>
      <c r="F614" s="130"/>
      <c r="G614" s="130"/>
      <c r="H614" s="130"/>
      <c r="I614" s="130"/>
      <c r="J614" s="130"/>
      <c r="K614" s="130"/>
      <c r="L614" s="130"/>
    </row>
    <row r="615" spans="1:12" ht="13">
      <c r="A615" s="50"/>
      <c r="D615" s="130"/>
      <c r="E615" s="130"/>
      <c r="F615" s="130"/>
      <c r="G615" s="130"/>
      <c r="H615" s="130"/>
      <c r="I615" s="130"/>
      <c r="J615" s="130"/>
      <c r="K615" s="130"/>
      <c r="L615" s="130"/>
    </row>
    <row r="616" spans="1:12" ht="13">
      <c r="A616" s="50"/>
      <c r="D616" s="130"/>
      <c r="E616" s="130"/>
      <c r="F616" s="130"/>
      <c r="G616" s="130"/>
      <c r="H616" s="130"/>
      <c r="I616" s="130"/>
      <c r="J616" s="130"/>
      <c r="K616" s="130"/>
      <c r="L616" s="130"/>
    </row>
    <row r="617" spans="1:12" ht="13">
      <c r="A617" s="50"/>
      <c r="D617" s="130"/>
      <c r="E617" s="130"/>
      <c r="F617" s="130"/>
      <c r="G617" s="130"/>
      <c r="H617" s="130"/>
      <c r="I617" s="130"/>
      <c r="J617" s="130"/>
      <c r="K617" s="130"/>
      <c r="L617" s="130"/>
    </row>
    <row r="618" spans="1:12" ht="13">
      <c r="A618" s="50"/>
      <c r="D618" s="130"/>
      <c r="E618" s="130"/>
      <c r="F618" s="130"/>
      <c r="G618" s="130"/>
      <c r="H618" s="130"/>
      <c r="I618" s="130"/>
      <c r="J618" s="130"/>
      <c r="K618" s="130"/>
      <c r="L618" s="130"/>
    </row>
    <row r="619" spans="1:12" ht="13">
      <c r="A619" s="50"/>
      <c r="D619" s="130"/>
      <c r="E619" s="130"/>
      <c r="F619" s="130"/>
      <c r="G619" s="130"/>
      <c r="H619" s="130"/>
      <c r="I619" s="130"/>
      <c r="J619" s="130"/>
      <c r="K619" s="130"/>
      <c r="L619" s="130"/>
    </row>
    <row r="620" spans="1:12" ht="13">
      <c r="A620" s="50"/>
      <c r="D620" s="130"/>
      <c r="E620" s="130"/>
      <c r="F620" s="130"/>
      <c r="G620" s="130"/>
      <c r="H620" s="130"/>
      <c r="I620" s="130"/>
      <c r="J620" s="130"/>
      <c r="K620" s="130"/>
      <c r="L620" s="130"/>
    </row>
    <row r="621" spans="1:12" ht="13">
      <c r="A621" s="50"/>
      <c r="D621" s="130"/>
      <c r="E621" s="130"/>
      <c r="F621" s="130"/>
      <c r="G621" s="130"/>
      <c r="H621" s="130"/>
      <c r="I621" s="130"/>
      <c r="J621" s="130"/>
      <c r="K621" s="130"/>
      <c r="L621" s="130"/>
    </row>
    <row r="622" spans="1:12" ht="13">
      <c r="A622" s="50"/>
      <c r="D622" s="130"/>
      <c r="E622" s="130"/>
      <c r="F622" s="130"/>
      <c r="G622" s="130"/>
      <c r="H622" s="130"/>
      <c r="I622" s="130"/>
      <c r="J622" s="130"/>
      <c r="K622" s="130"/>
      <c r="L622" s="130"/>
    </row>
    <row r="623" spans="1:12" ht="13">
      <c r="A623" s="50"/>
      <c r="D623" s="130"/>
      <c r="E623" s="130"/>
      <c r="F623" s="130"/>
      <c r="G623" s="130"/>
      <c r="H623" s="130"/>
      <c r="I623" s="130"/>
      <c r="J623" s="130"/>
      <c r="K623" s="130"/>
      <c r="L623" s="130"/>
    </row>
    <row r="624" spans="1:12" ht="13">
      <c r="A624" s="50"/>
      <c r="D624" s="130"/>
      <c r="E624" s="130"/>
      <c r="F624" s="130"/>
      <c r="G624" s="130"/>
      <c r="H624" s="130"/>
      <c r="I624" s="130"/>
      <c r="J624" s="130"/>
      <c r="K624" s="130"/>
      <c r="L624" s="130"/>
    </row>
    <row r="625" spans="1:12" ht="13">
      <c r="A625" s="50"/>
      <c r="D625" s="130"/>
      <c r="E625" s="130"/>
      <c r="F625" s="130"/>
      <c r="G625" s="130"/>
      <c r="H625" s="130"/>
      <c r="I625" s="130"/>
      <c r="J625" s="130"/>
      <c r="K625" s="130"/>
      <c r="L625" s="130"/>
    </row>
    <row r="626" spans="1:12" ht="13">
      <c r="A626" s="50"/>
      <c r="D626" s="130"/>
      <c r="E626" s="130"/>
      <c r="F626" s="130"/>
      <c r="G626" s="130"/>
      <c r="H626" s="130"/>
      <c r="I626" s="130"/>
      <c r="J626" s="130"/>
      <c r="K626" s="130"/>
      <c r="L626" s="130"/>
    </row>
    <row r="627" spans="1:12" ht="13">
      <c r="A627" s="50"/>
      <c r="D627" s="130"/>
      <c r="E627" s="130"/>
      <c r="F627" s="130"/>
      <c r="G627" s="130"/>
      <c r="H627" s="130"/>
      <c r="I627" s="130"/>
      <c r="J627" s="130"/>
      <c r="K627" s="130"/>
      <c r="L627" s="130"/>
    </row>
    <row r="628" spans="1:12" ht="13">
      <c r="A628" s="50"/>
      <c r="D628" s="130"/>
      <c r="E628" s="130"/>
      <c r="F628" s="130"/>
      <c r="G628" s="130"/>
      <c r="H628" s="130"/>
      <c r="I628" s="130"/>
      <c r="J628" s="130"/>
      <c r="K628" s="130"/>
      <c r="L628" s="130"/>
    </row>
    <row r="629" spans="1:12" ht="13">
      <c r="A629" s="50"/>
      <c r="D629" s="130"/>
      <c r="E629" s="130"/>
      <c r="F629" s="130"/>
      <c r="G629" s="130"/>
      <c r="H629" s="130"/>
      <c r="I629" s="130"/>
      <c r="J629" s="130"/>
      <c r="K629" s="130"/>
      <c r="L629" s="130"/>
    </row>
    <row r="630" spans="1:12" ht="13">
      <c r="A630" s="50"/>
      <c r="D630" s="130"/>
      <c r="E630" s="130"/>
      <c r="F630" s="130"/>
      <c r="G630" s="130"/>
      <c r="H630" s="130"/>
      <c r="I630" s="130"/>
      <c r="J630" s="130"/>
      <c r="K630" s="130"/>
      <c r="L630" s="130"/>
    </row>
    <row r="631" spans="1:12" ht="13">
      <c r="A631" s="50"/>
      <c r="D631" s="130"/>
      <c r="E631" s="130"/>
      <c r="F631" s="130"/>
      <c r="G631" s="130"/>
      <c r="H631" s="130"/>
      <c r="I631" s="130"/>
      <c r="J631" s="130"/>
      <c r="K631" s="130"/>
      <c r="L631" s="130"/>
    </row>
    <row r="632" spans="1:12" ht="13">
      <c r="A632" s="50"/>
      <c r="D632" s="130"/>
      <c r="E632" s="130"/>
      <c r="F632" s="130"/>
      <c r="G632" s="130"/>
      <c r="H632" s="130"/>
      <c r="I632" s="130"/>
      <c r="J632" s="130"/>
      <c r="K632" s="130"/>
      <c r="L632" s="130"/>
    </row>
    <row r="633" spans="1:12" ht="13">
      <c r="A633" s="50"/>
      <c r="D633" s="130"/>
      <c r="E633" s="130"/>
      <c r="F633" s="130"/>
      <c r="G633" s="130"/>
      <c r="H633" s="130"/>
      <c r="I633" s="130"/>
      <c r="J633" s="130"/>
      <c r="K633" s="130"/>
      <c r="L633" s="130"/>
    </row>
    <row r="634" spans="1:12" ht="13">
      <c r="A634" s="50"/>
      <c r="D634" s="130"/>
      <c r="E634" s="130"/>
      <c r="F634" s="130"/>
      <c r="G634" s="130"/>
      <c r="H634" s="130"/>
      <c r="I634" s="130"/>
      <c r="J634" s="130"/>
      <c r="K634" s="130"/>
      <c r="L634" s="130"/>
    </row>
    <row r="635" spans="1:12" ht="13">
      <c r="A635" s="50"/>
      <c r="D635" s="130"/>
      <c r="E635" s="130"/>
      <c r="F635" s="130"/>
      <c r="G635" s="130"/>
      <c r="H635" s="130"/>
      <c r="I635" s="130"/>
      <c r="J635" s="130"/>
      <c r="K635" s="130"/>
      <c r="L635" s="130"/>
    </row>
    <row r="636" spans="1:12" ht="13">
      <c r="A636" s="50"/>
      <c r="D636" s="130"/>
      <c r="E636" s="130"/>
      <c r="F636" s="130"/>
      <c r="G636" s="130"/>
      <c r="H636" s="130"/>
      <c r="I636" s="130"/>
      <c r="J636" s="130"/>
      <c r="K636" s="130"/>
      <c r="L636" s="130"/>
    </row>
    <row r="637" spans="1:12" ht="13">
      <c r="A637" s="50"/>
      <c r="D637" s="130"/>
      <c r="E637" s="130"/>
      <c r="F637" s="130"/>
      <c r="G637" s="130"/>
      <c r="H637" s="130"/>
      <c r="I637" s="130"/>
      <c r="J637" s="130"/>
      <c r="K637" s="130"/>
      <c r="L637" s="130"/>
    </row>
    <row r="638" spans="1:12" ht="13">
      <c r="A638" s="50"/>
      <c r="D638" s="130"/>
      <c r="E638" s="130"/>
      <c r="F638" s="130"/>
      <c r="G638" s="130"/>
      <c r="H638" s="130"/>
      <c r="I638" s="130"/>
      <c r="J638" s="130"/>
      <c r="K638" s="130"/>
      <c r="L638" s="130"/>
    </row>
    <row r="639" spans="1:12" ht="13">
      <c r="A639" s="50"/>
      <c r="D639" s="130"/>
      <c r="E639" s="130"/>
      <c r="F639" s="130"/>
      <c r="G639" s="130"/>
      <c r="H639" s="130"/>
      <c r="I639" s="130"/>
      <c r="J639" s="130"/>
      <c r="K639" s="130"/>
      <c r="L639" s="130"/>
    </row>
    <row r="640" spans="1:12" ht="13">
      <c r="A640" s="50"/>
      <c r="D640" s="130"/>
      <c r="E640" s="130"/>
      <c r="F640" s="130"/>
      <c r="G640" s="130"/>
      <c r="H640" s="130"/>
      <c r="I640" s="130"/>
      <c r="J640" s="130"/>
      <c r="K640" s="130"/>
      <c r="L640" s="130"/>
    </row>
    <row r="641" spans="1:12" ht="13">
      <c r="A641" s="50"/>
      <c r="D641" s="130"/>
      <c r="E641" s="130"/>
      <c r="F641" s="130"/>
      <c r="G641" s="130"/>
      <c r="H641" s="130"/>
      <c r="I641" s="130"/>
      <c r="J641" s="130"/>
      <c r="K641" s="130"/>
      <c r="L641" s="130"/>
    </row>
    <row r="642" spans="1:12" ht="13">
      <c r="A642" s="50"/>
      <c r="D642" s="130"/>
      <c r="E642" s="130"/>
      <c r="F642" s="130"/>
      <c r="G642" s="130"/>
      <c r="H642" s="130"/>
      <c r="I642" s="130"/>
      <c r="J642" s="130"/>
      <c r="K642" s="130"/>
      <c r="L642" s="130"/>
    </row>
    <row r="643" spans="1:12" ht="13">
      <c r="A643" s="50"/>
      <c r="D643" s="130"/>
      <c r="E643" s="130"/>
      <c r="F643" s="130"/>
      <c r="G643" s="130"/>
      <c r="H643" s="130"/>
      <c r="I643" s="130"/>
      <c r="J643" s="130"/>
      <c r="K643" s="130"/>
      <c r="L643" s="130"/>
    </row>
    <row r="644" spans="1:12" ht="13">
      <c r="A644" s="50"/>
      <c r="D644" s="130"/>
      <c r="E644" s="130"/>
      <c r="F644" s="130"/>
      <c r="G644" s="130"/>
      <c r="H644" s="130"/>
      <c r="I644" s="130"/>
      <c r="J644" s="130"/>
      <c r="K644" s="130"/>
      <c r="L644" s="130"/>
    </row>
    <row r="645" spans="1:12" ht="13">
      <c r="A645" s="50"/>
      <c r="D645" s="130"/>
      <c r="E645" s="130"/>
      <c r="F645" s="130"/>
      <c r="G645" s="130"/>
      <c r="H645" s="130"/>
      <c r="I645" s="130"/>
      <c r="J645" s="130"/>
      <c r="K645" s="130"/>
      <c r="L645" s="130"/>
    </row>
    <row r="646" spans="1:12" ht="13">
      <c r="A646" s="50"/>
      <c r="D646" s="130"/>
      <c r="E646" s="130"/>
      <c r="F646" s="130"/>
      <c r="G646" s="130"/>
      <c r="H646" s="130"/>
      <c r="I646" s="130"/>
      <c r="J646" s="130"/>
      <c r="K646" s="130"/>
      <c r="L646" s="130"/>
    </row>
    <row r="647" spans="1:12" ht="13">
      <c r="A647" s="50"/>
      <c r="D647" s="130"/>
      <c r="E647" s="130"/>
      <c r="F647" s="130"/>
      <c r="G647" s="130"/>
      <c r="H647" s="130"/>
      <c r="I647" s="130"/>
      <c r="J647" s="130"/>
      <c r="K647" s="130"/>
      <c r="L647" s="130"/>
    </row>
    <row r="648" spans="1:12" ht="13">
      <c r="A648" s="50"/>
      <c r="D648" s="130"/>
      <c r="E648" s="130"/>
      <c r="F648" s="130"/>
      <c r="G648" s="130"/>
      <c r="H648" s="130"/>
      <c r="I648" s="130"/>
      <c r="J648" s="130"/>
      <c r="K648" s="130"/>
      <c r="L648" s="130"/>
    </row>
    <row r="649" spans="1:12" ht="13">
      <c r="A649" s="50"/>
      <c r="D649" s="130"/>
      <c r="E649" s="130"/>
      <c r="F649" s="130"/>
      <c r="G649" s="130"/>
      <c r="H649" s="130"/>
      <c r="I649" s="130"/>
      <c r="J649" s="130"/>
      <c r="K649" s="130"/>
      <c r="L649" s="130"/>
    </row>
    <row r="650" spans="1:12" ht="13">
      <c r="A650" s="50"/>
      <c r="D650" s="130"/>
      <c r="E650" s="130"/>
      <c r="F650" s="130"/>
      <c r="G650" s="130"/>
      <c r="H650" s="130"/>
      <c r="I650" s="130"/>
      <c r="J650" s="130"/>
      <c r="K650" s="130"/>
      <c r="L650" s="130"/>
    </row>
    <row r="651" spans="1:12" ht="13">
      <c r="A651" s="50"/>
      <c r="D651" s="130"/>
      <c r="E651" s="130"/>
      <c r="F651" s="130"/>
      <c r="G651" s="130"/>
      <c r="H651" s="130"/>
      <c r="I651" s="130"/>
      <c r="J651" s="130"/>
      <c r="K651" s="130"/>
      <c r="L651" s="130"/>
    </row>
    <row r="652" spans="1:12" ht="13">
      <c r="A652" s="50"/>
      <c r="D652" s="130"/>
      <c r="E652" s="130"/>
      <c r="F652" s="130"/>
      <c r="G652" s="130"/>
      <c r="H652" s="130"/>
      <c r="I652" s="130"/>
      <c r="J652" s="130"/>
      <c r="K652" s="130"/>
      <c r="L652" s="130"/>
    </row>
    <row r="653" spans="1:12" ht="13">
      <c r="A653" s="50"/>
      <c r="D653" s="130"/>
      <c r="E653" s="130"/>
      <c r="F653" s="130"/>
      <c r="G653" s="130"/>
      <c r="H653" s="130"/>
      <c r="I653" s="130"/>
      <c r="J653" s="130"/>
      <c r="K653" s="130"/>
      <c r="L653" s="130"/>
    </row>
    <row r="654" spans="1:12" ht="13">
      <c r="A654" s="50"/>
      <c r="D654" s="130"/>
      <c r="E654" s="130"/>
      <c r="F654" s="130"/>
      <c r="G654" s="130"/>
      <c r="H654" s="130"/>
      <c r="I654" s="130"/>
      <c r="J654" s="130"/>
      <c r="K654" s="130"/>
      <c r="L654" s="130"/>
    </row>
    <row r="655" spans="1:12" ht="13">
      <c r="A655" s="50"/>
      <c r="D655" s="130"/>
      <c r="E655" s="130"/>
      <c r="F655" s="130"/>
      <c r="G655" s="130"/>
      <c r="H655" s="130"/>
      <c r="I655" s="130"/>
      <c r="J655" s="130"/>
      <c r="K655" s="130"/>
      <c r="L655" s="130"/>
    </row>
    <row r="656" spans="1:12" ht="13">
      <c r="A656" s="50"/>
      <c r="D656" s="130"/>
      <c r="E656" s="130"/>
      <c r="F656" s="130"/>
      <c r="G656" s="130"/>
      <c r="H656" s="130"/>
      <c r="I656" s="130"/>
      <c r="J656" s="130"/>
      <c r="K656" s="130"/>
      <c r="L656" s="130"/>
    </row>
    <row r="657" spans="1:12" ht="13">
      <c r="A657" s="50"/>
      <c r="D657" s="130"/>
      <c r="E657" s="130"/>
      <c r="F657" s="130"/>
      <c r="G657" s="130"/>
      <c r="H657" s="130"/>
      <c r="I657" s="130"/>
      <c r="J657" s="130"/>
      <c r="K657" s="130"/>
      <c r="L657" s="130"/>
    </row>
    <row r="658" spans="1:12" ht="13">
      <c r="A658" s="50"/>
      <c r="D658" s="130"/>
      <c r="E658" s="130"/>
      <c r="F658" s="130"/>
      <c r="G658" s="130"/>
      <c r="H658" s="130"/>
      <c r="I658" s="130"/>
      <c r="J658" s="130"/>
      <c r="K658" s="130"/>
      <c r="L658" s="130"/>
    </row>
    <row r="659" spans="1:12" ht="13">
      <c r="A659" s="50"/>
      <c r="D659" s="130"/>
      <c r="E659" s="130"/>
      <c r="F659" s="130"/>
      <c r="G659" s="130"/>
      <c r="H659" s="130"/>
      <c r="I659" s="130"/>
      <c r="J659" s="130"/>
      <c r="K659" s="130"/>
      <c r="L659" s="130"/>
    </row>
    <row r="660" spans="1:12" ht="13">
      <c r="A660" s="50"/>
      <c r="D660" s="130"/>
      <c r="E660" s="130"/>
      <c r="F660" s="130"/>
      <c r="G660" s="130"/>
      <c r="H660" s="130"/>
      <c r="I660" s="130"/>
      <c r="J660" s="130"/>
      <c r="K660" s="130"/>
      <c r="L660" s="130"/>
    </row>
    <row r="661" spans="1:12" ht="13">
      <c r="A661" s="50"/>
      <c r="D661" s="130"/>
      <c r="E661" s="130"/>
      <c r="F661" s="130"/>
      <c r="G661" s="130"/>
      <c r="H661" s="130"/>
      <c r="I661" s="130"/>
      <c r="J661" s="130"/>
      <c r="K661" s="130"/>
      <c r="L661" s="130"/>
    </row>
    <row r="662" spans="1:12" ht="13">
      <c r="A662" s="50"/>
      <c r="D662" s="130"/>
      <c r="E662" s="130"/>
      <c r="F662" s="130"/>
      <c r="G662" s="130"/>
      <c r="H662" s="130"/>
      <c r="I662" s="130"/>
      <c r="J662" s="130"/>
      <c r="K662" s="130"/>
      <c r="L662" s="130"/>
    </row>
    <row r="663" spans="1:12" ht="13">
      <c r="A663" s="50"/>
      <c r="D663" s="130"/>
      <c r="E663" s="130"/>
      <c r="F663" s="130"/>
      <c r="G663" s="130"/>
      <c r="H663" s="130"/>
      <c r="I663" s="130"/>
      <c r="J663" s="130"/>
      <c r="K663" s="130"/>
      <c r="L663" s="130"/>
    </row>
    <row r="664" spans="1:12" ht="13">
      <c r="A664" s="50"/>
      <c r="D664" s="130"/>
      <c r="E664" s="130"/>
      <c r="F664" s="130"/>
      <c r="G664" s="130"/>
      <c r="H664" s="130"/>
      <c r="I664" s="130"/>
      <c r="J664" s="130"/>
      <c r="K664" s="130"/>
      <c r="L664" s="130"/>
    </row>
    <row r="665" spans="1:12" ht="13">
      <c r="A665" s="50"/>
      <c r="D665" s="130"/>
      <c r="E665" s="130"/>
      <c r="F665" s="130"/>
      <c r="G665" s="130"/>
      <c r="H665" s="130"/>
      <c r="I665" s="130"/>
      <c r="J665" s="130"/>
      <c r="K665" s="130"/>
      <c r="L665" s="130"/>
    </row>
    <row r="666" spans="1:12" ht="13">
      <c r="A666" s="50"/>
      <c r="D666" s="130"/>
      <c r="E666" s="130"/>
      <c r="F666" s="130"/>
      <c r="G666" s="130"/>
      <c r="H666" s="130"/>
      <c r="I666" s="130"/>
      <c r="J666" s="130"/>
      <c r="K666" s="130"/>
      <c r="L666" s="130"/>
    </row>
    <row r="667" spans="1:12" ht="13">
      <c r="A667" s="50"/>
      <c r="D667" s="130"/>
      <c r="E667" s="130"/>
      <c r="F667" s="130"/>
      <c r="G667" s="130"/>
      <c r="H667" s="130"/>
      <c r="I667" s="130"/>
      <c r="J667" s="130"/>
      <c r="K667" s="130"/>
      <c r="L667" s="130"/>
    </row>
    <row r="668" spans="1:12" ht="13">
      <c r="A668" s="50"/>
      <c r="D668" s="130"/>
      <c r="E668" s="130"/>
      <c r="F668" s="130"/>
      <c r="G668" s="130"/>
      <c r="H668" s="130"/>
      <c r="I668" s="130"/>
      <c r="J668" s="130"/>
      <c r="K668" s="130"/>
      <c r="L668" s="130"/>
    </row>
    <row r="669" spans="1:12" ht="13">
      <c r="A669" s="50"/>
      <c r="D669" s="130"/>
      <c r="E669" s="130"/>
      <c r="F669" s="130"/>
      <c r="G669" s="130"/>
      <c r="H669" s="130"/>
      <c r="I669" s="130"/>
      <c r="J669" s="130"/>
      <c r="K669" s="130"/>
      <c r="L669" s="130"/>
    </row>
    <row r="670" spans="1:12" ht="13">
      <c r="A670" s="50"/>
      <c r="D670" s="130"/>
      <c r="E670" s="130"/>
      <c r="F670" s="130"/>
      <c r="G670" s="130"/>
      <c r="H670" s="130"/>
      <c r="I670" s="130"/>
      <c r="J670" s="130"/>
      <c r="K670" s="130"/>
      <c r="L670" s="130"/>
    </row>
    <row r="671" spans="1:12" ht="13">
      <c r="A671" s="50"/>
      <c r="D671" s="130"/>
      <c r="E671" s="130"/>
      <c r="F671" s="130"/>
      <c r="G671" s="130"/>
      <c r="H671" s="130"/>
      <c r="I671" s="130"/>
      <c r="J671" s="130"/>
      <c r="K671" s="130"/>
      <c r="L671" s="130"/>
    </row>
    <row r="672" spans="1:12" ht="13">
      <c r="A672" s="50"/>
      <c r="D672" s="130"/>
      <c r="E672" s="130"/>
      <c r="F672" s="130"/>
      <c r="G672" s="130"/>
      <c r="H672" s="130"/>
      <c r="I672" s="130"/>
      <c r="J672" s="130"/>
      <c r="K672" s="130"/>
      <c r="L672" s="130"/>
    </row>
    <row r="673" spans="1:12" ht="13">
      <c r="A673" s="50"/>
      <c r="D673" s="130"/>
      <c r="E673" s="130"/>
      <c r="F673" s="130"/>
      <c r="G673" s="130"/>
      <c r="H673" s="130"/>
      <c r="I673" s="130"/>
      <c r="J673" s="130"/>
      <c r="K673" s="130"/>
      <c r="L673" s="130"/>
    </row>
    <row r="674" spans="1:12" ht="13">
      <c r="A674" s="50"/>
      <c r="D674" s="130"/>
      <c r="E674" s="130"/>
      <c r="F674" s="130"/>
      <c r="G674" s="130"/>
      <c r="H674" s="130"/>
      <c r="I674" s="130"/>
      <c r="J674" s="130"/>
      <c r="K674" s="130"/>
      <c r="L674" s="130"/>
    </row>
    <row r="675" spans="1:12" ht="13">
      <c r="A675" s="50"/>
      <c r="D675" s="130"/>
      <c r="E675" s="130"/>
      <c r="F675" s="130"/>
      <c r="G675" s="130"/>
      <c r="H675" s="130"/>
      <c r="I675" s="130"/>
      <c r="J675" s="130"/>
      <c r="K675" s="130"/>
      <c r="L675" s="130"/>
    </row>
    <row r="676" spans="1:12" ht="13">
      <c r="A676" s="50"/>
      <c r="D676" s="130"/>
      <c r="E676" s="130"/>
      <c r="F676" s="130"/>
      <c r="G676" s="130"/>
      <c r="H676" s="130"/>
      <c r="I676" s="130"/>
      <c r="J676" s="130"/>
      <c r="K676" s="130"/>
      <c r="L676" s="130"/>
    </row>
    <row r="677" spans="1:12" ht="13">
      <c r="A677" s="50"/>
      <c r="D677" s="130"/>
      <c r="E677" s="130"/>
      <c r="F677" s="130"/>
      <c r="G677" s="130"/>
      <c r="H677" s="130"/>
      <c r="I677" s="130"/>
      <c r="J677" s="130"/>
      <c r="K677" s="130"/>
      <c r="L677" s="130"/>
    </row>
    <row r="678" spans="1:12" ht="13">
      <c r="A678" s="50"/>
      <c r="D678" s="130"/>
      <c r="E678" s="130"/>
      <c r="F678" s="130"/>
      <c r="G678" s="130"/>
      <c r="H678" s="130"/>
      <c r="I678" s="130"/>
      <c r="J678" s="130"/>
      <c r="K678" s="130"/>
      <c r="L678" s="130"/>
    </row>
    <row r="679" spans="1:12" ht="13">
      <c r="A679" s="50"/>
      <c r="D679" s="130"/>
      <c r="E679" s="130"/>
      <c r="F679" s="130"/>
      <c r="G679" s="130"/>
      <c r="H679" s="130"/>
      <c r="I679" s="130"/>
      <c r="J679" s="130"/>
      <c r="K679" s="130"/>
      <c r="L679" s="130"/>
    </row>
    <row r="680" spans="1:12" ht="13">
      <c r="A680" s="50"/>
      <c r="D680" s="130"/>
      <c r="E680" s="130"/>
      <c r="F680" s="130"/>
      <c r="G680" s="130"/>
      <c r="H680" s="130"/>
      <c r="I680" s="130"/>
      <c r="J680" s="130"/>
      <c r="K680" s="130"/>
      <c r="L680" s="130"/>
    </row>
    <row r="681" spans="1:12" ht="13">
      <c r="A681" s="50"/>
      <c r="D681" s="130"/>
      <c r="E681" s="130"/>
      <c r="F681" s="130"/>
      <c r="G681" s="130"/>
      <c r="H681" s="130"/>
      <c r="I681" s="130"/>
      <c r="J681" s="130"/>
      <c r="K681" s="130"/>
      <c r="L681" s="130"/>
    </row>
    <row r="682" spans="1:12" ht="13">
      <c r="A682" s="50"/>
      <c r="D682" s="130"/>
      <c r="E682" s="130"/>
      <c r="F682" s="130"/>
      <c r="G682" s="130"/>
      <c r="H682" s="130"/>
      <c r="I682" s="130"/>
      <c r="J682" s="130"/>
      <c r="K682" s="130"/>
      <c r="L682" s="130"/>
    </row>
    <row r="683" spans="1:12" ht="13">
      <c r="A683" s="50"/>
      <c r="D683" s="130"/>
      <c r="E683" s="130"/>
      <c r="F683" s="130"/>
      <c r="G683" s="130"/>
      <c r="H683" s="130"/>
      <c r="I683" s="130"/>
      <c r="J683" s="130"/>
      <c r="K683" s="130"/>
      <c r="L683" s="130"/>
    </row>
    <row r="684" spans="1:12" ht="13">
      <c r="A684" s="50"/>
      <c r="D684" s="130"/>
      <c r="E684" s="130"/>
      <c r="F684" s="130"/>
      <c r="G684" s="130"/>
      <c r="H684" s="130"/>
      <c r="I684" s="130"/>
      <c r="J684" s="130"/>
      <c r="K684" s="130"/>
      <c r="L684" s="130"/>
    </row>
    <row r="685" spans="1:12" ht="13">
      <c r="A685" s="50"/>
      <c r="D685" s="130"/>
      <c r="E685" s="130"/>
      <c r="F685" s="130"/>
      <c r="G685" s="130"/>
      <c r="H685" s="130"/>
      <c r="I685" s="130"/>
      <c r="J685" s="130"/>
      <c r="K685" s="130"/>
      <c r="L685" s="130"/>
    </row>
    <row r="686" spans="1:12" ht="13">
      <c r="A686" s="50"/>
      <c r="D686" s="130"/>
      <c r="E686" s="130"/>
      <c r="F686" s="130"/>
      <c r="G686" s="130"/>
      <c r="H686" s="130"/>
      <c r="I686" s="130"/>
      <c r="J686" s="130"/>
      <c r="K686" s="130"/>
      <c r="L686" s="130"/>
    </row>
    <row r="687" spans="1:12" ht="13">
      <c r="A687" s="50"/>
      <c r="D687" s="130"/>
      <c r="E687" s="130"/>
      <c r="F687" s="130"/>
      <c r="G687" s="130"/>
      <c r="H687" s="130"/>
      <c r="I687" s="130"/>
      <c r="J687" s="130"/>
      <c r="K687" s="130"/>
      <c r="L687" s="130"/>
    </row>
    <row r="688" spans="1:12" ht="13">
      <c r="A688" s="50"/>
      <c r="D688" s="130"/>
      <c r="E688" s="130"/>
      <c r="F688" s="130"/>
      <c r="G688" s="130"/>
      <c r="H688" s="130"/>
      <c r="I688" s="130"/>
      <c r="J688" s="130"/>
      <c r="K688" s="130"/>
      <c r="L688" s="130"/>
    </row>
    <row r="689" spans="1:12" ht="13">
      <c r="A689" s="50"/>
      <c r="D689" s="130"/>
      <c r="E689" s="130"/>
      <c r="F689" s="130"/>
      <c r="G689" s="130"/>
      <c r="H689" s="130"/>
      <c r="I689" s="130"/>
      <c r="J689" s="130"/>
      <c r="K689" s="130"/>
      <c r="L689" s="130"/>
    </row>
    <row r="690" spans="1:12" ht="13">
      <c r="A690" s="50"/>
      <c r="D690" s="130"/>
      <c r="E690" s="130"/>
      <c r="F690" s="130"/>
      <c r="G690" s="130"/>
      <c r="H690" s="130"/>
      <c r="I690" s="130"/>
      <c r="J690" s="130"/>
      <c r="K690" s="130"/>
      <c r="L690" s="130"/>
    </row>
    <row r="691" spans="1:12" ht="13">
      <c r="A691" s="50"/>
      <c r="D691" s="130"/>
      <c r="E691" s="130"/>
      <c r="F691" s="130"/>
      <c r="G691" s="130"/>
      <c r="H691" s="130"/>
      <c r="I691" s="130"/>
      <c r="J691" s="130"/>
      <c r="K691" s="130"/>
      <c r="L691" s="130"/>
    </row>
    <row r="692" spans="1:12" ht="13">
      <c r="A692" s="50"/>
      <c r="D692" s="130"/>
      <c r="E692" s="130"/>
      <c r="F692" s="130"/>
      <c r="G692" s="130"/>
      <c r="H692" s="130"/>
      <c r="I692" s="130"/>
      <c r="J692" s="130"/>
      <c r="K692" s="130"/>
      <c r="L692" s="130"/>
    </row>
    <row r="693" spans="1:12" ht="13">
      <c r="A693" s="50"/>
      <c r="D693" s="130"/>
      <c r="E693" s="130"/>
      <c r="F693" s="130"/>
      <c r="G693" s="130"/>
      <c r="H693" s="130"/>
      <c r="I693" s="130"/>
      <c r="J693" s="130"/>
      <c r="K693" s="130"/>
      <c r="L693" s="130"/>
    </row>
    <row r="694" spans="1:12" ht="13">
      <c r="A694" s="50"/>
      <c r="D694" s="130"/>
      <c r="E694" s="130"/>
      <c r="F694" s="130"/>
      <c r="G694" s="130"/>
      <c r="H694" s="130"/>
      <c r="I694" s="130"/>
      <c r="J694" s="130"/>
      <c r="K694" s="130"/>
      <c r="L694" s="130"/>
    </row>
    <row r="695" spans="1:12" ht="13">
      <c r="A695" s="50"/>
      <c r="D695" s="130"/>
      <c r="E695" s="130"/>
      <c r="F695" s="130"/>
      <c r="G695" s="130"/>
      <c r="H695" s="130"/>
      <c r="I695" s="130"/>
      <c r="J695" s="130"/>
      <c r="K695" s="130"/>
      <c r="L695" s="130"/>
    </row>
    <row r="696" spans="1:12" ht="13">
      <c r="A696" s="50"/>
      <c r="D696" s="130"/>
      <c r="E696" s="130"/>
      <c r="F696" s="130"/>
      <c r="G696" s="130"/>
      <c r="H696" s="130"/>
      <c r="I696" s="130"/>
      <c r="J696" s="130"/>
      <c r="K696" s="130"/>
      <c r="L696" s="130"/>
    </row>
    <row r="697" spans="1:12" ht="13">
      <c r="A697" s="50"/>
      <c r="D697" s="130"/>
      <c r="E697" s="130"/>
      <c r="F697" s="130"/>
      <c r="G697" s="130"/>
      <c r="H697" s="130"/>
      <c r="I697" s="130"/>
      <c r="J697" s="130"/>
      <c r="K697" s="130"/>
      <c r="L697" s="130"/>
    </row>
    <row r="698" spans="1:12" ht="13">
      <c r="A698" s="50"/>
      <c r="D698" s="130"/>
      <c r="E698" s="130"/>
      <c r="F698" s="130"/>
      <c r="G698" s="130"/>
      <c r="H698" s="130"/>
      <c r="I698" s="130"/>
      <c r="J698" s="130"/>
      <c r="K698" s="130"/>
      <c r="L698" s="130"/>
    </row>
    <row r="699" spans="1:12" ht="13">
      <c r="A699" s="50"/>
      <c r="D699" s="130"/>
      <c r="E699" s="130"/>
      <c r="F699" s="130"/>
      <c r="G699" s="130"/>
      <c r="H699" s="130"/>
      <c r="I699" s="130"/>
      <c r="J699" s="130"/>
      <c r="K699" s="130"/>
      <c r="L699" s="130"/>
    </row>
    <row r="700" spans="1:12" ht="13">
      <c r="A700" s="50"/>
      <c r="D700" s="130"/>
      <c r="E700" s="130"/>
      <c r="F700" s="130"/>
      <c r="G700" s="130"/>
      <c r="H700" s="130"/>
      <c r="I700" s="130"/>
      <c r="J700" s="130"/>
      <c r="K700" s="130"/>
      <c r="L700" s="130"/>
    </row>
    <row r="701" spans="1:12" ht="13">
      <c r="A701" s="50"/>
      <c r="D701" s="130"/>
      <c r="E701" s="130"/>
      <c r="F701" s="130"/>
      <c r="G701" s="130"/>
      <c r="H701" s="130"/>
      <c r="I701" s="130"/>
      <c r="J701" s="130"/>
      <c r="K701" s="130"/>
      <c r="L701" s="130"/>
    </row>
    <row r="702" spans="1:12" ht="13">
      <c r="A702" s="50"/>
      <c r="D702" s="130"/>
      <c r="E702" s="130"/>
      <c r="F702" s="130"/>
      <c r="G702" s="130"/>
      <c r="H702" s="130"/>
      <c r="I702" s="130"/>
      <c r="J702" s="130"/>
      <c r="K702" s="130"/>
      <c r="L702" s="130"/>
    </row>
    <row r="703" spans="1:12" ht="13">
      <c r="A703" s="50"/>
      <c r="D703" s="130"/>
      <c r="E703" s="130"/>
      <c r="F703" s="130"/>
      <c r="G703" s="130"/>
      <c r="H703" s="130"/>
      <c r="I703" s="130"/>
      <c r="J703" s="130"/>
      <c r="K703" s="130"/>
      <c r="L703" s="130"/>
    </row>
    <row r="704" spans="1:12" ht="13">
      <c r="A704" s="50"/>
      <c r="D704" s="130"/>
      <c r="E704" s="130"/>
      <c r="F704" s="130"/>
      <c r="G704" s="130"/>
      <c r="H704" s="130"/>
      <c r="I704" s="130"/>
      <c r="J704" s="130"/>
      <c r="K704" s="130"/>
      <c r="L704" s="130"/>
    </row>
    <row r="705" spans="1:12" ht="13">
      <c r="A705" s="50"/>
      <c r="D705" s="130"/>
      <c r="E705" s="130"/>
      <c r="F705" s="130"/>
      <c r="G705" s="130"/>
      <c r="H705" s="130"/>
      <c r="I705" s="130"/>
      <c r="J705" s="130"/>
      <c r="K705" s="130"/>
      <c r="L705" s="130"/>
    </row>
    <row r="706" spans="1:12" ht="13">
      <c r="A706" s="50"/>
      <c r="D706" s="130"/>
      <c r="E706" s="130"/>
      <c r="F706" s="130"/>
      <c r="G706" s="130"/>
      <c r="H706" s="130"/>
      <c r="I706" s="130"/>
      <c r="J706" s="130"/>
      <c r="K706" s="130"/>
      <c r="L706" s="130"/>
    </row>
    <row r="707" spans="1:12" ht="13">
      <c r="A707" s="50"/>
      <c r="D707" s="130"/>
      <c r="E707" s="130"/>
      <c r="F707" s="130"/>
      <c r="G707" s="130"/>
      <c r="H707" s="130"/>
      <c r="I707" s="130"/>
      <c r="J707" s="130"/>
      <c r="K707" s="130"/>
      <c r="L707" s="130"/>
    </row>
    <row r="708" spans="1:12" ht="13">
      <c r="A708" s="50"/>
      <c r="D708" s="130"/>
      <c r="E708" s="130"/>
      <c r="F708" s="130"/>
      <c r="G708" s="130"/>
      <c r="H708" s="130"/>
      <c r="I708" s="130"/>
      <c r="J708" s="130"/>
      <c r="K708" s="130"/>
      <c r="L708" s="130"/>
    </row>
    <row r="709" spans="1:12" ht="13">
      <c r="A709" s="50"/>
      <c r="D709" s="130"/>
      <c r="E709" s="130"/>
      <c r="F709" s="130"/>
      <c r="G709" s="130"/>
      <c r="H709" s="130"/>
      <c r="I709" s="130"/>
      <c r="J709" s="130"/>
      <c r="K709" s="130"/>
      <c r="L709" s="130"/>
    </row>
    <row r="710" spans="1:12" ht="13">
      <c r="A710" s="50"/>
      <c r="D710" s="130"/>
      <c r="E710" s="130"/>
      <c r="F710" s="130"/>
      <c r="G710" s="130"/>
      <c r="H710" s="130"/>
      <c r="I710" s="130"/>
      <c r="J710" s="130"/>
      <c r="K710" s="130"/>
      <c r="L710" s="130"/>
    </row>
    <row r="711" spans="1:12" ht="13">
      <c r="A711" s="50"/>
      <c r="D711" s="130"/>
      <c r="E711" s="130"/>
      <c r="F711" s="130"/>
      <c r="G711" s="130"/>
      <c r="H711" s="130"/>
      <c r="I711" s="130"/>
      <c r="J711" s="130"/>
      <c r="K711" s="130"/>
      <c r="L711" s="130"/>
    </row>
    <row r="712" spans="1:12" ht="13">
      <c r="A712" s="50"/>
      <c r="D712" s="130"/>
      <c r="E712" s="130"/>
      <c r="F712" s="130"/>
      <c r="G712" s="130"/>
      <c r="H712" s="130"/>
      <c r="I712" s="130"/>
      <c r="J712" s="130"/>
      <c r="K712" s="130"/>
      <c r="L712" s="130"/>
    </row>
    <row r="713" spans="1:12" ht="13">
      <c r="A713" s="50"/>
      <c r="D713" s="130"/>
      <c r="E713" s="130"/>
      <c r="F713" s="130"/>
      <c r="G713" s="130"/>
      <c r="H713" s="130"/>
      <c r="I713" s="130"/>
      <c r="J713" s="130"/>
      <c r="K713" s="130"/>
      <c r="L713" s="130"/>
    </row>
    <row r="714" spans="1:12" ht="13">
      <c r="A714" s="50"/>
      <c r="D714" s="130"/>
      <c r="E714" s="130"/>
      <c r="F714" s="130"/>
      <c r="G714" s="130"/>
      <c r="H714" s="130"/>
      <c r="I714" s="130"/>
      <c r="J714" s="130"/>
      <c r="K714" s="130"/>
      <c r="L714" s="130"/>
    </row>
    <row r="715" spans="1:12" ht="13">
      <c r="A715" s="50"/>
      <c r="D715" s="130"/>
      <c r="E715" s="130"/>
      <c r="F715" s="130"/>
      <c r="G715" s="130"/>
      <c r="H715" s="130"/>
      <c r="I715" s="130"/>
      <c r="J715" s="130"/>
      <c r="K715" s="130"/>
      <c r="L715" s="130"/>
    </row>
    <row r="716" spans="1:12" ht="13">
      <c r="A716" s="50"/>
      <c r="D716" s="130"/>
      <c r="E716" s="130"/>
      <c r="F716" s="130"/>
      <c r="G716" s="130"/>
      <c r="H716" s="130"/>
      <c r="I716" s="130"/>
      <c r="J716" s="130"/>
      <c r="K716" s="130"/>
      <c r="L716" s="130"/>
    </row>
    <row r="717" spans="1:12" ht="13">
      <c r="A717" s="50"/>
      <c r="D717" s="130"/>
      <c r="E717" s="130"/>
      <c r="F717" s="130"/>
      <c r="G717" s="130"/>
      <c r="H717" s="130"/>
      <c r="I717" s="130"/>
      <c r="J717" s="130"/>
      <c r="K717" s="130"/>
      <c r="L717" s="130"/>
    </row>
    <row r="718" spans="1:12" ht="13">
      <c r="A718" s="50"/>
      <c r="D718" s="130"/>
      <c r="E718" s="130"/>
      <c r="F718" s="130"/>
      <c r="G718" s="130"/>
      <c r="H718" s="130"/>
      <c r="I718" s="130"/>
      <c r="J718" s="130"/>
      <c r="K718" s="130"/>
      <c r="L718" s="130"/>
    </row>
    <row r="719" spans="1:12" ht="13">
      <c r="A719" s="50"/>
      <c r="D719" s="130"/>
      <c r="E719" s="130"/>
      <c r="F719" s="130"/>
      <c r="G719" s="130"/>
      <c r="H719" s="130"/>
      <c r="I719" s="130"/>
      <c r="J719" s="130"/>
      <c r="K719" s="130"/>
      <c r="L719" s="130"/>
    </row>
    <row r="720" spans="1:12" ht="13">
      <c r="A720" s="50"/>
      <c r="D720" s="130"/>
      <c r="E720" s="130"/>
      <c r="F720" s="130"/>
      <c r="G720" s="130"/>
      <c r="H720" s="130"/>
      <c r="I720" s="130"/>
      <c r="J720" s="130"/>
      <c r="K720" s="130"/>
      <c r="L720" s="130"/>
    </row>
    <row r="721" spans="1:12" ht="13">
      <c r="A721" s="50"/>
      <c r="D721" s="130"/>
      <c r="E721" s="130"/>
      <c r="F721" s="130"/>
      <c r="G721" s="130"/>
      <c r="H721" s="130"/>
      <c r="I721" s="130"/>
      <c r="J721" s="130"/>
      <c r="K721" s="130"/>
      <c r="L721" s="130"/>
    </row>
    <row r="722" spans="1:12" ht="13">
      <c r="A722" s="50"/>
      <c r="D722" s="130"/>
      <c r="E722" s="130"/>
      <c r="F722" s="130"/>
      <c r="G722" s="130"/>
      <c r="H722" s="130"/>
      <c r="I722" s="130"/>
      <c r="J722" s="130"/>
      <c r="K722" s="130"/>
      <c r="L722" s="130"/>
    </row>
    <row r="723" spans="1:12" ht="13">
      <c r="A723" s="50"/>
      <c r="D723" s="130"/>
      <c r="E723" s="130"/>
      <c r="F723" s="130"/>
      <c r="G723" s="130"/>
      <c r="H723" s="130"/>
      <c r="I723" s="130"/>
      <c r="J723" s="130"/>
      <c r="K723" s="130"/>
      <c r="L723" s="130"/>
    </row>
    <row r="724" spans="1:12" ht="13">
      <c r="A724" s="50"/>
      <c r="D724" s="130"/>
      <c r="E724" s="130"/>
      <c r="F724" s="130"/>
      <c r="G724" s="130"/>
      <c r="H724" s="130"/>
      <c r="I724" s="130"/>
      <c r="J724" s="130"/>
      <c r="K724" s="130"/>
      <c r="L724" s="130"/>
    </row>
    <row r="725" spans="1:12" ht="13">
      <c r="A725" s="50"/>
      <c r="D725" s="130"/>
      <c r="E725" s="130"/>
      <c r="F725" s="130"/>
      <c r="G725" s="130"/>
      <c r="H725" s="130"/>
      <c r="I725" s="130"/>
      <c r="J725" s="130"/>
      <c r="K725" s="130"/>
      <c r="L725" s="130"/>
    </row>
    <row r="726" spans="1:12" ht="13">
      <c r="A726" s="50"/>
      <c r="D726" s="130"/>
      <c r="E726" s="130"/>
      <c r="F726" s="130"/>
      <c r="G726" s="130"/>
      <c r="H726" s="130"/>
      <c r="I726" s="130"/>
      <c r="J726" s="130"/>
      <c r="K726" s="130"/>
      <c r="L726" s="130"/>
    </row>
    <row r="727" spans="1:12" ht="13">
      <c r="A727" s="50"/>
      <c r="D727" s="130"/>
      <c r="E727" s="130"/>
      <c r="F727" s="130"/>
      <c r="G727" s="130"/>
      <c r="H727" s="130"/>
      <c r="I727" s="130"/>
      <c r="J727" s="130"/>
      <c r="K727" s="130"/>
      <c r="L727" s="130"/>
    </row>
    <row r="728" spans="1:12" ht="13">
      <c r="A728" s="50"/>
      <c r="D728" s="130"/>
      <c r="E728" s="130"/>
      <c r="F728" s="130"/>
      <c r="G728" s="130"/>
      <c r="H728" s="130"/>
      <c r="I728" s="130"/>
      <c r="J728" s="130"/>
      <c r="K728" s="130"/>
      <c r="L728" s="130"/>
    </row>
    <row r="729" spans="1:12" ht="13">
      <c r="A729" s="50"/>
      <c r="D729" s="130"/>
      <c r="E729" s="130"/>
      <c r="F729" s="130"/>
      <c r="G729" s="130"/>
      <c r="H729" s="130"/>
      <c r="I729" s="130"/>
      <c r="J729" s="130"/>
      <c r="K729" s="130"/>
      <c r="L729" s="130"/>
    </row>
    <row r="730" spans="1:12" ht="13">
      <c r="A730" s="50"/>
      <c r="D730" s="130"/>
      <c r="E730" s="130"/>
      <c r="F730" s="130"/>
      <c r="G730" s="130"/>
      <c r="H730" s="130"/>
      <c r="I730" s="130"/>
      <c r="J730" s="130"/>
      <c r="K730" s="130"/>
      <c r="L730" s="130"/>
    </row>
    <row r="731" spans="1:12" ht="13">
      <c r="A731" s="50"/>
      <c r="D731" s="130"/>
      <c r="E731" s="130"/>
      <c r="F731" s="130"/>
      <c r="G731" s="130"/>
      <c r="H731" s="130"/>
      <c r="I731" s="130"/>
      <c r="J731" s="130"/>
      <c r="K731" s="130"/>
      <c r="L731" s="130"/>
    </row>
    <row r="732" spans="1:12" ht="13">
      <c r="A732" s="50"/>
      <c r="D732" s="130"/>
      <c r="E732" s="130"/>
      <c r="F732" s="130"/>
      <c r="G732" s="130"/>
      <c r="H732" s="130"/>
      <c r="I732" s="130"/>
      <c r="J732" s="130"/>
      <c r="K732" s="130"/>
      <c r="L732" s="130"/>
    </row>
    <row r="733" spans="1:12" ht="13">
      <c r="A733" s="50"/>
      <c r="D733" s="130"/>
      <c r="E733" s="130"/>
      <c r="F733" s="130"/>
      <c r="G733" s="130"/>
      <c r="H733" s="130"/>
      <c r="I733" s="130"/>
      <c r="J733" s="130"/>
      <c r="K733" s="130"/>
      <c r="L733" s="130"/>
    </row>
    <row r="734" spans="1:12" ht="13">
      <c r="A734" s="50"/>
      <c r="D734" s="130"/>
      <c r="E734" s="130"/>
      <c r="F734" s="130"/>
      <c r="G734" s="130"/>
      <c r="H734" s="130"/>
      <c r="I734" s="130"/>
      <c r="J734" s="130"/>
      <c r="K734" s="130"/>
      <c r="L734" s="130"/>
    </row>
    <row r="735" spans="1:12" ht="13">
      <c r="A735" s="50"/>
      <c r="D735" s="130"/>
      <c r="E735" s="130"/>
      <c r="F735" s="130"/>
      <c r="G735" s="130"/>
      <c r="H735" s="130"/>
      <c r="I735" s="130"/>
      <c r="J735" s="130"/>
      <c r="K735" s="130"/>
      <c r="L735" s="130"/>
    </row>
    <row r="736" spans="1:12" ht="13">
      <c r="A736" s="50"/>
      <c r="D736" s="130"/>
      <c r="E736" s="130"/>
      <c r="F736" s="130"/>
      <c r="G736" s="130"/>
      <c r="H736" s="130"/>
      <c r="I736" s="130"/>
      <c r="J736" s="130"/>
      <c r="K736" s="130"/>
      <c r="L736" s="130"/>
    </row>
    <row r="737" spans="1:12" ht="13">
      <c r="A737" s="50"/>
      <c r="D737" s="130"/>
      <c r="E737" s="130"/>
      <c r="F737" s="130"/>
      <c r="G737" s="130"/>
      <c r="H737" s="130"/>
      <c r="I737" s="130"/>
      <c r="J737" s="130"/>
      <c r="K737" s="130"/>
      <c r="L737" s="130"/>
    </row>
    <row r="738" spans="1:12" ht="13">
      <c r="A738" s="50"/>
      <c r="D738" s="130"/>
      <c r="E738" s="130"/>
      <c r="F738" s="130"/>
      <c r="G738" s="130"/>
      <c r="H738" s="130"/>
      <c r="I738" s="130"/>
      <c r="J738" s="130"/>
      <c r="K738" s="130"/>
      <c r="L738" s="130"/>
    </row>
    <row r="739" spans="1:12" ht="13">
      <c r="A739" s="50"/>
      <c r="D739" s="130"/>
      <c r="E739" s="130"/>
      <c r="F739" s="130"/>
      <c r="G739" s="130"/>
      <c r="H739" s="130"/>
      <c r="I739" s="130"/>
      <c r="J739" s="130"/>
      <c r="K739" s="130"/>
      <c r="L739" s="130"/>
    </row>
    <row r="740" spans="1:12" ht="13">
      <c r="A740" s="50"/>
      <c r="D740" s="130"/>
      <c r="E740" s="130"/>
      <c r="F740" s="130"/>
      <c r="G740" s="130"/>
      <c r="H740" s="130"/>
      <c r="I740" s="130"/>
      <c r="J740" s="130"/>
      <c r="K740" s="130"/>
      <c r="L740" s="130"/>
    </row>
    <row r="741" spans="1:12" ht="13">
      <c r="A741" s="50"/>
      <c r="D741" s="130"/>
      <c r="E741" s="130"/>
      <c r="F741" s="130"/>
      <c r="G741" s="130"/>
      <c r="H741" s="130"/>
      <c r="I741" s="130"/>
      <c r="J741" s="130"/>
      <c r="K741" s="130"/>
      <c r="L741" s="130"/>
    </row>
    <row r="742" spans="1:12" ht="13">
      <c r="A742" s="50"/>
      <c r="D742" s="130"/>
      <c r="E742" s="130"/>
      <c r="F742" s="130"/>
      <c r="G742" s="130"/>
      <c r="H742" s="130"/>
      <c r="I742" s="130"/>
      <c r="J742" s="130"/>
      <c r="K742" s="130"/>
      <c r="L742" s="130"/>
    </row>
    <row r="743" spans="1:12" ht="13">
      <c r="A743" s="50"/>
      <c r="D743" s="130"/>
      <c r="E743" s="130"/>
      <c r="F743" s="130"/>
      <c r="G743" s="130"/>
      <c r="H743" s="130"/>
      <c r="I743" s="130"/>
      <c r="J743" s="130"/>
      <c r="K743" s="130"/>
      <c r="L743" s="130"/>
    </row>
    <row r="744" spans="1:12" ht="13">
      <c r="A744" s="50"/>
      <c r="D744" s="130"/>
      <c r="E744" s="130"/>
      <c r="F744" s="130"/>
      <c r="G744" s="130"/>
      <c r="H744" s="130"/>
      <c r="I744" s="130"/>
      <c r="J744" s="130"/>
      <c r="K744" s="130"/>
      <c r="L744" s="130"/>
    </row>
    <row r="745" spans="1:12" ht="13">
      <c r="A745" s="50"/>
      <c r="D745" s="130"/>
      <c r="E745" s="130"/>
      <c r="F745" s="130"/>
      <c r="G745" s="130"/>
      <c r="H745" s="130"/>
      <c r="I745" s="130"/>
      <c r="J745" s="130"/>
      <c r="K745" s="130"/>
      <c r="L745" s="130"/>
    </row>
    <row r="746" spans="1:12" ht="13">
      <c r="A746" s="50"/>
      <c r="D746" s="130"/>
      <c r="E746" s="130"/>
      <c r="F746" s="130"/>
      <c r="G746" s="130"/>
      <c r="H746" s="130"/>
      <c r="I746" s="130"/>
      <c r="J746" s="130"/>
      <c r="K746" s="130"/>
      <c r="L746" s="130"/>
    </row>
    <row r="747" spans="1:12" ht="13">
      <c r="A747" s="50"/>
      <c r="D747" s="130"/>
      <c r="E747" s="130"/>
      <c r="F747" s="130"/>
      <c r="G747" s="130"/>
      <c r="H747" s="130"/>
      <c r="I747" s="130"/>
      <c r="J747" s="130"/>
      <c r="K747" s="130"/>
      <c r="L747" s="130"/>
    </row>
    <row r="748" spans="1:12" ht="13">
      <c r="A748" s="50"/>
      <c r="D748" s="130"/>
      <c r="E748" s="130"/>
      <c r="F748" s="130"/>
      <c r="G748" s="130"/>
      <c r="H748" s="130"/>
      <c r="I748" s="130"/>
      <c r="J748" s="130"/>
      <c r="K748" s="130"/>
      <c r="L748" s="130"/>
    </row>
    <row r="749" spans="1:12" ht="13">
      <c r="A749" s="50"/>
      <c r="D749" s="130"/>
      <c r="E749" s="130"/>
      <c r="F749" s="130"/>
      <c r="G749" s="130"/>
      <c r="H749" s="130"/>
      <c r="I749" s="130"/>
      <c r="J749" s="130"/>
      <c r="K749" s="130"/>
      <c r="L749" s="130"/>
    </row>
    <row r="750" spans="1:12" ht="13">
      <c r="A750" s="50"/>
      <c r="D750" s="130"/>
      <c r="E750" s="130"/>
      <c r="F750" s="130"/>
      <c r="G750" s="130"/>
      <c r="H750" s="130"/>
      <c r="I750" s="130"/>
      <c r="J750" s="130"/>
      <c r="K750" s="130"/>
      <c r="L750" s="130"/>
    </row>
    <row r="751" spans="1:12" ht="13">
      <c r="A751" s="50"/>
      <c r="D751" s="130"/>
      <c r="E751" s="130"/>
      <c r="F751" s="130"/>
      <c r="G751" s="130"/>
      <c r="H751" s="130"/>
      <c r="I751" s="130"/>
      <c r="J751" s="130"/>
      <c r="K751" s="130"/>
      <c r="L751" s="130"/>
    </row>
    <row r="752" spans="1:12" ht="13">
      <c r="A752" s="50"/>
      <c r="D752" s="130"/>
      <c r="E752" s="130"/>
      <c r="F752" s="130"/>
      <c r="G752" s="130"/>
      <c r="H752" s="130"/>
      <c r="I752" s="130"/>
      <c r="J752" s="130"/>
      <c r="K752" s="130"/>
      <c r="L752" s="130"/>
    </row>
    <row r="753" spans="1:12" ht="13">
      <c r="A753" s="50"/>
      <c r="D753" s="130"/>
      <c r="E753" s="130"/>
      <c r="F753" s="130"/>
      <c r="G753" s="130"/>
      <c r="H753" s="130"/>
      <c r="I753" s="130"/>
      <c r="J753" s="130"/>
      <c r="K753" s="130"/>
      <c r="L753" s="130"/>
    </row>
    <row r="754" spans="1:12" ht="13">
      <c r="A754" s="50"/>
      <c r="D754" s="130"/>
      <c r="E754" s="130"/>
      <c r="F754" s="130"/>
      <c r="G754" s="130"/>
      <c r="H754" s="130"/>
      <c r="I754" s="130"/>
      <c r="J754" s="130"/>
      <c r="K754" s="130"/>
      <c r="L754" s="130"/>
    </row>
    <row r="755" spans="1:12" ht="13">
      <c r="A755" s="50"/>
      <c r="D755" s="130"/>
      <c r="E755" s="130"/>
      <c r="F755" s="130"/>
      <c r="G755" s="130"/>
      <c r="H755" s="130"/>
      <c r="I755" s="130"/>
      <c r="J755" s="130"/>
      <c r="K755" s="130"/>
      <c r="L755" s="130"/>
    </row>
    <row r="756" spans="1:12" ht="13">
      <c r="A756" s="50"/>
      <c r="D756" s="130"/>
      <c r="E756" s="130"/>
      <c r="F756" s="130"/>
      <c r="G756" s="130"/>
      <c r="H756" s="130"/>
      <c r="I756" s="130"/>
      <c r="J756" s="130"/>
      <c r="K756" s="130"/>
      <c r="L756" s="130"/>
    </row>
    <row r="757" spans="1:12" ht="13">
      <c r="A757" s="50"/>
      <c r="D757" s="130"/>
      <c r="E757" s="130"/>
      <c r="F757" s="130"/>
      <c r="G757" s="130"/>
      <c r="H757" s="130"/>
      <c r="I757" s="130"/>
      <c r="J757" s="130"/>
      <c r="K757" s="130"/>
      <c r="L757" s="130"/>
    </row>
    <row r="758" spans="1:12" ht="13">
      <c r="A758" s="50"/>
      <c r="D758" s="130"/>
      <c r="E758" s="130"/>
      <c r="F758" s="130"/>
      <c r="G758" s="130"/>
      <c r="H758" s="130"/>
      <c r="I758" s="130"/>
      <c r="J758" s="130"/>
      <c r="K758" s="130"/>
      <c r="L758" s="130"/>
    </row>
    <row r="759" spans="1:12" ht="13">
      <c r="A759" s="50"/>
      <c r="D759" s="130"/>
      <c r="E759" s="130"/>
      <c r="F759" s="130"/>
      <c r="G759" s="130"/>
      <c r="H759" s="130"/>
      <c r="I759" s="130"/>
      <c r="J759" s="130"/>
      <c r="K759" s="130"/>
      <c r="L759" s="130"/>
    </row>
    <row r="760" spans="1:12" ht="13">
      <c r="A760" s="50"/>
      <c r="D760" s="130"/>
      <c r="E760" s="130"/>
      <c r="F760" s="130"/>
      <c r="G760" s="130"/>
      <c r="H760" s="130"/>
      <c r="I760" s="130"/>
      <c r="J760" s="130"/>
      <c r="K760" s="130"/>
      <c r="L760" s="130"/>
    </row>
    <row r="761" spans="1:12" ht="13">
      <c r="A761" s="50"/>
      <c r="D761" s="130"/>
      <c r="E761" s="130"/>
      <c r="F761" s="130"/>
      <c r="G761" s="130"/>
      <c r="H761" s="130"/>
      <c r="I761" s="130"/>
      <c r="J761" s="130"/>
      <c r="K761" s="130"/>
      <c r="L761" s="130"/>
    </row>
    <row r="762" spans="1:12" ht="13">
      <c r="A762" s="50"/>
      <c r="D762" s="130"/>
      <c r="E762" s="130"/>
      <c r="F762" s="130"/>
      <c r="G762" s="130"/>
      <c r="H762" s="130"/>
      <c r="I762" s="130"/>
      <c r="J762" s="130"/>
      <c r="K762" s="130"/>
      <c r="L762" s="130"/>
    </row>
    <row r="763" spans="1:12" ht="13">
      <c r="A763" s="50"/>
      <c r="D763" s="130"/>
      <c r="E763" s="130"/>
      <c r="F763" s="130"/>
      <c r="G763" s="130"/>
      <c r="H763" s="130"/>
      <c r="I763" s="130"/>
      <c r="J763" s="130"/>
      <c r="K763" s="130"/>
      <c r="L763" s="130"/>
    </row>
    <row r="764" spans="1:12" ht="13">
      <c r="A764" s="50"/>
      <c r="D764" s="130"/>
      <c r="E764" s="130"/>
      <c r="F764" s="130"/>
      <c r="G764" s="130"/>
      <c r="H764" s="130"/>
      <c r="I764" s="130"/>
      <c r="J764" s="130"/>
      <c r="K764" s="130"/>
      <c r="L764" s="130"/>
    </row>
    <row r="765" spans="1:12" ht="13">
      <c r="A765" s="50"/>
      <c r="D765" s="130"/>
      <c r="E765" s="130"/>
      <c r="F765" s="130"/>
      <c r="G765" s="130"/>
      <c r="H765" s="130"/>
      <c r="I765" s="130"/>
      <c r="J765" s="130"/>
      <c r="K765" s="130"/>
      <c r="L765" s="130"/>
    </row>
    <row r="766" spans="1:12" ht="13">
      <c r="A766" s="50"/>
      <c r="D766" s="130"/>
      <c r="E766" s="130"/>
      <c r="F766" s="130"/>
      <c r="G766" s="130"/>
      <c r="H766" s="130"/>
      <c r="I766" s="130"/>
      <c r="J766" s="130"/>
      <c r="K766" s="130"/>
      <c r="L766" s="130"/>
    </row>
    <row r="767" spans="1:12" ht="13">
      <c r="A767" s="50"/>
      <c r="D767" s="130"/>
      <c r="E767" s="130"/>
      <c r="F767" s="130"/>
      <c r="G767" s="130"/>
      <c r="H767" s="130"/>
      <c r="I767" s="130"/>
      <c r="J767" s="130"/>
      <c r="K767" s="130"/>
      <c r="L767" s="130"/>
    </row>
    <row r="768" spans="1:12" ht="13">
      <c r="A768" s="50"/>
      <c r="D768" s="130"/>
      <c r="E768" s="130"/>
      <c r="F768" s="130"/>
      <c r="G768" s="130"/>
      <c r="H768" s="130"/>
      <c r="I768" s="130"/>
      <c r="J768" s="130"/>
      <c r="K768" s="130"/>
      <c r="L768" s="130"/>
    </row>
    <row r="769" spans="1:12" ht="13">
      <c r="A769" s="50"/>
      <c r="D769" s="130"/>
      <c r="E769" s="130"/>
      <c r="F769" s="130"/>
      <c r="G769" s="130"/>
      <c r="H769" s="130"/>
      <c r="I769" s="130"/>
      <c r="J769" s="130"/>
      <c r="K769" s="130"/>
      <c r="L769" s="130"/>
    </row>
    <row r="770" spans="1:12" ht="13">
      <c r="A770" s="50"/>
      <c r="D770" s="130"/>
      <c r="E770" s="130"/>
      <c r="F770" s="130"/>
      <c r="G770" s="130"/>
      <c r="H770" s="130"/>
      <c r="I770" s="130"/>
      <c r="J770" s="130"/>
      <c r="K770" s="130"/>
      <c r="L770" s="130"/>
    </row>
    <row r="771" spans="1:12" ht="13">
      <c r="A771" s="50"/>
      <c r="D771" s="130"/>
      <c r="E771" s="130"/>
      <c r="F771" s="130"/>
      <c r="G771" s="130"/>
      <c r="H771" s="130"/>
      <c r="I771" s="130"/>
      <c r="J771" s="130"/>
      <c r="K771" s="130"/>
      <c r="L771" s="130"/>
    </row>
    <row r="772" spans="1:12" ht="13">
      <c r="A772" s="50"/>
      <c r="D772" s="130"/>
      <c r="E772" s="130"/>
      <c r="F772" s="130"/>
      <c r="G772" s="130"/>
      <c r="H772" s="130"/>
      <c r="I772" s="130"/>
      <c r="J772" s="130"/>
      <c r="K772" s="130"/>
      <c r="L772" s="130"/>
    </row>
    <row r="773" spans="1:12" ht="13">
      <c r="A773" s="50"/>
      <c r="D773" s="130"/>
      <c r="E773" s="130"/>
      <c r="F773" s="130"/>
      <c r="G773" s="130"/>
      <c r="H773" s="130"/>
      <c r="I773" s="130"/>
      <c r="J773" s="130"/>
      <c r="K773" s="130"/>
      <c r="L773" s="130"/>
    </row>
    <row r="774" spans="1:12" ht="13">
      <c r="A774" s="50"/>
      <c r="D774" s="130"/>
      <c r="E774" s="130"/>
      <c r="F774" s="130"/>
      <c r="G774" s="130"/>
      <c r="H774" s="130"/>
      <c r="I774" s="130"/>
      <c r="J774" s="130"/>
      <c r="K774" s="130"/>
      <c r="L774" s="130"/>
    </row>
    <row r="775" spans="1:12" ht="13">
      <c r="A775" s="50"/>
      <c r="D775" s="130"/>
      <c r="E775" s="130"/>
      <c r="F775" s="130"/>
      <c r="G775" s="130"/>
      <c r="H775" s="130"/>
      <c r="I775" s="130"/>
      <c r="J775" s="130"/>
      <c r="K775" s="130"/>
      <c r="L775" s="130"/>
    </row>
    <row r="776" spans="1:12" ht="13">
      <c r="A776" s="50"/>
      <c r="D776" s="130"/>
      <c r="E776" s="130"/>
      <c r="F776" s="130"/>
      <c r="G776" s="130"/>
      <c r="H776" s="130"/>
      <c r="I776" s="130"/>
      <c r="J776" s="130"/>
      <c r="K776" s="130"/>
      <c r="L776" s="130"/>
    </row>
    <row r="777" spans="1:12" ht="13">
      <c r="A777" s="50"/>
      <c r="D777" s="130"/>
      <c r="E777" s="130"/>
      <c r="F777" s="130"/>
      <c r="G777" s="130"/>
      <c r="H777" s="130"/>
      <c r="I777" s="130"/>
      <c r="J777" s="130"/>
      <c r="K777" s="130"/>
      <c r="L777" s="130"/>
    </row>
    <row r="778" spans="1:12" ht="13">
      <c r="A778" s="50"/>
      <c r="D778" s="130"/>
      <c r="E778" s="130"/>
      <c r="F778" s="130"/>
      <c r="G778" s="130"/>
      <c r="H778" s="130"/>
      <c r="I778" s="130"/>
      <c r="J778" s="130"/>
      <c r="K778" s="130"/>
      <c r="L778" s="130"/>
    </row>
    <row r="779" spans="1:12" ht="13">
      <c r="A779" s="50"/>
      <c r="D779" s="130"/>
      <c r="E779" s="130"/>
      <c r="F779" s="130"/>
      <c r="G779" s="130"/>
      <c r="H779" s="130"/>
      <c r="I779" s="130"/>
      <c r="J779" s="130"/>
      <c r="K779" s="130"/>
      <c r="L779" s="130"/>
    </row>
    <row r="780" spans="1:12" ht="13">
      <c r="A780" s="50"/>
      <c r="D780" s="130"/>
      <c r="E780" s="130"/>
      <c r="F780" s="130"/>
      <c r="G780" s="130"/>
      <c r="H780" s="130"/>
      <c r="I780" s="130"/>
      <c r="J780" s="130"/>
      <c r="K780" s="130"/>
      <c r="L780" s="130"/>
    </row>
    <row r="781" spans="1:12" ht="13">
      <c r="A781" s="50"/>
      <c r="D781" s="130"/>
      <c r="E781" s="130"/>
      <c r="F781" s="130"/>
      <c r="G781" s="130"/>
      <c r="H781" s="130"/>
      <c r="I781" s="130"/>
      <c r="J781" s="130"/>
      <c r="K781" s="130"/>
      <c r="L781" s="130"/>
    </row>
    <row r="782" spans="1:12" ht="13">
      <c r="A782" s="50"/>
      <c r="D782" s="130"/>
      <c r="E782" s="130"/>
      <c r="F782" s="130"/>
      <c r="G782" s="130"/>
      <c r="H782" s="130"/>
      <c r="I782" s="130"/>
      <c r="J782" s="130"/>
      <c r="K782" s="130"/>
      <c r="L782" s="130"/>
    </row>
    <row r="783" spans="1:12" ht="13">
      <c r="A783" s="50"/>
      <c r="D783" s="130"/>
      <c r="E783" s="130"/>
      <c r="F783" s="130"/>
      <c r="G783" s="130"/>
      <c r="H783" s="130"/>
      <c r="I783" s="130"/>
      <c r="J783" s="130"/>
      <c r="K783" s="130"/>
      <c r="L783" s="130"/>
    </row>
    <row r="784" spans="1:12" ht="13">
      <c r="A784" s="50"/>
      <c r="D784" s="130"/>
      <c r="E784" s="130"/>
      <c r="F784" s="130"/>
      <c r="G784" s="130"/>
      <c r="H784" s="130"/>
      <c r="I784" s="130"/>
      <c r="J784" s="130"/>
      <c r="K784" s="130"/>
      <c r="L784" s="130"/>
    </row>
    <row r="785" spans="1:12" ht="13">
      <c r="A785" s="50"/>
      <c r="D785" s="130"/>
      <c r="E785" s="130"/>
      <c r="F785" s="130"/>
      <c r="G785" s="130"/>
      <c r="H785" s="130"/>
      <c r="I785" s="130"/>
      <c r="J785" s="130"/>
      <c r="K785" s="130"/>
      <c r="L785" s="130"/>
    </row>
    <row r="786" spans="1:12" ht="13">
      <c r="A786" s="50"/>
      <c r="D786" s="130"/>
      <c r="E786" s="130"/>
      <c r="F786" s="130"/>
      <c r="G786" s="130"/>
      <c r="H786" s="130"/>
      <c r="I786" s="130"/>
      <c r="J786" s="130"/>
      <c r="K786" s="130"/>
      <c r="L786" s="130"/>
    </row>
    <row r="787" spans="1:12" ht="13">
      <c r="A787" s="50"/>
      <c r="D787" s="130"/>
      <c r="E787" s="130"/>
      <c r="F787" s="130"/>
      <c r="G787" s="130"/>
      <c r="H787" s="130"/>
      <c r="I787" s="130"/>
      <c r="J787" s="130"/>
      <c r="K787" s="130"/>
      <c r="L787" s="130"/>
    </row>
    <row r="788" spans="1:12" ht="13">
      <c r="A788" s="50"/>
      <c r="D788" s="130"/>
      <c r="E788" s="130"/>
      <c r="F788" s="130"/>
      <c r="G788" s="130"/>
      <c r="H788" s="130"/>
      <c r="I788" s="130"/>
      <c r="J788" s="130"/>
      <c r="K788" s="130"/>
      <c r="L788" s="130"/>
    </row>
    <row r="789" spans="1:12" ht="13">
      <c r="A789" s="50"/>
      <c r="D789" s="130"/>
      <c r="E789" s="130"/>
      <c r="F789" s="130"/>
      <c r="G789" s="130"/>
      <c r="H789" s="130"/>
      <c r="I789" s="130"/>
      <c r="J789" s="130"/>
      <c r="K789" s="130"/>
      <c r="L789" s="130"/>
    </row>
    <row r="790" spans="1:12" ht="13">
      <c r="A790" s="50"/>
      <c r="D790" s="130"/>
      <c r="E790" s="130"/>
      <c r="F790" s="130"/>
      <c r="G790" s="130"/>
      <c r="H790" s="130"/>
      <c r="I790" s="130"/>
      <c r="J790" s="130"/>
      <c r="K790" s="130"/>
      <c r="L790" s="130"/>
    </row>
    <row r="791" spans="1:12" ht="13">
      <c r="A791" s="50"/>
      <c r="D791" s="130"/>
      <c r="E791" s="130"/>
      <c r="F791" s="130"/>
      <c r="G791" s="130"/>
      <c r="H791" s="130"/>
      <c r="I791" s="130"/>
      <c r="J791" s="130"/>
      <c r="K791" s="130"/>
      <c r="L791" s="130"/>
    </row>
    <row r="792" spans="1:12" ht="13">
      <c r="A792" s="50"/>
      <c r="D792" s="130"/>
      <c r="E792" s="130"/>
      <c r="F792" s="130"/>
      <c r="G792" s="130"/>
      <c r="H792" s="130"/>
      <c r="I792" s="130"/>
      <c r="J792" s="130"/>
      <c r="K792" s="130"/>
      <c r="L792" s="130"/>
    </row>
    <row r="793" spans="1:12" ht="13">
      <c r="A793" s="50"/>
      <c r="D793" s="130"/>
      <c r="E793" s="130"/>
      <c r="F793" s="130"/>
      <c r="G793" s="130"/>
      <c r="H793" s="130"/>
      <c r="I793" s="130"/>
      <c r="J793" s="130"/>
      <c r="K793" s="130"/>
      <c r="L793" s="130"/>
    </row>
    <row r="794" spans="1:12" ht="13">
      <c r="A794" s="50"/>
      <c r="D794" s="130"/>
      <c r="E794" s="130"/>
      <c r="F794" s="130"/>
      <c r="G794" s="130"/>
      <c r="H794" s="130"/>
      <c r="I794" s="130"/>
      <c r="J794" s="130"/>
      <c r="K794" s="130"/>
      <c r="L794" s="130"/>
    </row>
    <row r="795" spans="1:12" ht="13">
      <c r="A795" s="50"/>
      <c r="D795" s="130"/>
      <c r="E795" s="130"/>
      <c r="F795" s="130"/>
      <c r="G795" s="130"/>
      <c r="H795" s="130"/>
      <c r="I795" s="130"/>
      <c r="J795" s="130"/>
      <c r="K795" s="130"/>
      <c r="L795" s="130"/>
    </row>
    <row r="796" spans="1:12" ht="13">
      <c r="A796" s="50"/>
      <c r="D796" s="130"/>
      <c r="E796" s="130"/>
      <c r="F796" s="130"/>
      <c r="G796" s="130"/>
      <c r="H796" s="130"/>
      <c r="I796" s="130"/>
      <c r="J796" s="130"/>
      <c r="K796" s="130"/>
      <c r="L796" s="130"/>
    </row>
    <row r="797" spans="1:12" ht="13">
      <c r="A797" s="50"/>
      <c r="D797" s="130"/>
      <c r="E797" s="130"/>
      <c r="F797" s="130"/>
      <c r="G797" s="130"/>
      <c r="H797" s="130"/>
      <c r="I797" s="130"/>
      <c r="J797" s="130"/>
      <c r="K797" s="130"/>
      <c r="L797" s="130"/>
    </row>
    <row r="798" spans="1:12" ht="13">
      <c r="A798" s="50"/>
      <c r="D798" s="130"/>
      <c r="E798" s="130"/>
      <c r="F798" s="130"/>
      <c r="G798" s="130"/>
      <c r="H798" s="130"/>
      <c r="I798" s="130"/>
      <c r="J798" s="130"/>
      <c r="K798" s="130"/>
      <c r="L798" s="130"/>
    </row>
    <row r="799" spans="1:12" ht="13">
      <c r="A799" s="50"/>
      <c r="D799" s="130"/>
      <c r="E799" s="130"/>
      <c r="F799" s="130"/>
      <c r="G799" s="130"/>
      <c r="H799" s="130"/>
      <c r="I799" s="130"/>
      <c r="J799" s="130"/>
      <c r="K799" s="130"/>
      <c r="L799" s="130"/>
    </row>
    <row r="800" spans="1:12" ht="13">
      <c r="A800" s="50"/>
      <c r="D800" s="130"/>
      <c r="E800" s="130"/>
      <c r="F800" s="130"/>
      <c r="G800" s="130"/>
      <c r="H800" s="130"/>
      <c r="I800" s="130"/>
      <c r="J800" s="130"/>
      <c r="K800" s="130"/>
      <c r="L800" s="130"/>
    </row>
    <row r="801" spans="1:12" ht="13">
      <c r="A801" s="50"/>
      <c r="D801" s="130"/>
      <c r="E801" s="130"/>
      <c r="F801" s="130"/>
      <c r="G801" s="130"/>
      <c r="H801" s="130"/>
      <c r="I801" s="130"/>
      <c r="J801" s="130"/>
      <c r="K801" s="130"/>
      <c r="L801" s="130"/>
    </row>
    <row r="802" spans="1:12" ht="13">
      <c r="A802" s="50"/>
      <c r="D802" s="130"/>
      <c r="E802" s="130"/>
      <c r="F802" s="130"/>
      <c r="G802" s="130"/>
      <c r="H802" s="130"/>
      <c r="I802" s="130"/>
      <c r="J802" s="130"/>
      <c r="K802" s="130"/>
      <c r="L802" s="130"/>
    </row>
    <row r="803" spans="1:12" ht="13">
      <c r="A803" s="50"/>
      <c r="D803" s="130"/>
      <c r="E803" s="130"/>
      <c r="F803" s="130"/>
      <c r="G803" s="130"/>
      <c r="H803" s="130"/>
      <c r="I803" s="130"/>
      <c r="J803" s="130"/>
      <c r="K803" s="130"/>
      <c r="L803" s="130"/>
    </row>
    <row r="804" spans="1:12" ht="13">
      <c r="A804" s="50"/>
      <c r="D804" s="130"/>
      <c r="E804" s="130"/>
      <c r="F804" s="130"/>
      <c r="G804" s="130"/>
      <c r="H804" s="130"/>
      <c r="I804" s="130"/>
      <c r="J804" s="130"/>
      <c r="K804" s="130"/>
      <c r="L804" s="130"/>
    </row>
    <row r="805" spans="1:12" ht="13">
      <c r="A805" s="50"/>
      <c r="D805" s="130"/>
      <c r="E805" s="130"/>
      <c r="F805" s="130"/>
      <c r="G805" s="130"/>
      <c r="H805" s="130"/>
      <c r="I805" s="130"/>
      <c r="J805" s="130"/>
      <c r="K805" s="130"/>
      <c r="L805" s="130"/>
    </row>
    <row r="806" spans="1:12" ht="13">
      <c r="A806" s="50"/>
      <c r="D806" s="130"/>
      <c r="E806" s="130"/>
      <c r="F806" s="130"/>
      <c r="G806" s="130"/>
      <c r="H806" s="130"/>
      <c r="I806" s="130"/>
      <c r="J806" s="130"/>
      <c r="K806" s="130"/>
      <c r="L806" s="130"/>
    </row>
    <row r="807" spans="1:12" ht="13">
      <c r="A807" s="50"/>
      <c r="D807" s="130"/>
      <c r="E807" s="130"/>
      <c r="F807" s="130"/>
      <c r="G807" s="130"/>
      <c r="H807" s="130"/>
      <c r="I807" s="130"/>
      <c r="J807" s="130"/>
      <c r="K807" s="130"/>
      <c r="L807" s="130"/>
    </row>
    <row r="808" spans="1:12" ht="13">
      <c r="A808" s="50"/>
      <c r="D808" s="130"/>
      <c r="E808" s="130"/>
      <c r="F808" s="130"/>
      <c r="G808" s="130"/>
      <c r="H808" s="130"/>
      <c r="I808" s="130"/>
      <c r="J808" s="130"/>
      <c r="K808" s="130"/>
      <c r="L808" s="130"/>
    </row>
    <row r="809" spans="1:12" ht="13">
      <c r="A809" s="50"/>
      <c r="D809" s="130"/>
      <c r="E809" s="130"/>
      <c r="F809" s="130"/>
      <c r="G809" s="130"/>
      <c r="H809" s="130"/>
      <c r="I809" s="130"/>
      <c r="J809" s="130"/>
      <c r="K809" s="130"/>
      <c r="L809" s="130"/>
    </row>
    <row r="810" spans="1:12" ht="13">
      <c r="A810" s="50"/>
      <c r="D810" s="130"/>
      <c r="E810" s="130"/>
      <c r="F810" s="130"/>
      <c r="G810" s="130"/>
      <c r="H810" s="130"/>
      <c r="I810" s="130"/>
      <c r="J810" s="130"/>
      <c r="K810" s="130"/>
      <c r="L810" s="130"/>
    </row>
    <row r="811" spans="1:12" ht="13">
      <c r="A811" s="50"/>
      <c r="D811" s="130"/>
      <c r="E811" s="130"/>
      <c r="F811" s="130"/>
      <c r="G811" s="130"/>
      <c r="H811" s="130"/>
      <c r="I811" s="130"/>
      <c r="J811" s="130"/>
      <c r="K811" s="130"/>
      <c r="L811" s="130"/>
    </row>
    <row r="812" spans="1:12" ht="13">
      <c r="A812" s="50"/>
      <c r="D812" s="130"/>
      <c r="E812" s="130"/>
      <c r="F812" s="130"/>
      <c r="G812" s="130"/>
      <c r="H812" s="130"/>
      <c r="I812" s="130"/>
      <c r="J812" s="130"/>
      <c r="K812" s="130"/>
      <c r="L812" s="130"/>
    </row>
    <row r="813" spans="1:12" ht="13">
      <c r="A813" s="50"/>
      <c r="D813" s="130"/>
      <c r="E813" s="130"/>
      <c r="F813" s="130"/>
      <c r="G813" s="130"/>
      <c r="H813" s="130"/>
      <c r="I813" s="130"/>
      <c r="J813" s="130"/>
      <c r="K813" s="130"/>
      <c r="L813" s="130"/>
    </row>
    <row r="814" spans="1:12" ht="13">
      <c r="A814" s="50"/>
      <c r="D814" s="130"/>
      <c r="E814" s="130"/>
      <c r="F814" s="130"/>
      <c r="G814" s="130"/>
      <c r="H814" s="130"/>
      <c r="I814" s="130"/>
      <c r="J814" s="130"/>
      <c r="K814" s="130"/>
      <c r="L814" s="130"/>
    </row>
    <row r="815" spans="1:12" ht="13">
      <c r="A815" s="50"/>
      <c r="D815" s="130"/>
      <c r="E815" s="130"/>
      <c r="F815" s="130"/>
      <c r="G815" s="130"/>
      <c r="H815" s="130"/>
      <c r="I815" s="130"/>
      <c r="J815" s="130"/>
      <c r="K815" s="130"/>
      <c r="L815" s="130"/>
    </row>
    <row r="816" spans="1:12" ht="13">
      <c r="A816" s="50"/>
      <c r="D816" s="130"/>
      <c r="E816" s="130"/>
      <c r="F816" s="130"/>
      <c r="G816" s="130"/>
      <c r="H816" s="130"/>
      <c r="I816" s="130"/>
      <c r="J816" s="130"/>
      <c r="K816" s="130"/>
      <c r="L816" s="130"/>
    </row>
    <row r="817" spans="1:12" ht="13">
      <c r="A817" s="50"/>
      <c r="D817" s="130"/>
      <c r="E817" s="130"/>
      <c r="F817" s="130"/>
      <c r="G817" s="130"/>
      <c r="H817" s="130"/>
      <c r="I817" s="130"/>
      <c r="J817" s="130"/>
      <c r="K817" s="130"/>
      <c r="L817" s="130"/>
    </row>
    <row r="818" spans="1:12" ht="13">
      <c r="A818" s="50"/>
      <c r="D818" s="130"/>
      <c r="E818" s="130"/>
      <c r="F818" s="130"/>
      <c r="G818" s="130"/>
      <c r="H818" s="130"/>
      <c r="I818" s="130"/>
      <c r="J818" s="130"/>
      <c r="K818" s="130"/>
      <c r="L818" s="130"/>
    </row>
    <row r="819" spans="1:12" ht="13">
      <c r="A819" s="50"/>
      <c r="D819" s="130"/>
      <c r="E819" s="130"/>
      <c r="F819" s="130"/>
      <c r="G819" s="130"/>
      <c r="H819" s="130"/>
      <c r="I819" s="130"/>
      <c r="J819" s="130"/>
      <c r="K819" s="130"/>
      <c r="L819" s="130"/>
    </row>
    <row r="820" spans="1:12" ht="13">
      <c r="A820" s="50"/>
      <c r="D820" s="130"/>
      <c r="E820" s="130"/>
      <c r="F820" s="130"/>
      <c r="G820" s="130"/>
      <c r="H820" s="130"/>
      <c r="I820" s="130"/>
      <c r="J820" s="130"/>
      <c r="K820" s="130"/>
      <c r="L820" s="130"/>
    </row>
    <row r="821" spans="1:12" ht="13">
      <c r="A821" s="50"/>
      <c r="D821" s="130"/>
      <c r="E821" s="130"/>
      <c r="F821" s="130"/>
      <c r="G821" s="130"/>
      <c r="H821" s="130"/>
      <c r="I821" s="130"/>
      <c r="J821" s="130"/>
      <c r="K821" s="130"/>
      <c r="L821" s="130"/>
    </row>
    <row r="822" spans="1:12" ht="13">
      <c r="A822" s="50"/>
      <c r="D822" s="130"/>
      <c r="E822" s="130"/>
      <c r="F822" s="130"/>
      <c r="G822" s="130"/>
      <c r="H822" s="130"/>
      <c r="I822" s="130"/>
      <c r="J822" s="130"/>
      <c r="K822" s="130"/>
      <c r="L822" s="130"/>
    </row>
    <row r="823" spans="1:12" ht="13">
      <c r="A823" s="50"/>
      <c r="D823" s="130"/>
      <c r="E823" s="130"/>
      <c r="F823" s="130"/>
      <c r="G823" s="130"/>
      <c r="H823" s="130"/>
      <c r="I823" s="130"/>
      <c r="J823" s="130"/>
      <c r="K823" s="130"/>
      <c r="L823" s="130"/>
    </row>
    <row r="824" spans="1:12" ht="13">
      <c r="A824" s="50"/>
      <c r="D824" s="130"/>
      <c r="E824" s="130"/>
      <c r="F824" s="130"/>
      <c r="G824" s="130"/>
      <c r="H824" s="130"/>
      <c r="I824" s="130"/>
      <c r="J824" s="130"/>
      <c r="K824" s="130"/>
      <c r="L824" s="130"/>
    </row>
    <row r="825" spans="1:12" ht="13">
      <c r="A825" s="50"/>
      <c r="D825" s="130"/>
      <c r="E825" s="130"/>
      <c r="F825" s="130"/>
      <c r="G825" s="130"/>
      <c r="H825" s="130"/>
      <c r="I825" s="130"/>
      <c r="J825" s="130"/>
      <c r="K825" s="130"/>
      <c r="L825" s="130"/>
    </row>
    <row r="826" spans="1:12" ht="13">
      <c r="A826" s="50"/>
      <c r="D826" s="130"/>
      <c r="E826" s="130"/>
      <c r="F826" s="130"/>
      <c r="G826" s="130"/>
      <c r="H826" s="130"/>
      <c r="I826" s="130"/>
      <c r="J826" s="130"/>
      <c r="K826" s="130"/>
      <c r="L826" s="130"/>
    </row>
    <row r="827" spans="1:12" ht="13">
      <c r="A827" s="50"/>
      <c r="D827" s="130"/>
      <c r="E827" s="130"/>
      <c r="F827" s="130"/>
      <c r="G827" s="130"/>
      <c r="H827" s="130"/>
      <c r="I827" s="130"/>
      <c r="J827" s="130"/>
      <c r="K827" s="130"/>
      <c r="L827" s="130"/>
    </row>
    <row r="828" spans="1:12" ht="13">
      <c r="A828" s="50"/>
      <c r="D828" s="130"/>
      <c r="E828" s="130"/>
      <c r="F828" s="130"/>
      <c r="G828" s="130"/>
      <c r="H828" s="130"/>
      <c r="I828" s="130"/>
      <c r="J828" s="130"/>
      <c r="K828" s="130"/>
      <c r="L828" s="130"/>
    </row>
    <row r="829" spans="1:12" ht="13">
      <c r="A829" s="50"/>
      <c r="D829" s="130"/>
      <c r="E829" s="130"/>
      <c r="F829" s="130"/>
      <c r="G829" s="130"/>
      <c r="H829" s="130"/>
      <c r="I829" s="130"/>
      <c r="J829" s="130"/>
      <c r="K829" s="130"/>
      <c r="L829" s="130"/>
    </row>
    <row r="830" spans="1:12" ht="13">
      <c r="A830" s="50"/>
      <c r="D830" s="130"/>
      <c r="E830" s="130"/>
      <c r="F830" s="130"/>
      <c r="G830" s="130"/>
      <c r="H830" s="130"/>
      <c r="I830" s="130"/>
      <c r="J830" s="130"/>
      <c r="K830" s="130"/>
      <c r="L830" s="130"/>
    </row>
    <row r="831" spans="1:12" ht="13">
      <c r="A831" s="50"/>
      <c r="D831" s="130"/>
      <c r="E831" s="130"/>
      <c r="F831" s="130"/>
      <c r="G831" s="130"/>
      <c r="H831" s="130"/>
      <c r="I831" s="130"/>
      <c r="J831" s="130"/>
      <c r="K831" s="130"/>
      <c r="L831" s="130"/>
    </row>
    <row r="832" spans="1:12" ht="13">
      <c r="A832" s="50"/>
      <c r="D832" s="130"/>
      <c r="E832" s="130"/>
      <c r="F832" s="130"/>
      <c r="G832" s="130"/>
      <c r="H832" s="130"/>
      <c r="I832" s="130"/>
      <c r="J832" s="130"/>
      <c r="K832" s="130"/>
      <c r="L832" s="130"/>
    </row>
    <row r="833" spans="1:12" ht="13">
      <c r="A833" s="50"/>
      <c r="D833" s="130"/>
      <c r="E833" s="130"/>
      <c r="F833" s="130"/>
      <c r="G833" s="130"/>
      <c r="H833" s="130"/>
      <c r="I833" s="130"/>
      <c r="J833" s="130"/>
      <c r="K833" s="130"/>
      <c r="L833" s="130"/>
    </row>
    <row r="834" spans="1:12" ht="13">
      <c r="A834" s="50"/>
      <c r="D834" s="130"/>
      <c r="E834" s="130"/>
      <c r="F834" s="130"/>
      <c r="G834" s="130"/>
      <c r="H834" s="130"/>
      <c r="I834" s="130"/>
      <c r="J834" s="130"/>
      <c r="K834" s="130"/>
      <c r="L834" s="130"/>
    </row>
    <row r="835" spans="1:12" ht="13">
      <c r="A835" s="50"/>
      <c r="D835" s="130"/>
      <c r="E835" s="130"/>
      <c r="F835" s="130"/>
      <c r="G835" s="130"/>
      <c r="H835" s="130"/>
      <c r="I835" s="130"/>
      <c r="J835" s="130"/>
      <c r="K835" s="130"/>
      <c r="L835" s="130"/>
    </row>
    <row r="836" spans="1:12" ht="13">
      <c r="A836" s="50"/>
      <c r="D836" s="130"/>
      <c r="E836" s="130"/>
      <c r="F836" s="130"/>
      <c r="G836" s="130"/>
      <c r="H836" s="130"/>
      <c r="I836" s="130"/>
      <c r="J836" s="130"/>
      <c r="K836" s="130"/>
      <c r="L836" s="130"/>
    </row>
    <row r="837" spans="1:12" ht="13">
      <c r="A837" s="50"/>
      <c r="D837" s="130"/>
      <c r="E837" s="130"/>
      <c r="F837" s="130"/>
      <c r="G837" s="130"/>
      <c r="H837" s="130"/>
      <c r="I837" s="130"/>
      <c r="J837" s="130"/>
      <c r="K837" s="130"/>
      <c r="L837" s="130"/>
    </row>
    <row r="838" spans="1:12" ht="13">
      <c r="A838" s="50"/>
      <c r="D838" s="130"/>
      <c r="E838" s="130"/>
      <c r="F838" s="130"/>
      <c r="G838" s="130"/>
      <c r="H838" s="130"/>
      <c r="I838" s="130"/>
      <c r="J838" s="130"/>
      <c r="K838" s="130"/>
      <c r="L838" s="130"/>
    </row>
    <row r="839" spans="1:12" ht="13">
      <c r="A839" s="50"/>
      <c r="D839" s="130"/>
      <c r="E839" s="130"/>
      <c r="F839" s="130"/>
      <c r="G839" s="130"/>
      <c r="H839" s="130"/>
      <c r="I839" s="130"/>
      <c r="J839" s="130"/>
      <c r="K839" s="130"/>
      <c r="L839" s="130"/>
    </row>
    <row r="840" spans="1:12" ht="13">
      <c r="A840" s="50"/>
      <c r="D840" s="130"/>
      <c r="E840" s="130"/>
      <c r="F840" s="130"/>
      <c r="G840" s="130"/>
      <c r="H840" s="130"/>
      <c r="I840" s="130"/>
      <c r="J840" s="130"/>
      <c r="K840" s="130"/>
      <c r="L840" s="130"/>
    </row>
    <row r="841" spans="1:12" ht="13">
      <c r="A841" s="50"/>
      <c r="D841" s="130"/>
      <c r="E841" s="130"/>
      <c r="F841" s="130"/>
      <c r="G841" s="130"/>
      <c r="H841" s="130"/>
      <c r="I841" s="130"/>
      <c r="J841" s="130"/>
      <c r="K841" s="130"/>
      <c r="L841" s="130"/>
    </row>
    <row r="842" spans="1:12" ht="13">
      <c r="A842" s="50"/>
      <c r="D842" s="130"/>
      <c r="E842" s="130"/>
      <c r="F842" s="130"/>
      <c r="G842" s="130"/>
      <c r="H842" s="130"/>
      <c r="I842" s="130"/>
      <c r="J842" s="130"/>
      <c r="K842" s="130"/>
      <c r="L842" s="130"/>
    </row>
    <row r="843" spans="1:12" ht="13">
      <c r="A843" s="50"/>
      <c r="D843" s="130"/>
      <c r="E843" s="130"/>
      <c r="F843" s="130"/>
      <c r="G843" s="130"/>
      <c r="H843" s="130"/>
      <c r="I843" s="130"/>
      <c r="J843" s="130"/>
      <c r="K843" s="130"/>
      <c r="L843" s="130"/>
    </row>
    <row r="844" spans="1:12" ht="13">
      <c r="A844" s="50"/>
      <c r="D844" s="130"/>
      <c r="E844" s="130"/>
      <c r="F844" s="130"/>
      <c r="G844" s="130"/>
      <c r="H844" s="130"/>
      <c r="I844" s="130"/>
      <c r="J844" s="130"/>
      <c r="K844" s="130"/>
      <c r="L844" s="130"/>
    </row>
    <row r="845" spans="1:12" ht="13">
      <c r="A845" s="50"/>
      <c r="D845" s="130"/>
      <c r="E845" s="130"/>
      <c r="F845" s="130"/>
      <c r="G845" s="130"/>
      <c r="H845" s="130"/>
      <c r="I845" s="130"/>
      <c r="J845" s="130"/>
      <c r="K845" s="130"/>
      <c r="L845" s="130"/>
    </row>
    <row r="846" spans="1:12" ht="13">
      <c r="A846" s="50"/>
      <c r="D846" s="130"/>
      <c r="E846" s="130"/>
      <c r="F846" s="130"/>
      <c r="G846" s="130"/>
      <c r="H846" s="130"/>
      <c r="I846" s="130"/>
      <c r="J846" s="130"/>
      <c r="K846" s="130"/>
      <c r="L846" s="130"/>
    </row>
    <row r="847" spans="1:12" ht="13">
      <c r="A847" s="50"/>
      <c r="D847" s="130"/>
      <c r="E847" s="130"/>
      <c r="F847" s="130"/>
      <c r="G847" s="130"/>
      <c r="H847" s="130"/>
      <c r="I847" s="130"/>
      <c r="J847" s="130"/>
      <c r="K847" s="130"/>
      <c r="L847" s="130"/>
    </row>
    <row r="848" spans="1:12" ht="13">
      <c r="A848" s="50"/>
      <c r="D848" s="130"/>
      <c r="E848" s="130"/>
      <c r="F848" s="130"/>
      <c r="G848" s="130"/>
      <c r="H848" s="130"/>
      <c r="I848" s="130"/>
      <c r="J848" s="130"/>
      <c r="K848" s="130"/>
      <c r="L848" s="130"/>
    </row>
    <row r="849" spans="1:12" ht="13">
      <c r="A849" s="50"/>
      <c r="D849" s="130"/>
      <c r="E849" s="130"/>
      <c r="F849" s="130"/>
      <c r="G849" s="130"/>
      <c r="H849" s="130"/>
      <c r="I849" s="130"/>
      <c r="J849" s="130"/>
      <c r="K849" s="130"/>
      <c r="L849" s="130"/>
    </row>
    <row r="850" spans="1:12" ht="13">
      <c r="A850" s="50"/>
      <c r="D850" s="130"/>
      <c r="E850" s="130"/>
      <c r="F850" s="130"/>
      <c r="G850" s="130"/>
      <c r="H850" s="130"/>
      <c r="I850" s="130"/>
      <c r="J850" s="130"/>
      <c r="K850" s="130"/>
      <c r="L850" s="130"/>
    </row>
    <row r="851" spans="1:12" ht="13">
      <c r="A851" s="50"/>
      <c r="D851" s="130"/>
      <c r="E851" s="130"/>
      <c r="F851" s="130"/>
      <c r="G851" s="130"/>
      <c r="H851" s="130"/>
      <c r="I851" s="130"/>
      <c r="J851" s="130"/>
      <c r="K851" s="130"/>
      <c r="L851" s="130"/>
    </row>
    <row r="852" spans="1:12" ht="13">
      <c r="A852" s="50"/>
      <c r="D852" s="130"/>
      <c r="E852" s="130"/>
      <c r="F852" s="130"/>
      <c r="G852" s="130"/>
      <c r="H852" s="130"/>
      <c r="I852" s="130"/>
      <c r="J852" s="130"/>
      <c r="K852" s="130"/>
      <c r="L852" s="130"/>
    </row>
    <row r="853" spans="1:12" ht="13">
      <c r="A853" s="50"/>
      <c r="D853" s="130"/>
      <c r="E853" s="130"/>
      <c r="F853" s="130"/>
      <c r="G853" s="130"/>
      <c r="H853" s="130"/>
      <c r="I853" s="130"/>
      <c r="J853" s="130"/>
      <c r="K853" s="130"/>
      <c r="L853" s="130"/>
    </row>
    <row r="854" spans="1:12" ht="13">
      <c r="A854" s="50"/>
      <c r="D854" s="130"/>
      <c r="E854" s="130"/>
      <c r="F854" s="130"/>
      <c r="G854" s="130"/>
      <c r="H854" s="130"/>
      <c r="I854" s="130"/>
      <c r="J854" s="130"/>
      <c r="K854" s="130"/>
      <c r="L854" s="130"/>
    </row>
    <row r="855" spans="1:12" ht="13">
      <c r="A855" s="50"/>
      <c r="D855" s="130"/>
      <c r="E855" s="130"/>
      <c r="F855" s="130"/>
      <c r="G855" s="130"/>
      <c r="H855" s="130"/>
      <c r="I855" s="130"/>
      <c r="J855" s="130"/>
      <c r="K855" s="130"/>
      <c r="L855" s="130"/>
    </row>
    <row r="856" spans="1:12" ht="13">
      <c r="A856" s="50"/>
      <c r="D856" s="130"/>
      <c r="E856" s="130"/>
      <c r="F856" s="130"/>
      <c r="G856" s="130"/>
      <c r="H856" s="130"/>
      <c r="I856" s="130"/>
      <c r="J856" s="130"/>
      <c r="K856" s="130"/>
      <c r="L856" s="130"/>
    </row>
    <row r="857" spans="1:12" ht="13">
      <c r="A857" s="50"/>
      <c r="D857" s="130"/>
      <c r="E857" s="130"/>
      <c r="F857" s="130"/>
      <c r="G857" s="130"/>
      <c r="H857" s="130"/>
      <c r="I857" s="130"/>
      <c r="J857" s="130"/>
      <c r="K857" s="130"/>
      <c r="L857" s="130"/>
    </row>
    <row r="858" spans="1:12" ht="13">
      <c r="A858" s="50"/>
      <c r="D858" s="130"/>
      <c r="E858" s="130"/>
      <c r="F858" s="130"/>
      <c r="G858" s="130"/>
      <c r="H858" s="130"/>
      <c r="I858" s="130"/>
      <c r="J858" s="130"/>
      <c r="K858" s="130"/>
      <c r="L858" s="130"/>
    </row>
    <row r="859" spans="1:12" ht="13">
      <c r="A859" s="50"/>
      <c r="D859" s="130"/>
      <c r="E859" s="130"/>
      <c r="F859" s="130"/>
      <c r="G859" s="130"/>
      <c r="H859" s="130"/>
      <c r="I859" s="130"/>
      <c r="J859" s="130"/>
      <c r="K859" s="130"/>
      <c r="L859" s="130"/>
    </row>
    <row r="860" spans="1:12" ht="13">
      <c r="A860" s="50"/>
      <c r="D860" s="130"/>
      <c r="E860" s="130"/>
      <c r="F860" s="130"/>
      <c r="G860" s="130"/>
      <c r="H860" s="130"/>
      <c r="I860" s="130"/>
      <c r="J860" s="130"/>
      <c r="K860" s="130"/>
      <c r="L860" s="130"/>
    </row>
    <row r="861" spans="1:12" ht="13">
      <c r="A861" s="50"/>
      <c r="D861" s="130"/>
      <c r="E861" s="130"/>
      <c r="F861" s="130"/>
      <c r="G861" s="130"/>
      <c r="H861" s="130"/>
      <c r="I861" s="130"/>
      <c r="J861" s="130"/>
      <c r="K861" s="130"/>
      <c r="L861" s="130"/>
    </row>
    <row r="862" spans="1:12" ht="13">
      <c r="A862" s="50"/>
      <c r="D862" s="130"/>
      <c r="E862" s="130"/>
      <c r="F862" s="130"/>
      <c r="G862" s="130"/>
      <c r="H862" s="130"/>
      <c r="I862" s="130"/>
      <c r="J862" s="130"/>
      <c r="K862" s="130"/>
      <c r="L862" s="130"/>
    </row>
    <row r="863" spans="1:12" ht="13">
      <c r="A863" s="50"/>
      <c r="D863" s="130"/>
      <c r="E863" s="130"/>
      <c r="F863" s="130"/>
      <c r="G863" s="130"/>
      <c r="H863" s="130"/>
      <c r="I863" s="130"/>
      <c r="J863" s="130"/>
      <c r="K863" s="130"/>
      <c r="L863" s="130"/>
    </row>
    <row r="864" spans="1:12" ht="13">
      <c r="A864" s="50"/>
      <c r="D864" s="130"/>
      <c r="E864" s="130"/>
      <c r="F864" s="130"/>
      <c r="G864" s="130"/>
      <c r="H864" s="130"/>
      <c r="I864" s="130"/>
      <c r="J864" s="130"/>
      <c r="K864" s="130"/>
      <c r="L864" s="130"/>
    </row>
    <row r="865" spans="1:12" ht="13">
      <c r="A865" s="50"/>
      <c r="D865" s="130"/>
      <c r="E865" s="130"/>
      <c r="F865" s="130"/>
      <c r="G865" s="130"/>
      <c r="H865" s="130"/>
      <c r="I865" s="130"/>
      <c r="J865" s="130"/>
      <c r="K865" s="130"/>
      <c r="L865" s="130"/>
    </row>
    <row r="866" spans="1:12" ht="13">
      <c r="A866" s="50"/>
      <c r="D866" s="130"/>
      <c r="E866" s="130"/>
      <c r="F866" s="130"/>
      <c r="G866" s="130"/>
      <c r="H866" s="130"/>
      <c r="I866" s="130"/>
      <c r="J866" s="130"/>
      <c r="K866" s="130"/>
      <c r="L866" s="130"/>
    </row>
    <row r="867" spans="1:12" ht="13">
      <c r="A867" s="50"/>
      <c r="D867" s="130"/>
      <c r="E867" s="130"/>
      <c r="F867" s="130"/>
      <c r="G867" s="130"/>
      <c r="H867" s="130"/>
      <c r="I867" s="130"/>
      <c r="J867" s="130"/>
      <c r="K867" s="130"/>
      <c r="L867" s="130"/>
    </row>
    <row r="868" spans="1:12" ht="13">
      <c r="A868" s="50"/>
      <c r="D868" s="130"/>
      <c r="E868" s="130"/>
      <c r="F868" s="130"/>
      <c r="G868" s="130"/>
      <c r="H868" s="130"/>
      <c r="I868" s="130"/>
      <c r="J868" s="130"/>
      <c r="K868" s="130"/>
      <c r="L868" s="130"/>
    </row>
    <row r="869" spans="1:12" ht="13">
      <c r="A869" s="50"/>
      <c r="D869" s="130"/>
      <c r="E869" s="130"/>
      <c r="F869" s="130"/>
      <c r="G869" s="130"/>
      <c r="H869" s="130"/>
      <c r="I869" s="130"/>
      <c r="J869" s="130"/>
      <c r="K869" s="130"/>
      <c r="L869" s="130"/>
    </row>
    <row r="870" spans="1:12" ht="13">
      <c r="A870" s="50"/>
      <c r="D870" s="130"/>
      <c r="E870" s="130"/>
      <c r="F870" s="130"/>
      <c r="G870" s="130"/>
      <c r="H870" s="130"/>
      <c r="I870" s="130"/>
      <c r="J870" s="130"/>
      <c r="K870" s="130"/>
      <c r="L870" s="130"/>
    </row>
    <row r="871" spans="1:12" ht="13">
      <c r="A871" s="50"/>
      <c r="D871" s="130"/>
      <c r="E871" s="130"/>
      <c r="F871" s="130"/>
      <c r="G871" s="130"/>
      <c r="H871" s="130"/>
      <c r="I871" s="130"/>
      <c r="J871" s="130"/>
      <c r="K871" s="130"/>
      <c r="L871" s="130"/>
    </row>
    <row r="872" spans="1:12" ht="13">
      <c r="A872" s="50"/>
      <c r="D872" s="130"/>
      <c r="E872" s="130"/>
      <c r="F872" s="130"/>
      <c r="G872" s="130"/>
      <c r="H872" s="130"/>
      <c r="I872" s="130"/>
      <c r="J872" s="130"/>
      <c r="K872" s="130"/>
      <c r="L872" s="130"/>
    </row>
    <row r="873" spans="1:12" ht="13">
      <c r="A873" s="50"/>
      <c r="D873" s="130"/>
      <c r="E873" s="130"/>
      <c r="F873" s="130"/>
      <c r="G873" s="130"/>
      <c r="H873" s="130"/>
      <c r="I873" s="130"/>
      <c r="J873" s="130"/>
      <c r="K873" s="130"/>
      <c r="L873" s="130"/>
    </row>
    <row r="874" spans="1:12" ht="13">
      <c r="A874" s="50"/>
      <c r="D874" s="130"/>
      <c r="E874" s="130"/>
      <c r="F874" s="130"/>
      <c r="G874" s="130"/>
      <c r="H874" s="130"/>
      <c r="I874" s="130"/>
      <c r="J874" s="130"/>
      <c r="K874" s="130"/>
      <c r="L874" s="130"/>
    </row>
    <row r="875" spans="1:12" ht="13">
      <c r="A875" s="50"/>
      <c r="D875" s="130"/>
      <c r="E875" s="130"/>
      <c r="F875" s="130"/>
      <c r="G875" s="130"/>
      <c r="H875" s="130"/>
      <c r="I875" s="130"/>
      <c r="J875" s="130"/>
      <c r="K875" s="130"/>
      <c r="L875" s="130"/>
    </row>
    <row r="876" spans="1:12" ht="13">
      <c r="A876" s="50"/>
      <c r="D876" s="130"/>
      <c r="E876" s="130"/>
      <c r="F876" s="130"/>
      <c r="G876" s="130"/>
      <c r="H876" s="130"/>
      <c r="I876" s="130"/>
      <c r="J876" s="130"/>
      <c r="K876" s="130"/>
      <c r="L876" s="130"/>
    </row>
    <row r="877" spans="1:12" ht="13">
      <c r="A877" s="50"/>
      <c r="D877" s="130"/>
      <c r="E877" s="130"/>
      <c r="F877" s="130"/>
      <c r="G877" s="130"/>
      <c r="H877" s="130"/>
      <c r="I877" s="130"/>
      <c r="J877" s="130"/>
      <c r="K877" s="130"/>
      <c r="L877" s="130"/>
    </row>
    <row r="878" spans="1:12" ht="13">
      <c r="A878" s="50"/>
      <c r="D878" s="130"/>
      <c r="E878" s="130"/>
      <c r="F878" s="130"/>
      <c r="G878" s="130"/>
      <c r="H878" s="130"/>
      <c r="I878" s="130"/>
      <c r="J878" s="130"/>
      <c r="K878" s="130"/>
      <c r="L878" s="130"/>
    </row>
    <row r="879" spans="1:12" ht="13">
      <c r="A879" s="50"/>
      <c r="D879" s="130"/>
      <c r="E879" s="130"/>
      <c r="F879" s="130"/>
      <c r="G879" s="130"/>
      <c r="H879" s="130"/>
      <c r="I879" s="130"/>
      <c r="J879" s="130"/>
      <c r="K879" s="130"/>
      <c r="L879" s="130"/>
    </row>
    <row r="880" spans="1:12" ht="13">
      <c r="A880" s="50"/>
      <c r="D880" s="130"/>
      <c r="E880" s="130"/>
      <c r="F880" s="130"/>
      <c r="G880" s="130"/>
      <c r="H880" s="130"/>
      <c r="I880" s="130"/>
      <c r="J880" s="130"/>
      <c r="K880" s="130"/>
      <c r="L880" s="130"/>
    </row>
    <row r="881" spans="1:12" ht="13">
      <c r="A881" s="50"/>
      <c r="D881" s="130"/>
      <c r="E881" s="130"/>
      <c r="F881" s="130"/>
      <c r="G881" s="130"/>
      <c r="H881" s="130"/>
      <c r="I881" s="130"/>
      <c r="J881" s="130"/>
      <c r="K881" s="130"/>
      <c r="L881" s="130"/>
    </row>
    <row r="882" spans="1:12" ht="13">
      <c r="A882" s="50"/>
      <c r="D882" s="130"/>
      <c r="E882" s="130"/>
      <c r="F882" s="130"/>
      <c r="G882" s="130"/>
      <c r="H882" s="130"/>
      <c r="I882" s="130"/>
      <c r="J882" s="130"/>
      <c r="K882" s="130"/>
      <c r="L882" s="130"/>
    </row>
    <row r="883" spans="1:12" ht="13">
      <c r="A883" s="50"/>
      <c r="D883" s="130"/>
      <c r="E883" s="130"/>
      <c r="F883" s="130"/>
      <c r="G883" s="130"/>
      <c r="H883" s="130"/>
      <c r="I883" s="130"/>
      <c r="J883" s="130"/>
      <c r="K883" s="130"/>
      <c r="L883" s="130"/>
    </row>
    <row r="884" spans="1:12" ht="13">
      <c r="A884" s="50"/>
      <c r="D884" s="130"/>
      <c r="E884" s="130"/>
      <c r="F884" s="130"/>
      <c r="G884" s="130"/>
      <c r="H884" s="130"/>
      <c r="I884" s="130"/>
      <c r="J884" s="130"/>
      <c r="K884" s="130"/>
      <c r="L884" s="130"/>
    </row>
    <row r="885" spans="1:12" ht="13">
      <c r="A885" s="50"/>
      <c r="D885" s="130"/>
      <c r="E885" s="130"/>
      <c r="F885" s="130"/>
      <c r="G885" s="130"/>
      <c r="H885" s="130"/>
      <c r="I885" s="130"/>
      <c r="J885" s="130"/>
      <c r="K885" s="130"/>
      <c r="L885" s="130"/>
    </row>
    <row r="886" spans="1:12" ht="13">
      <c r="A886" s="50"/>
      <c r="D886" s="130"/>
      <c r="E886" s="130"/>
      <c r="F886" s="130"/>
      <c r="G886" s="130"/>
      <c r="H886" s="130"/>
      <c r="I886" s="130"/>
      <c r="J886" s="130"/>
      <c r="K886" s="130"/>
      <c r="L886" s="130"/>
    </row>
    <row r="887" spans="1:12" ht="13">
      <c r="A887" s="50"/>
      <c r="D887" s="130"/>
      <c r="E887" s="130"/>
      <c r="F887" s="130"/>
      <c r="G887" s="130"/>
      <c r="H887" s="130"/>
      <c r="I887" s="130"/>
      <c r="J887" s="130"/>
      <c r="K887" s="130"/>
      <c r="L887" s="130"/>
    </row>
    <row r="888" spans="1:12" ht="13">
      <c r="A888" s="50"/>
      <c r="D888" s="130"/>
      <c r="E888" s="130"/>
      <c r="F888" s="130"/>
      <c r="G888" s="130"/>
      <c r="H888" s="130"/>
      <c r="I888" s="130"/>
      <c r="J888" s="130"/>
      <c r="K888" s="130"/>
      <c r="L888" s="130"/>
    </row>
    <row r="889" spans="1:12" ht="13">
      <c r="A889" s="50"/>
      <c r="D889" s="130"/>
      <c r="E889" s="130"/>
      <c r="F889" s="130"/>
      <c r="G889" s="130"/>
      <c r="H889" s="130"/>
      <c r="I889" s="130"/>
      <c r="J889" s="130"/>
      <c r="K889" s="130"/>
      <c r="L889" s="130"/>
    </row>
    <row r="890" spans="1:12" ht="13">
      <c r="A890" s="50"/>
      <c r="D890" s="130"/>
      <c r="E890" s="130"/>
      <c r="F890" s="130"/>
      <c r="G890" s="130"/>
      <c r="H890" s="130"/>
      <c r="I890" s="130"/>
      <c r="J890" s="130"/>
      <c r="K890" s="130"/>
      <c r="L890" s="130"/>
    </row>
    <row r="891" spans="1:12" ht="13">
      <c r="A891" s="50"/>
      <c r="D891" s="130"/>
      <c r="E891" s="130"/>
      <c r="F891" s="130"/>
      <c r="G891" s="130"/>
      <c r="H891" s="130"/>
      <c r="I891" s="130"/>
      <c r="J891" s="130"/>
      <c r="K891" s="130"/>
      <c r="L891" s="130"/>
    </row>
    <row r="892" spans="1:12" ht="13">
      <c r="A892" s="50"/>
      <c r="D892" s="130"/>
      <c r="E892" s="130"/>
      <c r="F892" s="130"/>
      <c r="G892" s="130"/>
      <c r="H892" s="130"/>
      <c r="I892" s="130"/>
      <c r="J892" s="130"/>
      <c r="K892" s="130"/>
      <c r="L892" s="130"/>
    </row>
    <row r="893" spans="1:12" ht="13">
      <c r="A893" s="50"/>
      <c r="D893" s="130"/>
      <c r="E893" s="130"/>
      <c r="F893" s="130"/>
      <c r="G893" s="130"/>
      <c r="H893" s="130"/>
      <c r="I893" s="130"/>
      <c r="J893" s="130"/>
      <c r="K893" s="130"/>
      <c r="L893" s="130"/>
    </row>
    <row r="894" spans="1:12" ht="13">
      <c r="A894" s="50"/>
      <c r="D894" s="130"/>
      <c r="E894" s="130"/>
      <c r="F894" s="130"/>
      <c r="G894" s="130"/>
      <c r="H894" s="130"/>
      <c r="I894" s="130"/>
      <c r="J894" s="130"/>
      <c r="K894" s="130"/>
      <c r="L894" s="130"/>
    </row>
    <row r="895" spans="1:12" ht="13">
      <c r="A895" s="50"/>
      <c r="D895" s="130"/>
      <c r="E895" s="130"/>
      <c r="F895" s="130"/>
      <c r="G895" s="130"/>
      <c r="H895" s="130"/>
      <c r="I895" s="130"/>
      <c r="J895" s="130"/>
      <c r="K895" s="130"/>
      <c r="L895" s="130"/>
    </row>
    <row r="896" spans="1:12" ht="13">
      <c r="A896" s="50"/>
      <c r="D896" s="130"/>
      <c r="E896" s="130"/>
      <c r="F896" s="130"/>
      <c r="G896" s="130"/>
      <c r="H896" s="130"/>
      <c r="I896" s="130"/>
      <c r="J896" s="130"/>
      <c r="K896" s="130"/>
      <c r="L896" s="130"/>
    </row>
    <row r="897" spans="1:12" ht="13">
      <c r="A897" s="50"/>
      <c r="D897" s="130"/>
      <c r="E897" s="130"/>
      <c r="F897" s="130"/>
      <c r="G897" s="130"/>
      <c r="H897" s="130"/>
      <c r="I897" s="130"/>
      <c r="J897" s="130"/>
      <c r="K897" s="130"/>
      <c r="L897" s="130"/>
    </row>
    <row r="898" spans="1:12" ht="13">
      <c r="A898" s="50"/>
      <c r="D898" s="130"/>
      <c r="E898" s="130"/>
      <c r="F898" s="130"/>
      <c r="G898" s="130"/>
      <c r="H898" s="130"/>
      <c r="I898" s="130"/>
      <c r="J898" s="130"/>
      <c r="K898" s="130"/>
      <c r="L898" s="130"/>
    </row>
    <row r="899" spans="1:12" ht="13">
      <c r="A899" s="50"/>
      <c r="D899" s="130"/>
      <c r="E899" s="130"/>
      <c r="F899" s="130"/>
      <c r="G899" s="130"/>
      <c r="H899" s="130"/>
      <c r="I899" s="130"/>
      <c r="J899" s="130"/>
      <c r="K899" s="130"/>
      <c r="L899" s="130"/>
    </row>
    <row r="900" spans="1:12" ht="13">
      <c r="A900" s="50"/>
      <c r="D900" s="130"/>
      <c r="E900" s="130"/>
      <c r="F900" s="130"/>
      <c r="G900" s="130"/>
      <c r="H900" s="130"/>
      <c r="I900" s="130"/>
      <c r="J900" s="130"/>
      <c r="K900" s="130"/>
      <c r="L900" s="130"/>
    </row>
    <row r="901" spans="1:12" ht="13">
      <c r="A901" s="50"/>
      <c r="D901" s="130"/>
      <c r="E901" s="130"/>
      <c r="F901" s="130"/>
      <c r="G901" s="130"/>
      <c r="H901" s="130"/>
      <c r="I901" s="130"/>
      <c r="J901" s="130"/>
      <c r="K901" s="130"/>
      <c r="L901" s="130"/>
    </row>
    <row r="902" spans="1:12" ht="13">
      <c r="A902" s="50"/>
      <c r="D902" s="130"/>
      <c r="E902" s="130"/>
      <c r="F902" s="130"/>
      <c r="G902" s="130"/>
      <c r="H902" s="130"/>
      <c r="I902" s="130"/>
      <c r="J902" s="130"/>
      <c r="K902" s="130"/>
      <c r="L902" s="130"/>
    </row>
    <row r="903" spans="1:12" ht="13">
      <c r="A903" s="50"/>
      <c r="D903" s="130"/>
      <c r="E903" s="130"/>
      <c r="F903" s="130"/>
      <c r="G903" s="130"/>
      <c r="H903" s="130"/>
      <c r="I903" s="130"/>
      <c r="J903" s="130"/>
      <c r="K903" s="130"/>
      <c r="L903" s="130"/>
    </row>
    <row r="904" spans="1:12" ht="13">
      <c r="A904" s="50"/>
      <c r="D904" s="130"/>
      <c r="E904" s="130"/>
      <c r="F904" s="130"/>
      <c r="G904" s="130"/>
      <c r="H904" s="130"/>
      <c r="I904" s="130"/>
      <c r="J904" s="130"/>
      <c r="K904" s="130"/>
      <c r="L904" s="130"/>
    </row>
    <row r="905" spans="1:12" ht="13">
      <c r="A905" s="50"/>
      <c r="D905" s="130"/>
      <c r="E905" s="130"/>
      <c r="F905" s="130"/>
      <c r="G905" s="130"/>
      <c r="H905" s="130"/>
      <c r="I905" s="130"/>
      <c r="J905" s="130"/>
      <c r="K905" s="130"/>
      <c r="L905" s="130"/>
    </row>
    <row r="906" spans="1:12" ht="13">
      <c r="A906" s="50"/>
      <c r="D906" s="130"/>
      <c r="E906" s="130"/>
      <c r="F906" s="130"/>
      <c r="G906" s="130"/>
      <c r="H906" s="130"/>
      <c r="I906" s="130"/>
      <c r="J906" s="130"/>
      <c r="K906" s="130"/>
      <c r="L906" s="130"/>
    </row>
    <row r="907" spans="1:12" ht="13">
      <c r="A907" s="50"/>
      <c r="D907" s="130"/>
      <c r="E907" s="130"/>
      <c r="F907" s="130"/>
      <c r="G907" s="130"/>
      <c r="H907" s="130"/>
      <c r="I907" s="130"/>
      <c r="J907" s="130"/>
      <c r="K907" s="130"/>
      <c r="L907" s="130"/>
    </row>
    <row r="908" spans="1:12" ht="13">
      <c r="A908" s="50"/>
      <c r="D908" s="130"/>
      <c r="E908" s="130"/>
      <c r="F908" s="130"/>
      <c r="G908" s="130"/>
      <c r="H908" s="130"/>
      <c r="I908" s="130"/>
      <c r="J908" s="130"/>
      <c r="K908" s="130"/>
      <c r="L908" s="130"/>
    </row>
    <row r="909" spans="1:12" ht="13">
      <c r="A909" s="50"/>
      <c r="D909" s="130"/>
      <c r="E909" s="130"/>
      <c r="F909" s="130"/>
      <c r="G909" s="130"/>
      <c r="H909" s="130"/>
      <c r="I909" s="130"/>
      <c r="J909" s="130"/>
      <c r="K909" s="130"/>
      <c r="L909" s="130"/>
    </row>
    <row r="910" spans="1:12" ht="13">
      <c r="A910" s="50"/>
      <c r="D910" s="130"/>
      <c r="E910" s="130"/>
      <c r="F910" s="130"/>
      <c r="G910" s="130"/>
      <c r="H910" s="130"/>
      <c r="I910" s="130"/>
      <c r="J910" s="130"/>
      <c r="K910" s="130"/>
      <c r="L910" s="130"/>
    </row>
    <row r="911" spans="1:12" ht="13">
      <c r="A911" s="50"/>
      <c r="D911" s="130"/>
      <c r="E911" s="130"/>
      <c r="F911" s="130"/>
      <c r="G911" s="130"/>
      <c r="H911" s="130"/>
      <c r="I911" s="130"/>
      <c r="J911" s="130"/>
      <c r="K911" s="130"/>
      <c r="L911" s="130"/>
    </row>
    <row r="912" spans="1:12" ht="13">
      <c r="A912" s="50"/>
      <c r="D912" s="130"/>
      <c r="E912" s="130"/>
      <c r="F912" s="130"/>
      <c r="G912" s="130"/>
      <c r="H912" s="130"/>
      <c r="I912" s="130"/>
      <c r="J912" s="130"/>
      <c r="K912" s="130"/>
      <c r="L912" s="130"/>
    </row>
    <row r="913" spans="1:12" ht="13">
      <c r="A913" s="50"/>
      <c r="D913" s="130"/>
      <c r="E913" s="130"/>
      <c r="F913" s="130"/>
      <c r="G913" s="130"/>
      <c r="H913" s="130"/>
      <c r="I913" s="130"/>
      <c r="J913" s="130"/>
      <c r="K913" s="130"/>
      <c r="L913" s="130"/>
    </row>
    <row r="914" spans="1:12" ht="13">
      <c r="A914" s="50"/>
      <c r="D914" s="130"/>
      <c r="E914" s="130"/>
      <c r="F914" s="130"/>
      <c r="G914" s="130"/>
      <c r="H914" s="130"/>
      <c r="I914" s="130"/>
      <c r="J914" s="130"/>
      <c r="K914" s="130"/>
      <c r="L914" s="130"/>
    </row>
    <row r="915" spans="1:12" ht="13">
      <c r="A915" s="50"/>
      <c r="D915" s="130"/>
      <c r="E915" s="130"/>
      <c r="F915" s="130"/>
      <c r="G915" s="130"/>
      <c r="H915" s="130"/>
      <c r="I915" s="130"/>
      <c r="J915" s="130"/>
      <c r="K915" s="130"/>
      <c r="L915" s="130"/>
    </row>
    <row r="916" spans="1:12" ht="13">
      <c r="A916" s="50"/>
      <c r="D916" s="130"/>
      <c r="E916" s="130"/>
      <c r="F916" s="130"/>
      <c r="G916" s="130"/>
      <c r="H916" s="130"/>
      <c r="I916" s="130"/>
      <c r="J916" s="130"/>
      <c r="K916" s="130"/>
      <c r="L916" s="130"/>
    </row>
    <row r="917" spans="1:12" ht="13">
      <c r="A917" s="50"/>
      <c r="D917" s="130"/>
      <c r="E917" s="130"/>
      <c r="F917" s="130"/>
      <c r="G917" s="130"/>
      <c r="H917" s="130"/>
      <c r="I917" s="130"/>
      <c r="J917" s="130"/>
      <c r="K917" s="130"/>
      <c r="L917" s="130"/>
    </row>
    <row r="918" spans="1:12" ht="13">
      <c r="A918" s="50"/>
      <c r="D918" s="130"/>
      <c r="E918" s="130"/>
      <c r="F918" s="130"/>
      <c r="G918" s="130"/>
      <c r="H918" s="130"/>
      <c r="I918" s="130"/>
      <c r="J918" s="130"/>
      <c r="K918" s="130"/>
      <c r="L918" s="130"/>
    </row>
    <row r="919" spans="1:12" ht="13">
      <c r="A919" s="50"/>
      <c r="D919" s="130"/>
      <c r="E919" s="130"/>
      <c r="F919" s="130"/>
      <c r="G919" s="130"/>
      <c r="H919" s="130"/>
      <c r="I919" s="130"/>
      <c r="J919" s="130"/>
      <c r="K919" s="130"/>
      <c r="L919" s="130"/>
    </row>
    <row r="920" spans="1:12" ht="13">
      <c r="A920" s="50"/>
      <c r="D920" s="130"/>
      <c r="E920" s="130"/>
      <c r="F920" s="130"/>
      <c r="G920" s="130"/>
      <c r="H920" s="130"/>
      <c r="I920" s="130"/>
      <c r="J920" s="130"/>
      <c r="K920" s="130"/>
      <c r="L920" s="130"/>
    </row>
    <row r="921" spans="1:12" ht="13">
      <c r="A921" s="50"/>
      <c r="D921" s="130"/>
      <c r="E921" s="130"/>
      <c r="F921" s="130"/>
      <c r="G921" s="130"/>
      <c r="H921" s="130"/>
      <c r="I921" s="130"/>
      <c r="J921" s="130"/>
      <c r="K921" s="130"/>
      <c r="L921" s="130"/>
    </row>
    <row r="922" spans="1:12" ht="13">
      <c r="A922" s="50"/>
      <c r="D922" s="130"/>
      <c r="E922" s="130"/>
      <c r="F922" s="130"/>
      <c r="G922" s="130"/>
      <c r="H922" s="130"/>
      <c r="I922" s="130"/>
      <c r="J922" s="130"/>
      <c r="K922" s="130"/>
      <c r="L922" s="130"/>
    </row>
    <row r="923" spans="1:12" ht="13">
      <c r="A923" s="50"/>
      <c r="D923" s="130"/>
      <c r="E923" s="130"/>
      <c r="F923" s="130"/>
      <c r="G923" s="130"/>
      <c r="H923" s="130"/>
      <c r="I923" s="130"/>
      <c r="J923" s="130"/>
      <c r="K923" s="130"/>
      <c r="L923" s="130"/>
    </row>
    <row r="924" spans="1:12" ht="13">
      <c r="A924" s="50"/>
      <c r="D924" s="130"/>
      <c r="E924" s="130"/>
      <c r="F924" s="130"/>
      <c r="G924" s="130"/>
      <c r="H924" s="130"/>
      <c r="I924" s="130"/>
      <c r="J924" s="130"/>
      <c r="K924" s="130"/>
      <c r="L924" s="130"/>
    </row>
    <row r="925" spans="1:12" ht="13">
      <c r="A925" s="50"/>
      <c r="D925" s="130"/>
      <c r="E925" s="130"/>
      <c r="F925" s="130"/>
      <c r="G925" s="130"/>
      <c r="H925" s="130"/>
      <c r="I925" s="130"/>
      <c r="J925" s="130"/>
      <c r="K925" s="130"/>
      <c r="L925" s="130"/>
    </row>
    <row r="926" spans="1:12" ht="13">
      <c r="A926" s="50"/>
      <c r="D926" s="130"/>
      <c r="E926" s="130"/>
      <c r="F926" s="130"/>
      <c r="G926" s="130"/>
      <c r="H926" s="130"/>
      <c r="I926" s="130"/>
      <c r="J926" s="130"/>
      <c r="K926" s="130"/>
      <c r="L926" s="130"/>
    </row>
    <row r="927" spans="1:12" ht="13">
      <c r="A927" s="50"/>
      <c r="D927" s="130"/>
      <c r="E927" s="130"/>
      <c r="F927" s="130"/>
      <c r="G927" s="130"/>
      <c r="H927" s="130"/>
      <c r="I927" s="130"/>
      <c r="J927" s="130"/>
      <c r="K927" s="130"/>
      <c r="L927" s="130"/>
    </row>
    <row r="928" spans="1:12" ht="13">
      <c r="A928" s="50"/>
      <c r="D928" s="130"/>
      <c r="E928" s="130"/>
      <c r="F928" s="130"/>
      <c r="G928" s="130"/>
      <c r="H928" s="130"/>
      <c r="I928" s="130"/>
      <c r="J928" s="130"/>
      <c r="K928" s="130"/>
      <c r="L928" s="130"/>
    </row>
    <row r="929" spans="1:12" ht="13">
      <c r="A929" s="50"/>
      <c r="D929" s="130"/>
      <c r="E929" s="130"/>
      <c r="F929" s="130"/>
      <c r="G929" s="130"/>
      <c r="H929" s="130"/>
      <c r="I929" s="130"/>
      <c r="J929" s="130"/>
      <c r="K929" s="130"/>
      <c r="L929" s="130"/>
    </row>
    <row r="930" spans="1:12" ht="13">
      <c r="A930" s="50"/>
      <c r="D930" s="130"/>
      <c r="E930" s="130"/>
      <c r="F930" s="130"/>
      <c r="G930" s="130"/>
      <c r="H930" s="130"/>
      <c r="I930" s="130"/>
      <c r="J930" s="130"/>
      <c r="K930" s="130"/>
      <c r="L930" s="130"/>
    </row>
    <row r="931" spans="1:12" ht="13">
      <c r="A931" s="50"/>
      <c r="D931" s="130"/>
      <c r="E931" s="130"/>
      <c r="F931" s="130"/>
      <c r="G931" s="130"/>
      <c r="H931" s="130"/>
      <c r="I931" s="130"/>
      <c r="J931" s="130"/>
      <c r="K931" s="130"/>
      <c r="L931" s="130"/>
    </row>
    <row r="932" spans="1:12" ht="13">
      <c r="A932" s="50"/>
      <c r="D932" s="130"/>
      <c r="E932" s="130"/>
      <c r="F932" s="130"/>
      <c r="G932" s="130"/>
      <c r="H932" s="130"/>
      <c r="I932" s="130"/>
      <c r="J932" s="130"/>
      <c r="K932" s="130"/>
      <c r="L932" s="130"/>
    </row>
    <row r="933" spans="1:12" ht="13">
      <c r="A933" s="50"/>
      <c r="D933" s="130"/>
      <c r="E933" s="130"/>
      <c r="F933" s="130"/>
      <c r="G933" s="130"/>
      <c r="H933" s="130"/>
      <c r="I933" s="130"/>
      <c r="J933" s="130"/>
      <c r="K933" s="130"/>
      <c r="L933" s="130"/>
    </row>
    <row r="934" spans="1:12" ht="13">
      <c r="A934" s="50"/>
      <c r="D934" s="130"/>
      <c r="E934" s="130"/>
      <c r="F934" s="130"/>
      <c r="G934" s="130"/>
      <c r="H934" s="130"/>
      <c r="I934" s="130"/>
      <c r="J934" s="130"/>
      <c r="K934" s="130"/>
      <c r="L934" s="130"/>
    </row>
    <row r="935" spans="1:12" ht="13">
      <c r="A935" s="50"/>
      <c r="D935" s="130"/>
      <c r="E935" s="130"/>
      <c r="F935" s="130"/>
      <c r="G935" s="130"/>
      <c r="H935" s="130"/>
      <c r="I935" s="130"/>
      <c r="J935" s="130"/>
      <c r="K935" s="130"/>
      <c r="L935" s="130"/>
    </row>
    <row r="936" spans="1:12" ht="13">
      <c r="A936" s="50"/>
      <c r="D936" s="130"/>
      <c r="E936" s="130"/>
      <c r="F936" s="130"/>
      <c r="G936" s="130"/>
      <c r="H936" s="130"/>
      <c r="I936" s="130"/>
      <c r="J936" s="130"/>
      <c r="K936" s="130"/>
      <c r="L936" s="130"/>
    </row>
    <row r="937" spans="1:12" ht="13">
      <c r="A937" s="50"/>
      <c r="D937" s="130"/>
      <c r="E937" s="130"/>
      <c r="F937" s="130"/>
      <c r="G937" s="130"/>
      <c r="H937" s="130"/>
      <c r="I937" s="130"/>
      <c r="J937" s="130"/>
      <c r="K937" s="130"/>
      <c r="L937" s="130"/>
    </row>
    <row r="938" spans="1:12" ht="13">
      <c r="A938" s="50"/>
      <c r="D938" s="130"/>
      <c r="E938" s="130"/>
      <c r="F938" s="130"/>
      <c r="G938" s="130"/>
      <c r="H938" s="130"/>
      <c r="I938" s="130"/>
      <c r="J938" s="130"/>
      <c r="K938" s="130"/>
      <c r="L938" s="130"/>
    </row>
    <row r="939" spans="1:12" ht="13">
      <c r="A939" s="50"/>
      <c r="D939" s="130"/>
      <c r="E939" s="130"/>
      <c r="F939" s="130"/>
      <c r="G939" s="130"/>
      <c r="H939" s="130"/>
      <c r="I939" s="130"/>
      <c r="J939" s="130"/>
      <c r="K939" s="130"/>
      <c r="L939" s="130"/>
    </row>
    <row r="940" spans="1:12" ht="13">
      <c r="A940" s="50"/>
      <c r="D940" s="130"/>
      <c r="E940" s="130"/>
      <c r="F940" s="130"/>
      <c r="G940" s="130"/>
      <c r="H940" s="130"/>
      <c r="I940" s="130"/>
      <c r="J940" s="130"/>
      <c r="K940" s="130"/>
      <c r="L940" s="130"/>
    </row>
    <row r="941" spans="1:12" ht="13">
      <c r="A941" s="50"/>
      <c r="D941" s="130"/>
      <c r="E941" s="130"/>
      <c r="F941" s="130"/>
      <c r="G941" s="130"/>
      <c r="H941" s="130"/>
      <c r="I941" s="130"/>
      <c r="J941" s="130"/>
      <c r="K941" s="130"/>
      <c r="L941" s="130"/>
    </row>
    <row r="942" spans="1:12" ht="13">
      <c r="A942" s="50"/>
      <c r="D942" s="130"/>
      <c r="E942" s="130"/>
      <c r="F942" s="130"/>
      <c r="G942" s="130"/>
      <c r="H942" s="130"/>
      <c r="I942" s="130"/>
      <c r="J942" s="130"/>
      <c r="K942" s="130"/>
      <c r="L942" s="130"/>
    </row>
    <row r="943" spans="1:12" ht="13">
      <c r="A943" s="50"/>
      <c r="D943" s="130"/>
      <c r="E943" s="130"/>
      <c r="F943" s="130"/>
      <c r="G943" s="130"/>
      <c r="H943" s="130"/>
      <c r="I943" s="130"/>
      <c r="J943" s="130"/>
      <c r="K943" s="130"/>
      <c r="L943" s="130"/>
    </row>
    <row r="944" spans="1:12" ht="13">
      <c r="A944" s="50"/>
      <c r="D944" s="130"/>
      <c r="E944" s="130"/>
      <c r="F944" s="130"/>
      <c r="G944" s="130"/>
      <c r="H944" s="130"/>
      <c r="I944" s="130"/>
      <c r="J944" s="130"/>
      <c r="K944" s="130"/>
      <c r="L944" s="130"/>
    </row>
    <row r="945" spans="1:12" ht="13">
      <c r="A945" s="50"/>
      <c r="D945" s="130"/>
      <c r="E945" s="130"/>
      <c r="F945" s="130"/>
      <c r="G945" s="130"/>
      <c r="H945" s="130"/>
      <c r="I945" s="130"/>
      <c r="J945" s="130"/>
      <c r="K945" s="130"/>
      <c r="L945" s="130"/>
    </row>
    <row r="946" spans="1:12" ht="13">
      <c r="A946" s="50"/>
      <c r="D946" s="130"/>
      <c r="E946" s="130"/>
      <c r="F946" s="130"/>
      <c r="G946" s="130"/>
      <c r="H946" s="130"/>
      <c r="I946" s="130"/>
      <c r="J946" s="130"/>
      <c r="K946" s="130"/>
      <c r="L946" s="130"/>
    </row>
    <row r="947" spans="1:12" ht="13">
      <c r="A947" s="50"/>
      <c r="D947" s="130"/>
      <c r="E947" s="130"/>
      <c r="F947" s="130"/>
      <c r="G947" s="130"/>
      <c r="H947" s="130"/>
      <c r="I947" s="130"/>
      <c r="J947" s="130"/>
      <c r="K947" s="130"/>
      <c r="L947" s="130"/>
    </row>
    <row r="948" spans="1:12" ht="13">
      <c r="A948" s="50"/>
      <c r="D948" s="130"/>
      <c r="E948" s="130"/>
      <c r="F948" s="130"/>
      <c r="G948" s="130"/>
      <c r="H948" s="130"/>
      <c r="I948" s="130"/>
      <c r="J948" s="130"/>
      <c r="K948" s="130"/>
      <c r="L948" s="130"/>
    </row>
    <row r="949" spans="1:12" ht="13">
      <c r="A949" s="50"/>
      <c r="D949" s="130"/>
      <c r="E949" s="130"/>
      <c r="F949" s="130"/>
      <c r="G949" s="130"/>
      <c r="H949" s="130"/>
      <c r="I949" s="130"/>
      <c r="J949" s="130"/>
      <c r="K949" s="130"/>
      <c r="L949" s="130"/>
    </row>
    <row r="950" spans="1:12" ht="13">
      <c r="A950" s="50"/>
      <c r="D950" s="130"/>
      <c r="E950" s="130"/>
      <c r="F950" s="130"/>
      <c r="G950" s="130"/>
      <c r="H950" s="130"/>
      <c r="I950" s="130"/>
      <c r="J950" s="130"/>
      <c r="K950" s="130"/>
      <c r="L950" s="130"/>
    </row>
    <row r="951" spans="1:12" ht="13">
      <c r="A951" s="50"/>
      <c r="D951" s="130"/>
      <c r="E951" s="130"/>
      <c r="F951" s="130"/>
      <c r="G951" s="130"/>
      <c r="H951" s="130"/>
      <c r="I951" s="130"/>
      <c r="J951" s="130"/>
      <c r="K951" s="130"/>
      <c r="L951" s="130"/>
    </row>
    <row r="952" spans="1:12" ht="13">
      <c r="A952" s="50"/>
      <c r="D952" s="130"/>
      <c r="E952" s="130"/>
      <c r="F952" s="130"/>
      <c r="G952" s="130"/>
      <c r="H952" s="130"/>
      <c r="I952" s="130"/>
      <c r="J952" s="130"/>
      <c r="K952" s="130"/>
      <c r="L952" s="130"/>
    </row>
    <row r="953" spans="1:12" ht="13">
      <c r="A953" s="50"/>
      <c r="D953" s="130"/>
      <c r="E953" s="130"/>
      <c r="F953" s="130"/>
      <c r="G953" s="130"/>
      <c r="H953" s="130"/>
      <c r="I953" s="130"/>
      <c r="J953" s="130"/>
      <c r="K953" s="130"/>
      <c r="L953" s="130"/>
    </row>
    <row r="954" spans="1:12" ht="13">
      <c r="A954" s="50"/>
      <c r="D954" s="130"/>
      <c r="E954" s="130"/>
      <c r="F954" s="130"/>
      <c r="G954" s="130"/>
      <c r="H954" s="130"/>
      <c r="I954" s="130"/>
      <c r="J954" s="130"/>
      <c r="K954" s="130"/>
      <c r="L954" s="130"/>
    </row>
    <row r="955" spans="1:12" ht="13">
      <c r="A955" s="50"/>
      <c r="D955" s="130"/>
      <c r="E955" s="130"/>
      <c r="F955" s="130"/>
      <c r="G955" s="130"/>
      <c r="H955" s="130"/>
      <c r="I955" s="130"/>
      <c r="J955" s="130"/>
      <c r="K955" s="130"/>
      <c r="L955" s="130"/>
    </row>
    <row r="956" spans="1:12" ht="13">
      <c r="A956" s="50"/>
      <c r="D956" s="130"/>
      <c r="E956" s="130"/>
      <c r="F956" s="130"/>
      <c r="G956" s="130"/>
      <c r="H956" s="130"/>
      <c r="I956" s="130"/>
      <c r="J956" s="130"/>
      <c r="K956" s="130"/>
      <c r="L956" s="130"/>
    </row>
    <row r="957" spans="1:12" ht="13">
      <c r="A957" s="50"/>
      <c r="D957" s="130"/>
      <c r="E957" s="130"/>
      <c r="F957" s="130"/>
      <c r="G957" s="130"/>
      <c r="H957" s="130"/>
      <c r="I957" s="130"/>
      <c r="J957" s="130"/>
      <c r="K957" s="130"/>
      <c r="L957" s="130"/>
    </row>
    <row r="958" spans="1:12" ht="13">
      <c r="A958" s="50"/>
      <c r="D958" s="130"/>
      <c r="E958" s="130"/>
      <c r="F958" s="130"/>
      <c r="G958" s="130"/>
      <c r="H958" s="130"/>
      <c r="I958" s="130"/>
      <c r="J958" s="130"/>
      <c r="K958" s="130"/>
      <c r="L958" s="130"/>
    </row>
    <row r="959" spans="1:12" ht="13">
      <c r="A959" s="50"/>
      <c r="D959" s="130"/>
      <c r="E959" s="130"/>
      <c r="F959" s="130"/>
      <c r="G959" s="130"/>
      <c r="H959" s="130"/>
      <c r="I959" s="130"/>
      <c r="J959" s="130"/>
      <c r="K959" s="130"/>
      <c r="L959" s="130"/>
    </row>
    <row r="960" spans="1:12" ht="13">
      <c r="A960" s="50"/>
      <c r="D960" s="130"/>
      <c r="E960" s="130"/>
      <c r="F960" s="130"/>
      <c r="G960" s="130"/>
      <c r="H960" s="130"/>
      <c r="I960" s="130"/>
      <c r="J960" s="130"/>
      <c r="K960" s="130"/>
      <c r="L960" s="130"/>
    </row>
    <row r="961" spans="1:12" ht="13">
      <c r="A961" s="50"/>
      <c r="D961" s="130"/>
      <c r="E961" s="130"/>
      <c r="F961" s="130"/>
      <c r="G961" s="130"/>
      <c r="H961" s="130"/>
      <c r="I961" s="130"/>
      <c r="J961" s="130"/>
      <c r="K961" s="130"/>
      <c r="L961" s="130"/>
    </row>
    <row r="962" spans="1:12" ht="13">
      <c r="A962" s="50"/>
      <c r="D962" s="130"/>
      <c r="E962" s="130"/>
      <c r="F962" s="130"/>
      <c r="G962" s="130"/>
      <c r="H962" s="130"/>
      <c r="I962" s="130"/>
      <c r="J962" s="130"/>
      <c r="K962" s="130"/>
      <c r="L962" s="130"/>
    </row>
    <row r="963" spans="1:12" ht="13">
      <c r="A963" s="50"/>
      <c r="D963" s="130"/>
      <c r="E963" s="130"/>
      <c r="F963" s="130"/>
      <c r="G963" s="130"/>
      <c r="H963" s="130"/>
      <c r="I963" s="130"/>
      <c r="J963" s="130"/>
      <c r="K963" s="130"/>
      <c r="L963" s="130"/>
    </row>
    <row r="964" spans="1:12" ht="13">
      <c r="A964" s="50"/>
      <c r="D964" s="130"/>
      <c r="E964" s="130"/>
      <c r="F964" s="130"/>
      <c r="G964" s="130"/>
      <c r="H964" s="130"/>
      <c r="I964" s="130"/>
      <c r="J964" s="130"/>
      <c r="K964" s="130"/>
      <c r="L964" s="130"/>
    </row>
    <row r="965" spans="1:12" ht="13">
      <c r="A965" s="50"/>
      <c r="D965" s="130"/>
      <c r="E965" s="130"/>
      <c r="F965" s="130"/>
      <c r="G965" s="130"/>
      <c r="H965" s="130"/>
      <c r="I965" s="130"/>
      <c r="J965" s="130"/>
      <c r="K965" s="130"/>
      <c r="L965" s="130"/>
    </row>
    <row r="966" spans="1:12" ht="13">
      <c r="A966" s="50"/>
      <c r="D966" s="130"/>
      <c r="E966" s="130"/>
      <c r="F966" s="130"/>
      <c r="G966" s="130"/>
      <c r="H966" s="130"/>
      <c r="I966" s="130"/>
      <c r="J966" s="130"/>
      <c r="K966" s="130"/>
      <c r="L966" s="130"/>
    </row>
    <row r="967" spans="1:12" ht="13">
      <c r="A967" s="50"/>
      <c r="D967" s="130"/>
      <c r="E967" s="130"/>
      <c r="F967" s="130"/>
      <c r="G967" s="130"/>
      <c r="H967" s="130"/>
      <c r="I967" s="130"/>
      <c r="J967" s="130"/>
      <c r="K967" s="130"/>
      <c r="L967" s="130"/>
    </row>
    <row r="968" spans="1:12" ht="13">
      <c r="A968" s="50"/>
      <c r="D968" s="130"/>
      <c r="E968" s="130"/>
      <c r="F968" s="130"/>
      <c r="G968" s="130"/>
      <c r="H968" s="130"/>
      <c r="I968" s="130"/>
      <c r="J968" s="130"/>
      <c r="K968" s="130"/>
      <c r="L968" s="130"/>
    </row>
    <row r="969" spans="1:12" ht="13">
      <c r="A969" s="50"/>
      <c r="D969" s="130"/>
      <c r="E969" s="130"/>
      <c r="F969" s="130"/>
      <c r="G969" s="130"/>
      <c r="H969" s="130"/>
      <c r="I969" s="130"/>
      <c r="J969" s="130"/>
      <c r="K969" s="130"/>
      <c r="L969" s="130"/>
    </row>
    <row r="970" spans="1:12" ht="13">
      <c r="A970" s="50"/>
      <c r="D970" s="130"/>
      <c r="E970" s="130"/>
      <c r="F970" s="130"/>
      <c r="G970" s="130"/>
      <c r="H970" s="130"/>
      <c r="I970" s="130"/>
      <c r="J970" s="130"/>
      <c r="K970" s="130"/>
      <c r="L970" s="130"/>
    </row>
    <row r="971" spans="1:12" ht="13">
      <c r="A971" s="50"/>
      <c r="D971" s="130"/>
      <c r="E971" s="130"/>
      <c r="F971" s="130"/>
      <c r="G971" s="130"/>
      <c r="H971" s="130"/>
      <c r="I971" s="130"/>
      <c r="J971" s="130"/>
      <c r="K971" s="130"/>
      <c r="L971" s="130"/>
    </row>
    <row r="972" spans="1:12" ht="13">
      <c r="A972" s="50"/>
      <c r="D972" s="130"/>
      <c r="E972" s="130"/>
      <c r="F972" s="130"/>
      <c r="G972" s="130"/>
      <c r="H972" s="130"/>
      <c r="I972" s="130"/>
      <c r="J972" s="130"/>
      <c r="K972" s="130"/>
      <c r="L972" s="130"/>
    </row>
    <row r="973" spans="1:12" ht="13">
      <c r="A973" s="50"/>
      <c r="D973" s="130"/>
      <c r="E973" s="130"/>
      <c r="F973" s="130"/>
      <c r="G973" s="130"/>
      <c r="H973" s="130"/>
      <c r="I973" s="130"/>
      <c r="J973" s="130"/>
      <c r="K973" s="130"/>
      <c r="L973" s="130"/>
    </row>
    <row r="974" spans="1:12" ht="13">
      <c r="A974" s="50"/>
      <c r="D974" s="130"/>
      <c r="E974" s="130"/>
      <c r="F974" s="130"/>
      <c r="G974" s="130"/>
      <c r="H974" s="130"/>
      <c r="I974" s="130"/>
      <c r="J974" s="130"/>
      <c r="K974" s="130"/>
      <c r="L974" s="130"/>
    </row>
    <row r="975" spans="1:12" ht="13">
      <c r="A975" s="50"/>
      <c r="D975" s="130"/>
      <c r="E975" s="130"/>
      <c r="F975" s="130"/>
      <c r="G975" s="130"/>
      <c r="H975" s="130"/>
      <c r="I975" s="130"/>
      <c r="J975" s="130"/>
      <c r="K975" s="130"/>
      <c r="L975" s="130"/>
    </row>
    <row r="976" spans="1:12" ht="13">
      <c r="A976" s="50"/>
      <c r="D976" s="130"/>
      <c r="E976" s="130"/>
      <c r="F976" s="130"/>
      <c r="G976" s="130"/>
      <c r="H976" s="130"/>
      <c r="I976" s="130"/>
      <c r="J976" s="130"/>
      <c r="K976" s="130"/>
      <c r="L976" s="130"/>
    </row>
    <row r="977" spans="1:12" ht="13">
      <c r="A977" s="50"/>
      <c r="D977" s="130"/>
      <c r="E977" s="130"/>
      <c r="F977" s="130"/>
      <c r="G977" s="130"/>
      <c r="H977" s="130"/>
      <c r="I977" s="130"/>
      <c r="J977" s="130"/>
      <c r="K977" s="130"/>
      <c r="L977" s="130"/>
    </row>
    <row r="978" spans="1:12" ht="13">
      <c r="A978" s="50"/>
      <c r="D978" s="130"/>
      <c r="E978" s="130"/>
      <c r="F978" s="130"/>
      <c r="G978" s="130"/>
      <c r="H978" s="130"/>
      <c r="I978" s="130"/>
      <c r="J978" s="130"/>
      <c r="K978" s="130"/>
      <c r="L978" s="130"/>
    </row>
    <row r="979" spans="1:12" ht="13">
      <c r="A979" s="50"/>
      <c r="D979" s="130"/>
      <c r="E979" s="130"/>
      <c r="F979" s="130"/>
      <c r="G979" s="130"/>
      <c r="H979" s="130"/>
      <c r="I979" s="130"/>
      <c r="J979" s="130"/>
      <c r="K979" s="130"/>
      <c r="L979" s="130"/>
    </row>
    <row r="980" spans="1:12" ht="13">
      <c r="A980" s="50"/>
      <c r="D980" s="130"/>
      <c r="E980" s="130"/>
      <c r="F980" s="130"/>
      <c r="G980" s="130"/>
      <c r="H980" s="130"/>
      <c r="I980" s="130"/>
      <c r="J980" s="130"/>
      <c r="K980" s="130"/>
      <c r="L980" s="130"/>
    </row>
    <row r="981" spans="1:12" ht="13">
      <c r="A981" s="50"/>
      <c r="D981" s="130"/>
      <c r="E981" s="130"/>
      <c r="F981" s="130"/>
      <c r="G981" s="130"/>
      <c r="H981" s="130"/>
      <c r="I981" s="130"/>
      <c r="J981" s="130"/>
      <c r="K981" s="130"/>
      <c r="L981" s="130"/>
    </row>
    <row r="982" spans="1:12" ht="13">
      <c r="A982" s="50"/>
      <c r="D982" s="130"/>
      <c r="E982" s="130"/>
      <c r="F982" s="130"/>
      <c r="G982" s="130"/>
      <c r="H982" s="130"/>
      <c r="I982" s="130"/>
      <c r="J982" s="130"/>
      <c r="K982" s="130"/>
      <c r="L982" s="130"/>
    </row>
    <row r="983" spans="1:12" ht="13">
      <c r="A983" s="50"/>
      <c r="D983" s="130"/>
      <c r="E983" s="130"/>
      <c r="F983" s="130"/>
      <c r="G983" s="130"/>
      <c r="H983" s="130"/>
      <c r="I983" s="130"/>
      <c r="J983" s="130"/>
      <c r="K983" s="130"/>
      <c r="L983" s="130"/>
    </row>
    <row r="984" spans="1:12" ht="13">
      <c r="A984" s="50"/>
      <c r="D984" s="130"/>
      <c r="E984" s="130"/>
      <c r="F984" s="130"/>
      <c r="G984" s="130"/>
      <c r="H984" s="130"/>
      <c r="I984" s="130"/>
      <c r="J984" s="130"/>
      <c r="K984" s="130"/>
      <c r="L984" s="130"/>
    </row>
    <row r="985" spans="1:12" ht="13">
      <c r="A985" s="50"/>
      <c r="D985" s="130"/>
      <c r="E985" s="130"/>
      <c r="F985" s="130"/>
      <c r="G985" s="130"/>
      <c r="H985" s="130"/>
      <c r="I985" s="130"/>
      <c r="J985" s="130"/>
      <c r="K985" s="130"/>
      <c r="L985" s="130"/>
    </row>
    <row r="986" spans="1:12" ht="13">
      <c r="A986" s="50"/>
      <c r="D986" s="130"/>
      <c r="E986" s="130"/>
      <c r="F986" s="130"/>
      <c r="G986" s="130"/>
      <c r="H986" s="130"/>
      <c r="I986" s="130"/>
      <c r="J986" s="130"/>
      <c r="K986" s="130"/>
      <c r="L986" s="130"/>
    </row>
    <row r="987" spans="1:12" ht="13">
      <c r="A987" s="50"/>
      <c r="D987" s="130"/>
      <c r="E987" s="130"/>
      <c r="F987" s="130"/>
      <c r="G987" s="130"/>
      <c r="H987" s="130"/>
      <c r="I987" s="130"/>
      <c r="J987" s="130"/>
      <c r="K987" s="130"/>
      <c r="L987" s="130"/>
    </row>
    <row r="988" spans="1:12" ht="13">
      <c r="A988" s="50"/>
      <c r="D988" s="130"/>
      <c r="E988" s="130"/>
      <c r="F988" s="130"/>
      <c r="G988" s="130"/>
      <c r="H988" s="130"/>
      <c r="I988" s="130"/>
      <c r="J988" s="130"/>
      <c r="K988" s="130"/>
      <c r="L988" s="130"/>
    </row>
    <row r="989" spans="1:12" ht="13">
      <c r="A989" s="50"/>
      <c r="D989" s="130"/>
      <c r="E989" s="130"/>
      <c r="F989" s="130"/>
      <c r="G989" s="130"/>
      <c r="H989" s="130"/>
      <c r="I989" s="130"/>
      <c r="J989" s="130"/>
      <c r="K989" s="130"/>
      <c r="L989" s="130"/>
    </row>
    <row r="990" spans="1:12" ht="13">
      <c r="A990" s="50"/>
      <c r="D990" s="130"/>
      <c r="E990" s="130"/>
      <c r="F990" s="130"/>
      <c r="G990" s="130"/>
      <c r="H990" s="130"/>
      <c r="I990" s="130"/>
      <c r="J990" s="130"/>
      <c r="K990" s="130"/>
      <c r="L990" s="130"/>
    </row>
    <row r="991" spans="1:12" ht="13">
      <c r="A991" s="50"/>
      <c r="D991" s="130"/>
      <c r="E991" s="130"/>
      <c r="F991" s="130"/>
      <c r="G991" s="130"/>
      <c r="H991" s="130"/>
      <c r="I991" s="130"/>
      <c r="J991" s="130"/>
      <c r="K991" s="130"/>
      <c r="L991" s="130"/>
    </row>
    <row r="992" spans="1:12" ht="13">
      <c r="A992" s="50"/>
      <c r="D992" s="130"/>
      <c r="E992" s="130"/>
      <c r="F992" s="130"/>
      <c r="G992" s="130"/>
      <c r="H992" s="130"/>
      <c r="I992" s="130"/>
      <c r="J992" s="130"/>
      <c r="K992" s="130"/>
      <c r="L992" s="130"/>
    </row>
    <row r="993" spans="1:12" ht="13">
      <c r="A993" s="50"/>
      <c r="D993" s="130"/>
      <c r="E993" s="130"/>
      <c r="F993" s="130"/>
      <c r="G993" s="130"/>
      <c r="H993" s="130"/>
      <c r="I993" s="130"/>
      <c r="J993" s="130"/>
      <c r="K993" s="130"/>
      <c r="L993" s="130"/>
    </row>
    <row r="994" spans="1:12" ht="13">
      <c r="A994" s="50"/>
      <c r="D994" s="130"/>
      <c r="E994" s="130"/>
      <c r="F994" s="130"/>
      <c r="G994" s="130"/>
      <c r="H994" s="130"/>
      <c r="I994" s="130"/>
      <c r="J994" s="130"/>
      <c r="K994" s="130"/>
      <c r="L994" s="130"/>
    </row>
    <row r="995" spans="1:12" ht="13">
      <c r="A995" s="50"/>
      <c r="D995" s="130"/>
      <c r="E995" s="130"/>
      <c r="F995" s="130"/>
      <c r="G995" s="130"/>
      <c r="H995" s="130"/>
      <c r="I995" s="130"/>
      <c r="J995" s="130"/>
      <c r="K995" s="130"/>
      <c r="L995" s="130"/>
    </row>
    <row r="996" spans="1:12" ht="13">
      <c r="A996" s="50"/>
      <c r="D996" s="130"/>
      <c r="E996" s="130"/>
      <c r="F996" s="130"/>
      <c r="G996" s="130"/>
      <c r="H996" s="130"/>
      <c r="I996" s="130"/>
      <c r="J996" s="130"/>
      <c r="K996" s="130"/>
      <c r="L996" s="130"/>
    </row>
    <row r="997" spans="1:12" ht="13">
      <c r="A997" s="50"/>
      <c r="D997" s="130"/>
      <c r="E997" s="130"/>
      <c r="F997" s="130"/>
      <c r="G997" s="130"/>
      <c r="H997" s="130"/>
      <c r="I997" s="130"/>
      <c r="J997" s="130"/>
      <c r="K997" s="130"/>
      <c r="L997" s="130"/>
    </row>
    <row r="998" spans="1:12" ht="13">
      <c r="A998" s="50"/>
      <c r="D998" s="130"/>
      <c r="E998" s="130"/>
      <c r="F998" s="130"/>
      <c r="G998" s="130"/>
      <c r="H998" s="130"/>
      <c r="I998" s="130"/>
      <c r="J998" s="130"/>
      <c r="K998" s="130"/>
      <c r="L998" s="130"/>
    </row>
    <row r="999" spans="1:12" ht="13">
      <c r="A999" s="50"/>
      <c r="D999" s="130"/>
      <c r="E999" s="130"/>
      <c r="F999" s="130"/>
      <c r="G999" s="130"/>
      <c r="H999" s="130"/>
      <c r="I999" s="130"/>
      <c r="J999" s="130"/>
      <c r="K999" s="130"/>
      <c r="L999" s="130"/>
    </row>
    <row r="1000" spans="1:12" ht="13">
      <c r="A1000" s="50"/>
      <c r="D1000" s="130"/>
      <c r="E1000" s="130"/>
      <c r="F1000" s="130"/>
      <c r="G1000" s="130"/>
      <c r="H1000" s="130"/>
      <c r="I1000" s="130"/>
      <c r="J1000" s="130"/>
      <c r="K1000" s="130"/>
      <c r="L1000" s="130"/>
    </row>
    <row r="1001" spans="1:12" ht="13">
      <c r="A1001" s="50"/>
      <c r="D1001" s="130"/>
      <c r="E1001" s="130"/>
      <c r="F1001" s="130"/>
      <c r="G1001" s="130"/>
      <c r="H1001" s="130"/>
      <c r="I1001" s="130"/>
      <c r="J1001" s="130"/>
      <c r="K1001" s="130"/>
      <c r="L1001" s="130"/>
    </row>
  </sheetData>
  <mergeCells count="8">
    <mergeCell ref="A41:B41"/>
    <mergeCell ref="A42:B42"/>
    <mergeCell ref="A43:B43"/>
    <mergeCell ref="M2:M12"/>
    <mergeCell ref="A35:B35"/>
    <mergeCell ref="A36:B36"/>
    <mergeCell ref="A37:B37"/>
    <mergeCell ref="A40:B40"/>
  </mergeCells>
  <conditionalFormatting sqref="A2:M21">
    <cfRule type="containsBlanks" dxfId="10" priority="1">
      <formula>LEN(TRIM(A2))=0</formula>
    </cfRule>
  </conditionalFormatting>
  <conditionalFormatting sqref="A2:L25">
    <cfRule type="expression" dxfId="9" priority="2">
      <formula>($A2="Cloth")</formula>
    </cfRule>
  </conditionalFormatting>
  <conditionalFormatting sqref="A2:L25">
    <cfRule type="expression" dxfId="8" priority="3">
      <formula>($A2="Leather")</formula>
    </cfRule>
  </conditionalFormatting>
  <conditionalFormatting sqref="A2:L25">
    <cfRule type="expression" dxfId="7" priority="4">
      <formula>($A2="Plate")</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D38"/>
  <sheetViews>
    <sheetView workbookViewId="0">
      <pane ySplit="1" topLeftCell="A2" activePane="bottomLeft" state="frozen"/>
      <selection pane="bottomLeft" activeCell="B3" sqref="B3"/>
    </sheetView>
  </sheetViews>
  <sheetFormatPr baseColWidth="10" defaultColWidth="14.5" defaultRowHeight="15.75" customHeight="1"/>
  <cols>
    <col min="1" max="1" width="20.5" customWidth="1"/>
    <col min="2" max="2" width="18.5" customWidth="1"/>
    <col min="3" max="3" width="18.6640625" customWidth="1"/>
    <col min="4" max="5" width="18.5" customWidth="1"/>
    <col min="6" max="6" width="20" customWidth="1"/>
    <col min="7" max="8" width="18.5" customWidth="1"/>
    <col min="9" max="13" width="20.5" customWidth="1"/>
    <col min="14" max="14" width="20" customWidth="1"/>
    <col min="15" max="30" width="18.5" customWidth="1"/>
  </cols>
  <sheetData>
    <row r="1" spans="1:30" ht="15.75" customHeight="1">
      <c r="A1" s="225" t="s">
        <v>218</v>
      </c>
      <c r="B1" s="129" t="s">
        <v>2711</v>
      </c>
      <c r="C1" s="129" t="s">
        <v>215</v>
      </c>
      <c r="D1" s="129" t="s">
        <v>229</v>
      </c>
      <c r="E1" s="129" t="s">
        <v>2694</v>
      </c>
      <c r="F1" s="129" t="s">
        <v>2693</v>
      </c>
      <c r="G1" s="129" t="s">
        <v>225</v>
      </c>
      <c r="H1" s="129" t="s">
        <v>201</v>
      </c>
      <c r="I1" s="129" t="s">
        <v>2712</v>
      </c>
      <c r="J1" s="129" t="s">
        <v>2713</v>
      </c>
      <c r="K1" s="129" t="s">
        <v>2714</v>
      </c>
      <c r="L1" s="129" t="s">
        <v>2715</v>
      </c>
      <c r="M1" s="129" t="s">
        <v>2716</v>
      </c>
      <c r="N1" s="129" t="s">
        <v>133</v>
      </c>
      <c r="O1" s="50"/>
      <c r="P1" s="50"/>
      <c r="Q1" s="50"/>
      <c r="R1" s="50"/>
      <c r="S1" s="50"/>
      <c r="T1" s="50"/>
      <c r="U1" s="50"/>
      <c r="V1" s="50"/>
      <c r="W1" s="50"/>
      <c r="X1" s="50"/>
      <c r="Y1" s="50"/>
      <c r="Z1" s="50"/>
      <c r="AA1" s="50"/>
      <c r="AB1" s="50"/>
      <c r="AC1" s="50"/>
      <c r="AD1" s="50"/>
    </row>
    <row r="2" spans="1:30" ht="15.75" customHeight="1">
      <c r="A2" s="42" t="s">
        <v>2717</v>
      </c>
      <c r="B2" s="42" t="s">
        <v>2717</v>
      </c>
      <c r="C2" s="42" t="s">
        <v>2718</v>
      </c>
      <c r="D2" s="42" t="s">
        <v>2719</v>
      </c>
      <c r="E2" s="42" t="s">
        <v>2720</v>
      </c>
      <c r="F2" s="42" t="s">
        <v>2721</v>
      </c>
      <c r="G2" s="42" t="s">
        <v>2717</v>
      </c>
      <c r="H2" s="42" t="s">
        <v>2717</v>
      </c>
      <c r="I2" s="177" t="s">
        <v>2722</v>
      </c>
      <c r="J2" s="177" t="s">
        <v>2722</v>
      </c>
      <c r="K2" s="177" t="s">
        <v>2723</v>
      </c>
      <c r="L2" s="177" t="s">
        <v>2723</v>
      </c>
      <c r="M2" s="177" t="s">
        <v>2723</v>
      </c>
      <c r="N2" s="42" t="s">
        <v>2724</v>
      </c>
    </row>
    <row r="3" spans="1:30" ht="15.75" customHeight="1">
      <c r="A3" s="42" t="s">
        <v>2725</v>
      </c>
      <c r="B3" s="42" t="s">
        <v>2720</v>
      </c>
      <c r="C3" s="42" t="s">
        <v>2726</v>
      </c>
      <c r="D3" s="42" t="s">
        <v>2720</v>
      </c>
      <c r="E3" s="42" t="s">
        <v>2721</v>
      </c>
      <c r="F3" s="42" t="s">
        <v>2727</v>
      </c>
      <c r="G3" s="42" t="s">
        <v>2720</v>
      </c>
      <c r="H3" s="42" t="s">
        <v>2719</v>
      </c>
      <c r="I3" s="42" t="s">
        <v>2728</v>
      </c>
      <c r="J3" s="42" t="s">
        <v>2729</v>
      </c>
      <c r="K3" s="42" t="s">
        <v>2728</v>
      </c>
      <c r="L3" s="42" t="s">
        <v>2730</v>
      </c>
      <c r="M3" s="42" t="s">
        <v>2728</v>
      </c>
      <c r="N3" s="42" t="s">
        <v>2731</v>
      </c>
    </row>
    <row r="4" spans="1:30" ht="15.75" customHeight="1">
      <c r="A4" s="42" t="s">
        <v>2732</v>
      </c>
      <c r="B4" s="42" t="s">
        <v>2725</v>
      </c>
      <c r="C4" s="42" t="s">
        <v>2733</v>
      </c>
      <c r="D4" s="42" t="s">
        <v>2734</v>
      </c>
      <c r="E4" s="42" t="s">
        <v>2727</v>
      </c>
      <c r="F4" s="42" t="s">
        <v>2735</v>
      </c>
      <c r="G4" s="42" t="s">
        <v>2732</v>
      </c>
      <c r="H4" s="42" t="s">
        <v>2720</v>
      </c>
      <c r="I4" s="42" t="s">
        <v>2736</v>
      </c>
      <c r="J4" s="42" t="s">
        <v>2737</v>
      </c>
      <c r="K4" s="177" t="s">
        <v>2738</v>
      </c>
      <c r="L4" s="177" t="s">
        <v>2738</v>
      </c>
      <c r="M4" s="177" t="s">
        <v>2739</v>
      </c>
      <c r="N4" s="42" t="s">
        <v>2733</v>
      </c>
    </row>
    <row r="5" spans="1:30" ht="15.75" customHeight="1">
      <c r="A5" s="42" t="s">
        <v>2740</v>
      </c>
      <c r="B5" s="42" t="s">
        <v>2732</v>
      </c>
      <c r="C5" s="42" t="s">
        <v>2735</v>
      </c>
      <c r="D5" s="42" t="s">
        <v>2721</v>
      </c>
      <c r="E5" s="42" t="s">
        <v>2735</v>
      </c>
      <c r="F5" s="42" t="s">
        <v>2741</v>
      </c>
      <c r="G5" s="42" t="s">
        <v>2727</v>
      </c>
      <c r="H5" s="42" t="s">
        <v>2725</v>
      </c>
      <c r="I5" s="42" t="s">
        <v>2729</v>
      </c>
      <c r="J5" s="42" t="s">
        <v>2726</v>
      </c>
      <c r="K5" s="177" t="s">
        <v>2739</v>
      </c>
      <c r="L5" s="177" t="s">
        <v>2739</v>
      </c>
      <c r="M5" s="177" t="s">
        <v>2742</v>
      </c>
      <c r="N5" s="42" t="s">
        <v>2743</v>
      </c>
    </row>
    <row r="6" spans="1:30" ht="15.75" customHeight="1">
      <c r="A6" s="42" t="s">
        <v>2744</v>
      </c>
      <c r="B6" s="42" t="s">
        <v>2740</v>
      </c>
      <c r="C6" s="42" t="s">
        <v>2745</v>
      </c>
      <c r="D6" s="42" t="s">
        <v>2746</v>
      </c>
      <c r="E6" s="42" t="s">
        <v>2747</v>
      </c>
      <c r="F6" s="42" t="s">
        <v>2748</v>
      </c>
      <c r="G6" s="42" t="s">
        <v>2740</v>
      </c>
      <c r="H6" s="42" t="s">
        <v>2732</v>
      </c>
      <c r="I6" s="42" t="s">
        <v>2737</v>
      </c>
      <c r="J6" s="42" t="s">
        <v>2733</v>
      </c>
      <c r="K6" s="177" t="s">
        <v>2742</v>
      </c>
      <c r="L6" s="177" t="s">
        <v>2742</v>
      </c>
      <c r="M6" s="42" t="s">
        <v>2749</v>
      </c>
      <c r="N6" s="42" t="s">
        <v>2750</v>
      </c>
    </row>
    <row r="7" spans="1:30" ht="15.75" customHeight="1">
      <c r="A7" s="42" t="s">
        <v>2751</v>
      </c>
      <c r="B7" s="42" t="s">
        <v>2744</v>
      </c>
      <c r="C7" s="42" t="s">
        <v>2748</v>
      </c>
      <c r="D7" s="42" t="s">
        <v>2727</v>
      </c>
      <c r="E7" s="42" t="s">
        <v>2752</v>
      </c>
      <c r="F7" s="42" t="s">
        <v>2753</v>
      </c>
      <c r="G7" s="42" t="s">
        <v>2744</v>
      </c>
      <c r="H7" s="42" t="s">
        <v>2740</v>
      </c>
      <c r="I7" s="42" t="s">
        <v>2726</v>
      </c>
      <c r="J7" s="42" t="s">
        <v>2754</v>
      </c>
      <c r="K7" s="42" t="s">
        <v>2749</v>
      </c>
      <c r="L7" s="42" t="s">
        <v>2755</v>
      </c>
      <c r="M7" s="42" t="s">
        <v>2520</v>
      </c>
      <c r="N7" s="42" t="s">
        <v>2756</v>
      </c>
    </row>
    <row r="8" spans="1:30" ht="15.75" customHeight="1">
      <c r="A8" s="42" t="s">
        <v>2757</v>
      </c>
      <c r="B8" s="42" t="s">
        <v>2743</v>
      </c>
      <c r="C8" s="42" t="s">
        <v>2758</v>
      </c>
      <c r="D8" s="42" t="s">
        <v>2735</v>
      </c>
      <c r="E8" s="42" t="s">
        <v>2759</v>
      </c>
      <c r="F8" s="42" t="s">
        <v>2760</v>
      </c>
      <c r="G8" s="42" t="s">
        <v>2757</v>
      </c>
      <c r="H8" s="42" t="s">
        <v>2744</v>
      </c>
      <c r="I8" s="42" t="s">
        <v>2733</v>
      </c>
      <c r="J8" s="42" t="s">
        <v>2761</v>
      </c>
      <c r="K8" s="177" t="s">
        <v>2762</v>
      </c>
      <c r="L8" s="42" t="s">
        <v>2749</v>
      </c>
      <c r="M8" s="177" t="s">
        <v>2762</v>
      </c>
      <c r="N8" s="42" t="s">
        <v>2763</v>
      </c>
    </row>
    <row r="9" spans="1:30" ht="15.75" customHeight="1">
      <c r="A9" s="42" t="s">
        <v>2764</v>
      </c>
      <c r="B9" s="42" t="s">
        <v>2750</v>
      </c>
      <c r="C9" s="42" t="s">
        <v>2765</v>
      </c>
      <c r="D9" s="42" t="s">
        <v>2747</v>
      </c>
      <c r="E9" s="42" t="s">
        <v>2766</v>
      </c>
      <c r="F9" s="42" t="s">
        <v>2767</v>
      </c>
      <c r="G9" s="42" t="s">
        <v>2764</v>
      </c>
      <c r="H9" s="42" t="s">
        <v>2751</v>
      </c>
      <c r="I9" s="42" t="s">
        <v>2754</v>
      </c>
      <c r="J9" s="42" t="s">
        <v>2768</v>
      </c>
      <c r="K9" s="42" t="s">
        <v>2769</v>
      </c>
      <c r="L9" s="42" t="s">
        <v>2543</v>
      </c>
      <c r="M9" s="42" t="s">
        <v>2769</v>
      </c>
      <c r="N9" s="42" t="s">
        <v>2770</v>
      </c>
    </row>
    <row r="10" spans="1:30" ht="15.75" customHeight="1">
      <c r="A10" s="42" t="s">
        <v>2771</v>
      </c>
      <c r="B10" s="42" t="s">
        <v>2756</v>
      </c>
      <c r="C10" s="42" t="s">
        <v>2772</v>
      </c>
      <c r="D10" s="42" t="s">
        <v>2773</v>
      </c>
      <c r="E10" s="42" t="s">
        <v>2774</v>
      </c>
      <c r="F10" s="42" t="s">
        <v>2775</v>
      </c>
      <c r="G10" s="42" t="s">
        <v>2776</v>
      </c>
      <c r="H10" s="42" t="s">
        <v>2747</v>
      </c>
      <c r="I10" s="42" t="s">
        <v>2761</v>
      </c>
      <c r="J10" s="42" t="s">
        <v>2777</v>
      </c>
      <c r="K10" s="42" t="s">
        <v>2768</v>
      </c>
      <c r="L10" s="177" t="s">
        <v>2762</v>
      </c>
      <c r="M10" s="42" t="s">
        <v>2745</v>
      </c>
      <c r="N10" s="42" t="s">
        <v>2778</v>
      </c>
    </row>
    <row r="11" spans="1:30" ht="15.75" customHeight="1">
      <c r="A11" s="42" t="s">
        <v>2779</v>
      </c>
      <c r="B11" s="42" t="s">
        <v>2751</v>
      </c>
      <c r="C11" s="42" t="s">
        <v>2780</v>
      </c>
      <c r="D11" s="42" t="s">
        <v>2752</v>
      </c>
      <c r="F11" s="42" t="s">
        <v>2781</v>
      </c>
      <c r="G11" s="42" t="s">
        <v>2771</v>
      </c>
      <c r="H11" s="42" t="s">
        <v>2782</v>
      </c>
      <c r="I11" s="42" t="s">
        <v>2768</v>
      </c>
      <c r="J11" s="42" t="s">
        <v>2783</v>
      </c>
      <c r="K11" s="42" t="s">
        <v>2777</v>
      </c>
      <c r="L11" s="42" t="s">
        <v>2769</v>
      </c>
      <c r="M11" s="42" t="s">
        <v>2768</v>
      </c>
      <c r="N11" s="42" t="s">
        <v>2784</v>
      </c>
    </row>
    <row r="12" spans="1:30" ht="15.75" customHeight="1">
      <c r="A12" s="42" t="s">
        <v>2785</v>
      </c>
      <c r="B12" s="42" t="s">
        <v>2757</v>
      </c>
      <c r="C12" s="42" t="s">
        <v>2786</v>
      </c>
      <c r="D12" s="42" t="s">
        <v>2787</v>
      </c>
      <c r="F12" s="42" t="s">
        <v>2538</v>
      </c>
      <c r="G12" s="42" t="s">
        <v>2788</v>
      </c>
      <c r="H12" s="42" t="s">
        <v>2773</v>
      </c>
      <c r="I12" s="42" t="s">
        <v>2777</v>
      </c>
      <c r="J12" s="42" t="s">
        <v>2789</v>
      </c>
      <c r="K12" s="42" t="s">
        <v>2790</v>
      </c>
      <c r="L12" s="42" t="s">
        <v>2791</v>
      </c>
      <c r="M12" s="42" t="s">
        <v>2777</v>
      </c>
      <c r="N12" s="42" t="s">
        <v>2792</v>
      </c>
    </row>
    <row r="13" spans="1:30" ht="15.75" customHeight="1">
      <c r="A13" s="42" t="s">
        <v>2793</v>
      </c>
      <c r="B13" s="42" t="s">
        <v>2764</v>
      </c>
      <c r="C13" s="42" t="s">
        <v>2794</v>
      </c>
      <c r="D13" s="42" t="s">
        <v>2766</v>
      </c>
      <c r="F13" s="42" t="s">
        <v>2774</v>
      </c>
      <c r="G13" s="42" t="s">
        <v>2795</v>
      </c>
      <c r="H13" s="42" t="s">
        <v>2757</v>
      </c>
      <c r="I13" s="42" t="s">
        <v>2790</v>
      </c>
      <c r="J13" s="42" t="s">
        <v>2796</v>
      </c>
      <c r="K13" s="42" t="s">
        <v>2797</v>
      </c>
      <c r="L13" s="42" t="s">
        <v>2517</v>
      </c>
      <c r="M13" s="42" t="s">
        <v>2790</v>
      </c>
      <c r="N13" s="42" t="s">
        <v>2798</v>
      </c>
    </row>
    <row r="14" spans="1:30" ht="15.75" customHeight="1">
      <c r="A14" s="42" t="s">
        <v>2799</v>
      </c>
      <c r="B14" s="42" t="s">
        <v>2759</v>
      </c>
      <c r="C14" s="42" t="s">
        <v>2800</v>
      </c>
      <c r="D14" s="42" t="s">
        <v>2538</v>
      </c>
      <c r="F14" s="42"/>
      <c r="G14" s="42" t="s">
        <v>2774</v>
      </c>
      <c r="H14" s="42" t="s">
        <v>2778</v>
      </c>
      <c r="I14" s="42" t="s">
        <v>2797</v>
      </c>
      <c r="J14" s="42" t="s">
        <v>2801</v>
      </c>
      <c r="K14" s="42" t="s">
        <v>2802</v>
      </c>
      <c r="L14" s="42" t="s">
        <v>2768</v>
      </c>
      <c r="M14" s="42" t="s">
        <v>2797</v>
      </c>
      <c r="N14" s="181" t="s">
        <v>2803</v>
      </c>
    </row>
    <row r="15" spans="1:30" ht="15.75" customHeight="1">
      <c r="A15" s="42" t="s">
        <v>2804</v>
      </c>
      <c r="B15" s="42" t="s">
        <v>2768</v>
      </c>
      <c r="C15" s="42" t="s">
        <v>2805</v>
      </c>
      <c r="D15" s="42" t="s">
        <v>2800</v>
      </c>
      <c r="H15" s="42" t="s">
        <v>2806</v>
      </c>
      <c r="I15" s="42" t="s">
        <v>2802</v>
      </c>
      <c r="J15" s="42" t="s">
        <v>2807</v>
      </c>
      <c r="K15" s="42" t="s">
        <v>2808</v>
      </c>
      <c r="L15" s="42" t="s">
        <v>2777</v>
      </c>
      <c r="M15" s="42" t="s">
        <v>2802</v>
      </c>
      <c r="N15" s="42" t="s">
        <v>2809</v>
      </c>
    </row>
    <row r="16" spans="1:30" ht="15.75" customHeight="1">
      <c r="A16" s="42" t="s">
        <v>2810</v>
      </c>
      <c r="B16" s="42" t="s">
        <v>2771</v>
      </c>
      <c r="C16" s="42" t="s">
        <v>2811</v>
      </c>
      <c r="D16" s="42" t="s">
        <v>2805</v>
      </c>
      <c r="H16" s="42" t="s">
        <v>2764</v>
      </c>
      <c r="I16" s="42" t="s">
        <v>2808</v>
      </c>
      <c r="J16" s="42" t="s">
        <v>2812</v>
      </c>
      <c r="K16" s="42" t="s">
        <v>2813</v>
      </c>
      <c r="L16" s="42" t="s">
        <v>2790</v>
      </c>
      <c r="M16" s="42" t="s">
        <v>2808</v>
      </c>
      <c r="N16" s="42" t="s">
        <v>2814</v>
      </c>
    </row>
    <row r="17" spans="1:14" ht="15.75" customHeight="1">
      <c r="A17" s="42" t="s">
        <v>2814</v>
      </c>
      <c r="B17" s="42" t="s">
        <v>2814</v>
      </c>
      <c r="C17" s="42" t="s">
        <v>2774</v>
      </c>
      <c r="D17" s="42" t="s">
        <v>2815</v>
      </c>
      <c r="H17" s="42" t="s">
        <v>2798</v>
      </c>
      <c r="I17" s="42" t="s">
        <v>2813</v>
      </c>
      <c r="J17" s="42" t="s">
        <v>2758</v>
      </c>
      <c r="K17" s="42" t="s">
        <v>2816</v>
      </c>
      <c r="L17" s="42" t="s">
        <v>2797</v>
      </c>
      <c r="M17" s="42" t="s">
        <v>2813</v>
      </c>
      <c r="N17" s="177"/>
    </row>
    <row r="18" spans="1:14" ht="15.75" customHeight="1">
      <c r="A18" s="42" t="s">
        <v>2788</v>
      </c>
      <c r="B18" s="42" t="s">
        <v>2788</v>
      </c>
      <c r="C18" s="42"/>
      <c r="H18" s="42" t="s">
        <v>2768</v>
      </c>
      <c r="I18" s="42" t="s">
        <v>2816</v>
      </c>
      <c r="J18" s="42" t="s">
        <v>2817</v>
      </c>
      <c r="K18" s="42" t="s">
        <v>2818</v>
      </c>
      <c r="L18" s="42" t="s">
        <v>2802</v>
      </c>
      <c r="M18" s="42" t="s">
        <v>2816</v>
      </c>
    </row>
    <row r="19" spans="1:14" ht="15.75" customHeight="1">
      <c r="A19" s="42" t="s">
        <v>2795</v>
      </c>
      <c r="B19" s="42" t="s">
        <v>2795</v>
      </c>
      <c r="H19" s="42" t="s">
        <v>2771</v>
      </c>
      <c r="I19" s="42" t="s">
        <v>2818</v>
      </c>
      <c r="J19" s="42"/>
      <c r="K19" s="42" t="s">
        <v>2819</v>
      </c>
      <c r="L19" s="42" t="s">
        <v>2816</v>
      </c>
      <c r="M19" s="42" t="s">
        <v>2818</v>
      </c>
    </row>
    <row r="20" spans="1:14" ht="15.75" customHeight="1">
      <c r="A20" s="42" t="s">
        <v>2820</v>
      </c>
      <c r="B20" s="42"/>
      <c r="H20" s="42" t="s">
        <v>2814</v>
      </c>
      <c r="I20" s="42" t="s">
        <v>2819</v>
      </c>
      <c r="J20" s="42"/>
      <c r="K20" s="42" t="s">
        <v>2821</v>
      </c>
      <c r="L20" s="42" t="s">
        <v>2821</v>
      </c>
      <c r="M20" s="42" t="s">
        <v>2819</v>
      </c>
    </row>
    <row r="21" spans="1:14" ht="15.75" customHeight="1">
      <c r="A21" s="42"/>
      <c r="B21" s="42"/>
      <c r="H21" s="42" t="s">
        <v>2788</v>
      </c>
      <c r="I21" s="42" t="s">
        <v>2821</v>
      </c>
      <c r="J21" s="42"/>
      <c r="K21" s="42" t="s">
        <v>2822</v>
      </c>
      <c r="L21" s="42" t="s">
        <v>2823</v>
      </c>
      <c r="M21" s="42" t="s">
        <v>2821</v>
      </c>
    </row>
    <row r="22" spans="1:14" ht="15.75" customHeight="1">
      <c r="H22" s="42" t="s">
        <v>2800</v>
      </c>
      <c r="I22" s="42" t="s">
        <v>2822</v>
      </c>
      <c r="J22" s="42"/>
      <c r="K22" s="42" t="s">
        <v>2823</v>
      </c>
      <c r="L22" s="42" t="s">
        <v>2824</v>
      </c>
      <c r="M22" s="42" t="s">
        <v>2822</v>
      </c>
    </row>
    <row r="23" spans="1:14" ht="15.75" customHeight="1">
      <c r="H23" s="42" t="s">
        <v>2795</v>
      </c>
      <c r="I23" s="42" t="s">
        <v>2823</v>
      </c>
      <c r="J23" s="42"/>
      <c r="K23" s="42" t="s">
        <v>2825</v>
      </c>
      <c r="L23" s="42" t="s">
        <v>2800</v>
      </c>
      <c r="M23" s="42" t="s">
        <v>2823</v>
      </c>
    </row>
    <row r="24" spans="1:14" ht="15.75" customHeight="1">
      <c r="H24" s="42" t="s">
        <v>2774</v>
      </c>
      <c r="I24" s="42" t="s">
        <v>2758</v>
      </c>
      <c r="J24" s="42"/>
      <c r="K24" s="42" t="s">
        <v>2811</v>
      </c>
      <c r="L24" s="42" t="s">
        <v>2811</v>
      </c>
      <c r="M24" s="42" t="s">
        <v>2826</v>
      </c>
    </row>
    <row r="25" spans="1:14" ht="15.75" customHeight="1">
      <c r="I25" s="42" t="s">
        <v>2529</v>
      </c>
      <c r="J25" s="42"/>
      <c r="K25" s="42" t="s">
        <v>2529</v>
      </c>
      <c r="L25" s="42"/>
      <c r="M25" s="42"/>
    </row>
    <row r="26" spans="1:14" ht="15.75" customHeight="1">
      <c r="I26" s="42"/>
      <c r="J26" s="42"/>
      <c r="K26" s="42"/>
      <c r="L26" s="42"/>
      <c r="M26" s="42"/>
    </row>
    <row r="27" spans="1:14" ht="15.75" customHeight="1">
      <c r="I27" s="42"/>
      <c r="J27" s="42"/>
      <c r="K27" s="42"/>
      <c r="L27" s="42"/>
      <c r="M27" s="42"/>
    </row>
    <row r="28" spans="1:14" ht="15.75" customHeight="1">
      <c r="I28" s="42"/>
      <c r="J28" s="42"/>
      <c r="K28" s="42"/>
      <c r="L28" s="42"/>
      <c r="M28" s="42"/>
    </row>
    <row r="29" spans="1:14" ht="15.75" customHeight="1">
      <c r="I29" s="42"/>
      <c r="J29" s="42"/>
      <c r="K29" s="42"/>
      <c r="L29" s="42"/>
      <c r="M29" s="42"/>
    </row>
    <row r="30" spans="1:14" ht="15.75" customHeight="1">
      <c r="I30" s="42"/>
      <c r="J30" s="42"/>
      <c r="K30" s="42"/>
      <c r="L30" s="42"/>
      <c r="M30" s="42"/>
    </row>
    <row r="31" spans="1:14" ht="15.75" customHeight="1">
      <c r="I31" s="42"/>
      <c r="J31" s="42"/>
      <c r="K31" s="42"/>
      <c r="L31" s="42"/>
      <c r="M31" s="42"/>
    </row>
    <row r="32" spans="1:14" ht="15.75" customHeight="1">
      <c r="I32" s="42"/>
      <c r="J32" s="42"/>
      <c r="K32" s="42"/>
      <c r="L32" s="42"/>
      <c r="M32" s="42"/>
    </row>
    <row r="33" spans="9:13" ht="15.75" customHeight="1">
      <c r="I33" s="42"/>
      <c r="J33" s="42"/>
      <c r="K33" s="42"/>
      <c r="L33" s="42"/>
    </row>
    <row r="34" spans="9:13" ht="15.75" customHeight="1">
      <c r="I34" s="42"/>
      <c r="J34" s="42"/>
      <c r="K34" s="42"/>
      <c r="L34" s="42"/>
      <c r="M34" s="42"/>
    </row>
    <row r="35" spans="9:13" ht="15.75" customHeight="1">
      <c r="I35" s="42"/>
      <c r="J35" s="42"/>
      <c r="K35" s="42"/>
      <c r="L35" s="42"/>
      <c r="M35" s="42"/>
    </row>
    <row r="36" spans="9:13" ht="15.75" customHeight="1">
      <c r="I36" s="42"/>
      <c r="J36" s="42"/>
      <c r="K36" s="42"/>
      <c r="L36" s="42"/>
      <c r="M36" s="42"/>
    </row>
    <row r="37" spans="9:13" ht="15.75" customHeight="1">
      <c r="I37" s="42"/>
      <c r="J37" s="42"/>
      <c r="K37" s="42"/>
      <c r="L37" s="42"/>
      <c r="M37" s="42"/>
    </row>
    <row r="38" spans="9:13" ht="15.75" customHeight="1">
      <c r="I38" s="42"/>
      <c r="J38" s="42"/>
      <c r="K38" s="42"/>
      <c r="L38" s="42"/>
      <c r="M38" s="42"/>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W1000"/>
  <sheetViews>
    <sheetView workbookViewId="0">
      <pane ySplit="1" topLeftCell="A2" activePane="bottomLeft" state="frozen"/>
      <selection pane="bottomLeft" activeCell="B3" sqref="B3"/>
    </sheetView>
  </sheetViews>
  <sheetFormatPr baseColWidth="10" defaultColWidth="14.5" defaultRowHeight="15.75" customHeight="1"/>
  <cols>
    <col min="4" max="4" width="7.6640625" customWidth="1"/>
    <col min="6" max="6" width="7.5" customWidth="1"/>
    <col min="8" max="8" width="7" customWidth="1"/>
    <col min="10" max="10" width="7.1640625" customWidth="1"/>
    <col min="12" max="12" width="6.83203125" customWidth="1"/>
  </cols>
  <sheetData>
    <row r="1" spans="1:23" ht="15.75" customHeight="1">
      <c r="A1" s="129" t="s">
        <v>2827</v>
      </c>
      <c r="B1" s="167" t="s">
        <v>2828</v>
      </c>
      <c r="C1" s="226" t="s">
        <v>2829</v>
      </c>
      <c r="D1" s="227" t="s">
        <v>2830</v>
      </c>
      <c r="E1" s="228" t="s">
        <v>2831</v>
      </c>
      <c r="F1" s="229" t="s">
        <v>2830</v>
      </c>
      <c r="G1" s="230" t="s">
        <v>2832</v>
      </c>
      <c r="H1" s="231" t="s">
        <v>2830</v>
      </c>
      <c r="I1" s="232" t="s">
        <v>2833</v>
      </c>
      <c r="J1" s="233" t="s">
        <v>2830</v>
      </c>
      <c r="K1" s="234" t="s">
        <v>2834</v>
      </c>
      <c r="L1" s="235" t="s">
        <v>2830</v>
      </c>
      <c r="M1" s="167" t="s">
        <v>2827</v>
      </c>
      <c r="N1" s="50"/>
      <c r="O1" s="50"/>
      <c r="P1" s="50"/>
      <c r="Q1" s="50"/>
      <c r="R1" s="50"/>
      <c r="S1" s="50"/>
      <c r="T1" s="50"/>
      <c r="U1" s="50"/>
      <c r="V1" s="50"/>
      <c r="W1" s="50"/>
    </row>
    <row r="2" spans="1:23" ht="15.75" customHeight="1">
      <c r="A2" s="129" t="s">
        <v>2657</v>
      </c>
      <c r="B2" s="42">
        <v>89</v>
      </c>
      <c r="C2">
        <v>98.5</v>
      </c>
      <c r="D2" s="192">
        <f t="shared" ref="D2:D22" si="0">IF(ISBLANK(C2),"",ROUND(C2/$B2,3))</f>
        <v>1.107</v>
      </c>
      <c r="E2">
        <v>98.5</v>
      </c>
      <c r="F2" s="192">
        <f t="shared" ref="F2:F22" si="1">IF(ISBLANK(E2),"",ROUND(E2/$B2,3))</f>
        <v>1.107</v>
      </c>
      <c r="G2">
        <v>98.5</v>
      </c>
      <c r="H2" s="192">
        <f t="shared" ref="H2:H22" si="2">IF(ISBLANK(G2),"",ROUND(G2/$B2,3))</f>
        <v>1.107</v>
      </c>
      <c r="I2">
        <v>100.5</v>
      </c>
      <c r="J2" s="192">
        <f t="shared" ref="J2:J22" si="3">IF(ISBLANK(I2),"",ROUND(I2/$B2,3))</f>
        <v>1.129</v>
      </c>
      <c r="K2" s="42">
        <v>103</v>
      </c>
      <c r="L2" s="192">
        <f t="shared" ref="L2:L10" si="4">ROUND(K2/B2,3)</f>
        <v>1.157</v>
      </c>
      <c r="M2" s="167" t="s">
        <v>2657</v>
      </c>
    </row>
    <row r="3" spans="1:23" ht="15.75" customHeight="1">
      <c r="A3" s="129" t="s">
        <v>2658</v>
      </c>
      <c r="B3" s="42">
        <v>89</v>
      </c>
      <c r="C3">
        <v>98.5</v>
      </c>
      <c r="D3" s="192">
        <f t="shared" si="0"/>
        <v>1.107</v>
      </c>
      <c r="E3">
        <v>98.5</v>
      </c>
      <c r="F3" s="192">
        <f t="shared" si="1"/>
        <v>1.107</v>
      </c>
      <c r="G3">
        <v>98.5</v>
      </c>
      <c r="H3" s="192">
        <f t="shared" si="2"/>
        <v>1.107</v>
      </c>
      <c r="I3">
        <v>100.5</v>
      </c>
      <c r="J3" s="192">
        <f t="shared" si="3"/>
        <v>1.129</v>
      </c>
      <c r="K3" s="42">
        <v>103</v>
      </c>
      <c r="L3" s="192">
        <f t="shared" si="4"/>
        <v>1.157</v>
      </c>
      <c r="M3" s="167" t="s">
        <v>2658</v>
      </c>
    </row>
    <row r="4" spans="1:23" ht="15.75" customHeight="1">
      <c r="A4" s="129" t="s">
        <v>2659</v>
      </c>
      <c r="B4" s="42">
        <v>89</v>
      </c>
      <c r="C4">
        <v>98.5</v>
      </c>
      <c r="D4" s="192">
        <f t="shared" si="0"/>
        <v>1.107</v>
      </c>
      <c r="E4">
        <v>98.5</v>
      </c>
      <c r="F4" s="192">
        <f t="shared" si="1"/>
        <v>1.107</v>
      </c>
      <c r="G4">
        <v>98.5</v>
      </c>
      <c r="H4" s="192">
        <f t="shared" si="2"/>
        <v>1.107</v>
      </c>
      <c r="I4">
        <v>100.5</v>
      </c>
      <c r="J4" s="192">
        <f t="shared" si="3"/>
        <v>1.129</v>
      </c>
      <c r="K4" s="42">
        <v>103</v>
      </c>
      <c r="L4" s="192">
        <f t="shared" si="4"/>
        <v>1.157</v>
      </c>
      <c r="M4" s="167" t="s">
        <v>2659</v>
      </c>
    </row>
    <row r="5" spans="1:23" ht="15.75" customHeight="1">
      <c r="A5" s="129" t="s">
        <v>320</v>
      </c>
      <c r="B5" s="42">
        <v>73.5</v>
      </c>
      <c r="C5">
        <v>81</v>
      </c>
      <c r="D5" s="192">
        <f t="shared" si="0"/>
        <v>1.1020000000000001</v>
      </c>
      <c r="E5">
        <v>81</v>
      </c>
      <c r="F5" s="192">
        <f t="shared" si="1"/>
        <v>1.1020000000000001</v>
      </c>
      <c r="G5">
        <v>81</v>
      </c>
      <c r="H5" s="192">
        <f t="shared" si="2"/>
        <v>1.1020000000000001</v>
      </c>
      <c r="I5">
        <v>82.5</v>
      </c>
      <c r="J5" s="192">
        <f t="shared" si="3"/>
        <v>1.1220000000000001</v>
      </c>
      <c r="K5" s="42">
        <v>85</v>
      </c>
      <c r="L5" s="192">
        <f t="shared" si="4"/>
        <v>1.1559999999999999</v>
      </c>
      <c r="M5" s="167" t="s">
        <v>320</v>
      </c>
    </row>
    <row r="6" spans="1:23" ht="15.75" customHeight="1">
      <c r="A6" s="134" t="s">
        <v>2674</v>
      </c>
      <c r="B6" s="176">
        <v>139.5</v>
      </c>
      <c r="C6" s="135">
        <v>154</v>
      </c>
      <c r="D6" s="193">
        <f t="shared" si="0"/>
        <v>1.1040000000000001</v>
      </c>
      <c r="E6" s="135">
        <v>154</v>
      </c>
      <c r="F6" s="193">
        <f t="shared" si="1"/>
        <v>1.1040000000000001</v>
      </c>
      <c r="G6" s="135">
        <v>154</v>
      </c>
      <c r="H6" s="193">
        <f t="shared" si="2"/>
        <v>1.1040000000000001</v>
      </c>
      <c r="I6" s="135">
        <v>157</v>
      </c>
      <c r="J6" s="193">
        <f t="shared" si="3"/>
        <v>1.125</v>
      </c>
      <c r="K6" s="176">
        <v>161.5</v>
      </c>
      <c r="L6" s="193">
        <f t="shared" si="4"/>
        <v>1.1579999999999999</v>
      </c>
      <c r="M6" s="168" t="s">
        <v>2674</v>
      </c>
    </row>
    <row r="7" spans="1:23" ht="15.75" customHeight="1">
      <c r="A7" s="134" t="s">
        <v>2835</v>
      </c>
      <c r="B7" s="176">
        <v>139.5</v>
      </c>
      <c r="C7" s="135">
        <v>154.5</v>
      </c>
      <c r="D7" s="193">
        <f t="shared" si="0"/>
        <v>1.1080000000000001</v>
      </c>
      <c r="E7" s="135">
        <v>154.5</v>
      </c>
      <c r="F7" s="193">
        <f t="shared" si="1"/>
        <v>1.1080000000000001</v>
      </c>
      <c r="G7" s="135">
        <v>154.5</v>
      </c>
      <c r="H7" s="193">
        <f t="shared" si="2"/>
        <v>1.1080000000000001</v>
      </c>
      <c r="I7" s="135">
        <v>157</v>
      </c>
      <c r="J7" s="193">
        <f t="shared" si="3"/>
        <v>1.125</v>
      </c>
      <c r="K7" s="176">
        <v>161.5</v>
      </c>
      <c r="L7" s="193">
        <f t="shared" si="4"/>
        <v>1.1579999999999999</v>
      </c>
      <c r="M7" s="168" t="s">
        <v>2835</v>
      </c>
    </row>
    <row r="8" spans="1:23" ht="15.75" customHeight="1">
      <c r="A8" s="134" t="s">
        <v>2836</v>
      </c>
      <c r="B8" s="176">
        <v>140</v>
      </c>
      <c r="C8" s="135">
        <v>154.5</v>
      </c>
      <c r="D8" s="193">
        <f t="shared" si="0"/>
        <v>1.1040000000000001</v>
      </c>
      <c r="E8" s="135">
        <v>154.5</v>
      </c>
      <c r="F8" s="193">
        <f t="shared" si="1"/>
        <v>1.1040000000000001</v>
      </c>
      <c r="G8" s="135">
        <v>154.5</v>
      </c>
      <c r="H8" s="193">
        <f t="shared" si="2"/>
        <v>1.1040000000000001</v>
      </c>
      <c r="I8" s="135">
        <v>156.5</v>
      </c>
      <c r="J8" s="193">
        <f t="shared" si="3"/>
        <v>1.1180000000000001</v>
      </c>
      <c r="K8" s="176">
        <v>161</v>
      </c>
      <c r="L8" s="193">
        <f t="shared" si="4"/>
        <v>1.1499999999999999</v>
      </c>
      <c r="M8" s="168" t="s">
        <v>2836</v>
      </c>
    </row>
    <row r="9" spans="1:23" ht="15.75" customHeight="1">
      <c r="A9" s="134" t="s">
        <v>2663</v>
      </c>
      <c r="B9" s="176">
        <v>133</v>
      </c>
      <c r="C9" s="135">
        <v>146.5</v>
      </c>
      <c r="D9" s="193">
        <f t="shared" si="0"/>
        <v>1.1020000000000001</v>
      </c>
      <c r="E9" s="135">
        <v>146.5</v>
      </c>
      <c r="F9" s="193">
        <f t="shared" si="1"/>
        <v>1.1020000000000001</v>
      </c>
      <c r="G9" s="135">
        <v>146.5</v>
      </c>
      <c r="H9" s="193">
        <f t="shared" si="2"/>
        <v>1.1020000000000001</v>
      </c>
      <c r="I9" s="135">
        <v>149.5</v>
      </c>
      <c r="J9" s="193">
        <f t="shared" si="3"/>
        <v>1.1240000000000001</v>
      </c>
      <c r="K9" s="176">
        <v>153.5</v>
      </c>
      <c r="L9" s="193">
        <f t="shared" si="4"/>
        <v>1.1539999999999999</v>
      </c>
      <c r="M9" s="168" t="s">
        <v>2663</v>
      </c>
    </row>
    <row r="10" spans="1:23" ht="15.75" customHeight="1">
      <c r="A10" s="134" t="s">
        <v>1535</v>
      </c>
      <c r="B10" s="176">
        <v>126.5</v>
      </c>
      <c r="C10" s="135">
        <v>139.5</v>
      </c>
      <c r="D10" s="193">
        <f t="shared" si="0"/>
        <v>1.103</v>
      </c>
      <c r="E10" s="135">
        <v>139.5</v>
      </c>
      <c r="F10" s="193">
        <f t="shared" si="1"/>
        <v>1.103</v>
      </c>
      <c r="G10" s="176">
        <v>139.5</v>
      </c>
      <c r="H10" s="193">
        <f t="shared" si="2"/>
        <v>1.103</v>
      </c>
      <c r="I10" s="135">
        <v>142</v>
      </c>
      <c r="J10" s="193">
        <f t="shared" si="3"/>
        <v>1.123</v>
      </c>
      <c r="K10" s="176">
        <v>146</v>
      </c>
      <c r="L10" s="193">
        <f t="shared" si="4"/>
        <v>1.1539999999999999</v>
      </c>
      <c r="M10" s="168" t="s">
        <v>1535</v>
      </c>
    </row>
    <row r="11" spans="1:23" ht="15.75" customHeight="1">
      <c r="A11" s="129" t="s">
        <v>2661</v>
      </c>
      <c r="B11" s="42">
        <v>73.5</v>
      </c>
      <c r="C11">
        <v>81</v>
      </c>
      <c r="D11" s="192">
        <f t="shared" si="0"/>
        <v>1.1020000000000001</v>
      </c>
      <c r="E11">
        <v>81</v>
      </c>
      <c r="F11" s="192">
        <f t="shared" si="1"/>
        <v>1.1020000000000001</v>
      </c>
      <c r="G11">
        <v>81</v>
      </c>
      <c r="H11" s="192">
        <f t="shared" si="2"/>
        <v>1.1020000000000001</v>
      </c>
      <c r="I11">
        <v>82.5</v>
      </c>
      <c r="J11" s="192">
        <f t="shared" si="3"/>
        <v>1.1220000000000001</v>
      </c>
      <c r="K11" s="42">
        <v>85</v>
      </c>
      <c r="L11" s="192">
        <f>ROUND(K11/$B11,3)</f>
        <v>1.1559999999999999</v>
      </c>
      <c r="M11" s="167" t="s">
        <v>2661</v>
      </c>
    </row>
    <row r="12" spans="1:23" ht="15.75" customHeight="1">
      <c r="A12" s="173" t="s">
        <v>2666</v>
      </c>
      <c r="B12" s="177">
        <v>119.5</v>
      </c>
      <c r="C12">
        <v>132</v>
      </c>
      <c r="D12" s="192">
        <f t="shared" si="0"/>
        <v>1.105</v>
      </c>
      <c r="E12">
        <v>132</v>
      </c>
      <c r="F12" s="192">
        <f t="shared" si="1"/>
        <v>1.105</v>
      </c>
      <c r="G12">
        <v>132</v>
      </c>
      <c r="H12" s="192">
        <f t="shared" si="2"/>
        <v>1.105</v>
      </c>
      <c r="I12">
        <v>134.5</v>
      </c>
      <c r="J12" s="192">
        <f t="shared" si="3"/>
        <v>1.1259999999999999</v>
      </c>
      <c r="K12" s="42">
        <v>138</v>
      </c>
      <c r="L12" s="192">
        <f t="shared" ref="L12:L22" si="5">ROUND(K12/B12,3)</f>
        <v>1.155</v>
      </c>
      <c r="M12" s="170" t="s">
        <v>2666</v>
      </c>
    </row>
    <row r="13" spans="1:23" ht="15.75" customHeight="1">
      <c r="A13" s="173" t="s">
        <v>1150</v>
      </c>
      <c r="B13" s="177">
        <v>133</v>
      </c>
      <c r="C13">
        <v>146.5</v>
      </c>
      <c r="D13" s="192">
        <f t="shared" si="0"/>
        <v>1.1020000000000001</v>
      </c>
      <c r="E13">
        <v>146.5</v>
      </c>
      <c r="F13" s="192">
        <f t="shared" si="1"/>
        <v>1.1020000000000001</v>
      </c>
      <c r="G13">
        <v>146.5</v>
      </c>
      <c r="H13" s="192">
        <f t="shared" si="2"/>
        <v>1.1020000000000001</v>
      </c>
      <c r="I13">
        <v>149.5</v>
      </c>
      <c r="J13" s="192">
        <f t="shared" si="3"/>
        <v>1.1240000000000001</v>
      </c>
      <c r="K13" s="42">
        <v>153.5</v>
      </c>
      <c r="L13" s="192">
        <f t="shared" si="5"/>
        <v>1.1539999999999999</v>
      </c>
      <c r="M13" s="170" t="s">
        <v>1150</v>
      </c>
    </row>
    <row r="14" spans="1:23" ht="15.75" customHeight="1">
      <c r="A14" s="134" t="s">
        <v>218</v>
      </c>
      <c r="B14" s="135">
        <v>366</v>
      </c>
      <c r="C14" s="135">
        <v>368</v>
      </c>
      <c r="D14" s="193">
        <f t="shared" si="0"/>
        <v>1.0049999999999999</v>
      </c>
      <c r="E14" s="135">
        <v>372</v>
      </c>
      <c r="F14" s="193">
        <f t="shared" si="1"/>
        <v>1.016</v>
      </c>
      <c r="G14" s="135">
        <v>419</v>
      </c>
      <c r="H14" s="193">
        <f t="shared" si="2"/>
        <v>1.145</v>
      </c>
      <c r="I14" s="135">
        <v>444</v>
      </c>
      <c r="J14" s="193">
        <f t="shared" si="3"/>
        <v>1.2130000000000001</v>
      </c>
      <c r="K14" s="176">
        <v>488</v>
      </c>
      <c r="L14" s="193">
        <f t="shared" si="5"/>
        <v>1.333</v>
      </c>
      <c r="M14" s="168" t="s">
        <v>218</v>
      </c>
    </row>
    <row r="15" spans="1:23" ht="15.75" customHeight="1">
      <c r="A15" s="134" t="s">
        <v>85</v>
      </c>
      <c r="B15" s="135">
        <v>731</v>
      </c>
      <c r="C15" s="135">
        <v>733</v>
      </c>
      <c r="D15" s="193">
        <f t="shared" si="0"/>
        <v>1.0029999999999999</v>
      </c>
      <c r="E15" s="135">
        <v>737</v>
      </c>
      <c r="F15" s="193">
        <f t="shared" si="1"/>
        <v>1.008</v>
      </c>
      <c r="G15" s="176">
        <v>784</v>
      </c>
      <c r="H15" s="193">
        <f t="shared" si="2"/>
        <v>1.073</v>
      </c>
      <c r="I15" s="135">
        <v>809</v>
      </c>
      <c r="J15" s="193">
        <f t="shared" si="3"/>
        <v>1.107</v>
      </c>
      <c r="K15" s="176">
        <v>853</v>
      </c>
      <c r="L15" s="193">
        <f t="shared" si="5"/>
        <v>1.167</v>
      </c>
      <c r="M15" s="168" t="s">
        <v>85</v>
      </c>
    </row>
    <row r="16" spans="1:23" ht="15.75" customHeight="1">
      <c r="A16" s="134" t="s">
        <v>215</v>
      </c>
      <c r="B16" s="135">
        <v>366</v>
      </c>
      <c r="C16" s="135">
        <v>368</v>
      </c>
      <c r="D16" s="193">
        <f t="shared" si="0"/>
        <v>1.0049999999999999</v>
      </c>
      <c r="E16" s="135">
        <v>372</v>
      </c>
      <c r="F16" s="193">
        <f t="shared" si="1"/>
        <v>1.016</v>
      </c>
      <c r="G16" s="135">
        <v>419</v>
      </c>
      <c r="H16" s="193">
        <f t="shared" si="2"/>
        <v>1.145</v>
      </c>
      <c r="I16" s="135">
        <v>444</v>
      </c>
      <c r="J16" s="193">
        <f t="shared" si="3"/>
        <v>1.2130000000000001</v>
      </c>
      <c r="K16" s="176">
        <v>488</v>
      </c>
      <c r="L16" s="193">
        <f t="shared" si="5"/>
        <v>1.333</v>
      </c>
      <c r="M16" s="168" t="s">
        <v>215</v>
      </c>
    </row>
    <row r="17" spans="1:13" ht="15.75" customHeight="1">
      <c r="A17" s="134" t="s">
        <v>2694</v>
      </c>
      <c r="B17" s="135">
        <v>487</v>
      </c>
      <c r="C17" s="135">
        <v>489</v>
      </c>
      <c r="D17" s="193">
        <f t="shared" si="0"/>
        <v>1.004</v>
      </c>
      <c r="E17" s="135">
        <v>493</v>
      </c>
      <c r="F17" s="193">
        <f t="shared" si="1"/>
        <v>1.012</v>
      </c>
      <c r="G17" s="135">
        <v>540</v>
      </c>
      <c r="H17" s="193">
        <f t="shared" si="2"/>
        <v>1.109</v>
      </c>
      <c r="I17" s="135">
        <v>565</v>
      </c>
      <c r="J17" s="193">
        <f t="shared" si="3"/>
        <v>1.1599999999999999</v>
      </c>
      <c r="K17" s="176">
        <v>609</v>
      </c>
      <c r="L17" s="193">
        <f t="shared" si="5"/>
        <v>1.2509999999999999</v>
      </c>
      <c r="M17" s="168" t="s">
        <v>2694</v>
      </c>
    </row>
    <row r="18" spans="1:13" ht="15.75" customHeight="1">
      <c r="A18" s="134" t="s">
        <v>2693</v>
      </c>
      <c r="B18" s="135">
        <v>366</v>
      </c>
      <c r="C18" s="135">
        <v>368</v>
      </c>
      <c r="D18" s="193">
        <f t="shared" si="0"/>
        <v>1.0049999999999999</v>
      </c>
      <c r="E18" s="135">
        <v>372</v>
      </c>
      <c r="F18" s="193">
        <f t="shared" si="1"/>
        <v>1.016</v>
      </c>
      <c r="G18" s="135">
        <v>419</v>
      </c>
      <c r="H18" s="193">
        <f t="shared" si="2"/>
        <v>1.145</v>
      </c>
      <c r="I18" s="135">
        <v>444</v>
      </c>
      <c r="J18" s="193">
        <f t="shared" si="3"/>
        <v>1.2130000000000001</v>
      </c>
      <c r="K18" s="176">
        <v>488</v>
      </c>
      <c r="L18" s="193">
        <f t="shared" si="5"/>
        <v>1.333</v>
      </c>
      <c r="M18" s="168" t="s">
        <v>2693</v>
      </c>
    </row>
    <row r="19" spans="1:13" ht="15.75" customHeight="1">
      <c r="A19" s="129" t="s">
        <v>133</v>
      </c>
      <c r="B19" s="42">
        <v>1738</v>
      </c>
      <c r="C19">
        <v>1742</v>
      </c>
      <c r="D19" s="192">
        <f t="shared" si="0"/>
        <v>1.002</v>
      </c>
      <c r="E19">
        <v>1750</v>
      </c>
      <c r="F19" s="192">
        <f t="shared" si="1"/>
        <v>1.0069999999999999</v>
      </c>
      <c r="G19">
        <v>1854</v>
      </c>
      <c r="H19" s="192">
        <f t="shared" si="2"/>
        <v>1.0669999999999999</v>
      </c>
      <c r="I19">
        <v>1970</v>
      </c>
      <c r="J19" s="192">
        <f t="shared" si="3"/>
        <v>1.133</v>
      </c>
      <c r="K19" s="42">
        <v>2086</v>
      </c>
      <c r="L19" s="192">
        <f t="shared" si="5"/>
        <v>1.2</v>
      </c>
      <c r="M19" s="167" t="s">
        <v>133</v>
      </c>
    </row>
    <row r="20" spans="1:13" ht="15.75" customHeight="1">
      <c r="A20" s="129" t="s">
        <v>225</v>
      </c>
      <c r="B20" s="42">
        <v>186</v>
      </c>
      <c r="C20">
        <v>188</v>
      </c>
      <c r="D20" s="192">
        <f t="shared" si="0"/>
        <v>1.0109999999999999</v>
      </c>
      <c r="E20">
        <v>190</v>
      </c>
      <c r="F20" s="192">
        <f t="shared" si="1"/>
        <v>1.022</v>
      </c>
      <c r="G20">
        <v>221</v>
      </c>
      <c r="H20" s="192">
        <f t="shared" si="2"/>
        <v>1.1879999999999999</v>
      </c>
      <c r="I20">
        <v>291</v>
      </c>
      <c r="J20" s="192">
        <f t="shared" si="3"/>
        <v>1.5649999999999999</v>
      </c>
      <c r="K20" s="42">
        <v>256</v>
      </c>
      <c r="L20" s="192">
        <f t="shared" si="5"/>
        <v>1.3759999999999999</v>
      </c>
      <c r="M20" s="167" t="s">
        <v>225</v>
      </c>
    </row>
    <row r="21" spans="1:13" ht="15.75" customHeight="1">
      <c r="A21" s="129" t="s">
        <v>201</v>
      </c>
      <c r="B21" s="42">
        <v>279</v>
      </c>
      <c r="C21">
        <v>281</v>
      </c>
      <c r="D21" s="192">
        <f t="shared" si="0"/>
        <v>1.0069999999999999</v>
      </c>
      <c r="E21">
        <v>283</v>
      </c>
      <c r="F21" s="192">
        <f t="shared" si="1"/>
        <v>1.014</v>
      </c>
      <c r="G21">
        <v>314</v>
      </c>
      <c r="H21" s="192">
        <f t="shared" si="2"/>
        <v>1.125</v>
      </c>
      <c r="I21">
        <v>349</v>
      </c>
      <c r="J21" s="192">
        <f t="shared" si="3"/>
        <v>1.2509999999999999</v>
      </c>
      <c r="K21" s="42">
        <v>384</v>
      </c>
      <c r="L21" s="192">
        <f t="shared" si="5"/>
        <v>1.3759999999999999</v>
      </c>
      <c r="M21" s="167" t="s">
        <v>201</v>
      </c>
    </row>
    <row r="22" spans="1:13" ht="15.75" customHeight="1">
      <c r="A22" s="129" t="s">
        <v>229</v>
      </c>
      <c r="B22" s="42">
        <v>232</v>
      </c>
      <c r="C22">
        <v>234</v>
      </c>
      <c r="D22" s="192">
        <f t="shared" si="0"/>
        <v>1.0089999999999999</v>
      </c>
      <c r="E22">
        <v>236</v>
      </c>
      <c r="F22" s="192">
        <f t="shared" si="1"/>
        <v>1.0169999999999999</v>
      </c>
      <c r="G22">
        <v>267</v>
      </c>
      <c r="H22" s="192">
        <f t="shared" si="2"/>
        <v>1.151</v>
      </c>
      <c r="I22">
        <v>302</v>
      </c>
      <c r="J22" s="192">
        <f t="shared" si="3"/>
        <v>1.302</v>
      </c>
      <c r="K22" s="42">
        <v>337</v>
      </c>
      <c r="L22" s="192">
        <f t="shared" si="5"/>
        <v>1.4530000000000001</v>
      </c>
      <c r="M22" s="167" t="s">
        <v>229</v>
      </c>
    </row>
    <row r="23" spans="1:13" ht="15.75" customHeight="1">
      <c r="D23" s="192"/>
      <c r="F23" s="192"/>
      <c r="H23" s="192"/>
      <c r="J23" s="192"/>
      <c r="L23" s="192"/>
    </row>
    <row r="24" spans="1:13" ht="15.75" customHeight="1">
      <c r="A24" s="129" t="s">
        <v>2837</v>
      </c>
      <c r="D24" s="192">
        <f>ROUND(AVERAGE(D2:D13),3)</f>
        <v>1.1040000000000001</v>
      </c>
      <c r="F24" s="192">
        <f>ROUND(AVERAGE(F2:F13),3)</f>
        <v>1.1040000000000001</v>
      </c>
      <c r="H24" s="192">
        <f>ROUND(AVERAGE(H2:H13),3)</f>
        <v>1.1040000000000001</v>
      </c>
      <c r="J24" s="192">
        <f>ROUND(AVERAGE(J2:J13),3)</f>
        <v>1.125</v>
      </c>
      <c r="L24" s="192">
        <f>ROUND(AVERAGE(L2:L13),3)</f>
        <v>1.1559999999999999</v>
      </c>
    </row>
    <row r="25" spans="1:13" ht="15.75" customHeight="1">
      <c r="A25" s="129" t="s">
        <v>2838</v>
      </c>
      <c r="D25" s="192">
        <f>ROUND(AVERAGE(D14:D18),3)</f>
        <v>1.004</v>
      </c>
      <c r="F25" s="192">
        <f>ROUND(AVERAGE(F14:F18),3)</f>
        <v>1.014</v>
      </c>
      <c r="H25" s="192">
        <f>ROUND(AVERAGE(H14:H18),3)</f>
        <v>1.123</v>
      </c>
      <c r="J25" s="192">
        <f>ROUND(AVERAGE(J14:J18),3)</f>
        <v>1.181</v>
      </c>
      <c r="L25" s="192">
        <f>ROUND(AVERAGE(L14:L18),3)</f>
        <v>1.2829999999999999</v>
      </c>
    </row>
    <row r="26" spans="1:13" ht="15.75" customHeight="1">
      <c r="A26" s="129" t="s">
        <v>2839</v>
      </c>
      <c r="D26" s="192">
        <f>ROUND(AVERAGE(D20:D22),3)</f>
        <v>1.0089999999999999</v>
      </c>
      <c r="F26" s="192">
        <f>ROUND(AVERAGE(F20:F22),3)</f>
        <v>1.018</v>
      </c>
      <c r="H26" s="192">
        <f>ROUND(AVERAGE(H20:H22),3)</f>
        <v>1.155</v>
      </c>
      <c r="J26" s="192">
        <f>ROUND(AVERAGE(J20:J22),3)</f>
        <v>1.373</v>
      </c>
      <c r="L26" s="192">
        <f>ROUND(AVERAGE(L20:L22),3)</f>
        <v>1.4019999999999999</v>
      </c>
    </row>
    <row r="27" spans="1:13" ht="15.75" customHeight="1">
      <c r="D27" s="192"/>
      <c r="F27" s="192"/>
      <c r="H27" s="192"/>
      <c r="J27" s="192"/>
      <c r="L27" s="192"/>
    </row>
    <row r="28" spans="1:13" ht="15.75" customHeight="1">
      <c r="D28" s="192"/>
      <c r="F28" s="192"/>
      <c r="H28" s="192"/>
      <c r="J28" s="192"/>
      <c r="L28" s="192"/>
    </row>
    <row r="29" spans="1:13" ht="15.75" customHeight="1">
      <c r="D29" s="192"/>
      <c r="F29" s="192"/>
      <c r="H29" s="192"/>
      <c r="J29" s="192"/>
      <c r="L29" s="192"/>
    </row>
    <row r="30" spans="1:13" ht="15.75" customHeight="1">
      <c r="D30" s="192"/>
      <c r="F30" s="192"/>
      <c r="H30" s="192"/>
      <c r="J30" s="192"/>
      <c r="L30" s="192"/>
    </row>
    <row r="31" spans="1:13" ht="15.75" customHeight="1">
      <c r="D31" s="192"/>
      <c r="F31" s="192"/>
      <c r="H31" s="192"/>
      <c r="J31" s="192"/>
      <c r="L31" s="192"/>
    </row>
    <row r="32" spans="1:13" ht="15.75" customHeight="1">
      <c r="D32" s="192"/>
      <c r="F32" s="192"/>
      <c r="H32" s="192"/>
      <c r="J32" s="192"/>
      <c r="L32" s="192"/>
    </row>
    <row r="33" spans="4:12" ht="15.75" customHeight="1">
      <c r="D33" s="192"/>
      <c r="F33" s="192"/>
      <c r="H33" s="192"/>
      <c r="J33" s="192"/>
      <c r="L33" s="192"/>
    </row>
    <row r="34" spans="4:12" ht="15.75" customHeight="1">
      <c r="D34" s="192"/>
      <c r="F34" s="192"/>
      <c r="H34" s="192"/>
      <c r="J34" s="192"/>
      <c r="L34" s="192"/>
    </row>
    <row r="35" spans="4:12" ht="15.75" customHeight="1">
      <c r="D35" s="192"/>
      <c r="F35" s="192"/>
      <c r="H35" s="192"/>
      <c r="J35" s="192"/>
      <c r="L35" s="192"/>
    </row>
    <row r="36" spans="4:12" ht="15.75" customHeight="1">
      <c r="D36" s="192"/>
      <c r="F36" s="192"/>
      <c r="H36" s="192"/>
      <c r="J36" s="192"/>
      <c r="L36" s="192"/>
    </row>
    <row r="37" spans="4:12" ht="15.75" customHeight="1">
      <c r="D37" s="192"/>
      <c r="F37" s="192"/>
      <c r="H37" s="192"/>
      <c r="J37" s="192"/>
      <c r="L37" s="192"/>
    </row>
    <row r="38" spans="4:12" ht="15.75" customHeight="1">
      <c r="D38" s="192"/>
      <c r="F38" s="192"/>
      <c r="H38" s="192"/>
      <c r="J38" s="192"/>
      <c r="L38" s="192"/>
    </row>
    <row r="39" spans="4:12" ht="15.75" customHeight="1">
      <c r="D39" s="192"/>
      <c r="F39" s="192"/>
      <c r="H39" s="192"/>
      <c r="J39" s="192"/>
      <c r="L39" s="192"/>
    </row>
    <row r="40" spans="4:12" ht="15.75" customHeight="1">
      <c r="D40" s="192"/>
      <c r="F40" s="192"/>
      <c r="H40" s="192"/>
      <c r="J40" s="192"/>
      <c r="L40" s="192"/>
    </row>
    <row r="41" spans="4:12" ht="15.75" customHeight="1">
      <c r="D41" s="192"/>
      <c r="F41" s="192"/>
      <c r="H41" s="192"/>
      <c r="J41" s="192"/>
      <c r="L41" s="192"/>
    </row>
    <row r="42" spans="4:12" ht="15.75" customHeight="1">
      <c r="D42" s="192"/>
      <c r="F42" s="192"/>
      <c r="H42" s="192"/>
      <c r="J42" s="192"/>
      <c r="L42" s="192"/>
    </row>
    <row r="43" spans="4:12" ht="15.75" customHeight="1">
      <c r="D43" s="192"/>
      <c r="F43" s="192"/>
      <c r="H43" s="192"/>
      <c r="J43" s="192"/>
      <c r="L43" s="192"/>
    </row>
    <row r="44" spans="4:12" ht="15.75" customHeight="1">
      <c r="D44" s="192"/>
      <c r="F44" s="192"/>
      <c r="H44" s="192"/>
      <c r="J44" s="192"/>
      <c r="L44" s="192"/>
    </row>
    <row r="45" spans="4:12" ht="15.75" customHeight="1">
      <c r="D45" s="192"/>
      <c r="F45" s="192"/>
      <c r="H45" s="192"/>
      <c r="J45" s="192"/>
      <c r="L45" s="192"/>
    </row>
    <row r="46" spans="4:12" ht="15.75" customHeight="1">
      <c r="D46" s="192"/>
      <c r="F46" s="192"/>
      <c r="H46" s="192"/>
      <c r="J46" s="192"/>
      <c r="L46" s="192"/>
    </row>
    <row r="47" spans="4:12" ht="15.75" customHeight="1">
      <c r="D47" s="192"/>
      <c r="F47" s="192"/>
      <c r="H47" s="192"/>
      <c r="J47" s="192"/>
      <c r="L47" s="192"/>
    </row>
    <row r="48" spans="4:12" ht="15.75" customHeight="1">
      <c r="D48" s="192"/>
      <c r="F48" s="192"/>
      <c r="H48" s="192"/>
      <c r="J48" s="192"/>
      <c r="L48" s="192"/>
    </row>
    <row r="49" spans="4:12" ht="15.75" customHeight="1">
      <c r="D49" s="192"/>
      <c r="F49" s="192"/>
      <c r="H49" s="192"/>
      <c r="J49" s="192"/>
      <c r="L49" s="192"/>
    </row>
    <row r="50" spans="4:12" ht="15.75" customHeight="1">
      <c r="D50" s="192"/>
      <c r="F50" s="192"/>
      <c r="H50" s="192"/>
      <c r="J50" s="192"/>
      <c r="L50" s="192"/>
    </row>
    <row r="51" spans="4:12" ht="15.75" customHeight="1">
      <c r="D51" s="192"/>
      <c r="F51" s="192"/>
      <c r="H51" s="192"/>
      <c r="J51" s="192"/>
      <c r="L51" s="192"/>
    </row>
    <row r="52" spans="4:12" ht="15.75" customHeight="1">
      <c r="D52" s="192"/>
      <c r="F52" s="192"/>
      <c r="H52" s="192"/>
      <c r="J52" s="192"/>
      <c r="L52" s="192"/>
    </row>
    <row r="53" spans="4:12" ht="15.75" customHeight="1">
      <c r="D53" s="192"/>
      <c r="F53" s="192"/>
      <c r="H53" s="192"/>
      <c r="J53" s="192"/>
      <c r="L53" s="192"/>
    </row>
    <row r="54" spans="4:12" ht="15.75" customHeight="1">
      <c r="D54" s="192"/>
      <c r="F54" s="192"/>
      <c r="H54" s="192"/>
      <c r="J54" s="192"/>
      <c r="L54" s="192"/>
    </row>
    <row r="55" spans="4:12" ht="15.75" customHeight="1">
      <c r="D55" s="192"/>
      <c r="F55" s="192"/>
      <c r="H55" s="192"/>
      <c r="J55" s="192"/>
      <c r="L55" s="192"/>
    </row>
    <row r="56" spans="4:12" ht="15.75" customHeight="1">
      <c r="D56" s="192"/>
      <c r="F56" s="192"/>
      <c r="H56" s="192"/>
      <c r="J56" s="192"/>
      <c r="L56" s="192"/>
    </row>
    <row r="57" spans="4:12" ht="15.75" customHeight="1">
      <c r="D57" s="192"/>
      <c r="F57" s="192"/>
      <c r="H57" s="192"/>
      <c r="J57" s="192"/>
      <c r="L57" s="192"/>
    </row>
    <row r="58" spans="4:12" ht="13">
      <c r="D58" s="192"/>
      <c r="F58" s="192"/>
      <c r="H58" s="192"/>
      <c r="J58" s="192"/>
      <c r="L58" s="192"/>
    </row>
    <row r="59" spans="4:12" ht="13">
      <c r="D59" s="192"/>
      <c r="F59" s="192"/>
      <c r="H59" s="192"/>
      <c r="J59" s="192"/>
      <c r="L59" s="192"/>
    </row>
    <row r="60" spans="4:12" ht="13">
      <c r="D60" s="192"/>
      <c r="F60" s="192"/>
      <c r="H60" s="192"/>
      <c r="J60" s="192"/>
      <c r="L60" s="192"/>
    </row>
    <row r="61" spans="4:12" ht="13">
      <c r="D61" s="192"/>
      <c r="F61" s="192"/>
      <c r="H61" s="192"/>
      <c r="J61" s="192"/>
      <c r="L61" s="192"/>
    </row>
    <row r="62" spans="4:12" ht="13">
      <c r="D62" s="192"/>
      <c r="F62" s="192"/>
      <c r="H62" s="192"/>
      <c r="J62" s="192"/>
      <c r="L62" s="192"/>
    </row>
    <row r="63" spans="4:12" ht="13">
      <c r="D63" s="192"/>
      <c r="F63" s="192"/>
      <c r="H63" s="192"/>
      <c r="J63" s="192"/>
      <c r="L63" s="192"/>
    </row>
    <row r="64" spans="4:12" ht="13">
      <c r="D64" s="192"/>
      <c r="F64" s="192"/>
      <c r="H64" s="192"/>
      <c r="J64" s="192"/>
      <c r="L64" s="192"/>
    </row>
    <row r="65" spans="4:12" ht="13">
      <c r="D65" s="192"/>
      <c r="F65" s="192"/>
      <c r="H65" s="192"/>
      <c r="J65" s="192"/>
      <c r="L65" s="192"/>
    </row>
    <row r="66" spans="4:12" ht="13">
      <c r="D66" s="192"/>
      <c r="F66" s="192"/>
      <c r="H66" s="192"/>
      <c r="J66" s="192"/>
      <c r="L66" s="192"/>
    </row>
    <row r="67" spans="4:12" ht="13">
      <c r="D67" s="192"/>
      <c r="F67" s="192"/>
      <c r="H67" s="192"/>
      <c r="J67" s="192"/>
      <c r="L67" s="192"/>
    </row>
    <row r="68" spans="4:12" ht="13">
      <c r="D68" s="192"/>
      <c r="F68" s="192"/>
      <c r="H68" s="192"/>
      <c r="J68" s="192"/>
      <c r="L68" s="192"/>
    </row>
    <row r="69" spans="4:12" ht="13">
      <c r="D69" s="192"/>
      <c r="F69" s="192"/>
      <c r="H69" s="192"/>
      <c r="J69" s="192"/>
      <c r="L69" s="192"/>
    </row>
    <row r="70" spans="4:12" ht="13">
      <c r="D70" s="192"/>
      <c r="F70" s="192"/>
      <c r="H70" s="192"/>
      <c r="J70" s="192"/>
      <c r="L70" s="192"/>
    </row>
    <row r="71" spans="4:12" ht="13">
      <c r="D71" s="192"/>
      <c r="F71" s="192"/>
      <c r="H71" s="192"/>
      <c r="J71" s="192"/>
      <c r="L71" s="192"/>
    </row>
    <row r="72" spans="4:12" ht="13">
      <c r="D72" s="192"/>
      <c r="F72" s="192"/>
      <c r="H72" s="192"/>
      <c r="J72" s="192"/>
      <c r="L72" s="192"/>
    </row>
    <row r="73" spans="4:12" ht="13">
      <c r="D73" s="192"/>
      <c r="F73" s="192"/>
      <c r="H73" s="192"/>
      <c r="J73" s="192"/>
      <c r="L73" s="192"/>
    </row>
    <row r="74" spans="4:12" ht="13">
      <c r="D74" s="192"/>
      <c r="F74" s="192"/>
      <c r="H74" s="192"/>
      <c r="J74" s="192"/>
      <c r="L74" s="192"/>
    </row>
    <row r="75" spans="4:12" ht="13">
      <c r="D75" s="192"/>
      <c r="F75" s="192"/>
      <c r="H75" s="192"/>
      <c r="J75" s="192"/>
      <c r="L75" s="192"/>
    </row>
    <row r="76" spans="4:12" ht="13">
      <c r="D76" s="192"/>
      <c r="F76" s="192"/>
      <c r="H76" s="192"/>
      <c r="J76" s="192"/>
      <c r="L76" s="192"/>
    </row>
    <row r="77" spans="4:12" ht="13">
      <c r="D77" s="192"/>
      <c r="F77" s="192"/>
      <c r="H77" s="192"/>
      <c r="J77" s="192"/>
      <c r="L77" s="192"/>
    </row>
    <row r="78" spans="4:12" ht="13">
      <c r="D78" s="192"/>
      <c r="F78" s="192"/>
      <c r="H78" s="192"/>
      <c r="J78" s="192"/>
      <c r="L78" s="192"/>
    </row>
    <row r="79" spans="4:12" ht="13">
      <c r="D79" s="192"/>
      <c r="F79" s="192"/>
      <c r="H79" s="192"/>
      <c r="J79" s="192"/>
      <c r="L79" s="192"/>
    </row>
    <row r="80" spans="4:12" ht="13">
      <c r="D80" s="192"/>
      <c r="F80" s="192"/>
      <c r="H80" s="192"/>
      <c r="J80" s="192"/>
      <c r="L80" s="192"/>
    </row>
    <row r="81" spans="4:12" ht="13">
      <c r="D81" s="192"/>
      <c r="F81" s="192"/>
      <c r="H81" s="192"/>
      <c r="J81" s="192"/>
      <c r="L81" s="192"/>
    </row>
    <row r="82" spans="4:12" ht="13">
      <c r="D82" s="192"/>
      <c r="F82" s="192"/>
      <c r="H82" s="192"/>
      <c r="J82" s="192"/>
      <c r="L82" s="192"/>
    </row>
    <row r="83" spans="4:12" ht="13">
      <c r="D83" s="192"/>
      <c r="F83" s="192"/>
      <c r="H83" s="192"/>
      <c r="J83" s="192"/>
      <c r="L83" s="192"/>
    </row>
    <row r="84" spans="4:12" ht="13">
      <c r="D84" s="192"/>
      <c r="F84" s="192"/>
      <c r="H84" s="192"/>
      <c r="J84" s="192"/>
      <c r="L84" s="192"/>
    </row>
    <row r="85" spans="4:12" ht="13">
      <c r="D85" s="192"/>
      <c r="F85" s="192"/>
      <c r="H85" s="192"/>
      <c r="J85" s="192"/>
      <c r="L85" s="192"/>
    </row>
    <row r="86" spans="4:12" ht="13">
      <c r="D86" s="192"/>
      <c r="F86" s="192"/>
      <c r="H86" s="192"/>
      <c r="J86" s="192"/>
      <c r="L86" s="192"/>
    </row>
    <row r="87" spans="4:12" ht="13">
      <c r="D87" s="192"/>
      <c r="F87" s="192"/>
      <c r="H87" s="192"/>
      <c r="J87" s="192"/>
      <c r="L87" s="192"/>
    </row>
    <row r="88" spans="4:12" ht="13">
      <c r="D88" s="192"/>
      <c r="F88" s="192"/>
      <c r="H88" s="192"/>
      <c r="J88" s="192"/>
      <c r="L88" s="192"/>
    </row>
    <row r="89" spans="4:12" ht="13">
      <c r="D89" s="192"/>
      <c r="F89" s="192"/>
      <c r="H89" s="192"/>
      <c r="J89" s="192"/>
      <c r="L89" s="192"/>
    </row>
    <row r="90" spans="4:12" ht="13">
      <c r="D90" s="192"/>
      <c r="F90" s="192"/>
      <c r="H90" s="192"/>
      <c r="J90" s="192"/>
      <c r="L90" s="192"/>
    </row>
    <row r="91" spans="4:12" ht="13">
      <c r="D91" s="192"/>
      <c r="F91" s="192"/>
      <c r="H91" s="192"/>
      <c r="J91" s="192"/>
      <c r="L91" s="192"/>
    </row>
    <row r="92" spans="4:12" ht="13">
      <c r="D92" s="192"/>
      <c r="F92" s="192"/>
      <c r="H92" s="192"/>
      <c r="J92" s="192"/>
      <c r="L92" s="192"/>
    </row>
    <row r="93" spans="4:12" ht="13">
      <c r="D93" s="192"/>
      <c r="F93" s="192"/>
      <c r="H93" s="192"/>
      <c r="J93" s="192"/>
      <c r="L93" s="192"/>
    </row>
    <row r="94" spans="4:12" ht="13">
      <c r="D94" s="192"/>
      <c r="F94" s="192"/>
      <c r="H94" s="192"/>
      <c r="J94" s="192"/>
      <c r="L94" s="192"/>
    </row>
    <row r="95" spans="4:12" ht="13">
      <c r="D95" s="192"/>
      <c r="F95" s="192"/>
      <c r="H95" s="192"/>
      <c r="J95" s="192"/>
      <c r="L95" s="192"/>
    </row>
    <row r="96" spans="4:12" ht="13">
      <c r="D96" s="192"/>
      <c r="F96" s="192"/>
      <c r="H96" s="192"/>
      <c r="J96" s="192"/>
      <c r="L96" s="192"/>
    </row>
    <row r="97" spans="4:12" ht="13">
      <c r="D97" s="192"/>
      <c r="F97" s="192"/>
      <c r="H97" s="192"/>
      <c r="J97" s="192"/>
      <c r="L97" s="192"/>
    </row>
    <row r="98" spans="4:12" ht="13">
      <c r="D98" s="192"/>
      <c r="F98" s="192"/>
      <c r="H98" s="192"/>
      <c r="J98" s="192"/>
      <c r="L98" s="192"/>
    </row>
    <row r="99" spans="4:12" ht="13">
      <c r="D99" s="192"/>
      <c r="F99" s="192"/>
      <c r="H99" s="192"/>
      <c r="J99" s="192"/>
      <c r="L99" s="192"/>
    </row>
    <row r="100" spans="4:12" ht="13">
      <c r="D100" s="192"/>
      <c r="F100" s="192"/>
      <c r="H100" s="192"/>
      <c r="J100" s="192"/>
      <c r="L100" s="192"/>
    </row>
    <row r="101" spans="4:12" ht="13">
      <c r="D101" s="192"/>
      <c r="F101" s="192"/>
      <c r="H101" s="192"/>
      <c r="J101" s="192"/>
      <c r="L101" s="192"/>
    </row>
    <row r="102" spans="4:12" ht="13">
      <c r="D102" s="192"/>
      <c r="F102" s="192"/>
      <c r="H102" s="192"/>
      <c r="J102" s="192"/>
      <c r="L102" s="192"/>
    </row>
    <row r="103" spans="4:12" ht="13">
      <c r="D103" s="192"/>
      <c r="F103" s="192"/>
      <c r="H103" s="192"/>
      <c r="J103" s="192"/>
      <c r="L103" s="192"/>
    </row>
    <row r="104" spans="4:12" ht="13">
      <c r="D104" s="192"/>
      <c r="F104" s="192"/>
      <c r="H104" s="192"/>
      <c r="J104" s="192"/>
      <c r="L104" s="192"/>
    </row>
    <row r="105" spans="4:12" ht="13">
      <c r="D105" s="192"/>
      <c r="F105" s="192"/>
      <c r="H105" s="192"/>
      <c r="J105" s="192"/>
      <c r="L105" s="192"/>
    </row>
    <row r="106" spans="4:12" ht="13">
      <c r="D106" s="192"/>
      <c r="F106" s="192"/>
      <c r="H106" s="192"/>
      <c r="J106" s="192"/>
      <c r="L106" s="192"/>
    </row>
    <row r="107" spans="4:12" ht="13">
      <c r="D107" s="192"/>
      <c r="F107" s="192"/>
      <c r="H107" s="192"/>
      <c r="J107" s="192"/>
      <c r="L107" s="192"/>
    </row>
    <row r="108" spans="4:12" ht="13">
      <c r="D108" s="192"/>
      <c r="F108" s="192"/>
      <c r="H108" s="192"/>
      <c r="J108" s="192"/>
      <c r="L108" s="192"/>
    </row>
    <row r="109" spans="4:12" ht="13">
      <c r="D109" s="192"/>
      <c r="F109" s="192"/>
      <c r="H109" s="192"/>
      <c r="J109" s="192"/>
      <c r="L109" s="192"/>
    </row>
    <row r="110" spans="4:12" ht="13">
      <c r="D110" s="192"/>
      <c r="F110" s="192"/>
      <c r="H110" s="192"/>
      <c r="J110" s="192"/>
      <c r="L110" s="192"/>
    </row>
    <row r="111" spans="4:12" ht="13">
      <c r="D111" s="192"/>
      <c r="F111" s="192"/>
      <c r="H111" s="192"/>
      <c r="J111" s="192"/>
      <c r="L111" s="192"/>
    </row>
    <row r="112" spans="4:12" ht="13">
      <c r="D112" s="192"/>
      <c r="F112" s="192"/>
      <c r="H112" s="192"/>
      <c r="J112" s="192"/>
      <c r="L112" s="192"/>
    </row>
    <row r="113" spans="4:12" ht="13">
      <c r="D113" s="192"/>
      <c r="F113" s="192"/>
      <c r="H113" s="192"/>
      <c r="J113" s="192"/>
      <c r="L113" s="192"/>
    </row>
    <row r="114" spans="4:12" ht="13">
      <c r="D114" s="192"/>
      <c r="F114" s="192"/>
      <c r="H114" s="192"/>
      <c r="J114" s="192"/>
      <c r="L114" s="192"/>
    </row>
    <row r="115" spans="4:12" ht="13">
      <c r="D115" s="192"/>
      <c r="F115" s="192"/>
      <c r="H115" s="192"/>
      <c r="J115" s="192"/>
      <c r="L115" s="192"/>
    </row>
    <row r="116" spans="4:12" ht="13">
      <c r="D116" s="192"/>
      <c r="F116" s="192"/>
      <c r="H116" s="192"/>
      <c r="J116" s="192"/>
      <c r="L116" s="192"/>
    </row>
    <row r="117" spans="4:12" ht="13">
      <c r="D117" s="192"/>
      <c r="F117" s="192"/>
      <c r="H117" s="192"/>
      <c r="J117" s="192"/>
      <c r="L117" s="192"/>
    </row>
    <row r="118" spans="4:12" ht="13">
      <c r="D118" s="192"/>
      <c r="F118" s="192"/>
      <c r="H118" s="192"/>
      <c r="J118" s="192"/>
      <c r="L118" s="192"/>
    </row>
    <row r="119" spans="4:12" ht="13">
      <c r="D119" s="192"/>
      <c r="F119" s="192"/>
      <c r="H119" s="192"/>
      <c r="J119" s="192"/>
      <c r="L119" s="192"/>
    </row>
    <row r="120" spans="4:12" ht="13">
      <c r="D120" s="192"/>
      <c r="F120" s="192"/>
      <c r="H120" s="192"/>
      <c r="J120" s="192"/>
      <c r="L120" s="192"/>
    </row>
    <row r="121" spans="4:12" ht="13">
      <c r="D121" s="192"/>
      <c r="F121" s="192"/>
      <c r="H121" s="192"/>
      <c r="J121" s="192"/>
      <c r="L121" s="192"/>
    </row>
    <row r="122" spans="4:12" ht="13">
      <c r="D122" s="192"/>
      <c r="F122" s="192"/>
      <c r="H122" s="192"/>
      <c r="J122" s="192"/>
      <c r="L122" s="192"/>
    </row>
    <row r="123" spans="4:12" ht="13">
      <c r="D123" s="192"/>
      <c r="F123" s="192"/>
      <c r="H123" s="192"/>
      <c r="J123" s="192"/>
      <c r="L123" s="192"/>
    </row>
    <row r="124" spans="4:12" ht="13">
      <c r="D124" s="192"/>
      <c r="F124" s="192"/>
      <c r="H124" s="192"/>
      <c r="J124" s="192"/>
      <c r="L124" s="192"/>
    </row>
    <row r="125" spans="4:12" ht="13">
      <c r="D125" s="192"/>
      <c r="F125" s="192"/>
      <c r="H125" s="192"/>
      <c r="J125" s="192"/>
      <c r="L125" s="192"/>
    </row>
    <row r="126" spans="4:12" ht="13">
      <c r="D126" s="192"/>
      <c r="F126" s="192"/>
      <c r="H126" s="192"/>
      <c r="J126" s="192"/>
      <c r="L126" s="192"/>
    </row>
    <row r="127" spans="4:12" ht="13">
      <c r="D127" s="192"/>
      <c r="F127" s="192"/>
      <c r="H127" s="192"/>
      <c r="J127" s="192"/>
      <c r="L127" s="192"/>
    </row>
    <row r="128" spans="4:12" ht="13">
      <c r="D128" s="192"/>
      <c r="F128" s="192"/>
      <c r="H128" s="192"/>
      <c r="J128" s="192"/>
      <c r="L128" s="192"/>
    </row>
    <row r="129" spans="4:12" ht="13">
      <c r="D129" s="192"/>
      <c r="F129" s="192"/>
      <c r="H129" s="192"/>
      <c r="J129" s="192"/>
      <c r="L129" s="192"/>
    </row>
    <row r="130" spans="4:12" ht="13">
      <c r="D130" s="192"/>
      <c r="F130" s="192"/>
      <c r="H130" s="192"/>
      <c r="J130" s="192"/>
      <c r="L130" s="192"/>
    </row>
    <row r="131" spans="4:12" ht="13">
      <c r="D131" s="192"/>
      <c r="F131" s="192"/>
      <c r="H131" s="192"/>
      <c r="J131" s="192"/>
      <c r="L131" s="192"/>
    </row>
    <row r="132" spans="4:12" ht="13">
      <c r="D132" s="192"/>
      <c r="F132" s="192"/>
      <c r="H132" s="192"/>
      <c r="J132" s="192"/>
      <c r="L132" s="192"/>
    </row>
    <row r="133" spans="4:12" ht="13">
      <c r="D133" s="192"/>
      <c r="F133" s="192"/>
      <c r="H133" s="192"/>
      <c r="J133" s="192"/>
      <c r="L133" s="192"/>
    </row>
    <row r="134" spans="4:12" ht="13">
      <c r="D134" s="192"/>
      <c r="F134" s="192"/>
      <c r="H134" s="192"/>
      <c r="J134" s="192"/>
      <c r="L134" s="192"/>
    </row>
    <row r="135" spans="4:12" ht="13">
      <c r="D135" s="192"/>
      <c r="F135" s="192"/>
      <c r="H135" s="192"/>
      <c r="J135" s="192"/>
      <c r="L135" s="192"/>
    </row>
    <row r="136" spans="4:12" ht="13">
      <c r="D136" s="192"/>
      <c r="F136" s="192"/>
      <c r="H136" s="192"/>
      <c r="J136" s="192"/>
      <c r="L136" s="192"/>
    </row>
    <row r="137" spans="4:12" ht="13">
      <c r="D137" s="192"/>
      <c r="F137" s="192"/>
      <c r="H137" s="192"/>
      <c r="J137" s="192"/>
      <c r="L137" s="192"/>
    </row>
    <row r="138" spans="4:12" ht="13">
      <c r="D138" s="192"/>
      <c r="F138" s="192"/>
      <c r="H138" s="192"/>
      <c r="J138" s="192"/>
      <c r="L138" s="192"/>
    </row>
    <row r="139" spans="4:12" ht="13">
      <c r="D139" s="192"/>
      <c r="F139" s="192"/>
      <c r="H139" s="192"/>
      <c r="J139" s="192"/>
      <c r="L139" s="192"/>
    </row>
    <row r="140" spans="4:12" ht="13">
      <c r="D140" s="192"/>
      <c r="F140" s="192"/>
      <c r="H140" s="192"/>
      <c r="J140" s="192"/>
      <c r="L140" s="192"/>
    </row>
    <row r="141" spans="4:12" ht="13">
      <c r="D141" s="192"/>
      <c r="F141" s="192"/>
      <c r="H141" s="192"/>
      <c r="J141" s="192"/>
      <c r="L141" s="192"/>
    </row>
    <row r="142" spans="4:12" ht="13">
      <c r="D142" s="192"/>
      <c r="F142" s="192"/>
      <c r="H142" s="192"/>
      <c r="J142" s="192"/>
      <c r="L142" s="192"/>
    </row>
    <row r="143" spans="4:12" ht="13">
      <c r="D143" s="192"/>
      <c r="F143" s="192"/>
      <c r="H143" s="192"/>
      <c r="J143" s="192"/>
      <c r="L143" s="192"/>
    </row>
    <row r="144" spans="4:12" ht="13">
      <c r="D144" s="192"/>
      <c r="F144" s="192"/>
      <c r="H144" s="192"/>
      <c r="J144" s="192"/>
      <c r="L144" s="192"/>
    </row>
    <row r="145" spans="4:12" ht="13">
      <c r="D145" s="192"/>
      <c r="F145" s="192"/>
      <c r="H145" s="192"/>
      <c r="J145" s="192"/>
      <c r="L145" s="192"/>
    </row>
    <row r="146" spans="4:12" ht="13">
      <c r="D146" s="192"/>
      <c r="F146" s="192"/>
      <c r="H146" s="192"/>
      <c r="J146" s="192"/>
      <c r="L146" s="192"/>
    </row>
    <row r="147" spans="4:12" ht="13">
      <c r="D147" s="192"/>
      <c r="F147" s="192"/>
      <c r="H147" s="192"/>
      <c r="J147" s="192"/>
      <c r="L147" s="192"/>
    </row>
    <row r="148" spans="4:12" ht="13">
      <c r="D148" s="192"/>
      <c r="F148" s="192"/>
      <c r="H148" s="192"/>
      <c r="J148" s="192"/>
      <c r="L148" s="192"/>
    </row>
    <row r="149" spans="4:12" ht="13">
      <c r="D149" s="192"/>
      <c r="F149" s="192"/>
      <c r="H149" s="192"/>
      <c r="J149" s="192"/>
      <c r="L149" s="192"/>
    </row>
    <row r="150" spans="4:12" ht="13">
      <c r="D150" s="192"/>
      <c r="F150" s="192"/>
      <c r="H150" s="192"/>
      <c r="J150" s="192"/>
      <c r="L150" s="192"/>
    </row>
    <row r="151" spans="4:12" ht="13">
      <c r="D151" s="192"/>
      <c r="F151" s="192"/>
      <c r="H151" s="192"/>
      <c r="J151" s="192"/>
      <c r="L151" s="192"/>
    </row>
    <row r="152" spans="4:12" ht="13">
      <c r="D152" s="192"/>
      <c r="F152" s="192"/>
      <c r="H152" s="192"/>
      <c r="J152" s="192"/>
      <c r="L152" s="192"/>
    </row>
    <row r="153" spans="4:12" ht="13">
      <c r="D153" s="192"/>
      <c r="F153" s="192"/>
      <c r="H153" s="192"/>
      <c r="J153" s="192"/>
      <c r="L153" s="192"/>
    </row>
    <row r="154" spans="4:12" ht="13">
      <c r="D154" s="192"/>
      <c r="F154" s="192"/>
      <c r="H154" s="192"/>
      <c r="J154" s="192"/>
      <c r="L154" s="192"/>
    </row>
    <row r="155" spans="4:12" ht="13">
      <c r="D155" s="192"/>
      <c r="F155" s="192"/>
      <c r="H155" s="192"/>
      <c r="J155" s="192"/>
      <c r="L155" s="192"/>
    </row>
    <row r="156" spans="4:12" ht="13">
      <c r="D156" s="192"/>
      <c r="F156" s="192"/>
      <c r="H156" s="192"/>
      <c r="J156" s="192"/>
      <c r="L156" s="192"/>
    </row>
    <row r="157" spans="4:12" ht="13">
      <c r="D157" s="192"/>
      <c r="F157" s="192"/>
      <c r="H157" s="192"/>
      <c r="J157" s="192"/>
      <c r="L157" s="192"/>
    </row>
    <row r="158" spans="4:12" ht="13">
      <c r="D158" s="192"/>
      <c r="F158" s="192"/>
      <c r="H158" s="192"/>
      <c r="J158" s="192"/>
      <c r="L158" s="192"/>
    </row>
    <row r="159" spans="4:12" ht="13">
      <c r="D159" s="192"/>
      <c r="F159" s="192"/>
      <c r="H159" s="192"/>
      <c r="J159" s="192"/>
      <c r="L159" s="192"/>
    </row>
    <row r="160" spans="4:12" ht="13">
      <c r="D160" s="192"/>
      <c r="F160" s="192"/>
      <c r="H160" s="192"/>
      <c r="J160" s="192"/>
      <c r="L160" s="192"/>
    </row>
    <row r="161" spans="4:12" ht="13">
      <c r="D161" s="192"/>
      <c r="F161" s="192"/>
      <c r="H161" s="192"/>
      <c r="J161" s="192"/>
      <c r="L161" s="192"/>
    </row>
    <row r="162" spans="4:12" ht="13">
      <c r="D162" s="192"/>
      <c r="F162" s="192"/>
      <c r="H162" s="192"/>
      <c r="J162" s="192"/>
      <c r="L162" s="192"/>
    </row>
    <row r="163" spans="4:12" ht="13">
      <c r="D163" s="192"/>
      <c r="F163" s="192"/>
      <c r="H163" s="192"/>
      <c r="J163" s="192"/>
      <c r="L163" s="192"/>
    </row>
    <row r="164" spans="4:12" ht="13">
      <c r="D164" s="192"/>
      <c r="F164" s="192"/>
      <c r="H164" s="192"/>
      <c r="J164" s="192"/>
      <c r="L164" s="192"/>
    </row>
    <row r="165" spans="4:12" ht="13">
      <c r="D165" s="192"/>
      <c r="F165" s="192"/>
      <c r="H165" s="192"/>
      <c r="J165" s="192"/>
      <c r="L165" s="192"/>
    </row>
    <row r="166" spans="4:12" ht="13">
      <c r="D166" s="192"/>
      <c r="F166" s="192"/>
      <c r="H166" s="192"/>
      <c r="J166" s="192"/>
      <c r="L166" s="192"/>
    </row>
    <row r="167" spans="4:12" ht="13">
      <c r="D167" s="192"/>
      <c r="F167" s="192"/>
      <c r="H167" s="192"/>
      <c r="J167" s="192"/>
      <c r="L167" s="192"/>
    </row>
    <row r="168" spans="4:12" ht="13">
      <c r="D168" s="192"/>
      <c r="F168" s="192"/>
      <c r="H168" s="192"/>
      <c r="J168" s="192"/>
      <c r="L168" s="192"/>
    </row>
    <row r="169" spans="4:12" ht="13">
      <c r="D169" s="192"/>
      <c r="F169" s="192"/>
      <c r="H169" s="192"/>
      <c r="J169" s="192"/>
      <c r="L169" s="192"/>
    </row>
    <row r="170" spans="4:12" ht="13">
      <c r="D170" s="192"/>
      <c r="F170" s="192"/>
      <c r="H170" s="192"/>
      <c r="J170" s="192"/>
      <c r="L170" s="192"/>
    </row>
    <row r="171" spans="4:12" ht="13">
      <c r="D171" s="192"/>
      <c r="F171" s="192"/>
      <c r="H171" s="192"/>
      <c r="J171" s="192"/>
      <c r="L171" s="192"/>
    </row>
    <row r="172" spans="4:12" ht="13">
      <c r="D172" s="192"/>
      <c r="F172" s="192"/>
      <c r="H172" s="192"/>
      <c r="J172" s="192"/>
      <c r="L172" s="192"/>
    </row>
    <row r="173" spans="4:12" ht="13">
      <c r="D173" s="192"/>
      <c r="F173" s="192"/>
      <c r="H173" s="192"/>
      <c r="J173" s="192"/>
      <c r="L173" s="192"/>
    </row>
    <row r="174" spans="4:12" ht="13">
      <c r="D174" s="192"/>
      <c r="F174" s="192"/>
      <c r="H174" s="192"/>
      <c r="J174" s="192"/>
      <c r="L174" s="192"/>
    </row>
    <row r="175" spans="4:12" ht="13">
      <c r="D175" s="192"/>
      <c r="F175" s="192"/>
      <c r="H175" s="192"/>
      <c r="J175" s="192"/>
      <c r="L175" s="192"/>
    </row>
    <row r="176" spans="4:12" ht="13">
      <c r="D176" s="192"/>
      <c r="F176" s="192"/>
      <c r="H176" s="192"/>
      <c r="J176" s="192"/>
      <c r="L176" s="192"/>
    </row>
    <row r="177" spans="4:12" ht="13">
      <c r="D177" s="192"/>
      <c r="F177" s="192"/>
      <c r="H177" s="192"/>
      <c r="J177" s="192"/>
      <c r="L177" s="192"/>
    </row>
    <row r="178" spans="4:12" ht="13">
      <c r="D178" s="192"/>
      <c r="F178" s="192"/>
      <c r="H178" s="192"/>
      <c r="J178" s="192"/>
      <c r="L178" s="192"/>
    </row>
    <row r="179" spans="4:12" ht="13">
      <c r="D179" s="192"/>
      <c r="F179" s="192"/>
      <c r="H179" s="192"/>
      <c r="J179" s="192"/>
      <c r="L179" s="192"/>
    </row>
    <row r="180" spans="4:12" ht="13">
      <c r="D180" s="192"/>
      <c r="F180" s="192"/>
      <c r="H180" s="192"/>
      <c r="J180" s="192"/>
      <c r="L180" s="192"/>
    </row>
    <row r="181" spans="4:12" ht="13">
      <c r="D181" s="192"/>
      <c r="F181" s="192"/>
      <c r="H181" s="192"/>
      <c r="J181" s="192"/>
      <c r="L181" s="192"/>
    </row>
    <row r="182" spans="4:12" ht="13">
      <c r="D182" s="192"/>
      <c r="F182" s="192"/>
      <c r="H182" s="192"/>
      <c r="J182" s="192"/>
      <c r="L182" s="192"/>
    </row>
    <row r="183" spans="4:12" ht="13">
      <c r="D183" s="192"/>
      <c r="F183" s="192"/>
      <c r="H183" s="192"/>
      <c r="J183" s="192"/>
      <c r="L183" s="192"/>
    </row>
    <row r="184" spans="4:12" ht="13">
      <c r="D184" s="192"/>
      <c r="F184" s="192"/>
      <c r="H184" s="192"/>
      <c r="J184" s="192"/>
      <c r="L184" s="192"/>
    </row>
    <row r="185" spans="4:12" ht="13">
      <c r="D185" s="192"/>
      <c r="F185" s="192"/>
      <c r="H185" s="192"/>
      <c r="J185" s="192"/>
      <c r="L185" s="192"/>
    </row>
    <row r="186" spans="4:12" ht="13">
      <c r="D186" s="192"/>
      <c r="F186" s="192"/>
      <c r="H186" s="192"/>
      <c r="J186" s="192"/>
      <c r="L186" s="192"/>
    </row>
    <row r="187" spans="4:12" ht="13">
      <c r="D187" s="192"/>
      <c r="F187" s="192"/>
      <c r="H187" s="192"/>
      <c r="J187" s="192"/>
      <c r="L187" s="192"/>
    </row>
    <row r="188" spans="4:12" ht="13">
      <c r="D188" s="192"/>
      <c r="F188" s="192"/>
      <c r="H188" s="192"/>
      <c r="J188" s="192"/>
      <c r="L188" s="192"/>
    </row>
    <row r="189" spans="4:12" ht="13">
      <c r="D189" s="192"/>
      <c r="F189" s="192"/>
      <c r="H189" s="192"/>
      <c r="J189" s="192"/>
      <c r="L189" s="192"/>
    </row>
    <row r="190" spans="4:12" ht="13">
      <c r="D190" s="192"/>
      <c r="F190" s="192"/>
      <c r="H190" s="192"/>
      <c r="J190" s="192"/>
      <c r="L190" s="192"/>
    </row>
    <row r="191" spans="4:12" ht="13">
      <c r="D191" s="192"/>
      <c r="F191" s="192"/>
      <c r="H191" s="192"/>
      <c r="J191" s="192"/>
      <c r="L191" s="192"/>
    </row>
    <row r="192" spans="4:12" ht="13">
      <c r="D192" s="192"/>
      <c r="F192" s="192"/>
      <c r="H192" s="192"/>
      <c r="J192" s="192"/>
      <c r="L192" s="192"/>
    </row>
    <row r="193" spans="4:12" ht="13">
      <c r="D193" s="192"/>
      <c r="F193" s="192"/>
      <c r="H193" s="192"/>
      <c r="J193" s="192"/>
      <c r="L193" s="192"/>
    </row>
    <row r="194" spans="4:12" ht="13">
      <c r="D194" s="192"/>
      <c r="F194" s="192"/>
      <c r="H194" s="192"/>
      <c r="J194" s="192"/>
      <c r="L194" s="192"/>
    </row>
    <row r="195" spans="4:12" ht="13">
      <c r="D195" s="192"/>
      <c r="F195" s="192"/>
      <c r="H195" s="192"/>
      <c r="J195" s="192"/>
      <c r="L195" s="192"/>
    </row>
    <row r="196" spans="4:12" ht="13">
      <c r="D196" s="192"/>
      <c r="F196" s="192"/>
      <c r="H196" s="192"/>
      <c r="J196" s="192"/>
      <c r="L196" s="192"/>
    </row>
    <row r="197" spans="4:12" ht="13">
      <c r="D197" s="192"/>
      <c r="F197" s="192"/>
      <c r="H197" s="192"/>
      <c r="J197" s="192"/>
      <c r="L197" s="192"/>
    </row>
    <row r="198" spans="4:12" ht="13">
      <c r="D198" s="192"/>
      <c r="F198" s="192"/>
      <c r="H198" s="192"/>
      <c r="J198" s="192"/>
      <c r="L198" s="192"/>
    </row>
    <row r="199" spans="4:12" ht="13">
      <c r="D199" s="192"/>
      <c r="F199" s="192"/>
      <c r="H199" s="192"/>
      <c r="J199" s="192"/>
      <c r="L199" s="192"/>
    </row>
    <row r="200" spans="4:12" ht="13">
      <c r="D200" s="192"/>
      <c r="F200" s="192"/>
      <c r="H200" s="192"/>
      <c r="J200" s="192"/>
      <c r="L200" s="192"/>
    </row>
    <row r="201" spans="4:12" ht="13">
      <c r="D201" s="192"/>
      <c r="F201" s="192"/>
      <c r="H201" s="192"/>
      <c r="J201" s="192"/>
      <c r="L201" s="192"/>
    </row>
    <row r="202" spans="4:12" ht="13">
      <c r="D202" s="192"/>
      <c r="F202" s="192"/>
      <c r="H202" s="192"/>
      <c r="J202" s="192"/>
      <c r="L202" s="192"/>
    </row>
    <row r="203" spans="4:12" ht="13">
      <c r="D203" s="192"/>
      <c r="F203" s="192"/>
      <c r="H203" s="192"/>
      <c r="J203" s="192"/>
      <c r="L203" s="192"/>
    </row>
    <row r="204" spans="4:12" ht="13">
      <c r="D204" s="192"/>
      <c r="F204" s="192"/>
      <c r="H204" s="192"/>
      <c r="J204" s="192"/>
      <c r="L204" s="192"/>
    </row>
    <row r="205" spans="4:12" ht="13">
      <c r="D205" s="192"/>
      <c r="F205" s="192"/>
      <c r="H205" s="192"/>
      <c r="J205" s="192"/>
      <c r="L205" s="192"/>
    </row>
    <row r="206" spans="4:12" ht="13">
      <c r="D206" s="192"/>
      <c r="F206" s="192"/>
      <c r="H206" s="192"/>
      <c r="J206" s="192"/>
      <c r="L206" s="192"/>
    </row>
    <row r="207" spans="4:12" ht="13">
      <c r="D207" s="192"/>
      <c r="F207" s="192"/>
      <c r="H207" s="192"/>
      <c r="J207" s="192"/>
      <c r="L207" s="192"/>
    </row>
    <row r="208" spans="4:12" ht="13">
      <c r="D208" s="192"/>
      <c r="F208" s="192"/>
      <c r="H208" s="192"/>
      <c r="J208" s="192"/>
      <c r="L208" s="192"/>
    </row>
    <row r="209" spans="4:12" ht="13">
      <c r="D209" s="192"/>
      <c r="F209" s="192"/>
      <c r="H209" s="192"/>
      <c r="J209" s="192"/>
      <c r="L209" s="192"/>
    </row>
    <row r="210" spans="4:12" ht="13">
      <c r="D210" s="192"/>
      <c r="F210" s="192"/>
      <c r="H210" s="192"/>
      <c r="J210" s="192"/>
      <c r="L210" s="192"/>
    </row>
    <row r="211" spans="4:12" ht="13">
      <c r="D211" s="192"/>
      <c r="F211" s="192"/>
      <c r="H211" s="192"/>
      <c r="J211" s="192"/>
      <c r="L211" s="192"/>
    </row>
    <row r="212" spans="4:12" ht="13">
      <c r="D212" s="192"/>
      <c r="F212" s="192"/>
      <c r="H212" s="192"/>
      <c r="J212" s="192"/>
      <c r="L212" s="192"/>
    </row>
    <row r="213" spans="4:12" ht="13">
      <c r="D213" s="192"/>
      <c r="F213" s="192"/>
      <c r="H213" s="192"/>
      <c r="J213" s="192"/>
      <c r="L213" s="192"/>
    </row>
    <row r="214" spans="4:12" ht="13">
      <c r="D214" s="192"/>
      <c r="F214" s="192"/>
      <c r="H214" s="192"/>
      <c r="J214" s="192"/>
      <c r="L214" s="192"/>
    </row>
    <row r="215" spans="4:12" ht="13">
      <c r="D215" s="192"/>
      <c r="F215" s="192"/>
      <c r="H215" s="192"/>
      <c r="J215" s="192"/>
      <c r="L215" s="192"/>
    </row>
    <row r="216" spans="4:12" ht="13">
      <c r="D216" s="192"/>
      <c r="F216" s="192"/>
      <c r="H216" s="192"/>
      <c r="J216" s="192"/>
      <c r="L216" s="192"/>
    </row>
    <row r="217" spans="4:12" ht="13">
      <c r="D217" s="192"/>
      <c r="F217" s="192"/>
      <c r="H217" s="192"/>
      <c r="J217" s="192"/>
      <c r="L217" s="192"/>
    </row>
    <row r="218" spans="4:12" ht="13">
      <c r="D218" s="192"/>
      <c r="F218" s="192"/>
      <c r="H218" s="192"/>
      <c r="J218" s="192"/>
      <c r="L218" s="192"/>
    </row>
    <row r="219" spans="4:12" ht="13">
      <c r="D219" s="192"/>
      <c r="F219" s="192"/>
      <c r="H219" s="192"/>
      <c r="J219" s="192"/>
      <c r="L219" s="192"/>
    </row>
    <row r="220" spans="4:12" ht="13">
      <c r="D220" s="192"/>
      <c r="F220" s="192"/>
      <c r="H220" s="192"/>
      <c r="J220" s="192"/>
      <c r="L220" s="192"/>
    </row>
    <row r="221" spans="4:12" ht="13">
      <c r="D221" s="192"/>
      <c r="F221" s="192"/>
      <c r="H221" s="192"/>
      <c r="J221" s="192"/>
      <c r="L221" s="192"/>
    </row>
    <row r="222" spans="4:12" ht="13">
      <c r="D222" s="192"/>
      <c r="F222" s="192"/>
      <c r="H222" s="192"/>
      <c r="J222" s="192"/>
      <c r="L222" s="192"/>
    </row>
    <row r="223" spans="4:12" ht="13">
      <c r="D223" s="192"/>
      <c r="F223" s="192"/>
      <c r="H223" s="192"/>
      <c r="J223" s="192"/>
      <c r="L223" s="192"/>
    </row>
    <row r="224" spans="4:12" ht="13">
      <c r="D224" s="192"/>
      <c r="F224" s="192"/>
      <c r="H224" s="192"/>
      <c r="J224" s="192"/>
      <c r="L224" s="192"/>
    </row>
    <row r="225" spans="4:12" ht="13">
      <c r="D225" s="192"/>
      <c r="F225" s="192"/>
      <c r="H225" s="192"/>
      <c r="J225" s="192"/>
      <c r="L225" s="192"/>
    </row>
    <row r="226" spans="4:12" ht="13">
      <c r="D226" s="192"/>
      <c r="F226" s="192"/>
      <c r="H226" s="192"/>
      <c r="J226" s="192"/>
      <c r="L226" s="192"/>
    </row>
    <row r="227" spans="4:12" ht="13">
      <c r="D227" s="192"/>
      <c r="F227" s="192"/>
      <c r="H227" s="192"/>
      <c r="J227" s="192"/>
      <c r="L227" s="192"/>
    </row>
    <row r="228" spans="4:12" ht="13">
      <c r="D228" s="192"/>
      <c r="F228" s="192"/>
      <c r="H228" s="192"/>
      <c r="J228" s="192"/>
      <c r="L228" s="192"/>
    </row>
    <row r="229" spans="4:12" ht="13">
      <c r="D229" s="192"/>
      <c r="F229" s="192"/>
      <c r="H229" s="192"/>
      <c r="J229" s="192"/>
      <c r="L229" s="192"/>
    </row>
    <row r="230" spans="4:12" ht="13">
      <c r="D230" s="192"/>
      <c r="F230" s="192"/>
      <c r="H230" s="192"/>
      <c r="J230" s="192"/>
      <c r="L230" s="192"/>
    </row>
    <row r="231" spans="4:12" ht="13">
      <c r="D231" s="192"/>
      <c r="F231" s="192"/>
      <c r="H231" s="192"/>
      <c r="J231" s="192"/>
      <c r="L231" s="192"/>
    </row>
    <row r="232" spans="4:12" ht="13">
      <c r="D232" s="192"/>
      <c r="F232" s="192"/>
      <c r="H232" s="192"/>
      <c r="J232" s="192"/>
      <c r="L232" s="192"/>
    </row>
    <row r="233" spans="4:12" ht="13">
      <c r="D233" s="192"/>
      <c r="F233" s="192"/>
      <c r="H233" s="192"/>
      <c r="J233" s="192"/>
      <c r="L233" s="192"/>
    </row>
    <row r="234" spans="4:12" ht="13">
      <c r="D234" s="192"/>
      <c r="F234" s="192"/>
      <c r="H234" s="192"/>
      <c r="J234" s="192"/>
      <c r="L234" s="192"/>
    </row>
    <row r="235" spans="4:12" ht="13">
      <c r="D235" s="192"/>
      <c r="F235" s="192"/>
      <c r="H235" s="192"/>
      <c r="J235" s="192"/>
      <c r="L235" s="192"/>
    </row>
    <row r="236" spans="4:12" ht="13">
      <c r="D236" s="192"/>
      <c r="F236" s="192"/>
      <c r="H236" s="192"/>
      <c r="J236" s="192"/>
      <c r="L236" s="192"/>
    </row>
    <row r="237" spans="4:12" ht="13">
      <c r="D237" s="192"/>
      <c r="F237" s="192"/>
      <c r="H237" s="192"/>
      <c r="J237" s="192"/>
      <c r="L237" s="192"/>
    </row>
    <row r="238" spans="4:12" ht="13">
      <c r="D238" s="192"/>
      <c r="F238" s="192"/>
      <c r="H238" s="192"/>
      <c r="J238" s="192"/>
      <c r="L238" s="192"/>
    </row>
    <row r="239" spans="4:12" ht="13">
      <c r="D239" s="192"/>
      <c r="F239" s="192"/>
      <c r="H239" s="192"/>
      <c r="J239" s="192"/>
      <c r="L239" s="192"/>
    </row>
    <row r="240" spans="4:12" ht="13">
      <c r="D240" s="192"/>
      <c r="F240" s="192"/>
      <c r="H240" s="192"/>
      <c r="J240" s="192"/>
      <c r="L240" s="192"/>
    </row>
    <row r="241" spans="4:12" ht="13">
      <c r="D241" s="192"/>
      <c r="F241" s="192"/>
      <c r="H241" s="192"/>
      <c r="J241" s="192"/>
      <c r="L241" s="192"/>
    </row>
    <row r="242" spans="4:12" ht="13">
      <c r="D242" s="192"/>
      <c r="F242" s="192"/>
      <c r="H242" s="192"/>
      <c r="J242" s="192"/>
      <c r="L242" s="192"/>
    </row>
    <row r="243" spans="4:12" ht="13">
      <c r="D243" s="192"/>
      <c r="F243" s="192"/>
      <c r="H243" s="192"/>
      <c r="J243" s="192"/>
      <c r="L243" s="192"/>
    </row>
    <row r="244" spans="4:12" ht="13">
      <c r="D244" s="192"/>
      <c r="F244" s="192"/>
      <c r="H244" s="192"/>
      <c r="J244" s="192"/>
      <c r="L244" s="192"/>
    </row>
    <row r="245" spans="4:12" ht="13">
      <c r="D245" s="192"/>
      <c r="F245" s="192"/>
      <c r="H245" s="192"/>
      <c r="J245" s="192"/>
      <c r="L245" s="192"/>
    </row>
    <row r="246" spans="4:12" ht="13">
      <c r="D246" s="192"/>
      <c r="F246" s="192"/>
      <c r="H246" s="192"/>
      <c r="J246" s="192"/>
      <c r="L246" s="192"/>
    </row>
    <row r="247" spans="4:12" ht="13">
      <c r="D247" s="192"/>
      <c r="F247" s="192"/>
      <c r="H247" s="192"/>
      <c r="J247" s="192"/>
      <c r="L247" s="192"/>
    </row>
    <row r="248" spans="4:12" ht="13">
      <c r="D248" s="192"/>
      <c r="F248" s="192"/>
      <c r="H248" s="192"/>
      <c r="J248" s="192"/>
      <c r="L248" s="192"/>
    </row>
    <row r="249" spans="4:12" ht="13">
      <c r="D249" s="192"/>
      <c r="F249" s="192"/>
      <c r="H249" s="192"/>
      <c r="J249" s="192"/>
      <c r="L249" s="192"/>
    </row>
    <row r="250" spans="4:12" ht="13">
      <c r="D250" s="192"/>
      <c r="F250" s="192"/>
      <c r="H250" s="192"/>
      <c r="J250" s="192"/>
      <c r="L250" s="192"/>
    </row>
    <row r="251" spans="4:12" ht="13">
      <c r="D251" s="192"/>
      <c r="F251" s="192"/>
      <c r="H251" s="192"/>
      <c r="J251" s="192"/>
      <c r="L251" s="192"/>
    </row>
    <row r="252" spans="4:12" ht="13">
      <c r="D252" s="192"/>
      <c r="F252" s="192"/>
      <c r="H252" s="192"/>
      <c r="J252" s="192"/>
      <c r="L252" s="192"/>
    </row>
    <row r="253" spans="4:12" ht="13">
      <c r="D253" s="192"/>
      <c r="F253" s="192"/>
      <c r="H253" s="192"/>
      <c r="J253" s="192"/>
      <c r="L253" s="192"/>
    </row>
    <row r="254" spans="4:12" ht="13">
      <c r="D254" s="192"/>
      <c r="F254" s="192"/>
      <c r="H254" s="192"/>
      <c r="J254" s="192"/>
      <c r="L254" s="192"/>
    </row>
    <row r="255" spans="4:12" ht="13">
      <c r="D255" s="192"/>
      <c r="F255" s="192"/>
      <c r="H255" s="192"/>
      <c r="J255" s="192"/>
      <c r="L255" s="192"/>
    </row>
    <row r="256" spans="4:12" ht="13">
      <c r="D256" s="192"/>
      <c r="F256" s="192"/>
      <c r="H256" s="192"/>
      <c r="J256" s="192"/>
      <c r="L256" s="192"/>
    </row>
    <row r="257" spans="4:12" ht="13">
      <c r="D257" s="192"/>
      <c r="F257" s="192"/>
      <c r="H257" s="192"/>
      <c r="J257" s="192"/>
      <c r="L257" s="192"/>
    </row>
    <row r="258" spans="4:12" ht="13">
      <c r="D258" s="192"/>
      <c r="F258" s="192"/>
      <c r="H258" s="192"/>
      <c r="J258" s="192"/>
      <c r="L258" s="192"/>
    </row>
    <row r="259" spans="4:12" ht="13">
      <c r="D259" s="192"/>
      <c r="F259" s="192"/>
      <c r="H259" s="192"/>
      <c r="J259" s="192"/>
      <c r="L259" s="192"/>
    </row>
    <row r="260" spans="4:12" ht="13">
      <c r="D260" s="192"/>
      <c r="F260" s="192"/>
      <c r="H260" s="192"/>
      <c r="J260" s="192"/>
      <c r="L260" s="192"/>
    </row>
    <row r="261" spans="4:12" ht="13">
      <c r="D261" s="192"/>
      <c r="F261" s="192"/>
      <c r="H261" s="192"/>
      <c r="J261" s="192"/>
      <c r="L261" s="192"/>
    </row>
    <row r="262" spans="4:12" ht="13">
      <c r="D262" s="192"/>
      <c r="F262" s="192"/>
      <c r="H262" s="192"/>
      <c r="J262" s="192"/>
      <c r="L262" s="192"/>
    </row>
    <row r="263" spans="4:12" ht="13">
      <c r="D263" s="192"/>
      <c r="F263" s="192"/>
      <c r="H263" s="192"/>
      <c r="J263" s="192"/>
      <c r="L263" s="192"/>
    </row>
    <row r="264" spans="4:12" ht="13">
      <c r="D264" s="192"/>
      <c r="F264" s="192"/>
      <c r="H264" s="192"/>
      <c r="J264" s="192"/>
      <c r="L264" s="192"/>
    </row>
    <row r="265" spans="4:12" ht="13">
      <c r="D265" s="192"/>
      <c r="F265" s="192"/>
      <c r="H265" s="192"/>
      <c r="J265" s="192"/>
      <c r="L265" s="192"/>
    </row>
    <row r="266" spans="4:12" ht="13">
      <c r="D266" s="192"/>
      <c r="F266" s="192"/>
      <c r="H266" s="192"/>
      <c r="J266" s="192"/>
      <c r="L266" s="192"/>
    </row>
    <row r="267" spans="4:12" ht="13">
      <c r="D267" s="192"/>
      <c r="F267" s="192"/>
      <c r="H267" s="192"/>
      <c r="J267" s="192"/>
      <c r="L267" s="192"/>
    </row>
    <row r="268" spans="4:12" ht="13">
      <c r="D268" s="192"/>
      <c r="F268" s="192"/>
      <c r="H268" s="192"/>
      <c r="J268" s="192"/>
      <c r="L268" s="192"/>
    </row>
    <row r="269" spans="4:12" ht="13">
      <c r="D269" s="192"/>
      <c r="F269" s="192"/>
      <c r="H269" s="192"/>
      <c r="J269" s="192"/>
      <c r="L269" s="192"/>
    </row>
    <row r="270" spans="4:12" ht="13">
      <c r="D270" s="192"/>
      <c r="F270" s="192"/>
      <c r="H270" s="192"/>
      <c r="J270" s="192"/>
      <c r="L270" s="192"/>
    </row>
    <row r="271" spans="4:12" ht="13">
      <c r="D271" s="192"/>
      <c r="F271" s="192"/>
      <c r="H271" s="192"/>
      <c r="J271" s="192"/>
      <c r="L271" s="192"/>
    </row>
    <row r="272" spans="4:12" ht="13">
      <c r="D272" s="192"/>
      <c r="F272" s="192"/>
      <c r="H272" s="192"/>
      <c r="J272" s="192"/>
      <c r="L272" s="192"/>
    </row>
    <row r="273" spans="4:12" ht="13">
      <c r="D273" s="192"/>
      <c r="F273" s="192"/>
      <c r="H273" s="192"/>
      <c r="J273" s="192"/>
      <c r="L273" s="192"/>
    </row>
    <row r="274" spans="4:12" ht="13">
      <c r="D274" s="192"/>
      <c r="F274" s="192"/>
      <c r="H274" s="192"/>
      <c r="J274" s="192"/>
      <c r="L274" s="192"/>
    </row>
    <row r="275" spans="4:12" ht="13">
      <c r="D275" s="192"/>
      <c r="F275" s="192"/>
      <c r="H275" s="192"/>
      <c r="J275" s="192"/>
      <c r="L275" s="192"/>
    </row>
    <row r="276" spans="4:12" ht="13">
      <c r="D276" s="192"/>
      <c r="F276" s="192"/>
      <c r="H276" s="192"/>
      <c r="J276" s="192"/>
      <c r="L276" s="192"/>
    </row>
    <row r="277" spans="4:12" ht="13">
      <c r="D277" s="192"/>
      <c r="F277" s="192"/>
      <c r="H277" s="192"/>
      <c r="J277" s="192"/>
      <c r="L277" s="192"/>
    </row>
    <row r="278" spans="4:12" ht="13">
      <c r="D278" s="192"/>
      <c r="F278" s="192"/>
      <c r="H278" s="192"/>
      <c r="J278" s="192"/>
      <c r="L278" s="192"/>
    </row>
    <row r="279" spans="4:12" ht="13">
      <c r="D279" s="192"/>
      <c r="F279" s="192"/>
      <c r="H279" s="192"/>
      <c r="J279" s="192"/>
      <c r="L279" s="192"/>
    </row>
    <row r="280" spans="4:12" ht="13">
      <c r="D280" s="192"/>
      <c r="F280" s="192"/>
      <c r="H280" s="192"/>
      <c r="J280" s="192"/>
      <c r="L280" s="192"/>
    </row>
    <row r="281" spans="4:12" ht="13">
      <c r="D281" s="192"/>
      <c r="F281" s="192"/>
      <c r="H281" s="192"/>
      <c r="J281" s="192"/>
      <c r="L281" s="192"/>
    </row>
    <row r="282" spans="4:12" ht="13">
      <c r="D282" s="192"/>
      <c r="F282" s="192"/>
      <c r="H282" s="192"/>
      <c r="J282" s="192"/>
      <c r="L282" s="192"/>
    </row>
    <row r="283" spans="4:12" ht="13">
      <c r="D283" s="192"/>
      <c r="F283" s="192"/>
      <c r="H283" s="192"/>
      <c r="J283" s="192"/>
      <c r="L283" s="192"/>
    </row>
    <row r="284" spans="4:12" ht="13">
      <c r="D284" s="192"/>
      <c r="F284" s="192"/>
      <c r="H284" s="192"/>
      <c r="J284" s="192"/>
      <c r="L284" s="192"/>
    </row>
    <row r="285" spans="4:12" ht="13">
      <c r="D285" s="192"/>
      <c r="F285" s="192"/>
      <c r="H285" s="192"/>
      <c r="J285" s="192"/>
      <c r="L285" s="192"/>
    </row>
    <row r="286" spans="4:12" ht="13">
      <c r="D286" s="192"/>
      <c r="F286" s="192"/>
      <c r="H286" s="192"/>
      <c r="J286" s="192"/>
      <c r="L286" s="192"/>
    </row>
    <row r="287" spans="4:12" ht="13">
      <c r="D287" s="192"/>
      <c r="F287" s="192"/>
      <c r="H287" s="192"/>
      <c r="J287" s="192"/>
      <c r="L287" s="192"/>
    </row>
    <row r="288" spans="4:12" ht="13">
      <c r="D288" s="192"/>
      <c r="F288" s="192"/>
      <c r="H288" s="192"/>
      <c r="J288" s="192"/>
      <c r="L288" s="192"/>
    </row>
    <row r="289" spans="4:12" ht="13">
      <c r="D289" s="192"/>
      <c r="F289" s="192"/>
      <c r="H289" s="192"/>
      <c r="J289" s="192"/>
      <c r="L289" s="192"/>
    </row>
    <row r="290" spans="4:12" ht="13">
      <c r="D290" s="192"/>
      <c r="F290" s="192"/>
      <c r="H290" s="192"/>
      <c r="J290" s="192"/>
      <c r="L290" s="192"/>
    </row>
    <row r="291" spans="4:12" ht="13">
      <c r="D291" s="192"/>
      <c r="F291" s="192"/>
      <c r="H291" s="192"/>
      <c r="J291" s="192"/>
      <c r="L291" s="192"/>
    </row>
    <row r="292" spans="4:12" ht="13">
      <c r="D292" s="192"/>
      <c r="F292" s="192"/>
      <c r="H292" s="192"/>
      <c r="J292" s="192"/>
      <c r="L292" s="192"/>
    </row>
    <row r="293" spans="4:12" ht="13">
      <c r="D293" s="192"/>
      <c r="F293" s="192"/>
      <c r="H293" s="192"/>
      <c r="J293" s="192"/>
      <c r="L293" s="192"/>
    </row>
    <row r="294" spans="4:12" ht="13">
      <c r="D294" s="192"/>
      <c r="F294" s="192"/>
      <c r="H294" s="192"/>
      <c r="J294" s="192"/>
      <c r="L294" s="192"/>
    </row>
    <row r="295" spans="4:12" ht="13">
      <c r="D295" s="192"/>
      <c r="F295" s="192"/>
      <c r="H295" s="192"/>
      <c r="J295" s="192"/>
      <c r="L295" s="192"/>
    </row>
    <row r="296" spans="4:12" ht="13">
      <c r="D296" s="192"/>
      <c r="F296" s="192"/>
      <c r="H296" s="192"/>
      <c r="J296" s="192"/>
      <c r="L296" s="192"/>
    </row>
    <row r="297" spans="4:12" ht="13">
      <c r="D297" s="192"/>
      <c r="F297" s="192"/>
      <c r="H297" s="192"/>
      <c r="J297" s="192"/>
      <c r="L297" s="192"/>
    </row>
    <row r="298" spans="4:12" ht="13">
      <c r="D298" s="192"/>
      <c r="F298" s="192"/>
      <c r="H298" s="192"/>
      <c r="J298" s="192"/>
      <c r="L298" s="192"/>
    </row>
    <row r="299" spans="4:12" ht="13">
      <c r="D299" s="192"/>
      <c r="F299" s="192"/>
      <c r="H299" s="192"/>
      <c r="J299" s="192"/>
      <c r="L299" s="192"/>
    </row>
    <row r="300" spans="4:12" ht="13">
      <c r="D300" s="192"/>
      <c r="F300" s="192"/>
      <c r="H300" s="192"/>
      <c r="J300" s="192"/>
      <c r="L300" s="192"/>
    </row>
    <row r="301" spans="4:12" ht="13">
      <c r="D301" s="192"/>
      <c r="F301" s="192"/>
      <c r="H301" s="192"/>
      <c r="J301" s="192"/>
      <c r="L301" s="192"/>
    </row>
    <row r="302" spans="4:12" ht="13">
      <c r="D302" s="192"/>
      <c r="F302" s="192"/>
      <c r="H302" s="192"/>
      <c r="J302" s="192"/>
      <c r="L302" s="192"/>
    </row>
    <row r="303" spans="4:12" ht="13">
      <c r="D303" s="192"/>
      <c r="F303" s="192"/>
      <c r="H303" s="192"/>
      <c r="J303" s="192"/>
      <c r="L303" s="192"/>
    </row>
    <row r="304" spans="4:12" ht="13">
      <c r="D304" s="192"/>
      <c r="F304" s="192"/>
      <c r="H304" s="192"/>
      <c r="J304" s="192"/>
      <c r="L304" s="192"/>
    </row>
    <row r="305" spans="4:12" ht="13">
      <c r="D305" s="192"/>
      <c r="F305" s="192"/>
      <c r="H305" s="192"/>
      <c r="J305" s="192"/>
      <c r="L305" s="192"/>
    </row>
    <row r="306" spans="4:12" ht="13">
      <c r="D306" s="192"/>
      <c r="F306" s="192"/>
      <c r="H306" s="192"/>
      <c r="J306" s="192"/>
      <c r="L306" s="192"/>
    </row>
    <row r="307" spans="4:12" ht="13">
      <c r="D307" s="192"/>
      <c r="F307" s="192"/>
      <c r="H307" s="192"/>
      <c r="J307" s="192"/>
      <c r="L307" s="192"/>
    </row>
    <row r="308" spans="4:12" ht="13">
      <c r="D308" s="192"/>
      <c r="F308" s="192"/>
      <c r="H308" s="192"/>
      <c r="J308" s="192"/>
      <c r="L308" s="192"/>
    </row>
    <row r="309" spans="4:12" ht="13">
      <c r="D309" s="192"/>
      <c r="F309" s="192"/>
      <c r="H309" s="192"/>
      <c r="J309" s="192"/>
      <c r="L309" s="192"/>
    </row>
    <row r="310" spans="4:12" ht="13">
      <c r="D310" s="192"/>
      <c r="F310" s="192"/>
      <c r="H310" s="192"/>
      <c r="J310" s="192"/>
      <c r="L310" s="192"/>
    </row>
    <row r="311" spans="4:12" ht="13">
      <c r="D311" s="192"/>
      <c r="F311" s="192"/>
      <c r="H311" s="192"/>
      <c r="J311" s="192"/>
      <c r="L311" s="192"/>
    </row>
    <row r="312" spans="4:12" ht="13">
      <c r="D312" s="192"/>
      <c r="F312" s="192"/>
      <c r="H312" s="192"/>
      <c r="J312" s="192"/>
      <c r="L312" s="192"/>
    </row>
    <row r="313" spans="4:12" ht="13">
      <c r="D313" s="192"/>
      <c r="F313" s="192"/>
      <c r="H313" s="192"/>
      <c r="J313" s="192"/>
      <c r="L313" s="192"/>
    </row>
    <row r="314" spans="4:12" ht="13">
      <c r="D314" s="192"/>
      <c r="F314" s="192"/>
      <c r="H314" s="192"/>
      <c r="J314" s="192"/>
      <c r="L314" s="192"/>
    </row>
    <row r="315" spans="4:12" ht="13">
      <c r="D315" s="192"/>
      <c r="F315" s="192"/>
      <c r="H315" s="192"/>
      <c r="J315" s="192"/>
      <c r="L315" s="192"/>
    </row>
    <row r="316" spans="4:12" ht="13">
      <c r="D316" s="192"/>
      <c r="F316" s="192"/>
      <c r="H316" s="192"/>
      <c r="J316" s="192"/>
      <c r="L316" s="192"/>
    </row>
    <row r="317" spans="4:12" ht="13">
      <c r="D317" s="192"/>
      <c r="F317" s="192"/>
      <c r="H317" s="192"/>
      <c r="J317" s="192"/>
      <c r="L317" s="192"/>
    </row>
    <row r="318" spans="4:12" ht="13">
      <c r="D318" s="192"/>
      <c r="F318" s="192"/>
      <c r="H318" s="192"/>
      <c r="J318" s="192"/>
      <c r="L318" s="192"/>
    </row>
    <row r="319" spans="4:12" ht="13">
      <c r="D319" s="192"/>
      <c r="F319" s="192"/>
      <c r="H319" s="192"/>
      <c r="J319" s="192"/>
      <c r="L319" s="192"/>
    </row>
    <row r="320" spans="4:12" ht="13">
      <c r="D320" s="192"/>
      <c r="F320" s="192"/>
      <c r="H320" s="192"/>
      <c r="J320" s="192"/>
      <c r="L320" s="192"/>
    </row>
    <row r="321" spans="4:12" ht="13">
      <c r="D321" s="192"/>
      <c r="F321" s="192"/>
      <c r="H321" s="192"/>
      <c r="J321" s="192"/>
      <c r="L321" s="192"/>
    </row>
    <row r="322" spans="4:12" ht="13">
      <c r="D322" s="192"/>
      <c r="F322" s="192"/>
      <c r="H322" s="192"/>
      <c r="J322" s="192"/>
      <c r="L322" s="192"/>
    </row>
    <row r="323" spans="4:12" ht="13">
      <c r="D323" s="192"/>
      <c r="F323" s="192"/>
      <c r="H323" s="192"/>
      <c r="J323" s="192"/>
      <c r="L323" s="192"/>
    </row>
    <row r="324" spans="4:12" ht="13">
      <c r="D324" s="192"/>
      <c r="F324" s="192"/>
      <c r="H324" s="192"/>
      <c r="J324" s="192"/>
      <c r="L324" s="192"/>
    </row>
    <row r="325" spans="4:12" ht="13">
      <c r="D325" s="192"/>
      <c r="F325" s="192"/>
      <c r="H325" s="192"/>
      <c r="J325" s="192"/>
      <c r="L325" s="192"/>
    </row>
    <row r="326" spans="4:12" ht="13">
      <c r="D326" s="192"/>
      <c r="F326" s="192"/>
      <c r="H326" s="192"/>
      <c r="J326" s="192"/>
      <c r="L326" s="192"/>
    </row>
    <row r="327" spans="4:12" ht="13">
      <c r="D327" s="192"/>
      <c r="F327" s="192"/>
      <c r="H327" s="192"/>
      <c r="J327" s="192"/>
      <c r="L327" s="192"/>
    </row>
    <row r="328" spans="4:12" ht="13">
      <c r="D328" s="192"/>
      <c r="F328" s="192"/>
      <c r="H328" s="192"/>
      <c r="J328" s="192"/>
      <c r="L328" s="192"/>
    </row>
    <row r="329" spans="4:12" ht="13">
      <c r="D329" s="192"/>
      <c r="F329" s="192"/>
      <c r="H329" s="192"/>
      <c r="J329" s="192"/>
      <c r="L329" s="192"/>
    </row>
    <row r="330" spans="4:12" ht="13">
      <c r="D330" s="192"/>
      <c r="F330" s="192"/>
      <c r="H330" s="192"/>
      <c r="J330" s="192"/>
      <c r="L330" s="192"/>
    </row>
    <row r="331" spans="4:12" ht="13">
      <c r="D331" s="192"/>
      <c r="F331" s="192"/>
      <c r="H331" s="192"/>
      <c r="J331" s="192"/>
      <c r="L331" s="192"/>
    </row>
    <row r="332" spans="4:12" ht="13">
      <c r="D332" s="192"/>
      <c r="F332" s="192"/>
      <c r="H332" s="192"/>
      <c r="J332" s="192"/>
      <c r="L332" s="192"/>
    </row>
    <row r="333" spans="4:12" ht="13">
      <c r="D333" s="192"/>
      <c r="F333" s="192"/>
      <c r="H333" s="192"/>
      <c r="J333" s="192"/>
      <c r="L333" s="192"/>
    </row>
    <row r="334" spans="4:12" ht="13">
      <c r="D334" s="192"/>
      <c r="F334" s="192"/>
      <c r="H334" s="192"/>
      <c r="J334" s="192"/>
      <c r="L334" s="192"/>
    </row>
    <row r="335" spans="4:12" ht="13">
      <c r="D335" s="192"/>
      <c r="F335" s="192"/>
      <c r="H335" s="192"/>
      <c r="J335" s="192"/>
      <c r="L335" s="192"/>
    </row>
    <row r="336" spans="4:12" ht="13">
      <c r="D336" s="192"/>
      <c r="F336" s="192"/>
      <c r="H336" s="192"/>
      <c r="J336" s="192"/>
      <c r="L336" s="192"/>
    </row>
    <row r="337" spans="4:12" ht="13">
      <c r="D337" s="192"/>
      <c r="F337" s="192"/>
      <c r="H337" s="192"/>
      <c r="J337" s="192"/>
      <c r="L337" s="192"/>
    </row>
    <row r="338" spans="4:12" ht="13">
      <c r="D338" s="192"/>
      <c r="F338" s="192"/>
      <c r="H338" s="192"/>
      <c r="J338" s="192"/>
      <c r="L338" s="192"/>
    </row>
    <row r="339" spans="4:12" ht="13">
      <c r="D339" s="192"/>
      <c r="F339" s="192"/>
      <c r="H339" s="192"/>
      <c r="J339" s="192"/>
      <c r="L339" s="192"/>
    </row>
    <row r="340" spans="4:12" ht="13">
      <c r="D340" s="192"/>
      <c r="F340" s="192"/>
      <c r="H340" s="192"/>
      <c r="J340" s="192"/>
      <c r="L340" s="192"/>
    </row>
    <row r="341" spans="4:12" ht="13">
      <c r="D341" s="192"/>
      <c r="F341" s="192"/>
      <c r="H341" s="192"/>
      <c r="J341" s="192"/>
      <c r="L341" s="192"/>
    </row>
    <row r="342" spans="4:12" ht="13">
      <c r="D342" s="192"/>
      <c r="F342" s="192"/>
      <c r="H342" s="192"/>
      <c r="J342" s="192"/>
      <c r="L342" s="192"/>
    </row>
    <row r="343" spans="4:12" ht="13">
      <c r="D343" s="192"/>
      <c r="F343" s="192"/>
      <c r="H343" s="192"/>
      <c r="J343" s="192"/>
      <c r="L343" s="192"/>
    </row>
    <row r="344" spans="4:12" ht="13">
      <c r="D344" s="192"/>
      <c r="F344" s="192"/>
      <c r="H344" s="192"/>
      <c r="J344" s="192"/>
      <c r="L344" s="192"/>
    </row>
    <row r="345" spans="4:12" ht="13">
      <c r="D345" s="192"/>
      <c r="F345" s="192"/>
      <c r="H345" s="192"/>
      <c r="J345" s="192"/>
      <c r="L345" s="192"/>
    </row>
    <row r="346" spans="4:12" ht="13">
      <c r="D346" s="192"/>
      <c r="F346" s="192"/>
      <c r="H346" s="192"/>
      <c r="J346" s="192"/>
      <c r="L346" s="192"/>
    </row>
    <row r="347" spans="4:12" ht="13">
      <c r="D347" s="192"/>
      <c r="F347" s="192"/>
      <c r="H347" s="192"/>
      <c r="J347" s="192"/>
      <c r="L347" s="192"/>
    </row>
    <row r="348" spans="4:12" ht="13">
      <c r="D348" s="192"/>
      <c r="F348" s="192"/>
      <c r="H348" s="192"/>
      <c r="J348" s="192"/>
      <c r="L348" s="192"/>
    </row>
    <row r="349" spans="4:12" ht="13">
      <c r="D349" s="192"/>
      <c r="F349" s="192"/>
      <c r="H349" s="192"/>
      <c r="J349" s="192"/>
      <c r="L349" s="192"/>
    </row>
    <row r="350" spans="4:12" ht="13">
      <c r="D350" s="192"/>
      <c r="F350" s="192"/>
      <c r="H350" s="192"/>
      <c r="J350" s="192"/>
      <c r="L350" s="192"/>
    </row>
    <row r="351" spans="4:12" ht="13">
      <c r="D351" s="192"/>
      <c r="F351" s="192"/>
      <c r="H351" s="192"/>
      <c r="J351" s="192"/>
      <c r="L351" s="192"/>
    </row>
    <row r="352" spans="4:12" ht="13">
      <c r="D352" s="192"/>
      <c r="F352" s="192"/>
      <c r="H352" s="192"/>
      <c r="J352" s="192"/>
      <c r="L352" s="192"/>
    </row>
    <row r="353" spans="4:12" ht="13">
      <c r="D353" s="192"/>
      <c r="F353" s="192"/>
      <c r="H353" s="192"/>
      <c r="J353" s="192"/>
      <c r="L353" s="192"/>
    </row>
    <row r="354" spans="4:12" ht="13">
      <c r="D354" s="192"/>
      <c r="F354" s="192"/>
      <c r="H354" s="192"/>
      <c r="J354" s="192"/>
      <c r="L354" s="192"/>
    </row>
    <row r="355" spans="4:12" ht="13">
      <c r="D355" s="192"/>
      <c r="F355" s="192"/>
      <c r="H355" s="192"/>
      <c r="J355" s="192"/>
      <c r="L355" s="192"/>
    </row>
    <row r="356" spans="4:12" ht="13">
      <c r="D356" s="192"/>
      <c r="F356" s="192"/>
      <c r="H356" s="192"/>
      <c r="J356" s="192"/>
      <c r="L356" s="192"/>
    </row>
    <row r="357" spans="4:12" ht="13">
      <c r="D357" s="192"/>
      <c r="F357" s="192"/>
      <c r="H357" s="192"/>
      <c r="J357" s="192"/>
      <c r="L357" s="192"/>
    </row>
    <row r="358" spans="4:12" ht="13">
      <c r="D358" s="192"/>
      <c r="F358" s="192"/>
      <c r="H358" s="192"/>
      <c r="J358" s="192"/>
      <c r="L358" s="192"/>
    </row>
    <row r="359" spans="4:12" ht="13">
      <c r="D359" s="192"/>
      <c r="F359" s="192"/>
      <c r="H359" s="192"/>
      <c r="J359" s="192"/>
      <c r="L359" s="192"/>
    </row>
    <row r="360" spans="4:12" ht="13">
      <c r="D360" s="192"/>
      <c r="F360" s="192"/>
      <c r="H360" s="192"/>
      <c r="J360" s="192"/>
      <c r="L360" s="192"/>
    </row>
    <row r="361" spans="4:12" ht="13">
      <c r="D361" s="192"/>
      <c r="F361" s="192"/>
      <c r="H361" s="192"/>
      <c r="J361" s="192"/>
      <c r="L361" s="192"/>
    </row>
    <row r="362" spans="4:12" ht="13">
      <c r="D362" s="192"/>
      <c r="F362" s="192"/>
      <c r="H362" s="192"/>
      <c r="J362" s="192"/>
      <c r="L362" s="192"/>
    </row>
    <row r="363" spans="4:12" ht="13">
      <c r="D363" s="192"/>
      <c r="F363" s="192"/>
      <c r="H363" s="192"/>
      <c r="J363" s="192"/>
      <c r="L363" s="192"/>
    </row>
    <row r="364" spans="4:12" ht="13">
      <c r="D364" s="192"/>
      <c r="F364" s="192"/>
      <c r="H364" s="192"/>
      <c r="J364" s="192"/>
      <c r="L364" s="192"/>
    </row>
    <row r="365" spans="4:12" ht="13">
      <c r="D365" s="192"/>
      <c r="F365" s="192"/>
      <c r="H365" s="192"/>
      <c r="J365" s="192"/>
      <c r="L365" s="192"/>
    </row>
    <row r="366" spans="4:12" ht="13">
      <c r="D366" s="192"/>
      <c r="F366" s="192"/>
      <c r="H366" s="192"/>
      <c r="J366" s="192"/>
      <c r="L366" s="192"/>
    </row>
    <row r="367" spans="4:12" ht="13">
      <c r="D367" s="192"/>
      <c r="F367" s="192"/>
      <c r="H367" s="192"/>
      <c r="J367" s="192"/>
      <c r="L367" s="192"/>
    </row>
    <row r="368" spans="4:12" ht="13">
      <c r="D368" s="192"/>
      <c r="F368" s="192"/>
      <c r="H368" s="192"/>
      <c r="J368" s="192"/>
      <c r="L368" s="192"/>
    </row>
    <row r="369" spans="4:12" ht="13">
      <c r="D369" s="192"/>
      <c r="F369" s="192"/>
      <c r="H369" s="192"/>
      <c r="J369" s="192"/>
      <c r="L369" s="192"/>
    </row>
    <row r="370" spans="4:12" ht="13">
      <c r="D370" s="192"/>
      <c r="F370" s="192"/>
      <c r="H370" s="192"/>
      <c r="J370" s="192"/>
      <c r="L370" s="192"/>
    </row>
    <row r="371" spans="4:12" ht="13">
      <c r="D371" s="192"/>
      <c r="F371" s="192"/>
      <c r="H371" s="192"/>
      <c r="J371" s="192"/>
      <c r="L371" s="192"/>
    </row>
    <row r="372" spans="4:12" ht="13">
      <c r="D372" s="192"/>
      <c r="F372" s="192"/>
      <c r="H372" s="192"/>
      <c r="J372" s="192"/>
      <c r="L372" s="192"/>
    </row>
    <row r="373" spans="4:12" ht="13">
      <c r="D373" s="192"/>
      <c r="F373" s="192"/>
      <c r="H373" s="192"/>
      <c r="J373" s="192"/>
      <c r="L373" s="192"/>
    </row>
    <row r="374" spans="4:12" ht="13">
      <c r="D374" s="192"/>
      <c r="F374" s="192"/>
      <c r="H374" s="192"/>
      <c r="J374" s="192"/>
      <c r="L374" s="192"/>
    </row>
    <row r="375" spans="4:12" ht="13">
      <c r="D375" s="192"/>
      <c r="F375" s="192"/>
      <c r="H375" s="192"/>
      <c r="J375" s="192"/>
      <c r="L375" s="192"/>
    </row>
    <row r="376" spans="4:12" ht="13">
      <c r="D376" s="192"/>
      <c r="F376" s="192"/>
      <c r="H376" s="192"/>
      <c r="J376" s="192"/>
      <c r="L376" s="192"/>
    </row>
    <row r="377" spans="4:12" ht="13">
      <c r="D377" s="192"/>
      <c r="F377" s="192"/>
      <c r="H377" s="192"/>
      <c r="J377" s="192"/>
      <c r="L377" s="192"/>
    </row>
    <row r="378" spans="4:12" ht="13">
      <c r="D378" s="192"/>
      <c r="F378" s="192"/>
      <c r="H378" s="192"/>
      <c r="J378" s="192"/>
      <c r="L378" s="192"/>
    </row>
    <row r="379" spans="4:12" ht="13">
      <c r="D379" s="192"/>
      <c r="F379" s="192"/>
      <c r="H379" s="192"/>
      <c r="J379" s="192"/>
      <c r="L379" s="192"/>
    </row>
    <row r="380" spans="4:12" ht="13">
      <c r="D380" s="192"/>
      <c r="F380" s="192"/>
      <c r="H380" s="192"/>
      <c r="J380" s="192"/>
      <c r="L380" s="192"/>
    </row>
    <row r="381" spans="4:12" ht="13">
      <c r="D381" s="192"/>
      <c r="F381" s="192"/>
      <c r="H381" s="192"/>
      <c r="J381" s="192"/>
      <c r="L381" s="192"/>
    </row>
    <row r="382" spans="4:12" ht="13">
      <c r="D382" s="192"/>
      <c r="F382" s="192"/>
      <c r="H382" s="192"/>
      <c r="J382" s="192"/>
      <c r="L382" s="192"/>
    </row>
    <row r="383" spans="4:12" ht="13">
      <c r="D383" s="192"/>
      <c r="F383" s="192"/>
      <c r="H383" s="192"/>
      <c r="J383" s="192"/>
      <c r="L383" s="192"/>
    </row>
    <row r="384" spans="4:12" ht="13">
      <c r="D384" s="192"/>
      <c r="F384" s="192"/>
      <c r="H384" s="192"/>
      <c r="J384" s="192"/>
      <c r="L384" s="192"/>
    </row>
    <row r="385" spans="4:12" ht="13">
      <c r="D385" s="192"/>
      <c r="F385" s="192"/>
      <c r="H385" s="192"/>
      <c r="J385" s="192"/>
      <c r="L385" s="192"/>
    </row>
    <row r="386" spans="4:12" ht="13">
      <c r="D386" s="192"/>
      <c r="F386" s="192"/>
      <c r="H386" s="192"/>
      <c r="J386" s="192"/>
      <c r="L386" s="192"/>
    </row>
    <row r="387" spans="4:12" ht="13">
      <c r="D387" s="192"/>
      <c r="F387" s="192"/>
      <c r="H387" s="192"/>
      <c r="J387" s="192"/>
      <c r="L387" s="192"/>
    </row>
    <row r="388" spans="4:12" ht="13">
      <c r="D388" s="192"/>
      <c r="F388" s="192"/>
      <c r="H388" s="192"/>
      <c r="J388" s="192"/>
      <c r="L388" s="192"/>
    </row>
    <row r="389" spans="4:12" ht="13">
      <c r="D389" s="192"/>
      <c r="F389" s="192"/>
      <c r="H389" s="192"/>
      <c r="J389" s="192"/>
      <c r="L389" s="192"/>
    </row>
    <row r="390" spans="4:12" ht="13">
      <c r="D390" s="192"/>
      <c r="F390" s="192"/>
      <c r="H390" s="192"/>
      <c r="J390" s="192"/>
      <c r="L390" s="192"/>
    </row>
    <row r="391" spans="4:12" ht="13">
      <c r="D391" s="192"/>
      <c r="F391" s="192"/>
      <c r="H391" s="192"/>
      <c r="J391" s="192"/>
      <c r="L391" s="192"/>
    </row>
    <row r="392" spans="4:12" ht="13">
      <c r="D392" s="192"/>
      <c r="F392" s="192"/>
      <c r="H392" s="192"/>
      <c r="J392" s="192"/>
      <c r="L392" s="192"/>
    </row>
    <row r="393" spans="4:12" ht="13">
      <c r="D393" s="192"/>
      <c r="F393" s="192"/>
      <c r="H393" s="192"/>
      <c r="J393" s="192"/>
      <c r="L393" s="192"/>
    </row>
    <row r="394" spans="4:12" ht="13">
      <c r="D394" s="192"/>
      <c r="F394" s="192"/>
      <c r="H394" s="192"/>
      <c r="J394" s="192"/>
      <c r="L394" s="192"/>
    </row>
    <row r="395" spans="4:12" ht="13">
      <c r="D395" s="192"/>
      <c r="F395" s="192"/>
      <c r="H395" s="192"/>
      <c r="J395" s="192"/>
      <c r="L395" s="192"/>
    </row>
    <row r="396" spans="4:12" ht="13">
      <c r="D396" s="192"/>
      <c r="F396" s="192"/>
      <c r="H396" s="192"/>
      <c r="J396" s="192"/>
      <c r="L396" s="192"/>
    </row>
    <row r="397" spans="4:12" ht="13">
      <c r="D397" s="192"/>
      <c r="F397" s="192"/>
      <c r="H397" s="192"/>
      <c r="J397" s="192"/>
      <c r="L397" s="192"/>
    </row>
    <row r="398" spans="4:12" ht="13">
      <c r="D398" s="192"/>
      <c r="F398" s="192"/>
      <c r="H398" s="192"/>
      <c r="J398" s="192"/>
      <c r="L398" s="192"/>
    </row>
    <row r="399" spans="4:12" ht="13">
      <c r="D399" s="192"/>
      <c r="F399" s="192"/>
      <c r="H399" s="192"/>
      <c r="J399" s="192"/>
      <c r="L399" s="192"/>
    </row>
    <row r="400" spans="4:12" ht="13">
      <c r="D400" s="192"/>
      <c r="F400" s="192"/>
      <c r="H400" s="192"/>
      <c r="J400" s="192"/>
      <c r="L400" s="192"/>
    </row>
    <row r="401" spans="4:12" ht="13">
      <c r="D401" s="192"/>
      <c r="F401" s="192"/>
      <c r="H401" s="192"/>
      <c r="J401" s="192"/>
      <c r="L401" s="192"/>
    </row>
    <row r="402" spans="4:12" ht="13">
      <c r="D402" s="192"/>
      <c r="F402" s="192"/>
      <c r="H402" s="192"/>
      <c r="J402" s="192"/>
      <c r="L402" s="192"/>
    </row>
    <row r="403" spans="4:12" ht="13">
      <c r="D403" s="192"/>
      <c r="F403" s="192"/>
      <c r="H403" s="192"/>
      <c r="J403" s="192"/>
      <c r="L403" s="192"/>
    </row>
    <row r="404" spans="4:12" ht="13">
      <c r="D404" s="192"/>
      <c r="F404" s="192"/>
      <c r="H404" s="192"/>
      <c r="J404" s="192"/>
      <c r="L404" s="192"/>
    </row>
    <row r="405" spans="4:12" ht="13">
      <c r="D405" s="192"/>
      <c r="F405" s="192"/>
      <c r="H405" s="192"/>
      <c r="J405" s="192"/>
      <c r="L405" s="192"/>
    </row>
    <row r="406" spans="4:12" ht="13">
      <c r="D406" s="192"/>
      <c r="F406" s="192"/>
      <c r="H406" s="192"/>
      <c r="J406" s="192"/>
      <c r="L406" s="192"/>
    </row>
    <row r="407" spans="4:12" ht="13">
      <c r="D407" s="192"/>
      <c r="F407" s="192"/>
      <c r="H407" s="192"/>
      <c r="J407" s="192"/>
      <c r="L407" s="192"/>
    </row>
    <row r="408" spans="4:12" ht="13">
      <c r="D408" s="192"/>
      <c r="F408" s="192"/>
      <c r="H408" s="192"/>
      <c r="J408" s="192"/>
      <c r="L408" s="192"/>
    </row>
    <row r="409" spans="4:12" ht="13">
      <c r="D409" s="192"/>
      <c r="F409" s="192"/>
      <c r="H409" s="192"/>
      <c r="J409" s="192"/>
      <c r="L409" s="192"/>
    </row>
    <row r="410" spans="4:12" ht="13">
      <c r="D410" s="192"/>
      <c r="F410" s="192"/>
      <c r="H410" s="192"/>
      <c r="J410" s="192"/>
      <c r="L410" s="192"/>
    </row>
    <row r="411" spans="4:12" ht="13">
      <c r="D411" s="192"/>
      <c r="F411" s="192"/>
      <c r="H411" s="192"/>
      <c r="J411" s="192"/>
      <c r="L411" s="192"/>
    </row>
    <row r="412" spans="4:12" ht="13">
      <c r="D412" s="192"/>
      <c r="F412" s="192"/>
      <c r="H412" s="192"/>
      <c r="J412" s="192"/>
      <c r="L412" s="192"/>
    </row>
    <row r="413" spans="4:12" ht="13">
      <c r="D413" s="192"/>
      <c r="F413" s="192"/>
      <c r="H413" s="192"/>
      <c r="J413" s="192"/>
      <c r="L413" s="192"/>
    </row>
    <row r="414" spans="4:12" ht="13">
      <c r="D414" s="192"/>
      <c r="F414" s="192"/>
      <c r="H414" s="192"/>
      <c r="J414" s="192"/>
      <c r="L414" s="192"/>
    </row>
    <row r="415" spans="4:12" ht="13">
      <c r="D415" s="192"/>
      <c r="F415" s="192"/>
      <c r="H415" s="192"/>
      <c r="J415" s="192"/>
      <c r="L415" s="192"/>
    </row>
    <row r="416" spans="4:12" ht="13">
      <c r="D416" s="192"/>
      <c r="F416" s="192"/>
      <c r="H416" s="192"/>
      <c r="J416" s="192"/>
      <c r="L416" s="192"/>
    </row>
    <row r="417" spans="4:12" ht="13">
      <c r="D417" s="192"/>
      <c r="F417" s="192"/>
      <c r="H417" s="192"/>
      <c r="J417" s="192"/>
      <c r="L417" s="192"/>
    </row>
    <row r="418" spans="4:12" ht="13">
      <c r="D418" s="192"/>
      <c r="F418" s="192"/>
      <c r="H418" s="192"/>
      <c r="J418" s="192"/>
      <c r="L418" s="192"/>
    </row>
    <row r="419" spans="4:12" ht="13">
      <c r="D419" s="192"/>
      <c r="F419" s="192"/>
      <c r="H419" s="192"/>
      <c r="J419" s="192"/>
      <c r="L419" s="192"/>
    </row>
    <row r="420" spans="4:12" ht="13">
      <c r="D420" s="192"/>
      <c r="F420" s="192"/>
      <c r="H420" s="192"/>
      <c r="J420" s="192"/>
      <c r="L420" s="192"/>
    </row>
    <row r="421" spans="4:12" ht="13">
      <c r="D421" s="192"/>
      <c r="F421" s="192"/>
      <c r="H421" s="192"/>
      <c r="J421" s="192"/>
      <c r="L421" s="192"/>
    </row>
    <row r="422" spans="4:12" ht="13">
      <c r="D422" s="192"/>
      <c r="F422" s="192"/>
      <c r="H422" s="192"/>
      <c r="J422" s="192"/>
      <c r="L422" s="192"/>
    </row>
    <row r="423" spans="4:12" ht="13">
      <c r="D423" s="192"/>
      <c r="F423" s="192"/>
      <c r="H423" s="192"/>
      <c r="J423" s="192"/>
      <c r="L423" s="192"/>
    </row>
    <row r="424" spans="4:12" ht="13">
      <c r="D424" s="192"/>
      <c r="F424" s="192"/>
      <c r="H424" s="192"/>
      <c r="J424" s="192"/>
      <c r="L424" s="192"/>
    </row>
    <row r="425" spans="4:12" ht="13">
      <c r="D425" s="192"/>
      <c r="F425" s="192"/>
      <c r="H425" s="192"/>
      <c r="J425" s="192"/>
      <c r="L425" s="192"/>
    </row>
    <row r="426" spans="4:12" ht="13">
      <c r="D426" s="192"/>
      <c r="F426" s="192"/>
      <c r="H426" s="192"/>
      <c r="J426" s="192"/>
      <c r="L426" s="192"/>
    </row>
    <row r="427" spans="4:12" ht="13">
      <c r="D427" s="192"/>
      <c r="F427" s="192"/>
      <c r="H427" s="192"/>
      <c r="J427" s="192"/>
      <c r="L427" s="192"/>
    </row>
    <row r="428" spans="4:12" ht="13">
      <c r="D428" s="192"/>
      <c r="F428" s="192"/>
      <c r="H428" s="192"/>
      <c r="J428" s="192"/>
      <c r="L428" s="192"/>
    </row>
    <row r="429" spans="4:12" ht="13">
      <c r="D429" s="192"/>
      <c r="F429" s="192"/>
      <c r="H429" s="192"/>
      <c r="J429" s="192"/>
      <c r="L429" s="192"/>
    </row>
    <row r="430" spans="4:12" ht="13">
      <c r="D430" s="192"/>
      <c r="F430" s="192"/>
      <c r="H430" s="192"/>
      <c r="J430" s="192"/>
      <c r="L430" s="192"/>
    </row>
    <row r="431" spans="4:12" ht="13">
      <c r="D431" s="192"/>
      <c r="F431" s="192"/>
      <c r="H431" s="192"/>
      <c r="J431" s="192"/>
      <c r="L431" s="192"/>
    </row>
    <row r="432" spans="4:12" ht="13">
      <c r="D432" s="192"/>
      <c r="F432" s="192"/>
      <c r="H432" s="192"/>
      <c r="J432" s="192"/>
      <c r="L432" s="192"/>
    </row>
    <row r="433" spans="4:12" ht="13">
      <c r="D433" s="192"/>
      <c r="F433" s="192"/>
      <c r="H433" s="192"/>
      <c r="J433" s="192"/>
      <c r="L433" s="192"/>
    </row>
    <row r="434" spans="4:12" ht="13">
      <c r="D434" s="192"/>
      <c r="F434" s="192"/>
      <c r="H434" s="192"/>
      <c r="J434" s="192"/>
      <c r="L434" s="192"/>
    </row>
    <row r="435" spans="4:12" ht="13">
      <c r="D435" s="192"/>
      <c r="F435" s="192"/>
      <c r="H435" s="192"/>
      <c r="J435" s="192"/>
      <c r="L435" s="192"/>
    </row>
    <row r="436" spans="4:12" ht="13">
      <c r="D436" s="192"/>
      <c r="F436" s="192"/>
      <c r="H436" s="192"/>
      <c r="J436" s="192"/>
      <c r="L436" s="192"/>
    </row>
    <row r="437" spans="4:12" ht="13">
      <c r="D437" s="192"/>
      <c r="F437" s="192"/>
      <c r="H437" s="192"/>
      <c r="J437" s="192"/>
      <c r="L437" s="192"/>
    </row>
    <row r="438" spans="4:12" ht="13">
      <c r="D438" s="192"/>
      <c r="F438" s="192"/>
      <c r="H438" s="192"/>
      <c r="J438" s="192"/>
      <c r="L438" s="192"/>
    </row>
    <row r="439" spans="4:12" ht="13">
      <c r="D439" s="192"/>
      <c r="F439" s="192"/>
      <c r="H439" s="192"/>
      <c r="J439" s="192"/>
      <c r="L439" s="192"/>
    </row>
    <row r="440" spans="4:12" ht="13">
      <c r="D440" s="192"/>
      <c r="F440" s="192"/>
      <c r="H440" s="192"/>
      <c r="J440" s="192"/>
      <c r="L440" s="192"/>
    </row>
    <row r="441" spans="4:12" ht="13">
      <c r="D441" s="192"/>
      <c r="F441" s="192"/>
      <c r="H441" s="192"/>
      <c r="J441" s="192"/>
      <c r="L441" s="192"/>
    </row>
    <row r="442" spans="4:12" ht="13">
      <c r="D442" s="192"/>
      <c r="F442" s="192"/>
      <c r="H442" s="192"/>
      <c r="J442" s="192"/>
      <c r="L442" s="192"/>
    </row>
    <row r="443" spans="4:12" ht="13">
      <c r="D443" s="192"/>
      <c r="F443" s="192"/>
      <c r="H443" s="192"/>
      <c r="J443" s="192"/>
      <c r="L443" s="192"/>
    </row>
    <row r="444" spans="4:12" ht="13">
      <c r="D444" s="192"/>
      <c r="F444" s="192"/>
      <c r="H444" s="192"/>
      <c r="J444" s="192"/>
      <c r="L444" s="192"/>
    </row>
    <row r="445" spans="4:12" ht="13">
      <c r="D445" s="192"/>
      <c r="F445" s="192"/>
      <c r="H445" s="192"/>
      <c r="J445" s="192"/>
      <c r="L445" s="192"/>
    </row>
    <row r="446" spans="4:12" ht="13">
      <c r="D446" s="192"/>
      <c r="F446" s="192"/>
      <c r="H446" s="192"/>
      <c r="J446" s="192"/>
      <c r="L446" s="192"/>
    </row>
    <row r="447" spans="4:12" ht="13">
      <c r="D447" s="192"/>
      <c r="F447" s="192"/>
      <c r="H447" s="192"/>
      <c r="J447" s="192"/>
      <c r="L447" s="192"/>
    </row>
    <row r="448" spans="4:12" ht="13">
      <c r="D448" s="192"/>
      <c r="F448" s="192"/>
      <c r="H448" s="192"/>
      <c r="J448" s="192"/>
      <c r="L448" s="192"/>
    </row>
    <row r="449" spans="4:12" ht="13">
      <c r="D449" s="192"/>
      <c r="F449" s="192"/>
      <c r="H449" s="192"/>
      <c r="J449" s="192"/>
      <c r="L449" s="192"/>
    </row>
    <row r="450" spans="4:12" ht="13">
      <c r="D450" s="192"/>
      <c r="F450" s="192"/>
      <c r="H450" s="192"/>
      <c r="J450" s="192"/>
      <c r="L450" s="192"/>
    </row>
    <row r="451" spans="4:12" ht="13">
      <c r="D451" s="192"/>
      <c r="F451" s="192"/>
      <c r="H451" s="192"/>
      <c r="J451" s="192"/>
      <c r="L451" s="192"/>
    </row>
    <row r="452" spans="4:12" ht="13">
      <c r="D452" s="192"/>
      <c r="F452" s="192"/>
      <c r="H452" s="192"/>
      <c r="J452" s="192"/>
      <c r="L452" s="192"/>
    </row>
    <row r="453" spans="4:12" ht="13">
      <c r="D453" s="192"/>
      <c r="F453" s="192"/>
      <c r="H453" s="192"/>
      <c r="J453" s="192"/>
      <c r="L453" s="192"/>
    </row>
    <row r="454" spans="4:12" ht="13">
      <c r="D454" s="192"/>
      <c r="F454" s="192"/>
      <c r="H454" s="192"/>
      <c r="J454" s="192"/>
      <c r="L454" s="192"/>
    </row>
    <row r="455" spans="4:12" ht="13">
      <c r="D455" s="192"/>
      <c r="F455" s="192"/>
      <c r="H455" s="192"/>
      <c r="J455" s="192"/>
      <c r="L455" s="192"/>
    </row>
    <row r="456" spans="4:12" ht="13">
      <c r="D456" s="192"/>
      <c r="F456" s="192"/>
      <c r="H456" s="192"/>
      <c r="J456" s="192"/>
      <c r="L456" s="192"/>
    </row>
    <row r="457" spans="4:12" ht="13">
      <c r="D457" s="192"/>
      <c r="F457" s="192"/>
      <c r="H457" s="192"/>
      <c r="J457" s="192"/>
      <c r="L457" s="192"/>
    </row>
    <row r="458" spans="4:12" ht="13">
      <c r="D458" s="192"/>
      <c r="F458" s="192"/>
      <c r="H458" s="192"/>
      <c r="J458" s="192"/>
      <c r="L458" s="192"/>
    </row>
    <row r="459" spans="4:12" ht="13">
      <c r="D459" s="192"/>
      <c r="F459" s="192"/>
      <c r="H459" s="192"/>
      <c r="J459" s="192"/>
      <c r="L459" s="192"/>
    </row>
    <row r="460" spans="4:12" ht="13">
      <c r="D460" s="192"/>
      <c r="F460" s="192"/>
      <c r="H460" s="192"/>
      <c r="J460" s="192"/>
      <c r="L460" s="192"/>
    </row>
    <row r="461" spans="4:12" ht="13">
      <c r="D461" s="192"/>
      <c r="F461" s="192"/>
      <c r="H461" s="192"/>
      <c r="J461" s="192"/>
      <c r="L461" s="192"/>
    </row>
    <row r="462" spans="4:12" ht="13">
      <c r="D462" s="192"/>
      <c r="F462" s="192"/>
      <c r="H462" s="192"/>
      <c r="J462" s="192"/>
      <c r="L462" s="192"/>
    </row>
    <row r="463" spans="4:12" ht="13">
      <c r="D463" s="192"/>
      <c r="F463" s="192"/>
      <c r="H463" s="192"/>
      <c r="J463" s="192"/>
      <c r="L463" s="192"/>
    </row>
    <row r="464" spans="4:12" ht="13">
      <c r="D464" s="192"/>
      <c r="F464" s="192"/>
      <c r="H464" s="192"/>
      <c r="J464" s="192"/>
      <c r="L464" s="192"/>
    </row>
    <row r="465" spans="4:12" ht="13">
      <c r="D465" s="192"/>
      <c r="F465" s="192"/>
      <c r="H465" s="192"/>
      <c r="J465" s="192"/>
      <c r="L465" s="192"/>
    </row>
    <row r="466" spans="4:12" ht="13">
      <c r="D466" s="192"/>
      <c r="F466" s="192"/>
      <c r="H466" s="192"/>
      <c r="J466" s="192"/>
      <c r="L466" s="192"/>
    </row>
    <row r="467" spans="4:12" ht="13">
      <c r="D467" s="192"/>
      <c r="F467" s="192"/>
      <c r="H467" s="192"/>
      <c r="J467" s="192"/>
      <c r="L467" s="192"/>
    </row>
    <row r="468" spans="4:12" ht="13">
      <c r="D468" s="192"/>
      <c r="F468" s="192"/>
      <c r="H468" s="192"/>
      <c r="J468" s="192"/>
      <c r="L468" s="192"/>
    </row>
    <row r="469" spans="4:12" ht="13">
      <c r="D469" s="192"/>
      <c r="F469" s="192"/>
      <c r="H469" s="192"/>
      <c r="J469" s="192"/>
      <c r="L469" s="192"/>
    </row>
    <row r="470" spans="4:12" ht="13">
      <c r="D470" s="192"/>
      <c r="F470" s="192"/>
      <c r="H470" s="192"/>
      <c r="J470" s="192"/>
      <c r="L470" s="192"/>
    </row>
    <row r="471" spans="4:12" ht="13">
      <c r="D471" s="192"/>
      <c r="F471" s="192"/>
      <c r="H471" s="192"/>
      <c r="J471" s="192"/>
      <c r="L471" s="192"/>
    </row>
    <row r="472" spans="4:12" ht="13">
      <c r="D472" s="192"/>
      <c r="F472" s="192"/>
      <c r="H472" s="192"/>
      <c r="J472" s="192"/>
      <c r="L472" s="192"/>
    </row>
    <row r="473" spans="4:12" ht="13">
      <c r="D473" s="192"/>
      <c r="F473" s="192"/>
      <c r="H473" s="192"/>
      <c r="J473" s="192"/>
      <c r="L473" s="192"/>
    </row>
    <row r="474" spans="4:12" ht="13">
      <c r="D474" s="192"/>
      <c r="F474" s="192"/>
      <c r="H474" s="192"/>
      <c r="J474" s="192"/>
      <c r="L474" s="192"/>
    </row>
    <row r="475" spans="4:12" ht="13">
      <c r="D475" s="192"/>
      <c r="F475" s="192"/>
      <c r="H475" s="192"/>
      <c r="J475" s="192"/>
      <c r="L475" s="192"/>
    </row>
    <row r="476" spans="4:12" ht="13">
      <c r="D476" s="192"/>
      <c r="F476" s="192"/>
      <c r="H476" s="192"/>
      <c r="J476" s="192"/>
      <c r="L476" s="192"/>
    </row>
    <row r="477" spans="4:12" ht="13">
      <c r="D477" s="192"/>
      <c r="F477" s="192"/>
      <c r="H477" s="192"/>
      <c r="J477" s="192"/>
      <c r="L477" s="192"/>
    </row>
    <row r="478" spans="4:12" ht="13">
      <c r="D478" s="192"/>
      <c r="F478" s="192"/>
      <c r="H478" s="192"/>
      <c r="J478" s="192"/>
      <c r="L478" s="192"/>
    </row>
    <row r="479" spans="4:12" ht="13">
      <c r="D479" s="192"/>
      <c r="F479" s="192"/>
      <c r="H479" s="192"/>
      <c r="J479" s="192"/>
      <c r="L479" s="192"/>
    </row>
    <row r="480" spans="4:12" ht="13">
      <c r="D480" s="192"/>
      <c r="F480" s="192"/>
      <c r="H480" s="192"/>
      <c r="J480" s="192"/>
      <c r="L480" s="192"/>
    </row>
    <row r="481" spans="4:12" ht="13">
      <c r="D481" s="192"/>
      <c r="F481" s="192"/>
      <c r="H481" s="192"/>
      <c r="J481" s="192"/>
      <c r="L481" s="192"/>
    </row>
    <row r="482" spans="4:12" ht="13">
      <c r="D482" s="192"/>
      <c r="F482" s="192"/>
      <c r="H482" s="192"/>
      <c r="J482" s="192"/>
      <c r="L482" s="192"/>
    </row>
    <row r="483" spans="4:12" ht="13">
      <c r="D483" s="192"/>
      <c r="F483" s="192"/>
      <c r="H483" s="192"/>
      <c r="J483" s="192"/>
      <c r="L483" s="192"/>
    </row>
    <row r="484" spans="4:12" ht="13">
      <c r="D484" s="192"/>
      <c r="F484" s="192"/>
      <c r="H484" s="192"/>
      <c r="J484" s="192"/>
      <c r="L484" s="192"/>
    </row>
    <row r="485" spans="4:12" ht="13">
      <c r="D485" s="192"/>
      <c r="F485" s="192"/>
      <c r="H485" s="192"/>
      <c r="J485" s="192"/>
      <c r="L485" s="192"/>
    </row>
    <row r="486" spans="4:12" ht="13">
      <c r="D486" s="192"/>
      <c r="F486" s="192"/>
      <c r="H486" s="192"/>
      <c r="J486" s="192"/>
      <c r="L486" s="192"/>
    </row>
    <row r="487" spans="4:12" ht="13">
      <c r="D487" s="192"/>
      <c r="F487" s="192"/>
      <c r="H487" s="192"/>
      <c r="J487" s="192"/>
      <c r="L487" s="192"/>
    </row>
    <row r="488" spans="4:12" ht="13">
      <c r="D488" s="192"/>
      <c r="F488" s="192"/>
      <c r="H488" s="192"/>
      <c r="J488" s="192"/>
      <c r="L488" s="192"/>
    </row>
    <row r="489" spans="4:12" ht="13">
      <c r="D489" s="192"/>
      <c r="F489" s="192"/>
      <c r="H489" s="192"/>
      <c r="J489" s="192"/>
      <c r="L489" s="192"/>
    </row>
    <row r="490" spans="4:12" ht="13">
      <c r="D490" s="192"/>
      <c r="F490" s="192"/>
      <c r="H490" s="192"/>
      <c r="J490" s="192"/>
      <c r="L490" s="192"/>
    </row>
    <row r="491" spans="4:12" ht="13">
      <c r="D491" s="192"/>
      <c r="F491" s="192"/>
      <c r="H491" s="192"/>
      <c r="J491" s="192"/>
      <c r="L491" s="192"/>
    </row>
    <row r="492" spans="4:12" ht="13">
      <c r="D492" s="192"/>
      <c r="F492" s="192"/>
      <c r="H492" s="192"/>
      <c r="J492" s="192"/>
      <c r="L492" s="192"/>
    </row>
    <row r="493" spans="4:12" ht="13">
      <c r="D493" s="192"/>
      <c r="F493" s="192"/>
      <c r="H493" s="192"/>
      <c r="J493" s="192"/>
      <c r="L493" s="192"/>
    </row>
    <row r="494" spans="4:12" ht="13">
      <c r="D494" s="192"/>
      <c r="F494" s="192"/>
      <c r="H494" s="192"/>
      <c r="J494" s="192"/>
      <c r="L494" s="192"/>
    </row>
    <row r="495" spans="4:12" ht="13">
      <c r="D495" s="192"/>
      <c r="F495" s="192"/>
      <c r="H495" s="192"/>
      <c r="J495" s="192"/>
      <c r="L495" s="192"/>
    </row>
    <row r="496" spans="4:12" ht="13">
      <c r="D496" s="192"/>
      <c r="F496" s="192"/>
      <c r="H496" s="192"/>
      <c r="J496" s="192"/>
      <c r="L496" s="192"/>
    </row>
    <row r="497" spans="4:12" ht="13">
      <c r="D497" s="192"/>
      <c r="F497" s="192"/>
      <c r="H497" s="192"/>
      <c r="J497" s="192"/>
      <c r="L497" s="192"/>
    </row>
    <row r="498" spans="4:12" ht="13">
      <c r="D498" s="192"/>
      <c r="F498" s="192"/>
      <c r="H498" s="192"/>
      <c r="J498" s="192"/>
      <c r="L498" s="192"/>
    </row>
    <row r="499" spans="4:12" ht="13">
      <c r="D499" s="192"/>
      <c r="F499" s="192"/>
      <c r="H499" s="192"/>
      <c r="J499" s="192"/>
      <c r="L499" s="192"/>
    </row>
    <row r="500" spans="4:12" ht="13">
      <c r="D500" s="192"/>
      <c r="F500" s="192"/>
      <c r="H500" s="192"/>
      <c r="J500" s="192"/>
      <c r="L500" s="192"/>
    </row>
    <row r="501" spans="4:12" ht="13">
      <c r="D501" s="192"/>
      <c r="F501" s="192"/>
      <c r="H501" s="192"/>
      <c r="J501" s="192"/>
      <c r="L501" s="192"/>
    </row>
    <row r="502" spans="4:12" ht="13">
      <c r="D502" s="192"/>
      <c r="F502" s="192"/>
      <c r="H502" s="192"/>
      <c r="J502" s="192"/>
      <c r="L502" s="192"/>
    </row>
    <row r="503" spans="4:12" ht="13">
      <c r="D503" s="192"/>
      <c r="F503" s="192"/>
      <c r="H503" s="192"/>
      <c r="J503" s="192"/>
      <c r="L503" s="192"/>
    </row>
    <row r="504" spans="4:12" ht="13">
      <c r="D504" s="192"/>
      <c r="F504" s="192"/>
      <c r="H504" s="192"/>
      <c r="J504" s="192"/>
      <c r="L504" s="192"/>
    </row>
    <row r="505" spans="4:12" ht="13">
      <c r="D505" s="192"/>
      <c r="F505" s="192"/>
      <c r="H505" s="192"/>
      <c r="J505" s="192"/>
      <c r="L505" s="192"/>
    </row>
    <row r="506" spans="4:12" ht="13">
      <c r="D506" s="192"/>
      <c r="F506" s="192"/>
      <c r="H506" s="192"/>
      <c r="J506" s="192"/>
      <c r="L506" s="192"/>
    </row>
    <row r="507" spans="4:12" ht="13">
      <c r="D507" s="192"/>
      <c r="F507" s="192"/>
      <c r="H507" s="192"/>
      <c r="J507" s="192"/>
      <c r="L507" s="192"/>
    </row>
    <row r="508" spans="4:12" ht="13">
      <c r="D508" s="192"/>
      <c r="F508" s="192"/>
      <c r="H508" s="192"/>
      <c r="J508" s="192"/>
      <c r="L508" s="192"/>
    </row>
    <row r="509" spans="4:12" ht="13">
      <c r="D509" s="192"/>
      <c r="F509" s="192"/>
      <c r="H509" s="192"/>
      <c r="J509" s="192"/>
      <c r="L509" s="192"/>
    </row>
    <row r="510" spans="4:12" ht="13">
      <c r="D510" s="192"/>
      <c r="F510" s="192"/>
      <c r="H510" s="192"/>
      <c r="J510" s="192"/>
      <c r="L510" s="192"/>
    </row>
    <row r="511" spans="4:12" ht="13">
      <c r="D511" s="192"/>
      <c r="F511" s="192"/>
      <c r="H511" s="192"/>
      <c r="J511" s="192"/>
      <c r="L511" s="192"/>
    </row>
    <row r="512" spans="4:12" ht="13">
      <c r="D512" s="192"/>
      <c r="F512" s="192"/>
      <c r="H512" s="192"/>
      <c r="J512" s="192"/>
      <c r="L512" s="192"/>
    </row>
    <row r="513" spans="4:12" ht="13">
      <c r="D513" s="192"/>
      <c r="F513" s="192"/>
      <c r="H513" s="192"/>
      <c r="J513" s="192"/>
      <c r="L513" s="192"/>
    </row>
    <row r="514" spans="4:12" ht="13">
      <c r="D514" s="192"/>
      <c r="F514" s="192"/>
      <c r="H514" s="192"/>
      <c r="J514" s="192"/>
      <c r="L514" s="192"/>
    </row>
    <row r="515" spans="4:12" ht="13">
      <c r="D515" s="192"/>
      <c r="F515" s="192"/>
      <c r="H515" s="192"/>
      <c r="J515" s="192"/>
      <c r="L515" s="192"/>
    </row>
    <row r="516" spans="4:12" ht="13">
      <c r="D516" s="192"/>
      <c r="F516" s="192"/>
      <c r="H516" s="192"/>
      <c r="J516" s="192"/>
      <c r="L516" s="192"/>
    </row>
    <row r="517" spans="4:12" ht="13">
      <c r="D517" s="192"/>
      <c r="F517" s="192"/>
      <c r="H517" s="192"/>
      <c r="J517" s="192"/>
      <c r="L517" s="192"/>
    </row>
    <row r="518" spans="4:12" ht="13">
      <c r="D518" s="192"/>
      <c r="F518" s="192"/>
      <c r="H518" s="192"/>
      <c r="J518" s="192"/>
      <c r="L518" s="192"/>
    </row>
    <row r="519" spans="4:12" ht="13">
      <c r="D519" s="192"/>
      <c r="F519" s="192"/>
      <c r="H519" s="192"/>
      <c r="J519" s="192"/>
      <c r="L519" s="192"/>
    </row>
    <row r="520" spans="4:12" ht="13">
      <c r="D520" s="192"/>
      <c r="F520" s="192"/>
      <c r="H520" s="192"/>
      <c r="J520" s="192"/>
      <c r="L520" s="192"/>
    </row>
    <row r="521" spans="4:12" ht="13">
      <c r="D521" s="192"/>
      <c r="F521" s="192"/>
      <c r="H521" s="192"/>
      <c r="J521" s="192"/>
      <c r="L521" s="192"/>
    </row>
    <row r="522" spans="4:12" ht="13">
      <c r="D522" s="192"/>
      <c r="F522" s="192"/>
      <c r="H522" s="192"/>
      <c r="J522" s="192"/>
      <c r="L522" s="192"/>
    </row>
    <row r="523" spans="4:12" ht="13">
      <c r="D523" s="192"/>
      <c r="F523" s="192"/>
      <c r="H523" s="192"/>
      <c r="J523" s="192"/>
      <c r="L523" s="192"/>
    </row>
    <row r="524" spans="4:12" ht="13">
      <c r="D524" s="192"/>
      <c r="F524" s="192"/>
      <c r="H524" s="192"/>
      <c r="J524" s="192"/>
      <c r="L524" s="192"/>
    </row>
    <row r="525" spans="4:12" ht="13">
      <c r="D525" s="192"/>
      <c r="F525" s="192"/>
      <c r="H525" s="192"/>
      <c r="J525" s="192"/>
      <c r="L525" s="192"/>
    </row>
    <row r="526" spans="4:12" ht="13">
      <c r="D526" s="192"/>
      <c r="F526" s="192"/>
      <c r="H526" s="192"/>
      <c r="J526" s="192"/>
      <c r="L526" s="192"/>
    </row>
    <row r="527" spans="4:12" ht="13">
      <c r="D527" s="192"/>
      <c r="F527" s="192"/>
      <c r="H527" s="192"/>
      <c r="J527" s="192"/>
      <c r="L527" s="192"/>
    </row>
    <row r="528" spans="4:12" ht="13">
      <c r="D528" s="192"/>
      <c r="F528" s="192"/>
      <c r="H528" s="192"/>
      <c r="J528" s="192"/>
      <c r="L528" s="192"/>
    </row>
    <row r="529" spans="4:12" ht="13">
      <c r="D529" s="192"/>
      <c r="F529" s="192"/>
      <c r="H529" s="192"/>
      <c r="J529" s="192"/>
      <c r="L529" s="192"/>
    </row>
    <row r="530" spans="4:12" ht="13">
      <c r="D530" s="192"/>
      <c r="F530" s="192"/>
      <c r="H530" s="192"/>
      <c r="J530" s="192"/>
      <c r="L530" s="192"/>
    </row>
    <row r="531" spans="4:12" ht="13">
      <c r="D531" s="192"/>
      <c r="F531" s="192"/>
      <c r="H531" s="192"/>
      <c r="J531" s="192"/>
      <c r="L531" s="192"/>
    </row>
    <row r="532" spans="4:12" ht="13">
      <c r="D532" s="192"/>
      <c r="F532" s="192"/>
      <c r="H532" s="192"/>
      <c r="J532" s="192"/>
      <c r="L532" s="192"/>
    </row>
    <row r="533" spans="4:12" ht="13">
      <c r="D533" s="192"/>
      <c r="F533" s="192"/>
      <c r="H533" s="192"/>
      <c r="J533" s="192"/>
      <c r="L533" s="192"/>
    </row>
    <row r="534" spans="4:12" ht="13">
      <c r="D534" s="192"/>
      <c r="F534" s="192"/>
      <c r="H534" s="192"/>
      <c r="J534" s="192"/>
      <c r="L534" s="192"/>
    </row>
    <row r="535" spans="4:12" ht="13">
      <c r="D535" s="192"/>
      <c r="F535" s="192"/>
      <c r="H535" s="192"/>
      <c r="J535" s="192"/>
      <c r="L535" s="192"/>
    </row>
    <row r="536" spans="4:12" ht="13">
      <c r="D536" s="192"/>
      <c r="F536" s="192"/>
      <c r="H536" s="192"/>
      <c r="J536" s="192"/>
      <c r="L536" s="192"/>
    </row>
    <row r="537" spans="4:12" ht="13">
      <c r="D537" s="192"/>
      <c r="F537" s="192"/>
      <c r="H537" s="192"/>
      <c r="J537" s="192"/>
      <c r="L537" s="192"/>
    </row>
    <row r="538" spans="4:12" ht="13">
      <c r="D538" s="192"/>
      <c r="F538" s="192"/>
      <c r="H538" s="192"/>
      <c r="J538" s="192"/>
      <c r="L538" s="192"/>
    </row>
    <row r="539" spans="4:12" ht="13">
      <c r="D539" s="192"/>
      <c r="F539" s="192"/>
      <c r="H539" s="192"/>
      <c r="J539" s="192"/>
      <c r="L539" s="192"/>
    </row>
    <row r="540" spans="4:12" ht="13">
      <c r="D540" s="192"/>
      <c r="F540" s="192"/>
      <c r="H540" s="192"/>
      <c r="J540" s="192"/>
      <c r="L540" s="192"/>
    </row>
    <row r="541" spans="4:12" ht="13">
      <c r="D541" s="192"/>
      <c r="F541" s="192"/>
      <c r="H541" s="192"/>
      <c r="J541" s="192"/>
      <c r="L541" s="192"/>
    </row>
    <row r="542" spans="4:12" ht="13">
      <c r="D542" s="192"/>
      <c r="F542" s="192"/>
      <c r="H542" s="192"/>
      <c r="J542" s="192"/>
      <c r="L542" s="192"/>
    </row>
    <row r="543" spans="4:12" ht="13">
      <c r="D543" s="192"/>
      <c r="F543" s="192"/>
      <c r="H543" s="192"/>
      <c r="J543" s="192"/>
      <c r="L543" s="192"/>
    </row>
    <row r="544" spans="4:12" ht="13">
      <c r="D544" s="192"/>
      <c r="F544" s="192"/>
      <c r="H544" s="192"/>
      <c r="J544" s="192"/>
      <c r="L544" s="192"/>
    </row>
    <row r="545" spans="4:12" ht="13">
      <c r="D545" s="192"/>
      <c r="F545" s="192"/>
      <c r="H545" s="192"/>
      <c r="J545" s="192"/>
      <c r="L545" s="192"/>
    </row>
    <row r="546" spans="4:12" ht="13">
      <c r="D546" s="192"/>
      <c r="F546" s="192"/>
      <c r="H546" s="192"/>
      <c r="J546" s="192"/>
      <c r="L546" s="192"/>
    </row>
    <row r="547" spans="4:12" ht="13">
      <c r="D547" s="192"/>
      <c r="F547" s="192"/>
      <c r="H547" s="192"/>
      <c r="J547" s="192"/>
      <c r="L547" s="192"/>
    </row>
    <row r="548" spans="4:12" ht="13">
      <c r="D548" s="192"/>
      <c r="F548" s="192"/>
      <c r="H548" s="192"/>
      <c r="J548" s="192"/>
      <c r="L548" s="192"/>
    </row>
    <row r="549" spans="4:12" ht="13">
      <c r="D549" s="192"/>
      <c r="F549" s="192"/>
      <c r="H549" s="192"/>
      <c r="J549" s="192"/>
      <c r="L549" s="192"/>
    </row>
    <row r="550" spans="4:12" ht="13">
      <c r="D550" s="192"/>
      <c r="F550" s="192"/>
      <c r="H550" s="192"/>
      <c r="J550" s="192"/>
      <c r="L550" s="192"/>
    </row>
    <row r="551" spans="4:12" ht="13">
      <c r="D551" s="192"/>
      <c r="F551" s="192"/>
      <c r="H551" s="192"/>
      <c r="J551" s="192"/>
      <c r="L551" s="192"/>
    </row>
    <row r="552" spans="4:12" ht="13">
      <c r="D552" s="192"/>
      <c r="F552" s="192"/>
      <c r="H552" s="192"/>
      <c r="J552" s="192"/>
      <c r="L552" s="192"/>
    </row>
    <row r="553" spans="4:12" ht="13">
      <c r="D553" s="192"/>
      <c r="F553" s="192"/>
      <c r="H553" s="192"/>
      <c r="J553" s="192"/>
      <c r="L553" s="192"/>
    </row>
    <row r="554" spans="4:12" ht="13">
      <c r="D554" s="192"/>
      <c r="F554" s="192"/>
      <c r="H554" s="192"/>
      <c r="J554" s="192"/>
      <c r="L554" s="192"/>
    </row>
    <row r="555" spans="4:12" ht="13">
      <c r="D555" s="192"/>
      <c r="F555" s="192"/>
      <c r="H555" s="192"/>
      <c r="J555" s="192"/>
      <c r="L555" s="192"/>
    </row>
    <row r="556" spans="4:12" ht="13">
      <c r="D556" s="192"/>
      <c r="F556" s="192"/>
      <c r="H556" s="192"/>
      <c r="J556" s="192"/>
      <c r="L556" s="192"/>
    </row>
    <row r="557" spans="4:12" ht="13">
      <c r="D557" s="192"/>
      <c r="F557" s="192"/>
      <c r="H557" s="192"/>
      <c r="J557" s="192"/>
      <c r="L557" s="192"/>
    </row>
    <row r="558" spans="4:12" ht="13">
      <c r="D558" s="192"/>
      <c r="F558" s="192"/>
      <c r="H558" s="192"/>
      <c r="J558" s="192"/>
      <c r="L558" s="192"/>
    </row>
    <row r="559" spans="4:12" ht="13">
      <c r="D559" s="192"/>
      <c r="F559" s="192"/>
      <c r="H559" s="192"/>
      <c r="J559" s="192"/>
      <c r="L559" s="192"/>
    </row>
    <row r="560" spans="4:12" ht="13">
      <c r="D560" s="192"/>
      <c r="F560" s="192"/>
      <c r="H560" s="192"/>
      <c r="J560" s="192"/>
      <c r="L560" s="192"/>
    </row>
    <row r="561" spans="4:12" ht="13">
      <c r="D561" s="192"/>
      <c r="F561" s="192"/>
      <c r="H561" s="192"/>
      <c r="J561" s="192"/>
      <c r="L561" s="192"/>
    </row>
    <row r="562" spans="4:12" ht="13">
      <c r="D562" s="192"/>
      <c r="F562" s="192"/>
      <c r="H562" s="192"/>
      <c r="J562" s="192"/>
      <c r="L562" s="192"/>
    </row>
    <row r="563" spans="4:12" ht="13">
      <c r="D563" s="192"/>
      <c r="F563" s="192"/>
      <c r="H563" s="192"/>
      <c r="J563" s="192"/>
      <c r="L563" s="192"/>
    </row>
    <row r="564" spans="4:12" ht="13">
      <c r="D564" s="192"/>
      <c r="F564" s="192"/>
      <c r="H564" s="192"/>
      <c r="J564" s="192"/>
      <c r="L564" s="192"/>
    </row>
    <row r="565" spans="4:12" ht="13">
      <c r="D565" s="192"/>
      <c r="F565" s="192"/>
      <c r="H565" s="192"/>
      <c r="J565" s="192"/>
      <c r="L565" s="192"/>
    </row>
    <row r="566" spans="4:12" ht="13">
      <c r="D566" s="192"/>
      <c r="F566" s="192"/>
      <c r="H566" s="192"/>
      <c r="J566" s="192"/>
      <c r="L566" s="192"/>
    </row>
    <row r="567" spans="4:12" ht="13">
      <c r="D567" s="192"/>
      <c r="F567" s="192"/>
      <c r="H567" s="192"/>
      <c r="J567" s="192"/>
      <c r="L567" s="192"/>
    </row>
    <row r="568" spans="4:12" ht="13">
      <c r="D568" s="192"/>
      <c r="F568" s="192"/>
      <c r="H568" s="192"/>
      <c r="J568" s="192"/>
      <c r="L568" s="192"/>
    </row>
    <row r="569" spans="4:12" ht="13">
      <c r="D569" s="192"/>
      <c r="F569" s="192"/>
      <c r="H569" s="192"/>
      <c r="J569" s="192"/>
      <c r="L569" s="192"/>
    </row>
    <row r="570" spans="4:12" ht="13">
      <c r="D570" s="192"/>
      <c r="F570" s="192"/>
      <c r="H570" s="192"/>
      <c r="J570" s="192"/>
      <c r="L570" s="192"/>
    </row>
    <row r="571" spans="4:12" ht="13">
      <c r="D571" s="192"/>
      <c r="F571" s="192"/>
      <c r="H571" s="192"/>
      <c r="J571" s="192"/>
      <c r="L571" s="192"/>
    </row>
    <row r="572" spans="4:12" ht="13">
      <c r="D572" s="192"/>
      <c r="F572" s="192"/>
      <c r="H572" s="192"/>
      <c r="J572" s="192"/>
      <c r="L572" s="192"/>
    </row>
    <row r="573" spans="4:12" ht="13">
      <c r="D573" s="192"/>
      <c r="F573" s="192"/>
      <c r="H573" s="192"/>
      <c r="J573" s="192"/>
      <c r="L573" s="192"/>
    </row>
    <row r="574" spans="4:12" ht="13">
      <c r="D574" s="192"/>
      <c r="F574" s="192"/>
      <c r="H574" s="192"/>
      <c r="J574" s="192"/>
      <c r="L574" s="192"/>
    </row>
    <row r="575" spans="4:12" ht="13">
      <c r="D575" s="192"/>
      <c r="F575" s="192"/>
      <c r="H575" s="192"/>
      <c r="J575" s="192"/>
      <c r="L575" s="192"/>
    </row>
    <row r="576" spans="4:12" ht="13">
      <c r="D576" s="192"/>
      <c r="F576" s="192"/>
      <c r="H576" s="192"/>
      <c r="J576" s="192"/>
      <c r="L576" s="192"/>
    </row>
    <row r="577" spans="4:12" ht="13">
      <c r="D577" s="192"/>
      <c r="F577" s="192"/>
      <c r="H577" s="192"/>
      <c r="J577" s="192"/>
      <c r="L577" s="192"/>
    </row>
    <row r="578" spans="4:12" ht="13">
      <c r="D578" s="192"/>
      <c r="F578" s="192"/>
      <c r="H578" s="192"/>
      <c r="J578" s="192"/>
      <c r="L578" s="192"/>
    </row>
    <row r="579" spans="4:12" ht="13">
      <c r="D579" s="192"/>
      <c r="F579" s="192"/>
      <c r="H579" s="192"/>
      <c r="J579" s="192"/>
      <c r="L579" s="192"/>
    </row>
    <row r="580" spans="4:12" ht="13">
      <c r="D580" s="192"/>
      <c r="F580" s="192"/>
      <c r="H580" s="192"/>
      <c r="J580" s="192"/>
      <c r="L580" s="192"/>
    </row>
    <row r="581" spans="4:12" ht="13">
      <c r="D581" s="192"/>
      <c r="F581" s="192"/>
      <c r="H581" s="192"/>
      <c r="J581" s="192"/>
      <c r="L581" s="192"/>
    </row>
    <row r="582" spans="4:12" ht="13">
      <c r="D582" s="192"/>
      <c r="F582" s="192"/>
      <c r="H582" s="192"/>
      <c r="J582" s="192"/>
      <c r="L582" s="192"/>
    </row>
    <row r="583" spans="4:12" ht="13">
      <c r="D583" s="192"/>
      <c r="F583" s="192"/>
      <c r="H583" s="192"/>
      <c r="J583" s="192"/>
      <c r="L583" s="192"/>
    </row>
    <row r="584" spans="4:12" ht="13">
      <c r="D584" s="192"/>
      <c r="F584" s="192"/>
      <c r="H584" s="192"/>
      <c r="J584" s="192"/>
      <c r="L584" s="192"/>
    </row>
    <row r="585" spans="4:12" ht="13">
      <c r="D585" s="192"/>
      <c r="F585" s="192"/>
      <c r="H585" s="192"/>
      <c r="J585" s="192"/>
      <c r="L585" s="192"/>
    </row>
    <row r="586" spans="4:12" ht="13">
      <c r="D586" s="192"/>
      <c r="F586" s="192"/>
      <c r="H586" s="192"/>
      <c r="J586" s="192"/>
      <c r="L586" s="192"/>
    </row>
    <row r="587" spans="4:12" ht="13">
      <c r="D587" s="192"/>
      <c r="F587" s="192"/>
      <c r="H587" s="192"/>
      <c r="J587" s="192"/>
      <c r="L587" s="192"/>
    </row>
    <row r="588" spans="4:12" ht="13">
      <c r="D588" s="192"/>
      <c r="F588" s="192"/>
      <c r="H588" s="192"/>
      <c r="J588" s="192"/>
      <c r="L588" s="192"/>
    </row>
    <row r="589" spans="4:12" ht="13">
      <c r="D589" s="192"/>
      <c r="F589" s="192"/>
      <c r="H589" s="192"/>
      <c r="J589" s="192"/>
      <c r="L589" s="192"/>
    </row>
    <row r="590" spans="4:12" ht="13">
      <c r="D590" s="192"/>
      <c r="F590" s="192"/>
      <c r="H590" s="192"/>
      <c r="J590" s="192"/>
      <c r="L590" s="192"/>
    </row>
    <row r="591" spans="4:12" ht="13">
      <c r="D591" s="192"/>
      <c r="F591" s="192"/>
      <c r="H591" s="192"/>
      <c r="J591" s="192"/>
      <c r="L591" s="192"/>
    </row>
    <row r="592" spans="4:12" ht="13">
      <c r="D592" s="192"/>
      <c r="F592" s="192"/>
      <c r="H592" s="192"/>
      <c r="J592" s="192"/>
      <c r="L592" s="192"/>
    </row>
    <row r="593" spans="4:12" ht="13">
      <c r="D593" s="192"/>
      <c r="F593" s="192"/>
      <c r="H593" s="192"/>
      <c r="J593" s="192"/>
      <c r="L593" s="192"/>
    </row>
    <row r="594" spans="4:12" ht="13">
      <c r="D594" s="192"/>
      <c r="F594" s="192"/>
      <c r="H594" s="192"/>
      <c r="J594" s="192"/>
      <c r="L594" s="192"/>
    </row>
    <row r="595" spans="4:12" ht="13">
      <c r="D595" s="192"/>
      <c r="F595" s="192"/>
      <c r="H595" s="192"/>
      <c r="J595" s="192"/>
      <c r="L595" s="192"/>
    </row>
    <row r="596" spans="4:12" ht="13">
      <c r="D596" s="192"/>
      <c r="F596" s="192"/>
      <c r="H596" s="192"/>
      <c r="J596" s="192"/>
      <c r="L596" s="192"/>
    </row>
    <row r="597" spans="4:12" ht="13">
      <c r="D597" s="192"/>
      <c r="F597" s="192"/>
      <c r="H597" s="192"/>
      <c r="J597" s="192"/>
      <c r="L597" s="192"/>
    </row>
    <row r="598" spans="4:12" ht="13">
      <c r="D598" s="192"/>
      <c r="F598" s="192"/>
      <c r="H598" s="192"/>
      <c r="J598" s="192"/>
      <c r="L598" s="192"/>
    </row>
    <row r="599" spans="4:12" ht="13">
      <c r="D599" s="192"/>
      <c r="F599" s="192"/>
      <c r="H599" s="192"/>
      <c r="J599" s="192"/>
      <c r="L599" s="192"/>
    </row>
    <row r="600" spans="4:12" ht="13">
      <c r="D600" s="192"/>
      <c r="F600" s="192"/>
      <c r="H600" s="192"/>
      <c r="J600" s="192"/>
      <c r="L600" s="192"/>
    </row>
    <row r="601" spans="4:12" ht="13">
      <c r="D601" s="192"/>
      <c r="F601" s="192"/>
      <c r="H601" s="192"/>
      <c r="J601" s="192"/>
      <c r="L601" s="192"/>
    </row>
    <row r="602" spans="4:12" ht="13">
      <c r="D602" s="192"/>
      <c r="F602" s="192"/>
      <c r="H602" s="192"/>
      <c r="J602" s="192"/>
      <c r="L602" s="192"/>
    </row>
    <row r="603" spans="4:12" ht="13">
      <c r="D603" s="192"/>
      <c r="F603" s="192"/>
      <c r="H603" s="192"/>
      <c r="J603" s="192"/>
      <c r="L603" s="192"/>
    </row>
    <row r="604" spans="4:12" ht="13">
      <c r="D604" s="192"/>
      <c r="F604" s="192"/>
      <c r="H604" s="192"/>
      <c r="J604" s="192"/>
      <c r="L604" s="192"/>
    </row>
    <row r="605" spans="4:12" ht="13">
      <c r="D605" s="192"/>
      <c r="F605" s="192"/>
      <c r="H605" s="192"/>
      <c r="J605" s="192"/>
      <c r="L605" s="192"/>
    </row>
    <row r="606" spans="4:12" ht="13">
      <c r="D606" s="192"/>
      <c r="F606" s="192"/>
      <c r="H606" s="192"/>
      <c r="J606" s="192"/>
      <c r="L606" s="192"/>
    </row>
    <row r="607" spans="4:12" ht="13">
      <c r="D607" s="192"/>
      <c r="F607" s="192"/>
      <c r="H607" s="192"/>
      <c r="J607" s="192"/>
      <c r="L607" s="192"/>
    </row>
    <row r="608" spans="4:12" ht="13">
      <c r="D608" s="192"/>
      <c r="F608" s="192"/>
      <c r="H608" s="192"/>
      <c r="J608" s="192"/>
      <c r="L608" s="192"/>
    </row>
    <row r="609" spans="4:12" ht="13">
      <c r="D609" s="192"/>
      <c r="F609" s="192"/>
      <c r="H609" s="192"/>
      <c r="J609" s="192"/>
      <c r="L609" s="192"/>
    </row>
    <row r="610" spans="4:12" ht="13">
      <c r="D610" s="192"/>
      <c r="F610" s="192"/>
      <c r="H610" s="192"/>
      <c r="J610" s="192"/>
      <c r="L610" s="192"/>
    </row>
    <row r="611" spans="4:12" ht="13">
      <c r="D611" s="192"/>
      <c r="F611" s="192"/>
      <c r="H611" s="192"/>
      <c r="J611" s="192"/>
      <c r="L611" s="192"/>
    </row>
    <row r="612" spans="4:12" ht="13">
      <c r="D612" s="192"/>
      <c r="F612" s="192"/>
      <c r="H612" s="192"/>
      <c r="J612" s="192"/>
      <c r="L612" s="192"/>
    </row>
    <row r="613" spans="4:12" ht="13">
      <c r="D613" s="192"/>
      <c r="F613" s="192"/>
      <c r="H613" s="192"/>
      <c r="J613" s="192"/>
      <c r="L613" s="192"/>
    </row>
    <row r="614" spans="4:12" ht="13">
      <c r="D614" s="192"/>
      <c r="F614" s="192"/>
      <c r="H614" s="192"/>
      <c r="J614" s="192"/>
      <c r="L614" s="192"/>
    </row>
    <row r="615" spans="4:12" ht="13">
      <c r="D615" s="192"/>
      <c r="F615" s="192"/>
      <c r="H615" s="192"/>
      <c r="J615" s="192"/>
      <c r="L615" s="192"/>
    </row>
    <row r="616" spans="4:12" ht="13">
      <c r="D616" s="192"/>
      <c r="F616" s="192"/>
      <c r="H616" s="192"/>
      <c r="J616" s="192"/>
      <c r="L616" s="192"/>
    </row>
    <row r="617" spans="4:12" ht="13">
      <c r="D617" s="192"/>
      <c r="F617" s="192"/>
      <c r="H617" s="192"/>
      <c r="J617" s="192"/>
      <c r="L617" s="192"/>
    </row>
    <row r="618" spans="4:12" ht="13">
      <c r="D618" s="192"/>
      <c r="F618" s="192"/>
      <c r="H618" s="192"/>
      <c r="J618" s="192"/>
      <c r="L618" s="192"/>
    </row>
    <row r="619" spans="4:12" ht="13">
      <c r="D619" s="192"/>
      <c r="F619" s="192"/>
      <c r="H619" s="192"/>
      <c r="J619" s="192"/>
      <c r="L619" s="192"/>
    </row>
    <row r="620" spans="4:12" ht="13">
      <c r="D620" s="192"/>
      <c r="F620" s="192"/>
      <c r="H620" s="192"/>
      <c r="J620" s="192"/>
      <c r="L620" s="192"/>
    </row>
    <row r="621" spans="4:12" ht="13">
      <c r="D621" s="192"/>
      <c r="F621" s="192"/>
      <c r="H621" s="192"/>
      <c r="J621" s="192"/>
      <c r="L621" s="192"/>
    </row>
    <row r="622" spans="4:12" ht="13">
      <c r="D622" s="192"/>
      <c r="F622" s="192"/>
      <c r="H622" s="192"/>
      <c r="J622" s="192"/>
      <c r="L622" s="192"/>
    </row>
    <row r="623" spans="4:12" ht="13">
      <c r="D623" s="192"/>
      <c r="F623" s="192"/>
      <c r="H623" s="192"/>
      <c r="J623" s="192"/>
      <c r="L623" s="192"/>
    </row>
    <row r="624" spans="4:12" ht="13">
      <c r="D624" s="192"/>
      <c r="F624" s="192"/>
      <c r="H624" s="192"/>
      <c r="J624" s="192"/>
      <c r="L624" s="192"/>
    </row>
    <row r="625" spans="4:12" ht="13">
      <c r="D625" s="192"/>
      <c r="F625" s="192"/>
      <c r="H625" s="192"/>
      <c r="J625" s="192"/>
      <c r="L625" s="192"/>
    </row>
    <row r="626" spans="4:12" ht="13">
      <c r="D626" s="192"/>
      <c r="F626" s="192"/>
      <c r="H626" s="192"/>
      <c r="J626" s="192"/>
      <c r="L626" s="192"/>
    </row>
    <row r="627" spans="4:12" ht="13">
      <c r="D627" s="192"/>
      <c r="F627" s="192"/>
      <c r="H627" s="192"/>
      <c r="J627" s="192"/>
      <c r="L627" s="192"/>
    </row>
    <row r="628" spans="4:12" ht="13">
      <c r="D628" s="192"/>
      <c r="F628" s="192"/>
      <c r="H628" s="192"/>
      <c r="J628" s="192"/>
      <c r="L628" s="192"/>
    </row>
    <row r="629" spans="4:12" ht="13">
      <c r="D629" s="192"/>
      <c r="F629" s="192"/>
      <c r="H629" s="192"/>
      <c r="J629" s="192"/>
      <c r="L629" s="192"/>
    </row>
    <row r="630" spans="4:12" ht="13">
      <c r="D630" s="192"/>
      <c r="F630" s="192"/>
      <c r="H630" s="192"/>
      <c r="J630" s="192"/>
      <c r="L630" s="192"/>
    </row>
    <row r="631" spans="4:12" ht="13">
      <c r="D631" s="192"/>
      <c r="F631" s="192"/>
      <c r="H631" s="192"/>
      <c r="J631" s="192"/>
      <c r="L631" s="192"/>
    </row>
    <row r="632" spans="4:12" ht="13">
      <c r="D632" s="192"/>
      <c r="F632" s="192"/>
      <c r="H632" s="192"/>
      <c r="J632" s="192"/>
      <c r="L632" s="192"/>
    </row>
    <row r="633" spans="4:12" ht="13">
      <c r="D633" s="192"/>
      <c r="F633" s="192"/>
      <c r="H633" s="192"/>
      <c r="J633" s="192"/>
      <c r="L633" s="192"/>
    </row>
    <row r="634" spans="4:12" ht="13">
      <c r="D634" s="192"/>
      <c r="F634" s="192"/>
      <c r="H634" s="192"/>
      <c r="J634" s="192"/>
      <c r="L634" s="192"/>
    </row>
    <row r="635" spans="4:12" ht="13">
      <c r="D635" s="192"/>
      <c r="F635" s="192"/>
      <c r="H635" s="192"/>
      <c r="J635" s="192"/>
      <c r="L635" s="192"/>
    </row>
    <row r="636" spans="4:12" ht="13">
      <c r="D636" s="192"/>
      <c r="F636" s="192"/>
      <c r="H636" s="192"/>
      <c r="J636" s="192"/>
      <c r="L636" s="192"/>
    </row>
    <row r="637" spans="4:12" ht="13">
      <c r="D637" s="192"/>
      <c r="F637" s="192"/>
      <c r="H637" s="192"/>
      <c r="J637" s="192"/>
      <c r="L637" s="192"/>
    </row>
    <row r="638" spans="4:12" ht="13">
      <c r="D638" s="192"/>
      <c r="F638" s="192"/>
      <c r="H638" s="192"/>
      <c r="J638" s="192"/>
      <c r="L638" s="192"/>
    </row>
    <row r="639" spans="4:12" ht="13">
      <c r="D639" s="192"/>
      <c r="F639" s="192"/>
      <c r="H639" s="192"/>
      <c r="J639" s="192"/>
      <c r="L639" s="192"/>
    </row>
    <row r="640" spans="4:12" ht="13">
      <c r="D640" s="192"/>
      <c r="F640" s="192"/>
      <c r="H640" s="192"/>
      <c r="J640" s="192"/>
      <c r="L640" s="192"/>
    </row>
    <row r="641" spans="4:12" ht="13">
      <c r="D641" s="192"/>
      <c r="F641" s="192"/>
      <c r="H641" s="192"/>
      <c r="J641" s="192"/>
      <c r="L641" s="192"/>
    </row>
    <row r="642" spans="4:12" ht="13">
      <c r="D642" s="192"/>
      <c r="F642" s="192"/>
      <c r="H642" s="192"/>
      <c r="J642" s="192"/>
      <c r="L642" s="192"/>
    </row>
    <row r="643" spans="4:12" ht="13">
      <c r="D643" s="192"/>
      <c r="F643" s="192"/>
      <c r="H643" s="192"/>
      <c r="J643" s="192"/>
      <c r="L643" s="192"/>
    </row>
    <row r="644" spans="4:12" ht="13">
      <c r="D644" s="192"/>
      <c r="F644" s="192"/>
      <c r="H644" s="192"/>
      <c r="J644" s="192"/>
      <c r="L644" s="192"/>
    </row>
    <row r="645" spans="4:12" ht="13">
      <c r="D645" s="192"/>
      <c r="F645" s="192"/>
      <c r="H645" s="192"/>
      <c r="J645" s="192"/>
      <c r="L645" s="192"/>
    </row>
    <row r="646" spans="4:12" ht="13">
      <c r="D646" s="192"/>
      <c r="F646" s="192"/>
      <c r="H646" s="192"/>
      <c r="J646" s="192"/>
      <c r="L646" s="192"/>
    </row>
    <row r="647" spans="4:12" ht="13">
      <c r="D647" s="192"/>
      <c r="F647" s="192"/>
      <c r="H647" s="192"/>
      <c r="J647" s="192"/>
      <c r="L647" s="192"/>
    </row>
    <row r="648" spans="4:12" ht="13">
      <c r="D648" s="192"/>
      <c r="F648" s="192"/>
      <c r="H648" s="192"/>
      <c r="J648" s="192"/>
      <c r="L648" s="192"/>
    </row>
    <row r="649" spans="4:12" ht="13">
      <c r="D649" s="192"/>
      <c r="F649" s="192"/>
      <c r="H649" s="192"/>
      <c r="J649" s="192"/>
      <c r="L649" s="192"/>
    </row>
    <row r="650" spans="4:12" ht="13">
      <c r="D650" s="192"/>
      <c r="F650" s="192"/>
      <c r="H650" s="192"/>
      <c r="J650" s="192"/>
      <c r="L650" s="192"/>
    </row>
    <row r="651" spans="4:12" ht="13">
      <c r="D651" s="192"/>
      <c r="F651" s="192"/>
      <c r="H651" s="192"/>
      <c r="J651" s="192"/>
      <c r="L651" s="192"/>
    </row>
    <row r="652" spans="4:12" ht="13">
      <c r="D652" s="192"/>
      <c r="F652" s="192"/>
      <c r="H652" s="192"/>
      <c r="J652" s="192"/>
      <c r="L652" s="192"/>
    </row>
    <row r="653" spans="4:12" ht="13">
      <c r="D653" s="192"/>
      <c r="F653" s="192"/>
      <c r="H653" s="192"/>
      <c r="J653" s="192"/>
      <c r="L653" s="192"/>
    </row>
    <row r="654" spans="4:12" ht="13">
      <c r="D654" s="192"/>
      <c r="F654" s="192"/>
      <c r="H654" s="192"/>
      <c r="J654" s="192"/>
      <c r="L654" s="192"/>
    </row>
    <row r="655" spans="4:12" ht="13">
      <c r="D655" s="192"/>
      <c r="F655" s="192"/>
      <c r="H655" s="192"/>
      <c r="J655" s="192"/>
      <c r="L655" s="192"/>
    </row>
    <row r="656" spans="4:12" ht="13">
      <c r="D656" s="192"/>
      <c r="F656" s="192"/>
      <c r="H656" s="192"/>
      <c r="J656" s="192"/>
      <c r="L656" s="192"/>
    </row>
    <row r="657" spans="4:12" ht="13">
      <c r="D657" s="192"/>
      <c r="F657" s="192"/>
      <c r="H657" s="192"/>
      <c r="J657" s="192"/>
      <c r="L657" s="192"/>
    </row>
    <row r="658" spans="4:12" ht="13">
      <c r="D658" s="192"/>
      <c r="F658" s="192"/>
      <c r="H658" s="192"/>
      <c r="J658" s="192"/>
      <c r="L658" s="192"/>
    </row>
    <row r="659" spans="4:12" ht="13">
      <c r="D659" s="192"/>
      <c r="F659" s="192"/>
      <c r="H659" s="192"/>
      <c r="J659" s="192"/>
      <c r="L659" s="192"/>
    </row>
    <row r="660" spans="4:12" ht="13">
      <c r="D660" s="192"/>
      <c r="F660" s="192"/>
      <c r="H660" s="192"/>
      <c r="J660" s="192"/>
      <c r="L660" s="192"/>
    </row>
    <row r="661" spans="4:12" ht="13">
      <c r="D661" s="192"/>
      <c r="F661" s="192"/>
      <c r="H661" s="192"/>
      <c r="J661" s="192"/>
      <c r="L661" s="192"/>
    </row>
    <row r="662" spans="4:12" ht="13">
      <c r="D662" s="192"/>
      <c r="F662" s="192"/>
      <c r="H662" s="192"/>
      <c r="J662" s="192"/>
      <c r="L662" s="192"/>
    </row>
    <row r="663" spans="4:12" ht="13">
      <c r="D663" s="192"/>
      <c r="F663" s="192"/>
      <c r="H663" s="192"/>
      <c r="J663" s="192"/>
      <c r="L663" s="192"/>
    </row>
    <row r="664" spans="4:12" ht="13">
      <c r="D664" s="192"/>
      <c r="F664" s="192"/>
      <c r="H664" s="192"/>
      <c r="J664" s="192"/>
      <c r="L664" s="192"/>
    </row>
    <row r="665" spans="4:12" ht="13">
      <c r="D665" s="192"/>
      <c r="F665" s="192"/>
      <c r="H665" s="192"/>
      <c r="J665" s="192"/>
      <c r="L665" s="192"/>
    </row>
    <row r="666" spans="4:12" ht="13">
      <c r="D666" s="192"/>
      <c r="F666" s="192"/>
      <c r="H666" s="192"/>
      <c r="J666" s="192"/>
      <c r="L666" s="192"/>
    </row>
    <row r="667" spans="4:12" ht="13">
      <c r="D667" s="192"/>
      <c r="F667" s="192"/>
      <c r="H667" s="192"/>
      <c r="J667" s="192"/>
      <c r="L667" s="192"/>
    </row>
    <row r="668" spans="4:12" ht="13">
      <c r="D668" s="192"/>
      <c r="F668" s="192"/>
      <c r="H668" s="192"/>
      <c r="J668" s="192"/>
      <c r="L668" s="192"/>
    </row>
    <row r="669" spans="4:12" ht="13">
      <c r="D669" s="192"/>
      <c r="F669" s="192"/>
      <c r="H669" s="192"/>
      <c r="J669" s="192"/>
      <c r="L669" s="192"/>
    </row>
    <row r="670" spans="4:12" ht="13">
      <c r="D670" s="192"/>
      <c r="F670" s="192"/>
      <c r="H670" s="192"/>
      <c r="J670" s="192"/>
      <c r="L670" s="192"/>
    </row>
    <row r="671" spans="4:12" ht="13">
      <c r="D671" s="192"/>
      <c r="F671" s="192"/>
      <c r="H671" s="192"/>
      <c r="J671" s="192"/>
      <c r="L671" s="192"/>
    </row>
    <row r="672" spans="4:12" ht="13">
      <c r="D672" s="192"/>
      <c r="F672" s="192"/>
      <c r="H672" s="192"/>
      <c r="J672" s="192"/>
      <c r="L672" s="192"/>
    </row>
    <row r="673" spans="4:12" ht="13">
      <c r="D673" s="192"/>
      <c r="F673" s="192"/>
      <c r="H673" s="192"/>
      <c r="J673" s="192"/>
      <c r="L673" s="192"/>
    </row>
    <row r="674" spans="4:12" ht="13">
      <c r="D674" s="192"/>
      <c r="F674" s="192"/>
      <c r="H674" s="192"/>
      <c r="J674" s="192"/>
      <c r="L674" s="192"/>
    </row>
    <row r="675" spans="4:12" ht="13">
      <c r="D675" s="192"/>
      <c r="F675" s="192"/>
      <c r="H675" s="192"/>
      <c r="J675" s="192"/>
      <c r="L675" s="192"/>
    </row>
    <row r="676" spans="4:12" ht="13">
      <c r="D676" s="192"/>
      <c r="F676" s="192"/>
      <c r="H676" s="192"/>
      <c r="J676" s="192"/>
      <c r="L676" s="192"/>
    </row>
    <row r="677" spans="4:12" ht="13">
      <c r="D677" s="192"/>
      <c r="F677" s="192"/>
      <c r="H677" s="192"/>
      <c r="J677" s="192"/>
      <c r="L677" s="192"/>
    </row>
    <row r="678" spans="4:12" ht="13">
      <c r="D678" s="192"/>
      <c r="F678" s="192"/>
      <c r="H678" s="192"/>
      <c r="J678" s="192"/>
      <c r="L678" s="192"/>
    </row>
    <row r="679" spans="4:12" ht="13">
      <c r="D679" s="192"/>
      <c r="F679" s="192"/>
      <c r="H679" s="192"/>
      <c r="J679" s="192"/>
      <c r="L679" s="192"/>
    </row>
    <row r="680" spans="4:12" ht="13">
      <c r="D680" s="192"/>
      <c r="F680" s="192"/>
      <c r="H680" s="192"/>
      <c r="J680" s="192"/>
      <c r="L680" s="192"/>
    </row>
    <row r="681" spans="4:12" ht="13">
      <c r="D681" s="192"/>
      <c r="F681" s="192"/>
      <c r="H681" s="192"/>
      <c r="J681" s="192"/>
      <c r="L681" s="192"/>
    </row>
    <row r="682" spans="4:12" ht="13">
      <c r="D682" s="192"/>
      <c r="F682" s="192"/>
      <c r="H682" s="192"/>
      <c r="J682" s="192"/>
      <c r="L682" s="192"/>
    </row>
    <row r="683" spans="4:12" ht="13">
      <c r="D683" s="192"/>
      <c r="F683" s="192"/>
      <c r="H683" s="192"/>
      <c r="J683" s="192"/>
      <c r="L683" s="192"/>
    </row>
    <row r="684" spans="4:12" ht="13">
      <c r="D684" s="192"/>
      <c r="F684" s="192"/>
      <c r="H684" s="192"/>
      <c r="J684" s="192"/>
      <c r="L684" s="192"/>
    </row>
    <row r="685" spans="4:12" ht="13">
      <c r="D685" s="192"/>
      <c r="F685" s="192"/>
      <c r="H685" s="192"/>
      <c r="J685" s="192"/>
      <c r="L685" s="192"/>
    </row>
    <row r="686" spans="4:12" ht="13">
      <c r="D686" s="192"/>
      <c r="F686" s="192"/>
      <c r="H686" s="192"/>
      <c r="J686" s="192"/>
      <c r="L686" s="192"/>
    </row>
    <row r="687" spans="4:12" ht="13">
      <c r="D687" s="192"/>
      <c r="F687" s="192"/>
      <c r="H687" s="192"/>
      <c r="J687" s="192"/>
      <c r="L687" s="192"/>
    </row>
    <row r="688" spans="4:12" ht="13">
      <c r="D688" s="192"/>
      <c r="F688" s="192"/>
      <c r="H688" s="192"/>
      <c r="J688" s="192"/>
      <c r="L688" s="192"/>
    </row>
    <row r="689" spans="4:12" ht="13">
      <c r="D689" s="192"/>
      <c r="F689" s="192"/>
      <c r="H689" s="192"/>
      <c r="J689" s="192"/>
      <c r="L689" s="192"/>
    </row>
    <row r="690" spans="4:12" ht="13">
      <c r="D690" s="192"/>
      <c r="F690" s="192"/>
      <c r="H690" s="192"/>
      <c r="J690" s="192"/>
      <c r="L690" s="192"/>
    </row>
    <row r="691" spans="4:12" ht="13">
      <c r="D691" s="192"/>
      <c r="F691" s="192"/>
      <c r="H691" s="192"/>
      <c r="J691" s="192"/>
      <c r="L691" s="192"/>
    </row>
    <row r="692" spans="4:12" ht="13">
      <c r="D692" s="192"/>
      <c r="F692" s="192"/>
      <c r="H692" s="192"/>
      <c r="J692" s="192"/>
      <c r="L692" s="192"/>
    </row>
    <row r="693" spans="4:12" ht="13">
      <c r="D693" s="192"/>
      <c r="F693" s="192"/>
      <c r="H693" s="192"/>
      <c r="J693" s="192"/>
      <c r="L693" s="192"/>
    </row>
    <row r="694" spans="4:12" ht="13">
      <c r="D694" s="192"/>
      <c r="F694" s="192"/>
      <c r="H694" s="192"/>
      <c r="J694" s="192"/>
      <c r="L694" s="192"/>
    </row>
    <row r="695" spans="4:12" ht="13">
      <c r="D695" s="192"/>
      <c r="F695" s="192"/>
      <c r="H695" s="192"/>
      <c r="J695" s="192"/>
      <c r="L695" s="192"/>
    </row>
    <row r="696" spans="4:12" ht="13">
      <c r="D696" s="192"/>
      <c r="F696" s="192"/>
      <c r="H696" s="192"/>
      <c r="J696" s="192"/>
      <c r="L696" s="192"/>
    </row>
    <row r="697" spans="4:12" ht="13">
      <c r="D697" s="192"/>
      <c r="F697" s="192"/>
      <c r="H697" s="192"/>
      <c r="J697" s="192"/>
      <c r="L697" s="192"/>
    </row>
    <row r="698" spans="4:12" ht="13">
      <c r="D698" s="192"/>
      <c r="F698" s="192"/>
      <c r="H698" s="192"/>
      <c r="J698" s="192"/>
      <c r="L698" s="192"/>
    </row>
    <row r="699" spans="4:12" ht="13">
      <c r="D699" s="192"/>
      <c r="F699" s="192"/>
      <c r="H699" s="192"/>
      <c r="J699" s="192"/>
      <c r="L699" s="192"/>
    </row>
    <row r="700" spans="4:12" ht="13">
      <c r="D700" s="192"/>
      <c r="F700" s="192"/>
      <c r="H700" s="192"/>
      <c r="J700" s="192"/>
      <c r="L700" s="192"/>
    </row>
    <row r="701" spans="4:12" ht="13">
      <c r="D701" s="192"/>
      <c r="F701" s="192"/>
      <c r="H701" s="192"/>
      <c r="J701" s="192"/>
      <c r="L701" s="192"/>
    </row>
    <row r="702" spans="4:12" ht="13">
      <c r="D702" s="192"/>
      <c r="F702" s="192"/>
      <c r="H702" s="192"/>
      <c r="J702" s="192"/>
      <c r="L702" s="192"/>
    </row>
    <row r="703" spans="4:12" ht="13">
      <c r="D703" s="192"/>
      <c r="F703" s="192"/>
      <c r="H703" s="192"/>
      <c r="J703" s="192"/>
      <c r="L703" s="192"/>
    </row>
    <row r="704" spans="4:12" ht="13">
      <c r="D704" s="192"/>
      <c r="F704" s="192"/>
      <c r="H704" s="192"/>
      <c r="J704" s="192"/>
      <c r="L704" s="192"/>
    </row>
    <row r="705" spans="4:12" ht="13">
      <c r="D705" s="192"/>
      <c r="F705" s="192"/>
      <c r="H705" s="192"/>
      <c r="J705" s="192"/>
      <c r="L705" s="192"/>
    </row>
    <row r="706" spans="4:12" ht="13">
      <c r="D706" s="192"/>
      <c r="F706" s="192"/>
      <c r="H706" s="192"/>
      <c r="J706" s="192"/>
      <c r="L706" s="192"/>
    </row>
    <row r="707" spans="4:12" ht="13">
      <c r="D707" s="192"/>
      <c r="F707" s="192"/>
      <c r="H707" s="192"/>
      <c r="J707" s="192"/>
      <c r="L707" s="192"/>
    </row>
    <row r="708" spans="4:12" ht="13">
      <c r="D708" s="192"/>
      <c r="F708" s="192"/>
      <c r="H708" s="192"/>
      <c r="J708" s="192"/>
      <c r="L708" s="192"/>
    </row>
    <row r="709" spans="4:12" ht="13">
      <c r="D709" s="192"/>
      <c r="F709" s="192"/>
      <c r="H709" s="192"/>
      <c r="J709" s="192"/>
      <c r="L709" s="192"/>
    </row>
    <row r="710" spans="4:12" ht="13">
      <c r="D710" s="192"/>
      <c r="F710" s="192"/>
      <c r="H710" s="192"/>
      <c r="J710" s="192"/>
      <c r="L710" s="192"/>
    </row>
    <row r="711" spans="4:12" ht="13">
      <c r="D711" s="192"/>
      <c r="F711" s="192"/>
      <c r="H711" s="192"/>
      <c r="J711" s="192"/>
      <c r="L711" s="192"/>
    </row>
    <row r="712" spans="4:12" ht="13">
      <c r="D712" s="192"/>
      <c r="F712" s="192"/>
      <c r="H712" s="192"/>
      <c r="J712" s="192"/>
      <c r="L712" s="192"/>
    </row>
    <row r="713" spans="4:12" ht="13">
      <c r="D713" s="192"/>
      <c r="F713" s="192"/>
      <c r="H713" s="192"/>
      <c r="J713" s="192"/>
      <c r="L713" s="192"/>
    </row>
    <row r="714" spans="4:12" ht="13">
      <c r="D714" s="192"/>
      <c r="F714" s="192"/>
      <c r="H714" s="192"/>
      <c r="J714" s="192"/>
      <c r="L714" s="192"/>
    </row>
    <row r="715" spans="4:12" ht="13">
      <c r="D715" s="192"/>
      <c r="F715" s="192"/>
      <c r="H715" s="192"/>
      <c r="J715" s="192"/>
      <c r="L715" s="192"/>
    </row>
    <row r="716" spans="4:12" ht="13">
      <c r="D716" s="192"/>
      <c r="F716" s="192"/>
      <c r="H716" s="192"/>
      <c r="J716" s="192"/>
      <c r="L716" s="192"/>
    </row>
    <row r="717" spans="4:12" ht="13">
      <c r="D717" s="192"/>
      <c r="F717" s="192"/>
      <c r="H717" s="192"/>
      <c r="J717" s="192"/>
      <c r="L717" s="192"/>
    </row>
    <row r="718" spans="4:12" ht="13">
      <c r="D718" s="192"/>
      <c r="F718" s="192"/>
      <c r="H718" s="192"/>
      <c r="J718" s="192"/>
      <c r="L718" s="192"/>
    </row>
    <row r="719" spans="4:12" ht="13">
      <c r="D719" s="192"/>
      <c r="F719" s="192"/>
      <c r="H719" s="192"/>
      <c r="J719" s="192"/>
      <c r="L719" s="192"/>
    </row>
    <row r="720" spans="4:12" ht="13">
      <c r="D720" s="192"/>
      <c r="F720" s="192"/>
      <c r="H720" s="192"/>
      <c r="J720" s="192"/>
      <c r="L720" s="192"/>
    </row>
    <row r="721" spans="4:12" ht="13">
      <c r="D721" s="192"/>
      <c r="F721" s="192"/>
      <c r="H721" s="192"/>
      <c r="J721" s="192"/>
      <c r="L721" s="192"/>
    </row>
    <row r="722" spans="4:12" ht="13">
      <c r="D722" s="192"/>
      <c r="F722" s="192"/>
      <c r="H722" s="192"/>
      <c r="J722" s="192"/>
      <c r="L722" s="192"/>
    </row>
    <row r="723" spans="4:12" ht="13">
      <c r="D723" s="192"/>
      <c r="F723" s="192"/>
      <c r="H723" s="192"/>
      <c r="J723" s="192"/>
      <c r="L723" s="192"/>
    </row>
    <row r="724" spans="4:12" ht="13">
      <c r="D724" s="192"/>
      <c r="F724" s="192"/>
      <c r="H724" s="192"/>
      <c r="J724" s="192"/>
      <c r="L724" s="192"/>
    </row>
    <row r="725" spans="4:12" ht="13">
      <c r="D725" s="192"/>
      <c r="F725" s="192"/>
      <c r="H725" s="192"/>
      <c r="J725" s="192"/>
      <c r="L725" s="192"/>
    </row>
    <row r="726" spans="4:12" ht="13">
      <c r="D726" s="192"/>
      <c r="F726" s="192"/>
      <c r="H726" s="192"/>
      <c r="J726" s="192"/>
      <c r="L726" s="192"/>
    </row>
    <row r="727" spans="4:12" ht="13">
      <c r="D727" s="192"/>
      <c r="F727" s="192"/>
      <c r="H727" s="192"/>
      <c r="J727" s="192"/>
      <c r="L727" s="192"/>
    </row>
    <row r="728" spans="4:12" ht="13">
      <c r="D728" s="192"/>
      <c r="F728" s="192"/>
      <c r="H728" s="192"/>
      <c r="J728" s="192"/>
      <c r="L728" s="192"/>
    </row>
    <row r="729" spans="4:12" ht="13">
      <c r="D729" s="192"/>
      <c r="F729" s="192"/>
      <c r="H729" s="192"/>
      <c r="J729" s="192"/>
      <c r="L729" s="192"/>
    </row>
    <row r="730" spans="4:12" ht="13">
      <c r="D730" s="192"/>
      <c r="F730" s="192"/>
      <c r="H730" s="192"/>
      <c r="J730" s="192"/>
      <c r="L730" s="192"/>
    </row>
    <row r="731" spans="4:12" ht="13">
      <c r="D731" s="192"/>
      <c r="F731" s="192"/>
      <c r="H731" s="192"/>
      <c r="J731" s="192"/>
      <c r="L731" s="192"/>
    </row>
    <row r="732" spans="4:12" ht="13">
      <c r="D732" s="192"/>
      <c r="F732" s="192"/>
      <c r="H732" s="192"/>
      <c r="J732" s="192"/>
      <c r="L732" s="192"/>
    </row>
    <row r="733" spans="4:12" ht="13">
      <c r="D733" s="192"/>
      <c r="F733" s="192"/>
      <c r="H733" s="192"/>
      <c r="J733" s="192"/>
      <c r="L733" s="192"/>
    </row>
    <row r="734" spans="4:12" ht="13">
      <c r="D734" s="192"/>
      <c r="F734" s="192"/>
      <c r="H734" s="192"/>
      <c r="J734" s="192"/>
      <c r="L734" s="192"/>
    </row>
    <row r="735" spans="4:12" ht="13">
      <c r="D735" s="192"/>
      <c r="F735" s="192"/>
      <c r="H735" s="192"/>
      <c r="J735" s="192"/>
      <c r="L735" s="192"/>
    </row>
    <row r="736" spans="4:12" ht="13">
      <c r="D736" s="192"/>
      <c r="F736" s="192"/>
      <c r="H736" s="192"/>
      <c r="J736" s="192"/>
      <c r="L736" s="192"/>
    </row>
    <row r="737" spans="4:12" ht="13">
      <c r="D737" s="192"/>
      <c r="F737" s="192"/>
      <c r="H737" s="192"/>
      <c r="J737" s="192"/>
      <c r="L737" s="192"/>
    </row>
    <row r="738" spans="4:12" ht="13">
      <c r="D738" s="192"/>
      <c r="F738" s="192"/>
      <c r="H738" s="192"/>
      <c r="J738" s="192"/>
      <c r="L738" s="192"/>
    </row>
    <row r="739" spans="4:12" ht="13">
      <c r="D739" s="192"/>
      <c r="F739" s="192"/>
      <c r="H739" s="192"/>
      <c r="J739" s="192"/>
      <c r="L739" s="192"/>
    </row>
    <row r="740" spans="4:12" ht="13">
      <c r="D740" s="192"/>
      <c r="F740" s="192"/>
      <c r="H740" s="192"/>
      <c r="J740" s="192"/>
      <c r="L740" s="192"/>
    </row>
    <row r="741" spans="4:12" ht="13">
      <c r="D741" s="192"/>
      <c r="F741" s="192"/>
      <c r="H741" s="192"/>
      <c r="J741" s="192"/>
      <c r="L741" s="192"/>
    </row>
    <row r="742" spans="4:12" ht="13">
      <c r="D742" s="192"/>
      <c r="F742" s="192"/>
      <c r="H742" s="192"/>
      <c r="J742" s="192"/>
      <c r="L742" s="192"/>
    </row>
    <row r="743" spans="4:12" ht="13">
      <c r="D743" s="192"/>
      <c r="F743" s="192"/>
      <c r="H743" s="192"/>
      <c r="J743" s="192"/>
      <c r="L743" s="192"/>
    </row>
    <row r="744" spans="4:12" ht="13">
      <c r="D744" s="192"/>
      <c r="F744" s="192"/>
      <c r="H744" s="192"/>
      <c r="J744" s="192"/>
      <c r="L744" s="192"/>
    </row>
    <row r="745" spans="4:12" ht="13">
      <c r="D745" s="192"/>
      <c r="F745" s="192"/>
      <c r="H745" s="192"/>
      <c r="J745" s="192"/>
      <c r="L745" s="192"/>
    </row>
    <row r="746" spans="4:12" ht="13">
      <c r="D746" s="192"/>
      <c r="F746" s="192"/>
      <c r="H746" s="192"/>
      <c r="J746" s="192"/>
      <c r="L746" s="192"/>
    </row>
    <row r="747" spans="4:12" ht="13">
      <c r="D747" s="192"/>
      <c r="F747" s="192"/>
      <c r="H747" s="192"/>
      <c r="J747" s="192"/>
      <c r="L747" s="192"/>
    </row>
    <row r="748" spans="4:12" ht="13">
      <c r="D748" s="192"/>
      <c r="F748" s="192"/>
      <c r="H748" s="192"/>
      <c r="J748" s="192"/>
      <c r="L748" s="192"/>
    </row>
    <row r="749" spans="4:12" ht="13">
      <c r="D749" s="192"/>
      <c r="F749" s="192"/>
      <c r="H749" s="192"/>
      <c r="J749" s="192"/>
      <c r="L749" s="192"/>
    </row>
    <row r="750" spans="4:12" ht="13">
      <c r="D750" s="192"/>
      <c r="F750" s="192"/>
      <c r="H750" s="192"/>
      <c r="J750" s="192"/>
      <c r="L750" s="192"/>
    </row>
    <row r="751" spans="4:12" ht="13">
      <c r="D751" s="192"/>
      <c r="F751" s="192"/>
      <c r="H751" s="192"/>
      <c r="J751" s="192"/>
      <c r="L751" s="192"/>
    </row>
    <row r="752" spans="4:12" ht="13">
      <c r="D752" s="192"/>
      <c r="F752" s="192"/>
      <c r="H752" s="192"/>
      <c r="J752" s="192"/>
      <c r="L752" s="192"/>
    </row>
    <row r="753" spans="4:12" ht="13">
      <c r="D753" s="192"/>
      <c r="F753" s="192"/>
      <c r="H753" s="192"/>
      <c r="J753" s="192"/>
      <c r="L753" s="192"/>
    </row>
    <row r="754" spans="4:12" ht="13">
      <c r="D754" s="192"/>
      <c r="F754" s="192"/>
      <c r="H754" s="192"/>
      <c r="J754" s="192"/>
      <c r="L754" s="192"/>
    </row>
    <row r="755" spans="4:12" ht="13">
      <c r="D755" s="192"/>
      <c r="F755" s="192"/>
      <c r="H755" s="192"/>
      <c r="J755" s="192"/>
      <c r="L755" s="192"/>
    </row>
    <row r="756" spans="4:12" ht="13">
      <c r="D756" s="192"/>
      <c r="F756" s="192"/>
      <c r="H756" s="192"/>
      <c r="J756" s="192"/>
      <c r="L756" s="192"/>
    </row>
    <row r="757" spans="4:12" ht="13">
      <c r="D757" s="192"/>
      <c r="F757" s="192"/>
      <c r="H757" s="192"/>
      <c r="J757" s="192"/>
      <c r="L757" s="192"/>
    </row>
    <row r="758" spans="4:12" ht="13">
      <c r="D758" s="192"/>
      <c r="F758" s="192"/>
      <c r="H758" s="192"/>
      <c r="J758" s="192"/>
      <c r="L758" s="192"/>
    </row>
    <row r="759" spans="4:12" ht="13">
      <c r="D759" s="192"/>
      <c r="F759" s="192"/>
      <c r="H759" s="192"/>
      <c r="J759" s="192"/>
      <c r="L759" s="192"/>
    </row>
    <row r="760" spans="4:12" ht="13">
      <c r="D760" s="192"/>
      <c r="F760" s="192"/>
      <c r="H760" s="192"/>
      <c r="J760" s="192"/>
      <c r="L760" s="192"/>
    </row>
    <row r="761" spans="4:12" ht="13">
      <c r="D761" s="192"/>
      <c r="F761" s="192"/>
      <c r="H761" s="192"/>
      <c r="J761" s="192"/>
      <c r="L761" s="192"/>
    </row>
    <row r="762" spans="4:12" ht="13">
      <c r="D762" s="192"/>
      <c r="F762" s="192"/>
      <c r="H762" s="192"/>
      <c r="J762" s="192"/>
      <c r="L762" s="192"/>
    </row>
    <row r="763" spans="4:12" ht="13">
      <c r="D763" s="192"/>
      <c r="F763" s="192"/>
      <c r="H763" s="192"/>
      <c r="J763" s="192"/>
      <c r="L763" s="192"/>
    </row>
    <row r="764" spans="4:12" ht="13">
      <c r="D764" s="192"/>
      <c r="F764" s="192"/>
      <c r="H764" s="192"/>
      <c r="J764" s="192"/>
      <c r="L764" s="192"/>
    </row>
    <row r="765" spans="4:12" ht="13">
      <c r="D765" s="192"/>
      <c r="F765" s="192"/>
      <c r="H765" s="192"/>
      <c r="J765" s="192"/>
      <c r="L765" s="192"/>
    </row>
    <row r="766" spans="4:12" ht="13">
      <c r="D766" s="192"/>
      <c r="F766" s="192"/>
      <c r="H766" s="192"/>
      <c r="J766" s="192"/>
      <c r="L766" s="192"/>
    </row>
    <row r="767" spans="4:12" ht="13">
      <c r="D767" s="192"/>
      <c r="F767" s="192"/>
      <c r="H767" s="192"/>
      <c r="J767" s="192"/>
      <c r="L767" s="192"/>
    </row>
    <row r="768" spans="4:12" ht="13">
      <c r="D768" s="192"/>
      <c r="F768" s="192"/>
      <c r="H768" s="192"/>
      <c r="J768" s="192"/>
      <c r="L768" s="192"/>
    </row>
    <row r="769" spans="4:12" ht="13">
      <c r="D769" s="192"/>
      <c r="F769" s="192"/>
      <c r="H769" s="192"/>
      <c r="J769" s="192"/>
      <c r="L769" s="192"/>
    </row>
    <row r="770" spans="4:12" ht="13">
      <c r="D770" s="192"/>
      <c r="F770" s="192"/>
      <c r="H770" s="192"/>
      <c r="J770" s="192"/>
      <c r="L770" s="192"/>
    </row>
    <row r="771" spans="4:12" ht="13">
      <c r="D771" s="192"/>
      <c r="F771" s="192"/>
      <c r="H771" s="192"/>
      <c r="J771" s="192"/>
      <c r="L771" s="192"/>
    </row>
    <row r="772" spans="4:12" ht="13">
      <c r="D772" s="192"/>
      <c r="F772" s="192"/>
      <c r="H772" s="192"/>
      <c r="J772" s="192"/>
      <c r="L772" s="192"/>
    </row>
    <row r="773" spans="4:12" ht="13">
      <c r="D773" s="192"/>
      <c r="F773" s="192"/>
      <c r="H773" s="192"/>
      <c r="J773" s="192"/>
      <c r="L773" s="192"/>
    </row>
    <row r="774" spans="4:12" ht="13">
      <c r="D774" s="192"/>
      <c r="F774" s="192"/>
      <c r="H774" s="192"/>
      <c r="J774" s="192"/>
      <c r="L774" s="192"/>
    </row>
    <row r="775" spans="4:12" ht="13">
      <c r="D775" s="192"/>
      <c r="F775" s="192"/>
      <c r="H775" s="192"/>
      <c r="J775" s="192"/>
      <c r="L775" s="192"/>
    </row>
    <row r="776" spans="4:12" ht="13">
      <c r="D776" s="192"/>
      <c r="F776" s="192"/>
      <c r="H776" s="192"/>
      <c r="J776" s="192"/>
      <c r="L776" s="192"/>
    </row>
    <row r="777" spans="4:12" ht="13">
      <c r="D777" s="192"/>
      <c r="F777" s="192"/>
      <c r="H777" s="192"/>
      <c r="J777" s="192"/>
      <c r="L777" s="192"/>
    </row>
    <row r="778" spans="4:12" ht="13">
      <c r="D778" s="192"/>
      <c r="F778" s="192"/>
      <c r="H778" s="192"/>
      <c r="J778" s="192"/>
      <c r="L778" s="192"/>
    </row>
    <row r="779" spans="4:12" ht="13">
      <c r="D779" s="192"/>
      <c r="F779" s="192"/>
      <c r="H779" s="192"/>
      <c r="J779" s="192"/>
      <c r="L779" s="192"/>
    </row>
    <row r="780" spans="4:12" ht="13">
      <c r="D780" s="192"/>
      <c r="F780" s="192"/>
      <c r="H780" s="192"/>
      <c r="J780" s="192"/>
      <c r="L780" s="192"/>
    </row>
    <row r="781" spans="4:12" ht="13">
      <c r="D781" s="192"/>
      <c r="F781" s="192"/>
      <c r="H781" s="192"/>
      <c r="J781" s="192"/>
      <c r="L781" s="192"/>
    </row>
    <row r="782" spans="4:12" ht="13">
      <c r="D782" s="192"/>
      <c r="F782" s="192"/>
      <c r="H782" s="192"/>
      <c r="J782" s="192"/>
      <c r="L782" s="192"/>
    </row>
    <row r="783" spans="4:12" ht="13">
      <c r="D783" s="192"/>
      <c r="F783" s="192"/>
      <c r="H783" s="192"/>
      <c r="J783" s="192"/>
      <c r="L783" s="192"/>
    </row>
    <row r="784" spans="4:12" ht="13">
      <c r="D784" s="192"/>
      <c r="F784" s="192"/>
      <c r="H784" s="192"/>
      <c r="J784" s="192"/>
      <c r="L784" s="192"/>
    </row>
    <row r="785" spans="4:12" ht="13">
      <c r="D785" s="192"/>
      <c r="F785" s="192"/>
      <c r="H785" s="192"/>
      <c r="J785" s="192"/>
      <c r="L785" s="192"/>
    </row>
    <row r="786" spans="4:12" ht="13">
      <c r="D786" s="192"/>
      <c r="F786" s="192"/>
      <c r="H786" s="192"/>
      <c r="J786" s="192"/>
      <c r="L786" s="192"/>
    </row>
    <row r="787" spans="4:12" ht="13">
      <c r="D787" s="192"/>
      <c r="F787" s="192"/>
      <c r="H787" s="192"/>
      <c r="J787" s="192"/>
      <c r="L787" s="192"/>
    </row>
    <row r="788" spans="4:12" ht="13">
      <c r="D788" s="192"/>
      <c r="F788" s="192"/>
      <c r="H788" s="192"/>
      <c r="J788" s="192"/>
      <c r="L788" s="192"/>
    </row>
    <row r="789" spans="4:12" ht="13">
      <c r="D789" s="192"/>
      <c r="F789" s="192"/>
      <c r="H789" s="192"/>
      <c r="J789" s="192"/>
      <c r="L789" s="192"/>
    </row>
    <row r="790" spans="4:12" ht="13">
      <c r="D790" s="192"/>
      <c r="F790" s="192"/>
      <c r="H790" s="192"/>
      <c r="J790" s="192"/>
      <c r="L790" s="192"/>
    </row>
    <row r="791" spans="4:12" ht="13">
      <c r="D791" s="192"/>
      <c r="F791" s="192"/>
      <c r="H791" s="192"/>
      <c r="J791" s="192"/>
      <c r="L791" s="192"/>
    </row>
    <row r="792" spans="4:12" ht="13">
      <c r="D792" s="192"/>
      <c r="F792" s="192"/>
      <c r="H792" s="192"/>
      <c r="J792" s="192"/>
      <c r="L792" s="192"/>
    </row>
    <row r="793" spans="4:12" ht="13">
      <c r="D793" s="192"/>
      <c r="F793" s="192"/>
      <c r="H793" s="192"/>
      <c r="J793" s="192"/>
      <c r="L793" s="192"/>
    </row>
    <row r="794" spans="4:12" ht="13">
      <c r="D794" s="192"/>
      <c r="F794" s="192"/>
      <c r="H794" s="192"/>
      <c r="J794" s="192"/>
      <c r="L794" s="192"/>
    </row>
    <row r="795" spans="4:12" ht="13">
      <c r="D795" s="192"/>
      <c r="F795" s="192"/>
      <c r="H795" s="192"/>
      <c r="J795" s="192"/>
      <c r="L795" s="192"/>
    </row>
    <row r="796" spans="4:12" ht="13">
      <c r="D796" s="192"/>
      <c r="F796" s="192"/>
      <c r="H796" s="192"/>
      <c r="J796" s="192"/>
      <c r="L796" s="192"/>
    </row>
    <row r="797" spans="4:12" ht="13">
      <c r="D797" s="192"/>
      <c r="F797" s="192"/>
      <c r="H797" s="192"/>
      <c r="J797" s="192"/>
      <c r="L797" s="192"/>
    </row>
    <row r="798" spans="4:12" ht="13">
      <c r="D798" s="192"/>
      <c r="F798" s="192"/>
      <c r="H798" s="192"/>
      <c r="J798" s="192"/>
      <c r="L798" s="192"/>
    </row>
    <row r="799" spans="4:12" ht="13">
      <c r="D799" s="192"/>
      <c r="F799" s="192"/>
      <c r="H799" s="192"/>
      <c r="J799" s="192"/>
      <c r="L799" s="192"/>
    </row>
    <row r="800" spans="4:12" ht="13">
      <c r="D800" s="192"/>
      <c r="F800" s="192"/>
      <c r="H800" s="192"/>
      <c r="J800" s="192"/>
      <c r="L800" s="192"/>
    </row>
    <row r="801" spans="4:12" ht="13">
      <c r="D801" s="192"/>
      <c r="F801" s="192"/>
      <c r="H801" s="192"/>
      <c r="J801" s="192"/>
      <c r="L801" s="192"/>
    </row>
    <row r="802" spans="4:12" ht="13">
      <c r="D802" s="192"/>
      <c r="F802" s="192"/>
      <c r="H802" s="192"/>
      <c r="J802" s="192"/>
      <c r="L802" s="192"/>
    </row>
    <row r="803" spans="4:12" ht="13">
      <c r="D803" s="192"/>
      <c r="F803" s="192"/>
      <c r="H803" s="192"/>
      <c r="J803" s="192"/>
      <c r="L803" s="192"/>
    </row>
    <row r="804" spans="4:12" ht="13">
      <c r="D804" s="192"/>
      <c r="F804" s="192"/>
      <c r="H804" s="192"/>
      <c r="J804" s="192"/>
      <c r="L804" s="192"/>
    </row>
    <row r="805" spans="4:12" ht="13">
      <c r="D805" s="192"/>
      <c r="F805" s="192"/>
      <c r="H805" s="192"/>
      <c r="J805" s="192"/>
      <c r="L805" s="192"/>
    </row>
    <row r="806" spans="4:12" ht="13">
      <c r="D806" s="192"/>
      <c r="F806" s="192"/>
      <c r="H806" s="192"/>
      <c r="J806" s="192"/>
      <c r="L806" s="192"/>
    </row>
    <row r="807" spans="4:12" ht="13">
      <c r="D807" s="192"/>
      <c r="F807" s="192"/>
      <c r="H807" s="192"/>
      <c r="J807" s="192"/>
      <c r="L807" s="192"/>
    </row>
    <row r="808" spans="4:12" ht="13">
      <c r="D808" s="192"/>
      <c r="F808" s="192"/>
      <c r="H808" s="192"/>
      <c r="J808" s="192"/>
      <c r="L808" s="192"/>
    </row>
    <row r="809" spans="4:12" ht="13">
      <c r="D809" s="192"/>
      <c r="F809" s="192"/>
      <c r="H809" s="192"/>
      <c r="J809" s="192"/>
      <c r="L809" s="192"/>
    </row>
    <row r="810" spans="4:12" ht="13">
      <c r="D810" s="192"/>
      <c r="F810" s="192"/>
      <c r="H810" s="192"/>
      <c r="J810" s="192"/>
      <c r="L810" s="192"/>
    </row>
    <row r="811" spans="4:12" ht="13">
      <c r="D811" s="192"/>
      <c r="F811" s="192"/>
      <c r="H811" s="192"/>
      <c r="J811" s="192"/>
      <c r="L811" s="192"/>
    </row>
    <row r="812" spans="4:12" ht="13">
      <c r="D812" s="192"/>
      <c r="F812" s="192"/>
      <c r="H812" s="192"/>
      <c r="J812" s="192"/>
      <c r="L812" s="192"/>
    </row>
    <row r="813" spans="4:12" ht="13">
      <c r="D813" s="192"/>
      <c r="F813" s="192"/>
      <c r="H813" s="192"/>
      <c r="J813" s="192"/>
      <c r="L813" s="192"/>
    </row>
    <row r="814" spans="4:12" ht="13">
      <c r="D814" s="192"/>
      <c r="F814" s="192"/>
      <c r="H814" s="192"/>
      <c r="J814" s="192"/>
      <c r="L814" s="192"/>
    </row>
    <row r="815" spans="4:12" ht="13">
      <c r="D815" s="192"/>
      <c r="F815" s="192"/>
      <c r="H815" s="192"/>
      <c r="J815" s="192"/>
      <c r="L815" s="192"/>
    </row>
    <row r="816" spans="4:12" ht="13">
      <c r="D816" s="192"/>
      <c r="F816" s="192"/>
      <c r="H816" s="192"/>
      <c r="J816" s="192"/>
      <c r="L816" s="192"/>
    </row>
    <row r="817" spans="4:12" ht="13">
      <c r="D817" s="192"/>
      <c r="F817" s="192"/>
      <c r="H817" s="192"/>
      <c r="J817" s="192"/>
      <c r="L817" s="192"/>
    </row>
    <row r="818" spans="4:12" ht="13">
      <c r="D818" s="192"/>
      <c r="F818" s="192"/>
      <c r="H818" s="192"/>
      <c r="J818" s="192"/>
      <c r="L818" s="192"/>
    </row>
    <row r="819" spans="4:12" ht="13">
      <c r="D819" s="192"/>
      <c r="F819" s="192"/>
      <c r="H819" s="192"/>
      <c r="J819" s="192"/>
      <c r="L819" s="192"/>
    </row>
    <row r="820" spans="4:12" ht="13">
      <c r="D820" s="192"/>
      <c r="F820" s="192"/>
      <c r="H820" s="192"/>
      <c r="J820" s="192"/>
      <c r="L820" s="192"/>
    </row>
    <row r="821" spans="4:12" ht="13">
      <c r="D821" s="192"/>
      <c r="F821" s="192"/>
      <c r="H821" s="192"/>
      <c r="J821" s="192"/>
      <c r="L821" s="192"/>
    </row>
    <row r="822" spans="4:12" ht="13">
      <c r="D822" s="192"/>
      <c r="F822" s="192"/>
      <c r="H822" s="192"/>
      <c r="J822" s="192"/>
      <c r="L822" s="192"/>
    </row>
    <row r="823" spans="4:12" ht="13">
      <c r="D823" s="192"/>
      <c r="F823" s="192"/>
      <c r="H823" s="192"/>
      <c r="J823" s="192"/>
      <c r="L823" s="192"/>
    </row>
    <row r="824" spans="4:12" ht="13">
      <c r="D824" s="192"/>
      <c r="F824" s="192"/>
      <c r="H824" s="192"/>
      <c r="J824" s="192"/>
      <c r="L824" s="192"/>
    </row>
    <row r="825" spans="4:12" ht="13">
      <c r="D825" s="192"/>
      <c r="F825" s="192"/>
      <c r="H825" s="192"/>
      <c r="J825" s="192"/>
      <c r="L825" s="192"/>
    </row>
    <row r="826" spans="4:12" ht="13">
      <c r="D826" s="192"/>
      <c r="F826" s="192"/>
      <c r="H826" s="192"/>
      <c r="J826" s="192"/>
      <c r="L826" s="192"/>
    </row>
    <row r="827" spans="4:12" ht="13">
      <c r="D827" s="192"/>
      <c r="F827" s="192"/>
      <c r="H827" s="192"/>
      <c r="J827" s="192"/>
      <c r="L827" s="192"/>
    </row>
    <row r="828" spans="4:12" ht="13">
      <c r="D828" s="192"/>
      <c r="F828" s="192"/>
      <c r="H828" s="192"/>
      <c r="J828" s="192"/>
      <c r="L828" s="192"/>
    </row>
    <row r="829" spans="4:12" ht="13">
      <c r="D829" s="192"/>
      <c r="F829" s="192"/>
      <c r="H829" s="192"/>
      <c r="J829" s="192"/>
      <c r="L829" s="192"/>
    </row>
    <row r="830" spans="4:12" ht="13">
      <c r="D830" s="192"/>
      <c r="F830" s="192"/>
      <c r="H830" s="192"/>
      <c r="J830" s="192"/>
      <c r="L830" s="192"/>
    </row>
    <row r="831" spans="4:12" ht="13">
      <c r="D831" s="192"/>
      <c r="F831" s="192"/>
      <c r="H831" s="192"/>
      <c r="J831" s="192"/>
      <c r="L831" s="192"/>
    </row>
    <row r="832" spans="4:12" ht="13">
      <c r="D832" s="192"/>
      <c r="F832" s="192"/>
      <c r="H832" s="192"/>
      <c r="J832" s="192"/>
      <c r="L832" s="192"/>
    </row>
    <row r="833" spans="4:12" ht="13">
      <c r="D833" s="192"/>
      <c r="F833" s="192"/>
      <c r="H833" s="192"/>
      <c r="J833" s="192"/>
      <c r="L833" s="192"/>
    </row>
    <row r="834" spans="4:12" ht="13">
      <c r="D834" s="192"/>
      <c r="F834" s="192"/>
      <c r="H834" s="192"/>
      <c r="J834" s="192"/>
      <c r="L834" s="192"/>
    </row>
    <row r="835" spans="4:12" ht="13">
      <c r="D835" s="192"/>
      <c r="F835" s="192"/>
      <c r="H835" s="192"/>
      <c r="J835" s="192"/>
      <c r="L835" s="192"/>
    </row>
    <row r="836" spans="4:12" ht="13">
      <c r="D836" s="192"/>
      <c r="F836" s="192"/>
      <c r="H836" s="192"/>
      <c r="J836" s="192"/>
      <c r="L836" s="192"/>
    </row>
    <row r="837" spans="4:12" ht="13">
      <c r="D837" s="192"/>
      <c r="F837" s="192"/>
      <c r="H837" s="192"/>
      <c r="J837" s="192"/>
      <c r="L837" s="192"/>
    </row>
    <row r="838" spans="4:12" ht="13">
      <c r="D838" s="192"/>
      <c r="F838" s="192"/>
      <c r="H838" s="192"/>
      <c r="J838" s="192"/>
      <c r="L838" s="192"/>
    </row>
    <row r="839" spans="4:12" ht="13">
      <c r="D839" s="192"/>
      <c r="F839" s="192"/>
      <c r="H839" s="192"/>
      <c r="J839" s="192"/>
      <c r="L839" s="192"/>
    </row>
    <row r="840" spans="4:12" ht="13">
      <c r="D840" s="192"/>
      <c r="F840" s="192"/>
      <c r="H840" s="192"/>
      <c r="J840" s="192"/>
      <c r="L840" s="192"/>
    </row>
    <row r="841" spans="4:12" ht="13">
      <c r="D841" s="192"/>
      <c r="F841" s="192"/>
      <c r="H841" s="192"/>
      <c r="J841" s="192"/>
      <c r="L841" s="192"/>
    </row>
    <row r="842" spans="4:12" ht="13">
      <c r="D842" s="192"/>
      <c r="F842" s="192"/>
      <c r="H842" s="192"/>
      <c r="J842" s="192"/>
      <c r="L842" s="192"/>
    </row>
    <row r="843" spans="4:12" ht="13">
      <c r="D843" s="192"/>
      <c r="F843" s="192"/>
      <c r="H843" s="192"/>
      <c r="J843" s="192"/>
      <c r="L843" s="192"/>
    </row>
    <row r="844" spans="4:12" ht="13">
      <c r="D844" s="192"/>
      <c r="F844" s="192"/>
      <c r="H844" s="192"/>
      <c r="J844" s="192"/>
      <c r="L844" s="192"/>
    </row>
    <row r="845" spans="4:12" ht="13">
      <c r="D845" s="192"/>
      <c r="F845" s="192"/>
      <c r="H845" s="192"/>
      <c r="J845" s="192"/>
      <c r="L845" s="192"/>
    </row>
    <row r="846" spans="4:12" ht="13">
      <c r="D846" s="192"/>
      <c r="F846" s="192"/>
      <c r="H846" s="192"/>
      <c r="J846" s="192"/>
      <c r="L846" s="192"/>
    </row>
    <row r="847" spans="4:12" ht="13">
      <c r="D847" s="192"/>
      <c r="F847" s="192"/>
      <c r="H847" s="192"/>
      <c r="J847" s="192"/>
      <c r="L847" s="192"/>
    </row>
    <row r="848" spans="4:12" ht="13">
      <c r="D848" s="192"/>
      <c r="F848" s="192"/>
      <c r="H848" s="192"/>
      <c r="J848" s="192"/>
      <c r="L848" s="192"/>
    </row>
    <row r="849" spans="4:12" ht="13">
      <c r="D849" s="192"/>
      <c r="F849" s="192"/>
      <c r="H849" s="192"/>
      <c r="J849" s="192"/>
      <c r="L849" s="192"/>
    </row>
    <row r="850" spans="4:12" ht="13">
      <c r="D850" s="192"/>
      <c r="F850" s="192"/>
      <c r="H850" s="192"/>
      <c r="J850" s="192"/>
      <c r="L850" s="192"/>
    </row>
    <row r="851" spans="4:12" ht="13">
      <c r="D851" s="192"/>
      <c r="F851" s="192"/>
      <c r="H851" s="192"/>
      <c r="J851" s="192"/>
      <c r="L851" s="192"/>
    </row>
    <row r="852" spans="4:12" ht="13">
      <c r="D852" s="192"/>
      <c r="F852" s="192"/>
      <c r="H852" s="192"/>
      <c r="J852" s="192"/>
      <c r="L852" s="192"/>
    </row>
    <row r="853" spans="4:12" ht="13">
      <c r="D853" s="192"/>
      <c r="F853" s="192"/>
      <c r="H853" s="192"/>
      <c r="J853" s="192"/>
      <c r="L853" s="192"/>
    </row>
    <row r="854" spans="4:12" ht="13">
      <c r="D854" s="192"/>
      <c r="F854" s="192"/>
      <c r="H854" s="192"/>
      <c r="J854" s="192"/>
      <c r="L854" s="192"/>
    </row>
    <row r="855" spans="4:12" ht="13">
      <c r="D855" s="192"/>
      <c r="F855" s="192"/>
      <c r="H855" s="192"/>
      <c r="J855" s="192"/>
      <c r="L855" s="192"/>
    </row>
    <row r="856" spans="4:12" ht="13">
      <c r="D856" s="192"/>
      <c r="F856" s="192"/>
      <c r="H856" s="192"/>
      <c r="J856" s="192"/>
      <c r="L856" s="192"/>
    </row>
    <row r="857" spans="4:12" ht="13">
      <c r="D857" s="192"/>
      <c r="F857" s="192"/>
      <c r="H857" s="192"/>
      <c r="J857" s="192"/>
      <c r="L857" s="192"/>
    </row>
    <row r="858" spans="4:12" ht="13">
      <c r="D858" s="192"/>
      <c r="F858" s="192"/>
      <c r="H858" s="192"/>
      <c r="J858" s="192"/>
      <c r="L858" s="192"/>
    </row>
    <row r="859" spans="4:12" ht="13">
      <c r="D859" s="192"/>
      <c r="F859" s="192"/>
      <c r="H859" s="192"/>
      <c r="J859" s="192"/>
      <c r="L859" s="192"/>
    </row>
    <row r="860" spans="4:12" ht="13">
      <c r="D860" s="192"/>
      <c r="F860" s="192"/>
      <c r="H860" s="192"/>
      <c r="J860" s="192"/>
      <c r="L860" s="192"/>
    </row>
    <row r="861" spans="4:12" ht="13">
      <c r="D861" s="192"/>
      <c r="F861" s="192"/>
      <c r="H861" s="192"/>
      <c r="J861" s="192"/>
      <c r="L861" s="192"/>
    </row>
    <row r="862" spans="4:12" ht="13">
      <c r="D862" s="192"/>
      <c r="F862" s="192"/>
      <c r="H862" s="192"/>
      <c r="J862" s="192"/>
      <c r="L862" s="192"/>
    </row>
    <row r="863" spans="4:12" ht="13">
      <c r="D863" s="192"/>
      <c r="F863" s="192"/>
      <c r="H863" s="192"/>
      <c r="J863" s="192"/>
      <c r="L863" s="192"/>
    </row>
    <row r="864" spans="4:12" ht="13">
      <c r="D864" s="192"/>
      <c r="F864" s="192"/>
      <c r="H864" s="192"/>
      <c r="J864" s="192"/>
      <c r="L864" s="192"/>
    </row>
    <row r="865" spans="4:12" ht="13">
      <c r="D865" s="192"/>
      <c r="F865" s="192"/>
      <c r="H865" s="192"/>
      <c r="J865" s="192"/>
      <c r="L865" s="192"/>
    </row>
    <row r="866" spans="4:12" ht="13">
      <c r="D866" s="192"/>
      <c r="F866" s="192"/>
      <c r="H866" s="192"/>
      <c r="J866" s="192"/>
      <c r="L866" s="192"/>
    </row>
    <row r="867" spans="4:12" ht="13">
      <c r="D867" s="192"/>
      <c r="F867" s="192"/>
      <c r="H867" s="192"/>
      <c r="J867" s="192"/>
      <c r="L867" s="192"/>
    </row>
    <row r="868" spans="4:12" ht="13">
      <c r="D868" s="192"/>
      <c r="F868" s="192"/>
      <c r="H868" s="192"/>
      <c r="J868" s="192"/>
      <c r="L868" s="192"/>
    </row>
    <row r="869" spans="4:12" ht="13">
      <c r="D869" s="192"/>
      <c r="F869" s="192"/>
      <c r="H869" s="192"/>
      <c r="J869" s="192"/>
      <c r="L869" s="192"/>
    </row>
    <row r="870" spans="4:12" ht="13">
      <c r="D870" s="192"/>
      <c r="F870" s="192"/>
      <c r="H870" s="192"/>
      <c r="J870" s="192"/>
      <c r="L870" s="192"/>
    </row>
    <row r="871" spans="4:12" ht="13">
      <c r="D871" s="192"/>
      <c r="F871" s="192"/>
      <c r="H871" s="192"/>
      <c r="J871" s="192"/>
      <c r="L871" s="192"/>
    </row>
    <row r="872" spans="4:12" ht="13">
      <c r="D872" s="192"/>
      <c r="F872" s="192"/>
      <c r="H872" s="192"/>
      <c r="J872" s="192"/>
      <c r="L872" s="192"/>
    </row>
    <row r="873" spans="4:12" ht="13">
      <c r="D873" s="192"/>
      <c r="F873" s="192"/>
      <c r="H873" s="192"/>
      <c r="J873" s="192"/>
      <c r="L873" s="192"/>
    </row>
    <row r="874" spans="4:12" ht="13">
      <c r="D874" s="192"/>
      <c r="F874" s="192"/>
      <c r="H874" s="192"/>
      <c r="J874" s="192"/>
      <c r="L874" s="192"/>
    </row>
    <row r="875" spans="4:12" ht="13">
      <c r="D875" s="192"/>
      <c r="F875" s="192"/>
      <c r="H875" s="192"/>
      <c r="J875" s="192"/>
      <c r="L875" s="192"/>
    </row>
    <row r="876" spans="4:12" ht="13">
      <c r="D876" s="192"/>
      <c r="F876" s="192"/>
      <c r="H876" s="192"/>
      <c r="J876" s="192"/>
      <c r="L876" s="192"/>
    </row>
    <row r="877" spans="4:12" ht="13">
      <c r="D877" s="192"/>
      <c r="F877" s="192"/>
      <c r="H877" s="192"/>
      <c r="J877" s="192"/>
      <c r="L877" s="192"/>
    </row>
    <row r="878" spans="4:12" ht="13">
      <c r="D878" s="192"/>
      <c r="F878" s="192"/>
      <c r="H878" s="192"/>
      <c r="J878" s="192"/>
      <c r="L878" s="192"/>
    </row>
    <row r="879" spans="4:12" ht="13">
      <c r="D879" s="192"/>
      <c r="F879" s="192"/>
      <c r="H879" s="192"/>
      <c r="J879" s="192"/>
      <c r="L879" s="192"/>
    </row>
    <row r="880" spans="4:12" ht="13">
      <c r="D880" s="192"/>
      <c r="F880" s="192"/>
      <c r="H880" s="192"/>
      <c r="J880" s="192"/>
      <c r="L880" s="192"/>
    </row>
    <row r="881" spans="4:12" ht="13">
      <c r="D881" s="192"/>
      <c r="F881" s="192"/>
      <c r="H881" s="192"/>
      <c r="J881" s="192"/>
      <c r="L881" s="192"/>
    </row>
    <row r="882" spans="4:12" ht="13">
      <c r="D882" s="192"/>
      <c r="F882" s="192"/>
      <c r="H882" s="192"/>
      <c r="J882" s="192"/>
      <c r="L882" s="192"/>
    </row>
    <row r="883" spans="4:12" ht="13">
      <c r="D883" s="192"/>
      <c r="F883" s="192"/>
      <c r="H883" s="192"/>
      <c r="J883" s="192"/>
      <c r="L883" s="192"/>
    </row>
    <row r="884" spans="4:12" ht="13">
      <c r="D884" s="192"/>
      <c r="F884" s="192"/>
      <c r="H884" s="192"/>
      <c r="J884" s="192"/>
      <c r="L884" s="192"/>
    </row>
    <row r="885" spans="4:12" ht="13">
      <c r="D885" s="192"/>
      <c r="F885" s="192"/>
      <c r="H885" s="192"/>
      <c r="J885" s="192"/>
      <c r="L885" s="192"/>
    </row>
    <row r="886" spans="4:12" ht="13">
      <c r="D886" s="192"/>
      <c r="F886" s="192"/>
      <c r="H886" s="192"/>
      <c r="J886" s="192"/>
      <c r="L886" s="192"/>
    </row>
    <row r="887" spans="4:12" ht="13">
      <c r="D887" s="192"/>
      <c r="F887" s="192"/>
      <c r="H887" s="192"/>
      <c r="J887" s="192"/>
      <c r="L887" s="192"/>
    </row>
    <row r="888" spans="4:12" ht="13">
      <c r="D888" s="192"/>
      <c r="F888" s="192"/>
      <c r="H888" s="192"/>
      <c r="J888" s="192"/>
      <c r="L888" s="192"/>
    </row>
    <row r="889" spans="4:12" ht="13">
      <c r="D889" s="192"/>
      <c r="F889" s="192"/>
      <c r="H889" s="192"/>
      <c r="J889" s="192"/>
      <c r="L889" s="192"/>
    </row>
    <row r="890" spans="4:12" ht="13">
      <c r="D890" s="192"/>
      <c r="F890" s="192"/>
      <c r="H890" s="192"/>
      <c r="J890" s="192"/>
      <c r="L890" s="192"/>
    </row>
    <row r="891" spans="4:12" ht="13">
      <c r="D891" s="192"/>
      <c r="F891" s="192"/>
      <c r="H891" s="192"/>
      <c r="J891" s="192"/>
      <c r="L891" s="192"/>
    </row>
    <row r="892" spans="4:12" ht="13">
      <c r="D892" s="192"/>
      <c r="F892" s="192"/>
      <c r="H892" s="192"/>
      <c r="J892" s="192"/>
      <c r="L892" s="192"/>
    </row>
    <row r="893" spans="4:12" ht="13">
      <c r="D893" s="192"/>
      <c r="F893" s="192"/>
      <c r="H893" s="192"/>
      <c r="J893" s="192"/>
      <c r="L893" s="192"/>
    </row>
    <row r="894" spans="4:12" ht="13">
      <c r="D894" s="192"/>
      <c r="F894" s="192"/>
      <c r="H894" s="192"/>
      <c r="J894" s="192"/>
      <c r="L894" s="192"/>
    </row>
    <row r="895" spans="4:12" ht="13">
      <c r="D895" s="192"/>
      <c r="F895" s="192"/>
      <c r="H895" s="192"/>
      <c r="J895" s="192"/>
      <c r="L895" s="192"/>
    </row>
    <row r="896" spans="4:12" ht="13">
      <c r="D896" s="192"/>
      <c r="F896" s="192"/>
      <c r="H896" s="192"/>
      <c r="J896" s="192"/>
      <c r="L896" s="192"/>
    </row>
    <row r="897" spans="4:12" ht="13">
      <c r="D897" s="192"/>
      <c r="F897" s="192"/>
      <c r="H897" s="192"/>
      <c r="J897" s="192"/>
      <c r="L897" s="192"/>
    </row>
    <row r="898" spans="4:12" ht="13">
      <c r="D898" s="192"/>
      <c r="F898" s="192"/>
      <c r="H898" s="192"/>
      <c r="J898" s="192"/>
      <c r="L898" s="192"/>
    </row>
    <row r="899" spans="4:12" ht="13">
      <c r="D899" s="192"/>
      <c r="F899" s="192"/>
      <c r="H899" s="192"/>
      <c r="J899" s="192"/>
      <c r="L899" s="192"/>
    </row>
    <row r="900" spans="4:12" ht="13">
      <c r="D900" s="192"/>
      <c r="F900" s="192"/>
      <c r="H900" s="192"/>
      <c r="J900" s="192"/>
      <c r="L900" s="192"/>
    </row>
    <row r="901" spans="4:12" ht="13">
      <c r="D901" s="192"/>
      <c r="F901" s="192"/>
      <c r="H901" s="192"/>
      <c r="J901" s="192"/>
      <c r="L901" s="192"/>
    </row>
    <row r="902" spans="4:12" ht="13">
      <c r="D902" s="192"/>
      <c r="F902" s="192"/>
      <c r="H902" s="192"/>
      <c r="J902" s="192"/>
      <c r="L902" s="192"/>
    </row>
    <row r="903" spans="4:12" ht="13">
      <c r="D903" s="192"/>
      <c r="F903" s="192"/>
      <c r="H903" s="192"/>
      <c r="J903" s="192"/>
      <c r="L903" s="192"/>
    </row>
    <row r="904" spans="4:12" ht="13">
      <c r="D904" s="192"/>
      <c r="F904" s="192"/>
      <c r="H904" s="192"/>
      <c r="J904" s="192"/>
      <c r="L904" s="192"/>
    </row>
    <row r="905" spans="4:12" ht="13">
      <c r="D905" s="192"/>
      <c r="F905" s="192"/>
      <c r="H905" s="192"/>
      <c r="J905" s="192"/>
      <c r="L905" s="192"/>
    </row>
    <row r="906" spans="4:12" ht="13">
      <c r="D906" s="192"/>
      <c r="F906" s="192"/>
      <c r="H906" s="192"/>
      <c r="J906" s="192"/>
      <c r="L906" s="192"/>
    </row>
    <row r="907" spans="4:12" ht="13">
      <c r="D907" s="192"/>
      <c r="F907" s="192"/>
      <c r="H907" s="192"/>
      <c r="J907" s="192"/>
      <c r="L907" s="192"/>
    </row>
    <row r="908" spans="4:12" ht="13">
      <c r="D908" s="192"/>
      <c r="F908" s="192"/>
      <c r="H908" s="192"/>
      <c r="J908" s="192"/>
      <c r="L908" s="192"/>
    </row>
    <row r="909" spans="4:12" ht="13">
      <c r="D909" s="192"/>
      <c r="F909" s="192"/>
      <c r="H909" s="192"/>
      <c r="J909" s="192"/>
      <c r="L909" s="192"/>
    </row>
    <row r="910" spans="4:12" ht="13">
      <c r="D910" s="192"/>
      <c r="F910" s="192"/>
      <c r="H910" s="192"/>
      <c r="J910" s="192"/>
      <c r="L910" s="192"/>
    </row>
    <row r="911" spans="4:12" ht="13">
      <c r="D911" s="192"/>
      <c r="F911" s="192"/>
      <c r="H911" s="192"/>
      <c r="J911" s="192"/>
      <c r="L911" s="192"/>
    </row>
    <row r="912" spans="4:12" ht="13">
      <c r="D912" s="192"/>
      <c r="F912" s="192"/>
      <c r="H912" s="192"/>
      <c r="J912" s="192"/>
      <c r="L912" s="192"/>
    </row>
    <row r="913" spans="4:12" ht="13">
      <c r="D913" s="192"/>
      <c r="F913" s="192"/>
      <c r="H913" s="192"/>
      <c r="J913" s="192"/>
      <c r="L913" s="192"/>
    </row>
    <row r="914" spans="4:12" ht="13">
      <c r="D914" s="192"/>
      <c r="F914" s="192"/>
      <c r="H914" s="192"/>
      <c r="J914" s="192"/>
      <c r="L914" s="192"/>
    </row>
    <row r="915" spans="4:12" ht="13">
      <c r="D915" s="192"/>
      <c r="F915" s="192"/>
      <c r="H915" s="192"/>
      <c r="J915" s="192"/>
      <c r="L915" s="192"/>
    </row>
    <row r="916" spans="4:12" ht="13">
      <c r="D916" s="192"/>
      <c r="F916" s="192"/>
      <c r="H916" s="192"/>
      <c r="J916" s="192"/>
      <c r="L916" s="192"/>
    </row>
    <row r="917" spans="4:12" ht="13">
      <c r="D917" s="192"/>
      <c r="F917" s="192"/>
      <c r="H917" s="192"/>
      <c r="J917" s="192"/>
      <c r="L917" s="192"/>
    </row>
    <row r="918" spans="4:12" ht="13">
      <c r="D918" s="192"/>
      <c r="F918" s="192"/>
      <c r="H918" s="192"/>
      <c r="J918" s="192"/>
      <c r="L918" s="192"/>
    </row>
    <row r="919" spans="4:12" ht="13">
      <c r="D919" s="192"/>
      <c r="F919" s="192"/>
      <c r="H919" s="192"/>
      <c r="J919" s="192"/>
      <c r="L919" s="192"/>
    </row>
    <row r="920" spans="4:12" ht="13">
      <c r="D920" s="192"/>
      <c r="F920" s="192"/>
      <c r="H920" s="192"/>
      <c r="J920" s="192"/>
      <c r="L920" s="192"/>
    </row>
    <row r="921" spans="4:12" ht="13">
      <c r="D921" s="192"/>
      <c r="F921" s="192"/>
      <c r="H921" s="192"/>
      <c r="J921" s="192"/>
      <c r="L921" s="192"/>
    </row>
    <row r="922" spans="4:12" ht="13">
      <c r="D922" s="192"/>
      <c r="F922" s="192"/>
      <c r="H922" s="192"/>
      <c r="J922" s="192"/>
      <c r="L922" s="192"/>
    </row>
    <row r="923" spans="4:12" ht="13">
      <c r="D923" s="192"/>
      <c r="F923" s="192"/>
      <c r="H923" s="192"/>
      <c r="J923" s="192"/>
      <c r="L923" s="192"/>
    </row>
    <row r="924" spans="4:12" ht="13">
      <c r="D924" s="192"/>
      <c r="F924" s="192"/>
      <c r="H924" s="192"/>
      <c r="J924" s="192"/>
      <c r="L924" s="192"/>
    </row>
    <row r="925" spans="4:12" ht="13">
      <c r="D925" s="192"/>
      <c r="F925" s="192"/>
      <c r="H925" s="192"/>
      <c r="J925" s="192"/>
      <c r="L925" s="192"/>
    </row>
    <row r="926" spans="4:12" ht="13">
      <c r="D926" s="192"/>
      <c r="F926" s="192"/>
      <c r="H926" s="192"/>
      <c r="J926" s="192"/>
      <c r="L926" s="192"/>
    </row>
    <row r="927" spans="4:12" ht="13">
      <c r="D927" s="192"/>
      <c r="F927" s="192"/>
      <c r="H927" s="192"/>
      <c r="J927" s="192"/>
      <c r="L927" s="192"/>
    </row>
    <row r="928" spans="4:12" ht="13">
      <c r="D928" s="192"/>
      <c r="F928" s="192"/>
      <c r="H928" s="192"/>
      <c r="J928" s="192"/>
      <c r="L928" s="192"/>
    </row>
    <row r="929" spans="4:12" ht="13">
      <c r="D929" s="192"/>
      <c r="F929" s="192"/>
      <c r="H929" s="192"/>
      <c r="J929" s="192"/>
      <c r="L929" s="192"/>
    </row>
    <row r="930" spans="4:12" ht="13">
      <c r="D930" s="192"/>
      <c r="F930" s="192"/>
      <c r="H930" s="192"/>
      <c r="J930" s="192"/>
      <c r="L930" s="192"/>
    </row>
    <row r="931" spans="4:12" ht="13">
      <c r="D931" s="192"/>
      <c r="F931" s="192"/>
      <c r="H931" s="192"/>
      <c r="J931" s="192"/>
      <c r="L931" s="192"/>
    </row>
    <row r="932" spans="4:12" ht="13">
      <c r="D932" s="192"/>
      <c r="F932" s="192"/>
      <c r="H932" s="192"/>
      <c r="J932" s="192"/>
      <c r="L932" s="192"/>
    </row>
    <row r="933" spans="4:12" ht="13">
      <c r="D933" s="192"/>
      <c r="F933" s="192"/>
      <c r="H933" s="192"/>
      <c r="J933" s="192"/>
      <c r="L933" s="192"/>
    </row>
    <row r="934" spans="4:12" ht="13">
      <c r="D934" s="192"/>
      <c r="F934" s="192"/>
      <c r="H934" s="192"/>
      <c r="J934" s="192"/>
      <c r="L934" s="192"/>
    </row>
    <row r="935" spans="4:12" ht="13">
      <c r="D935" s="192"/>
      <c r="F935" s="192"/>
      <c r="H935" s="192"/>
      <c r="J935" s="192"/>
      <c r="L935" s="192"/>
    </row>
    <row r="936" spans="4:12" ht="13">
      <c r="D936" s="192"/>
      <c r="F936" s="192"/>
      <c r="H936" s="192"/>
      <c r="J936" s="192"/>
      <c r="L936" s="192"/>
    </row>
    <row r="937" spans="4:12" ht="13">
      <c r="D937" s="192"/>
      <c r="F937" s="192"/>
      <c r="H937" s="192"/>
      <c r="J937" s="192"/>
      <c r="L937" s="192"/>
    </row>
    <row r="938" spans="4:12" ht="13">
      <c r="D938" s="192"/>
      <c r="F938" s="192"/>
      <c r="H938" s="192"/>
      <c r="J938" s="192"/>
      <c r="L938" s="192"/>
    </row>
    <row r="939" spans="4:12" ht="13">
      <c r="D939" s="192"/>
      <c r="F939" s="192"/>
      <c r="H939" s="192"/>
      <c r="J939" s="192"/>
      <c r="L939" s="192"/>
    </row>
    <row r="940" spans="4:12" ht="13">
      <c r="D940" s="192"/>
      <c r="F940" s="192"/>
      <c r="H940" s="192"/>
      <c r="J940" s="192"/>
      <c r="L940" s="192"/>
    </row>
    <row r="941" spans="4:12" ht="13">
      <c r="D941" s="192"/>
      <c r="F941" s="192"/>
      <c r="H941" s="192"/>
      <c r="J941" s="192"/>
      <c r="L941" s="192"/>
    </row>
    <row r="942" spans="4:12" ht="13">
      <c r="D942" s="192"/>
      <c r="F942" s="192"/>
      <c r="H942" s="192"/>
      <c r="J942" s="192"/>
      <c r="L942" s="192"/>
    </row>
    <row r="943" spans="4:12" ht="13">
      <c r="D943" s="192"/>
      <c r="F943" s="192"/>
      <c r="H943" s="192"/>
      <c r="J943" s="192"/>
      <c r="L943" s="192"/>
    </row>
    <row r="944" spans="4:12" ht="13">
      <c r="D944" s="192"/>
      <c r="F944" s="192"/>
      <c r="H944" s="192"/>
      <c r="J944" s="192"/>
      <c r="L944" s="192"/>
    </row>
    <row r="945" spans="4:12" ht="13">
      <c r="D945" s="192"/>
      <c r="F945" s="192"/>
      <c r="H945" s="192"/>
      <c r="J945" s="192"/>
      <c r="L945" s="192"/>
    </row>
    <row r="946" spans="4:12" ht="13">
      <c r="D946" s="192"/>
      <c r="F946" s="192"/>
      <c r="H946" s="192"/>
      <c r="J946" s="192"/>
      <c r="L946" s="192"/>
    </row>
    <row r="947" spans="4:12" ht="13">
      <c r="D947" s="192"/>
      <c r="F947" s="192"/>
      <c r="H947" s="192"/>
      <c r="J947" s="192"/>
      <c r="L947" s="192"/>
    </row>
    <row r="948" spans="4:12" ht="13">
      <c r="D948" s="192"/>
      <c r="F948" s="192"/>
      <c r="H948" s="192"/>
      <c r="J948" s="192"/>
      <c r="L948" s="192"/>
    </row>
    <row r="949" spans="4:12" ht="13">
      <c r="D949" s="192"/>
      <c r="F949" s="192"/>
      <c r="H949" s="192"/>
      <c r="J949" s="192"/>
      <c r="L949" s="192"/>
    </row>
    <row r="950" spans="4:12" ht="13">
      <c r="D950" s="192"/>
      <c r="F950" s="192"/>
      <c r="H950" s="192"/>
      <c r="J950" s="192"/>
      <c r="L950" s="192"/>
    </row>
    <row r="951" spans="4:12" ht="13">
      <c r="D951" s="192"/>
      <c r="F951" s="192"/>
      <c r="H951" s="192"/>
      <c r="J951" s="192"/>
      <c r="L951" s="192"/>
    </row>
    <row r="952" spans="4:12" ht="13">
      <c r="D952" s="192"/>
      <c r="F952" s="192"/>
      <c r="H952" s="192"/>
      <c r="J952" s="192"/>
      <c r="L952" s="192"/>
    </row>
    <row r="953" spans="4:12" ht="13">
      <c r="D953" s="192"/>
      <c r="F953" s="192"/>
      <c r="H953" s="192"/>
      <c r="J953" s="192"/>
      <c r="L953" s="192"/>
    </row>
    <row r="954" spans="4:12" ht="13">
      <c r="D954" s="192"/>
      <c r="F954" s="192"/>
      <c r="H954" s="192"/>
      <c r="J954" s="192"/>
      <c r="L954" s="192"/>
    </row>
    <row r="955" spans="4:12" ht="13">
      <c r="D955" s="192"/>
      <c r="F955" s="192"/>
      <c r="H955" s="192"/>
      <c r="J955" s="192"/>
      <c r="L955" s="192"/>
    </row>
    <row r="956" spans="4:12" ht="13">
      <c r="D956" s="192"/>
      <c r="F956" s="192"/>
      <c r="H956" s="192"/>
      <c r="J956" s="192"/>
      <c r="L956" s="192"/>
    </row>
    <row r="957" spans="4:12" ht="13">
      <c r="D957" s="192"/>
      <c r="F957" s="192"/>
      <c r="H957" s="192"/>
      <c r="J957" s="192"/>
      <c r="L957" s="192"/>
    </row>
    <row r="958" spans="4:12" ht="13">
      <c r="D958" s="192"/>
      <c r="F958" s="192"/>
      <c r="H958" s="192"/>
      <c r="J958" s="192"/>
      <c r="L958" s="192"/>
    </row>
    <row r="959" spans="4:12" ht="13">
      <c r="D959" s="192"/>
      <c r="F959" s="192"/>
      <c r="H959" s="192"/>
      <c r="J959" s="192"/>
      <c r="L959" s="192"/>
    </row>
    <row r="960" spans="4:12" ht="13">
      <c r="D960" s="192"/>
      <c r="F960" s="192"/>
      <c r="H960" s="192"/>
      <c r="J960" s="192"/>
      <c r="L960" s="192"/>
    </row>
    <row r="961" spans="4:12" ht="13">
      <c r="D961" s="192"/>
      <c r="F961" s="192"/>
      <c r="H961" s="192"/>
      <c r="J961" s="192"/>
      <c r="L961" s="192"/>
    </row>
    <row r="962" spans="4:12" ht="13">
      <c r="D962" s="192"/>
      <c r="F962" s="192"/>
      <c r="H962" s="192"/>
      <c r="J962" s="192"/>
      <c r="L962" s="192"/>
    </row>
    <row r="963" spans="4:12" ht="13">
      <c r="D963" s="192"/>
      <c r="F963" s="192"/>
      <c r="H963" s="192"/>
      <c r="J963" s="192"/>
      <c r="L963" s="192"/>
    </row>
    <row r="964" spans="4:12" ht="13">
      <c r="D964" s="192"/>
      <c r="F964" s="192"/>
      <c r="H964" s="192"/>
      <c r="J964" s="192"/>
      <c r="L964" s="192"/>
    </row>
    <row r="965" spans="4:12" ht="13">
      <c r="D965" s="192"/>
      <c r="F965" s="192"/>
      <c r="H965" s="192"/>
      <c r="J965" s="192"/>
      <c r="L965" s="192"/>
    </row>
    <row r="966" spans="4:12" ht="13">
      <c r="D966" s="192"/>
      <c r="F966" s="192"/>
      <c r="H966" s="192"/>
      <c r="J966" s="192"/>
      <c r="L966" s="192"/>
    </row>
    <row r="967" spans="4:12" ht="13">
      <c r="D967" s="192"/>
      <c r="F967" s="192"/>
      <c r="H967" s="192"/>
      <c r="J967" s="192"/>
      <c r="L967" s="192"/>
    </row>
    <row r="968" spans="4:12" ht="13">
      <c r="D968" s="192"/>
      <c r="F968" s="192"/>
      <c r="H968" s="192"/>
      <c r="J968" s="192"/>
      <c r="L968" s="192"/>
    </row>
    <row r="969" spans="4:12" ht="13">
      <c r="D969" s="192"/>
      <c r="F969" s="192"/>
      <c r="H969" s="192"/>
      <c r="J969" s="192"/>
      <c r="L969" s="192"/>
    </row>
    <row r="970" spans="4:12" ht="13">
      <c r="D970" s="192"/>
      <c r="F970" s="192"/>
      <c r="H970" s="192"/>
      <c r="J970" s="192"/>
      <c r="L970" s="192"/>
    </row>
    <row r="971" spans="4:12" ht="13">
      <c r="D971" s="192"/>
      <c r="F971" s="192"/>
      <c r="H971" s="192"/>
      <c r="J971" s="192"/>
      <c r="L971" s="192"/>
    </row>
    <row r="972" spans="4:12" ht="13">
      <c r="D972" s="192"/>
      <c r="F972" s="192"/>
      <c r="H972" s="192"/>
      <c r="J972" s="192"/>
      <c r="L972" s="192"/>
    </row>
    <row r="973" spans="4:12" ht="13">
      <c r="D973" s="192"/>
      <c r="F973" s="192"/>
      <c r="H973" s="192"/>
      <c r="J973" s="192"/>
      <c r="L973" s="192"/>
    </row>
    <row r="974" spans="4:12" ht="13">
      <c r="D974" s="192"/>
      <c r="F974" s="192"/>
      <c r="H974" s="192"/>
      <c r="J974" s="192"/>
      <c r="L974" s="192"/>
    </row>
    <row r="975" spans="4:12" ht="13">
      <c r="D975" s="192"/>
      <c r="F975" s="192"/>
      <c r="H975" s="192"/>
      <c r="J975" s="192"/>
      <c r="L975" s="192"/>
    </row>
    <row r="976" spans="4:12" ht="13">
      <c r="D976" s="192"/>
      <c r="F976" s="192"/>
      <c r="H976" s="192"/>
      <c r="J976" s="192"/>
      <c r="L976" s="192"/>
    </row>
    <row r="977" spans="4:12" ht="13">
      <c r="D977" s="192"/>
      <c r="F977" s="192"/>
      <c r="H977" s="192"/>
      <c r="J977" s="192"/>
      <c r="L977" s="192"/>
    </row>
    <row r="978" spans="4:12" ht="13">
      <c r="D978" s="192"/>
      <c r="F978" s="192"/>
      <c r="H978" s="192"/>
      <c r="J978" s="192"/>
      <c r="L978" s="192"/>
    </row>
    <row r="979" spans="4:12" ht="13">
      <c r="D979" s="192"/>
      <c r="F979" s="192"/>
      <c r="H979" s="192"/>
      <c r="J979" s="192"/>
      <c r="L979" s="192"/>
    </row>
    <row r="980" spans="4:12" ht="13">
      <c r="D980" s="192"/>
      <c r="F980" s="192"/>
      <c r="H980" s="192"/>
      <c r="J980" s="192"/>
      <c r="L980" s="192"/>
    </row>
    <row r="981" spans="4:12" ht="13">
      <c r="D981" s="192"/>
      <c r="F981" s="192"/>
      <c r="H981" s="192"/>
      <c r="J981" s="192"/>
      <c r="L981" s="192"/>
    </row>
    <row r="982" spans="4:12" ht="13">
      <c r="D982" s="192"/>
      <c r="F982" s="192"/>
      <c r="H982" s="192"/>
      <c r="J982" s="192"/>
      <c r="L982" s="192"/>
    </row>
    <row r="983" spans="4:12" ht="13">
      <c r="D983" s="192"/>
      <c r="F983" s="192"/>
      <c r="H983" s="192"/>
      <c r="J983" s="192"/>
      <c r="L983" s="192"/>
    </row>
    <row r="984" spans="4:12" ht="13">
      <c r="D984" s="192"/>
      <c r="F984" s="192"/>
      <c r="H984" s="192"/>
      <c r="J984" s="192"/>
      <c r="L984" s="192"/>
    </row>
    <row r="985" spans="4:12" ht="13">
      <c r="D985" s="192"/>
      <c r="F985" s="192"/>
      <c r="H985" s="192"/>
      <c r="J985" s="192"/>
      <c r="L985" s="192"/>
    </row>
    <row r="986" spans="4:12" ht="13">
      <c r="D986" s="192"/>
      <c r="F986" s="192"/>
      <c r="H986" s="192"/>
      <c r="J986" s="192"/>
      <c r="L986" s="192"/>
    </row>
    <row r="987" spans="4:12" ht="13">
      <c r="D987" s="192"/>
      <c r="F987" s="192"/>
      <c r="H987" s="192"/>
      <c r="J987" s="192"/>
      <c r="L987" s="192"/>
    </row>
    <row r="988" spans="4:12" ht="13">
      <c r="D988" s="192"/>
      <c r="F988" s="192"/>
      <c r="H988" s="192"/>
      <c r="J988" s="192"/>
      <c r="L988" s="192"/>
    </row>
    <row r="989" spans="4:12" ht="13">
      <c r="D989" s="192"/>
      <c r="F989" s="192"/>
      <c r="H989" s="192"/>
      <c r="J989" s="192"/>
      <c r="L989" s="192"/>
    </row>
    <row r="990" spans="4:12" ht="13">
      <c r="D990" s="192"/>
      <c r="F990" s="192"/>
      <c r="H990" s="192"/>
      <c r="J990" s="192"/>
      <c r="L990" s="192"/>
    </row>
    <row r="991" spans="4:12" ht="13">
      <c r="D991" s="192"/>
      <c r="F991" s="192"/>
      <c r="H991" s="192"/>
      <c r="J991" s="192"/>
      <c r="L991" s="192"/>
    </row>
    <row r="992" spans="4:12" ht="13">
      <c r="D992" s="192"/>
      <c r="F992" s="192"/>
      <c r="H992" s="192"/>
      <c r="J992" s="192"/>
      <c r="L992" s="192"/>
    </row>
    <row r="993" spans="4:12" ht="13">
      <c r="D993" s="192"/>
      <c r="F993" s="192"/>
      <c r="H993" s="192"/>
      <c r="J993" s="192"/>
      <c r="L993" s="192"/>
    </row>
    <row r="994" spans="4:12" ht="13">
      <c r="D994" s="192"/>
      <c r="F994" s="192"/>
      <c r="H994" s="192"/>
      <c r="J994" s="192"/>
      <c r="L994" s="192"/>
    </row>
    <row r="995" spans="4:12" ht="13">
      <c r="D995" s="192"/>
      <c r="F995" s="192"/>
      <c r="H995" s="192"/>
      <c r="J995" s="192"/>
      <c r="L995" s="192"/>
    </row>
    <row r="996" spans="4:12" ht="13">
      <c r="D996" s="192"/>
      <c r="F996" s="192"/>
      <c r="H996" s="192"/>
      <c r="J996" s="192"/>
      <c r="L996" s="192"/>
    </row>
    <row r="997" spans="4:12" ht="13">
      <c r="D997" s="192"/>
      <c r="F997" s="192"/>
      <c r="H997" s="192"/>
      <c r="J997" s="192"/>
      <c r="L997" s="192"/>
    </row>
    <row r="998" spans="4:12" ht="13">
      <c r="D998" s="192"/>
      <c r="F998" s="192"/>
      <c r="H998" s="192"/>
      <c r="J998" s="192"/>
      <c r="L998" s="192"/>
    </row>
    <row r="999" spans="4:12" ht="13">
      <c r="D999" s="192"/>
      <c r="F999" s="192"/>
      <c r="H999" s="192"/>
      <c r="J999" s="192"/>
      <c r="L999" s="192"/>
    </row>
    <row r="1000" spans="4:12" ht="13">
      <c r="D1000" s="192"/>
      <c r="F1000" s="192"/>
      <c r="H1000" s="192"/>
      <c r="J1000" s="192"/>
      <c r="L1000" s="192"/>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A35"/>
  <sheetViews>
    <sheetView workbookViewId="0">
      <pane ySplit="1" topLeftCell="A2" activePane="bottomLeft" state="frozen"/>
      <selection pane="bottomLeft" activeCell="B3" sqref="B3"/>
    </sheetView>
  </sheetViews>
  <sheetFormatPr baseColWidth="10" defaultColWidth="14.5" defaultRowHeight="15.75" customHeight="1"/>
  <cols>
    <col min="1" max="1" width="104.5" customWidth="1"/>
    <col min="2" max="2" width="34" customWidth="1"/>
    <col min="3" max="3" width="70" customWidth="1"/>
    <col min="4" max="4" width="60.6640625" customWidth="1"/>
  </cols>
  <sheetData>
    <row r="1" spans="1:27" ht="15.75" customHeight="1">
      <c r="A1" s="144" t="s">
        <v>2840</v>
      </c>
      <c r="B1" s="144" t="s">
        <v>2841</v>
      </c>
      <c r="C1" s="144" t="s">
        <v>2842</v>
      </c>
      <c r="D1" s="144" t="s">
        <v>1184</v>
      </c>
      <c r="E1" s="236"/>
      <c r="F1" s="236"/>
      <c r="G1" s="236"/>
      <c r="H1" s="236"/>
      <c r="I1" s="236"/>
      <c r="J1" s="236"/>
      <c r="K1" s="236"/>
      <c r="L1" s="236"/>
      <c r="M1" s="236"/>
      <c r="N1" s="236"/>
      <c r="O1" s="236"/>
      <c r="P1" s="236"/>
      <c r="Q1" s="236"/>
      <c r="R1" s="236"/>
      <c r="S1" s="236"/>
      <c r="T1" s="236"/>
      <c r="U1" s="236"/>
      <c r="V1" s="236"/>
      <c r="W1" s="236"/>
      <c r="X1" s="236"/>
      <c r="Y1" s="236"/>
      <c r="Z1" s="236"/>
      <c r="AA1" s="236"/>
    </row>
    <row r="2" spans="1:27" ht="15.75" customHeight="1">
      <c r="A2" s="237" t="s">
        <v>2843</v>
      </c>
      <c r="B2" s="145" t="s">
        <v>2844</v>
      </c>
      <c r="C2" s="69" t="s">
        <v>2845</v>
      </c>
      <c r="D2" s="69" t="s">
        <v>2846</v>
      </c>
      <c r="E2" s="70"/>
      <c r="F2" s="70"/>
      <c r="G2" s="70"/>
      <c r="H2" s="70"/>
      <c r="I2" s="70"/>
      <c r="J2" s="70"/>
      <c r="K2" s="70"/>
      <c r="L2" s="70"/>
      <c r="M2" s="70"/>
      <c r="N2" s="70"/>
      <c r="O2" s="70"/>
      <c r="P2" s="70"/>
      <c r="Q2" s="70"/>
      <c r="R2" s="70"/>
      <c r="S2" s="70"/>
      <c r="T2" s="70"/>
      <c r="U2" s="70"/>
      <c r="V2" s="70"/>
      <c r="W2" s="70"/>
      <c r="X2" s="70"/>
      <c r="Y2" s="70"/>
      <c r="Z2" s="70"/>
      <c r="AA2" s="70"/>
    </row>
    <row r="3" spans="1:27" ht="15.75" customHeight="1">
      <c r="A3" s="238" t="s">
        <v>2847</v>
      </c>
      <c r="B3" s="145" t="s">
        <v>2848</v>
      </c>
      <c r="C3" s="69" t="s">
        <v>2849</v>
      </c>
      <c r="D3" s="69" t="s">
        <v>2850</v>
      </c>
      <c r="E3" s="70"/>
      <c r="F3" s="70"/>
      <c r="G3" s="70"/>
      <c r="H3" s="70"/>
      <c r="I3" s="70"/>
      <c r="J3" s="70"/>
      <c r="K3" s="70"/>
      <c r="L3" s="70"/>
      <c r="M3" s="70"/>
      <c r="N3" s="70"/>
      <c r="O3" s="70"/>
      <c r="P3" s="70"/>
      <c r="Q3" s="70"/>
      <c r="R3" s="70"/>
      <c r="S3" s="70"/>
      <c r="T3" s="70"/>
      <c r="U3" s="70"/>
      <c r="V3" s="70"/>
      <c r="W3" s="70"/>
      <c r="X3" s="70"/>
      <c r="Y3" s="70"/>
      <c r="Z3" s="70"/>
      <c r="AA3" s="70"/>
    </row>
    <row r="4" spans="1:27" ht="15.75" customHeight="1">
      <c r="A4" s="238" t="s">
        <v>2851</v>
      </c>
      <c r="B4" s="145" t="s">
        <v>2852</v>
      </c>
      <c r="C4" s="69" t="s">
        <v>2853</v>
      </c>
      <c r="D4" s="69" t="s">
        <v>2854</v>
      </c>
      <c r="E4" s="70"/>
      <c r="F4" s="70"/>
      <c r="G4" s="70"/>
      <c r="H4" s="70"/>
      <c r="I4" s="70"/>
      <c r="J4" s="70"/>
      <c r="K4" s="70"/>
      <c r="L4" s="70"/>
      <c r="M4" s="70"/>
      <c r="N4" s="70"/>
      <c r="O4" s="70"/>
      <c r="P4" s="70"/>
      <c r="Q4" s="70"/>
      <c r="R4" s="70"/>
      <c r="S4" s="70"/>
      <c r="T4" s="70"/>
      <c r="U4" s="70"/>
      <c r="V4" s="70"/>
      <c r="W4" s="70"/>
      <c r="X4" s="70"/>
      <c r="Y4" s="70"/>
      <c r="Z4" s="70"/>
      <c r="AA4" s="70"/>
    </row>
    <row r="5" spans="1:27" ht="15.75" customHeight="1">
      <c r="A5" s="237" t="s">
        <v>2855</v>
      </c>
      <c r="B5" s="145" t="s">
        <v>2856</v>
      </c>
      <c r="C5" s="69" t="s">
        <v>2857</v>
      </c>
      <c r="D5" s="70"/>
      <c r="E5" s="70"/>
      <c r="F5" s="70"/>
      <c r="G5" s="70"/>
      <c r="H5" s="70"/>
      <c r="I5" s="70"/>
      <c r="J5" s="70"/>
      <c r="K5" s="70"/>
      <c r="L5" s="70"/>
      <c r="M5" s="70"/>
      <c r="N5" s="70"/>
      <c r="O5" s="70"/>
      <c r="P5" s="70"/>
      <c r="Q5" s="70"/>
      <c r="R5" s="70"/>
      <c r="S5" s="70"/>
      <c r="T5" s="70"/>
      <c r="U5" s="70"/>
      <c r="V5" s="70"/>
      <c r="W5" s="70"/>
      <c r="X5" s="70"/>
      <c r="Y5" s="70"/>
      <c r="Z5" s="70"/>
      <c r="AA5" s="70"/>
    </row>
    <row r="6" spans="1:27" ht="15.75" customHeight="1">
      <c r="A6" s="69" t="s">
        <v>2858</v>
      </c>
      <c r="B6" s="145" t="s">
        <v>724</v>
      </c>
      <c r="C6" s="69"/>
      <c r="D6" s="69" t="s">
        <v>2859</v>
      </c>
      <c r="E6" s="70"/>
      <c r="F6" s="70"/>
      <c r="G6" s="70"/>
      <c r="H6" s="70"/>
      <c r="I6" s="70"/>
      <c r="J6" s="70"/>
      <c r="K6" s="70"/>
      <c r="L6" s="70"/>
      <c r="M6" s="70"/>
      <c r="N6" s="70"/>
      <c r="O6" s="70"/>
      <c r="P6" s="70"/>
      <c r="Q6" s="70"/>
      <c r="R6" s="70"/>
      <c r="S6" s="70"/>
      <c r="T6" s="70"/>
      <c r="U6" s="70"/>
      <c r="V6" s="70"/>
      <c r="W6" s="70"/>
      <c r="X6" s="70"/>
      <c r="Y6" s="70"/>
      <c r="Z6" s="70"/>
      <c r="AA6" s="70"/>
    </row>
    <row r="7" spans="1:27" ht="15.75" customHeight="1">
      <c r="A7" s="69" t="s">
        <v>2860</v>
      </c>
      <c r="B7" s="145" t="s">
        <v>2861</v>
      </c>
      <c r="C7" s="70"/>
      <c r="D7" s="69" t="s">
        <v>2862</v>
      </c>
      <c r="E7" s="70"/>
      <c r="F7" s="70"/>
      <c r="G7" s="70"/>
      <c r="H7" s="70"/>
      <c r="I7" s="70"/>
      <c r="J7" s="70"/>
      <c r="K7" s="70"/>
      <c r="L7" s="70"/>
      <c r="M7" s="70"/>
      <c r="N7" s="70"/>
      <c r="O7" s="70"/>
      <c r="P7" s="70"/>
      <c r="Q7" s="70"/>
      <c r="R7" s="70"/>
      <c r="S7" s="70"/>
      <c r="T7" s="70"/>
      <c r="U7" s="70"/>
      <c r="V7" s="70"/>
      <c r="W7" s="70"/>
      <c r="X7" s="70"/>
      <c r="Y7" s="70"/>
      <c r="Z7" s="70"/>
      <c r="AA7" s="70"/>
    </row>
    <row r="8" spans="1:27" ht="15.75" customHeight="1">
      <c r="A8" s="69" t="s">
        <v>2863</v>
      </c>
      <c r="B8" s="145" t="s">
        <v>2864</v>
      </c>
      <c r="C8" s="69" t="s">
        <v>2865</v>
      </c>
      <c r="D8" s="69" t="s">
        <v>2866</v>
      </c>
      <c r="E8" s="70"/>
      <c r="F8" s="70"/>
      <c r="G8" s="70"/>
      <c r="H8" s="70"/>
      <c r="I8" s="70"/>
      <c r="J8" s="70"/>
      <c r="K8" s="70"/>
      <c r="L8" s="70"/>
      <c r="M8" s="70"/>
      <c r="N8" s="70"/>
      <c r="O8" s="70"/>
      <c r="P8" s="70"/>
      <c r="Q8" s="70"/>
      <c r="R8" s="70"/>
      <c r="S8" s="70"/>
      <c r="T8" s="70"/>
      <c r="U8" s="70"/>
      <c r="V8" s="70"/>
      <c r="W8" s="70"/>
      <c r="X8" s="70"/>
      <c r="Y8" s="70"/>
      <c r="Z8" s="70"/>
      <c r="AA8" s="70"/>
    </row>
    <row r="9" spans="1:27" ht="15.75" customHeight="1">
      <c r="A9" s="237" t="s">
        <v>2867</v>
      </c>
      <c r="B9" s="145" t="s">
        <v>2868</v>
      </c>
      <c r="C9" s="69" t="s">
        <v>2869</v>
      </c>
      <c r="D9" s="69" t="s">
        <v>2870</v>
      </c>
      <c r="E9" s="70"/>
      <c r="F9" s="70"/>
      <c r="G9" s="70"/>
      <c r="H9" s="70"/>
      <c r="I9" s="70"/>
      <c r="J9" s="70"/>
      <c r="K9" s="70"/>
      <c r="L9" s="70"/>
      <c r="M9" s="70"/>
      <c r="N9" s="70"/>
      <c r="O9" s="70"/>
      <c r="P9" s="70"/>
      <c r="Q9" s="70"/>
      <c r="R9" s="70"/>
      <c r="S9" s="70"/>
      <c r="T9" s="70"/>
      <c r="U9" s="70"/>
      <c r="V9" s="70"/>
      <c r="W9" s="70"/>
      <c r="X9" s="70"/>
      <c r="Y9" s="70"/>
      <c r="Z9" s="70"/>
      <c r="AA9" s="70"/>
    </row>
    <row r="10" spans="1:27" ht="15.75" customHeight="1">
      <c r="A10" s="239" t="s">
        <v>2871</v>
      </c>
      <c r="B10" s="145" t="s">
        <v>2872</v>
      </c>
      <c r="C10" s="69" t="s">
        <v>2873</v>
      </c>
      <c r="D10" s="69" t="s">
        <v>2874</v>
      </c>
      <c r="E10" s="70"/>
      <c r="F10" s="70"/>
      <c r="G10" s="70"/>
      <c r="H10" s="70"/>
      <c r="I10" s="70"/>
      <c r="J10" s="70"/>
      <c r="K10" s="70"/>
      <c r="L10" s="70"/>
      <c r="M10" s="70"/>
      <c r="N10" s="70"/>
      <c r="O10" s="70"/>
      <c r="P10" s="70"/>
      <c r="Q10" s="70"/>
      <c r="R10" s="70"/>
      <c r="S10" s="70"/>
      <c r="T10" s="70"/>
      <c r="U10" s="70"/>
      <c r="V10" s="70"/>
      <c r="W10" s="70"/>
      <c r="X10" s="70"/>
      <c r="Y10" s="70"/>
      <c r="Z10" s="70"/>
      <c r="AA10" s="70"/>
    </row>
    <row r="11" spans="1:27" ht="15.75" customHeight="1">
      <c r="A11" s="239" t="s">
        <v>2875</v>
      </c>
      <c r="B11" s="145" t="s">
        <v>2876</v>
      </c>
      <c r="C11" s="69" t="s">
        <v>2877</v>
      </c>
      <c r="D11" s="69" t="s">
        <v>2878</v>
      </c>
      <c r="E11" s="70"/>
      <c r="F11" s="70"/>
      <c r="G11" s="70"/>
      <c r="H11" s="70"/>
      <c r="I11" s="70"/>
      <c r="J11" s="70"/>
      <c r="K11" s="70"/>
      <c r="L11" s="70"/>
      <c r="M11" s="70"/>
      <c r="N11" s="70"/>
      <c r="O11" s="70"/>
      <c r="P11" s="70"/>
      <c r="Q11" s="70"/>
      <c r="R11" s="70"/>
      <c r="S11" s="70"/>
      <c r="T11" s="70"/>
      <c r="U11" s="70"/>
      <c r="V11" s="70"/>
      <c r="W11" s="70"/>
      <c r="X11" s="70"/>
      <c r="Y11" s="70"/>
      <c r="Z11" s="70"/>
      <c r="AA11" s="70"/>
    </row>
    <row r="12" spans="1:27" ht="15.75" customHeight="1">
      <c r="A12" s="238" t="s">
        <v>2879</v>
      </c>
      <c r="B12" s="145" t="s">
        <v>2880</v>
      </c>
      <c r="C12" s="69" t="s">
        <v>2881</v>
      </c>
      <c r="D12" s="69" t="s">
        <v>2882</v>
      </c>
      <c r="E12" s="70"/>
      <c r="F12" s="70"/>
      <c r="G12" s="70"/>
      <c r="H12" s="70"/>
      <c r="I12" s="70"/>
      <c r="J12" s="70"/>
      <c r="K12" s="70"/>
      <c r="L12" s="70"/>
      <c r="M12" s="70"/>
      <c r="N12" s="70"/>
      <c r="O12" s="70"/>
      <c r="P12" s="70"/>
      <c r="Q12" s="70"/>
      <c r="R12" s="70"/>
      <c r="S12" s="70"/>
      <c r="T12" s="70"/>
      <c r="U12" s="70"/>
      <c r="V12" s="70"/>
      <c r="W12" s="70"/>
      <c r="X12" s="70"/>
      <c r="Y12" s="70"/>
      <c r="Z12" s="70"/>
      <c r="AA12" s="70"/>
    </row>
    <row r="13" spans="1:27" ht="15.75" customHeight="1">
      <c r="A13" s="69" t="s">
        <v>2883</v>
      </c>
      <c r="B13" s="145" t="s">
        <v>126</v>
      </c>
      <c r="C13" s="69" t="s">
        <v>126</v>
      </c>
      <c r="D13" s="69" t="s">
        <v>2884</v>
      </c>
      <c r="E13" s="70"/>
      <c r="F13" s="70"/>
      <c r="G13" s="70"/>
      <c r="H13" s="70"/>
      <c r="I13" s="70"/>
      <c r="J13" s="70"/>
      <c r="K13" s="70"/>
      <c r="L13" s="70"/>
      <c r="M13" s="70"/>
      <c r="N13" s="70"/>
      <c r="O13" s="70"/>
      <c r="P13" s="70"/>
      <c r="Q13" s="70"/>
      <c r="R13" s="70"/>
      <c r="S13" s="70"/>
      <c r="T13" s="70"/>
      <c r="U13" s="70"/>
      <c r="V13" s="70"/>
      <c r="W13" s="70"/>
      <c r="X13" s="70"/>
      <c r="Y13" s="70"/>
      <c r="Z13" s="70"/>
      <c r="AA13" s="70"/>
    </row>
    <row r="14" spans="1:27" ht="15.75" customHeight="1">
      <c r="A14" s="69" t="s">
        <v>2885</v>
      </c>
      <c r="B14" s="145" t="s">
        <v>2886</v>
      </c>
      <c r="C14" s="69" t="s">
        <v>2887</v>
      </c>
      <c r="D14" s="69" t="s">
        <v>2888</v>
      </c>
      <c r="E14" s="70"/>
      <c r="F14" s="70"/>
      <c r="G14" s="70"/>
      <c r="H14" s="70"/>
      <c r="I14" s="70"/>
      <c r="J14" s="70"/>
      <c r="K14" s="70"/>
      <c r="L14" s="70"/>
      <c r="M14" s="70"/>
      <c r="N14" s="70"/>
      <c r="O14" s="70"/>
      <c r="P14" s="70"/>
      <c r="Q14" s="70"/>
      <c r="R14" s="70"/>
      <c r="S14" s="70"/>
      <c r="T14" s="70"/>
      <c r="U14" s="70"/>
      <c r="V14" s="70"/>
      <c r="W14" s="70"/>
      <c r="X14" s="70"/>
      <c r="Y14" s="70"/>
      <c r="Z14" s="70"/>
      <c r="AA14" s="70"/>
    </row>
    <row r="15" spans="1:27" ht="15.75" customHeight="1">
      <c r="A15" s="69" t="s">
        <v>2889</v>
      </c>
      <c r="B15" s="151"/>
      <c r="C15" s="70"/>
      <c r="D15" s="69" t="s">
        <v>2890</v>
      </c>
      <c r="E15" s="70"/>
      <c r="F15" s="70"/>
      <c r="G15" s="70"/>
      <c r="H15" s="70"/>
      <c r="I15" s="70"/>
      <c r="J15" s="70"/>
      <c r="K15" s="70"/>
      <c r="L15" s="70"/>
      <c r="M15" s="70"/>
      <c r="N15" s="70"/>
      <c r="O15" s="70"/>
      <c r="P15" s="70"/>
      <c r="Q15" s="70"/>
      <c r="R15" s="70"/>
      <c r="S15" s="70"/>
      <c r="T15" s="70"/>
      <c r="U15" s="70"/>
      <c r="V15" s="70"/>
      <c r="W15" s="70"/>
      <c r="X15" s="70"/>
      <c r="Y15" s="70"/>
      <c r="Z15" s="70"/>
      <c r="AA15" s="70"/>
    </row>
    <row r="16" spans="1:27" ht="15.75" customHeight="1">
      <c r="A16" s="70"/>
      <c r="B16" s="151"/>
      <c r="C16" s="70"/>
      <c r="D16" s="70"/>
      <c r="E16" s="70"/>
      <c r="F16" s="70"/>
      <c r="G16" s="70"/>
      <c r="H16" s="70"/>
      <c r="I16" s="70"/>
      <c r="J16" s="70"/>
      <c r="K16" s="70"/>
      <c r="L16" s="70"/>
      <c r="M16" s="70"/>
      <c r="N16" s="70"/>
      <c r="O16" s="70"/>
      <c r="P16" s="70"/>
      <c r="Q16" s="70"/>
      <c r="R16" s="70"/>
      <c r="S16" s="70"/>
      <c r="T16" s="70"/>
      <c r="U16" s="70"/>
      <c r="V16" s="70"/>
      <c r="W16" s="70"/>
      <c r="X16" s="70"/>
      <c r="Y16" s="70"/>
      <c r="Z16" s="70"/>
      <c r="AA16" s="70"/>
    </row>
    <row r="17" spans="1:27" ht="15.75" customHeight="1">
      <c r="A17" s="70"/>
      <c r="B17" s="151"/>
      <c r="C17" s="70"/>
      <c r="D17" s="70"/>
      <c r="E17" s="70"/>
      <c r="F17" s="70"/>
      <c r="G17" s="70"/>
      <c r="H17" s="70"/>
      <c r="I17" s="70"/>
      <c r="J17" s="70"/>
      <c r="K17" s="70"/>
      <c r="L17" s="70"/>
      <c r="M17" s="70"/>
      <c r="N17" s="70"/>
      <c r="O17" s="70"/>
      <c r="P17" s="70"/>
      <c r="Q17" s="70"/>
      <c r="R17" s="70"/>
      <c r="S17" s="70"/>
      <c r="T17" s="70"/>
      <c r="U17" s="70"/>
      <c r="V17" s="70"/>
      <c r="W17" s="70"/>
      <c r="X17" s="70"/>
      <c r="Y17" s="70"/>
      <c r="Z17" s="70"/>
      <c r="AA17" s="70"/>
    </row>
    <row r="18" spans="1:27" ht="15.75" customHeight="1">
      <c r="A18" s="70"/>
      <c r="B18" s="151"/>
      <c r="C18" s="70"/>
      <c r="D18" s="70"/>
      <c r="E18" s="70"/>
      <c r="F18" s="70"/>
      <c r="G18" s="70"/>
      <c r="H18" s="70"/>
      <c r="I18" s="70"/>
      <c r="J18" s="70"/>
      <c r="K18" s="70"/>
      <c r="L18" s="70"/>
      <c r="M18" s="70"/>
      <c r="N18" s="70"/>
      <c r="O18" s="70"/>
      <c r="P18" s="70"/>
      <c r="Q18" s="70"/>
      <c r="R18" s="70"/>
      <c r="S18" s="70"/>
      <c r="T18" s="70"/>
      <c r="U18" s="70"/>
      <c r="V18" s="70"/>
      <c r="W18" s="70"/>
      <c r="X18" s="70"/>
      <c r="Y18" s="70"/>
      <c r="Z18" s="70"/>
      <c r="AA18" s="70"/>
    </row>
    <row r="19" spans="1:27" ht="15.75" customHeight="1">
      <c r="A19" s="70"/>
      <c r="B19" s="151"/>
      <c r="C19" s="70"/>
      <c r="D19" s="70"/>
      <c r="E19" s="70"/>
      <c r="F19" s="70"/>
      <c r="G19" s="70"/>
      <c r="H19" s="70"/>
      <c r="I19" s="70"/>
      <c r="J19" s="70"/>
      <c r="K19" s="70"/>
      <c r="L19" s="70"/>
      <c r="M19" s="70"/>
      <c r="N19" s="70"/>
      <c r="O19" s="70"/>
      <c r="P19" s="70"/>
      <c r="Q19" s="70"/>
      <c r="R19" s="70"/>
      <c r="S19" s="70"/>
      <c r="T19" s="70"/>
      <c r="U19" s="70"/>
      <c r="V19" s="70"/>
      <c r="W19" s="70"/>
      <c r="X19" s="70"/>
      <c r="Y19" s="70"/>
      <c r="Z19" s="70"/>
      <c r="AA19" s="70"/>
    </row>
    <row r="20" spans="1:27" ht="15.75" customHeight="1">
      <c r="A20" s="70"/>
      <c r="B20" s="151"/>
      <c r="C20" s="70"/>
      <c r="D20" s="70"/>
      <c r="E20" s="70"/>
      <c r="F20" s="70"/>
      <c r="G20" s="70"/>
      <c r="H20" s="70"/>
      <c r="I20" s="70"/>
      <c r="J20" s="70"/>
      <c r="K20" s="70"/>
      <c r="L20" s="70"/>
      <c r="M20" s="70"/>
      <c r="N20" s="70"/>
      <c r="O20" s="70"/>
      <c r="P20" s="70"/>
      <c r="Q20" s="70"/>
      <c r="R20" s="70"/>
      <c r="S20" s="70"/>
      <c r="T20" s="70"/>
      <c r="U20" s="70"/>
      <c r="V20" s="70"/>
      <c r="W20" s="70"/>
      <c r="X20" s="70"/>
      <c r="Y20" s="70"/>
      <c r="Z20" s="70"/>
      <c r="AA20" s="70"/>
    </row>
    <row r="21" spans="1:27" ht="15.75" customHeight="1">
      <c r="A21" s="70"/>
      <c r="B21" s="151"/>
      <c r="C21" s="70"/>
      <c r="D21" s="70"/>
      <c r="E21" s="70"/>
      <c r="F21" s="70"/>
      <c r="G21" s="70"/>
      <c r="H21" s="70"/>
      <c r="I21" s="70"/>
      <c r="J21" s="70"/>
      <c r="K21" s="70"/>
      <c r="L21" s="70"/>
      <c r="M21" s="70"/>
      <c r="N21" s="70"/>
      <c r="O21" s="70"/>
      <c r="P21" s="70"/>
      <c r="Q21" s="70"/>
      <c r="R21" s="70"/>
      <c r="S21" s="70"/>
      <c r="T21" s="70"/>
      <c r="U21" s="70"/>
      <c r="V21" s="70"/>
      <c r="W21" s="70"/>
      <c r="X21" s="70"/>
      <c r="Y21" s="70"/>
      <c r="Z21" s="70"/>
      <c r="AA21" s="70"/>
    </row>
    <row r="22" spans="1:27" ht="15.75" customHeight="1">
      <c r="A22" s="70"/>
      <c r="B22" s="151"/>
      <c r="C22" s="70"/>
      <c r="D22" s="70"/>
      <c r="E22" s="70"/>
      <c r="F22" s="70"/>
      <c r="G22" s="70"/>
      <c r="H22" s="70"/>
      <c r="I22" s="70"/>
      <c r="J22" s="70"/>
      <c r="K22" s="70"/>
      <c r="L22" s="70"/>
      <c r="M22" s="70"/>
      <c r="N22" s="70"/>
      <c r="O22" s="70"/>
      <c r="P22" s="70"/>
      <c r="Q22" s="70"/>
      <c r="R22" s="70"/>
      <c r="S22" s="70"/>
      <c r="T22" s="70"/>
      <c r="U22" s="70"/>
      <c r="V22" s="70"/>
      <c r="W22" s="70"/>
      <c r="X22" s="70"/>
      <c r="Y22" s="70"/>
      <c r="Z22" s="70"/>
      <c r="AA22" s="70"/>
    </row>
    <row r="23" spans="1:27" ht="15.75" customHeight="1">
      <c r="A23" s="70"/>
      <c r="B23" s="151"/>
      <c r="C23" s="70"/>
      <c r="D23" s="70"/>
      <c r="E23" s="70"/>
      <c r="F23" s="70"/>
      <c r="G23" s="70"/>
      <c r="H23" s="70"/>
      <c r="I23" s="70"/>
      <c r="J23" s="70"/>
      <c r="K23" s="70"/>
      <c r="L23" s="70"/>
      <c r="M23" s="70"/>
      <c r="N23" s="70"/>
      <c r="O23" s="70"/>
      <c r="P23" s="70"/>
      <c r="Q23" s="70"/>
      <c r="R23" s="70"/>
      <c r="S23" s="70"/>
      <c r="T23" s="70"/>
      <c r="U23" s="70"/>
      <c r="V23" s="70"/>
      <c r="W23" s="70"/>
      <c r="X23" s="70"/>
      <c r="Y23" s="70"/>
      <c r="Z23" s="70"/>
      <c r="AA23" s="70"/>
    </row>
    <row r="24" spans="1:27" ht="15.75" customHeight="1">
      <c r="A24" s="70"/>
      <c r="B24" s="151"/>
      <c r="C24" s="70"/>
      <c r="D24" s="70"/>
      <c r="E24" s="70"/>
      <c r="F24" s="70"/>
      <c r="G24" s="70"/>
      <c r="H24" s="70"/>
      <c r="I24" s="70"/>
      <c r="J24" s="70"/>
      <c r="K24" s="70"/>
      <c r="L24" s="70"/>
      <c r="M24" s="70"/>
      <c r="N24" s="70"/>
      <c r="O24" s="70"/>
      <c r="P24" s="70"/>
      <c r="Q24" s="70"/>
      <c r="R24" s="70"/>
      <c r="S24" s="70"/>
      <c r="T24" s="70"/>
      <c r="U24" s="70"/>
      <c r="V24" s="70"/>
      <c r="W24" s="70"/>
      <c r="X24" s="70"/>
      <c r="Y24" s="70"/>
      <c r="Z24" s="70"/>
      <c r="AA24" s="70"/>
    </row>
    <row r="25" spans="1:27" ht="15.75" customHeight="1">
      <c r="A25" s="70"/>
      <c r="B25" s="151"/>
      <c r="C25" s="70"/>
      <c r="D25" s="70"/>
      <c r="E25" s="70"/>
      <c r="F25" s="70"/>
      <c r="G25" s="70"/>
      <c r="H25" s="70"/>
      <c r="I25" s="70"/>
      <c r="J25" s="70"/>
      <c r="K25" s="70"/>
      <c r="L25" s="70"/>
      <c r="M25" s="70"/>
      <c r="N25" s="70"/>
      <c r="O25" s="70"/>
      <c r="P25" s="70"/>
      <c r="Q25" s="70"/>
      <c r="R25" s="70"/>
      <c r="S25" s="70"/>
      <c r="T25" s="70"/>
      <c r="U25" s="70"/>
      <c r="V25" s="70"/>
      <c r="W25" s="70"/>
      <c r="X25" s="70"/>
      <c r="Y25" s="70"/>
      <c r="Z25" s="70"/>
      <c r="AA25" s="70"/>
    </row>
    <row r="26" spans="1:27" ht="15.75" customHeight="1">
      <c r="A26" s="70"/>
      <c r="B26" s="151"/>
      <c r="C26" s="70"/>
      <c r="D26" s="70"/>
      <c r="E26" s="70"/>
      <c r="F26" s="70"/>
      <c r="G26" s="70"/>
      <c r="H26" s="70"/>
      <c r="I26" s="70"/>
      <c r="J26" s="70"/>
      <c r="K26" s="70"/>
      <c r="L26" s="70"/>
      <c r="M26" s="70"/>
      <c r="N26" s="70"/>
      <c r="O26" s="70"/>
      <c r="P26" s="70"/>
      <c r="Q26" s="70"/>
      <c r="R26" s="70"/>
      <c r="S26" s="70"/>
      <c r="T26" s="70"/>
      <c r="U26" s="70"/>
      <c r="V26" s="70"/>
      <c r="W26" s="70"/>
      <c r="X26" s="70"/>
      <c r="Y26" s="70"/>
      <c r="Z26" s="70"/>
      <c r="AA26" s="70"/>
    </row>
    <row r="27" spans="1:27" ht="15.75" customHeight="1">
      <c r="A27" s="70"/>
      <c r="B27" s="151"/>
      <c r="C27" s="70"/>
      <c r="D27" s="70"/>
      <c r="E27" s="70"/>
      <c r="F27" s="70"/>
      <c r="G27" s="70"/>
      <c r="H27" s="70"/>
      <c r="I27" s="70"/>
      <c r="J27" s="70"/>
      <c r="K27" s="70"/>
      <c r="L27" s="70"/>
      <c r="M27" s="70"/>
      <c r="N27" s="70"/>
      <c r="O27" s="70"/>
      <c r="P27" s="70"/>
      <c r="Q27" s="70"/>
      <c r="R27" s="70"/>
      <c r="S27" s="70"/>
      <c r="T27" s="70"/>
      <c r="U27" s="70"/>
      <c r="V27" s="70"/>
      <c r="W27" s="70"/>
      <c r="X27" s="70"/>
      <c r="Y27" s="70"/>
      <c r="Z27" s="70"/>
      <c r="AA27" s="70"/>
    </row>
    <row r="28" spans="1:27" ht="15.75" customHeight="1">
      <c r="A28" s="70"/>
      <c r="B28" s="151"/>
      <c r="C28" s="70"/>
      <c r="D28" s="70"/>
      <c r="E28" s="70"/>
      <c r="F28" s="70"/>
      <c r="G28" s="70"/>
      <c r="H28" s="70"/>
      <c r="I28" s="70"/>
      <c r="J28" s="70"/>
      <c r="K28" s="70"/>
      <c r="L28" s="70"/>
      <c r="M28" s="70"/>
      <c r="N28" s="70"/>
      <c r="O28" s="70"/>
      <c r="P28" s="70"/>
      <c r="Q28" s="70"/>
      <c r="R28" s="70"/>
      <c r="S28" s="70"/>
      <c r="T28" s="70"/>
      <c r="U28" s="70"/>
      <c r="V28" s="70"/>
      <c r="W28" s="70"/>
      <c r="X28" s="70"/>
      <c r="Y28" s="70"/>
      <c r="Z28" s="70"/>
      <c r="AA28" s="70"/>
    </row>
    <row r="29" spans="1:27" ht="15.75" customHeight="1">
      <c r="A29" s="70"/>
      <c r="B29" s="151"/>
      <c r="C29" s="70"/>
      <c r="D29" s="70"/>
      <c r="E29" s="70"/>
      <c r="F29" s="70"/>
      <c r="G29" s="70"/>
      <c r="H29" s="70"/>
      <c r="I29" s="70"/>
      <c r="J29" s="70"/>
      <c r="K29" s="70"/>
      <c r="L29" s="70"/>
      <c r="M29" s="70"/>
      <c r="N29" s="70"/>
      <c r="O29" s="70"/>
      <c r="P29" s="70"/>
      <c r="Q29" s="70"/>
      <c r="R29" s="70"/>
      <c r="S29" s="70"/>
      <c r="T29" s="70"/>
      <c r="U29" s="70"/>
      <c r="V29" s="70"/>
      <c r="W29" s="70"/>
      <c r="X29" s="70"/>
      <c r="Y29" s="70"/>
      <c r="Z29" s="70"/>
      <c r="AA29" s="70"/>
    </row>
    <row r="30" spans="1:27" ht="15.75" customHeight="1">
      <c r="A30" s="70"/>
      <c r="B30" s="151"/>
      <c r="C30" s="70"/>
      <c r="D30" s="70"/>
      <c r="E30" s="70"/>
      <c r="F30" s="70"/>
      <c r="G30" s="70"/>
      <c r="H30" s="70"/>
      <c r="I30" s="70"/>
      <c r="J30" s="70"/>
      <c r="K30" s="70"/>
      <c r="L30" s="70"/>
      <c r="M30" s="70"/>
      <c r="N30" s="70"/>
      <c r="O30" s="70"/>
      <c r="P30" s="70"/>
      <c r="Q30" s="70"/>
      <c r="R30" s="70"/>
      <c r="S30" s="70"/>
      <c r="T30" s="70"/>
      <c r="U30" s="70"/>
      <c r="V30" s="70"/>
      <c r="W30" s="70"/>
      <c r="X30" s="70"/>
      <c r="Y30" s="70"/>
      <c r="Z30" s="70"/>
      <c r="AA30" s="70"/>
    </row>
    <row r="31" spans="1:27" ht="15.75" customHeight="1">
      <c r="A31" s="70"/>
      <c r="B31" s="151"/>
      <c r="C31" s="70"/>
      <c r="D31" s="70"/>
      <c r="E31" s="70"/>
      <c r="F31" s="70"/>
      <c r="G31" s="70"/>
      <c r="H31" s="70"/>
      <c r="I31" s="70"/>
      <c r="J31" s="70"/>
      <c r="K31" s="70"/>
      <c r="L31" s="70"/>
      <c r="M31" s="70"/>
      <c r="N31" s="70"/>
      <c r="O31" s="70"/>
      <c r="P31" s="70"/>
      <c r="Q31" s="70"/>
      <c r="R31" s="70"/>
      <c r="S31" s="70"/>
      <c r="T31" s="70"/>
      <c r="U31" s="70"/>
      <c r="V31" s="70"/>
      <c r="W31" s="70"/>
      <c r="X31" s="70"/>
      <c r="Y31" s="70"/>
      <c r="Z31" s="70"/>
      <c r="AA31" s="70"/>
    </row>
    <row r="32" spans="1:27" ht="15.75" customHeight="1">
      <c r="A32" s="70"/>
      <c r="B32" s="151"/>
      <c r="C32" s="70"/>
      <c r="D32" s="70"/>
      <c r="E32" s="70"/>
      <c r="F32" s="70"/>
      <c r="G32" s="70"/>
      <c r="H32" s="70"/>
      <c r="I32" s="70"/>
      <c r="J32" s="70"/>
      <c r="K32" s="70"/>
      <c r="L32" s="70"/>
      <c r="M32" s="70"/>
      <c r="N32" s="70"/>
      <c r="O32" s="70"/>
      <c r="P32" s="70"/>
      <c r="Q32" s="70"/>
      <c r="R32" s="70"/>
      <c r="S32" s="70"/>
      <c r="T32" s="70"/>
      <c r="U32" s="70"/>
      <c r="V32" s="70"/>
      <c r="W32" s="70"/>
      <c r="X32" s="70"/>
      <c r="Y32" s="70"/>
      <c r="Z32" s="70"/>
      <c r="AA32" s="70"/>
    </row>
    <row r="33" spans="1:27" ht="15.75" customHeight="1">
      <c r="A33" s="70"/>
      <c r="B33" s="151"/>
      <c r="C33" s="70"/>
      <c r="D33" s="70"/>
      <c r="E33" s="70"/>
      <c r="F33" s="70"/>
      <c r="G33" s="70"/>
      <c r="H33" s="70"/>
      <c r="I33" s="70"/>
      <c r="J33" s="70"/>
      <c r="K33" s="70"/>
      <c r="L33" s="70"/>
      <c r="M33" s="70"/>
      <c r="N33" s="70"/>
      <c r="O33" s="70"/>
      <c r="P33" s="70"/>
      <c r="Q33" s="70"/>
      <c r="R33" s="70"/>
      <c r="S33" s="70"/>
      <c r="T33" s="70"/>
      <c r="U33" s="70"/>
      <c r="V33" s="70"/>
      <c r="W33" s="70"/>
      <c r="X33" s="70"/>
      <c r="Y33" s="70"/>
      <c r="Z33" s="70"/>
      <c r="AA33" s="70"/>
    </row>
    <row r="34" spans="1:27" ht="15.75" customHeight="1">
      <c r="A34" s="70"/>
      <c r="B34" s="151"/>
      <c r="C34" s="70"/>
      <c r="D34" s="70"/>
      <c r="E34" s="70"/>
      <c r="F34" s="70"/>
      <c r="G34" s="70"/>
      <c r="H34" s="70"/>
      <c r="I34" s="70"/>
      <c r="J34" s="70"/>
      <c r="K34" s="70"/>
      <c r="L34" s="70"/>
      <c r="M34" s="70"/>
      <c r="N34" s="70"/>
      <c r="O34" s="70"/>
      <c r="P34" s="70"/>
      <c r="Q34" s="70"/>
      <c r="R34" s="70"/>
      <c r="S34" s="70"/>
      <c r="T34" s="70"/>
      <c r="U34" s="70"/>
      <c r="V34" s="70"/>
      <c r="W34" s="70"/>
      <c r="X34" s="70"/>
      <c r="Y34" s="70"/>
      <c r="Z34" s="70"/>
      <c r="AA34" s="70"/>
    </row>
    <row r="35" spans="1:27" ht="15.75" customHeight="1">
      <c r="A35" s="70"/>
      <c r="B35" s="151"/>
      <c r="C35" s="70"/>
      <c r="D35" s="70"/>
      <c r="E35" s="70"/>
      <c r="F35" s="70"/>
      <c r="G35" s="70"/>
      <c r="H35" s="70"/>
      <c r="I35" s="70"/>
      <c r="J35" s="70"/>
      <c r="K35" s="70"/>
      <c r="L35" s="70"/>
      <c r="M35" s="70"/>
      <c r="N35" s="70"/>
      <c r="O35" s="70"/>
      <c r="P35" s="70"/>
      <c r="Q35" s="70"/>
      <c r="R35" s="70"/>
      <c r="S35" s="70"/>
      <c r="T35" s="70"/>
      <c r="U35" s="70"/>
      <c r="V35" s="70"/>
      <c r="W35" s="70"/>
      <c r="X35" s="70"/>
      <c r="Y35" s="70"/>
      <c r="Z35" s="70"/>
      <c r="AA35" s="70"/>
    </row>
  </sheetData>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Z1000"/>
  <sheetViews>
    <sheetView workbookViewId="0"/>
  </sheetViews>
  <sheetFormatPr baseColWidth="10" defaultColWidth="14.5" defaultRowHeight="15.75" customHeight="1"/>
  <cols>
    <col min="1" max="1" width="60" customWidth="1"/>
    <col min="4" max="4" width="34" customWidth="1"/>
    <col min="5" max="5" width="15.33203125" customWidth="1"/>
    <col min="6" max="6" width="25" customWidth="1"/>
    <col min="8" max="8" width="25.83203125" customWidth="1"/>
    <col min="10" max="10" width="29.33203125" customWidth="1"/>
  </cols>
  <sheetData>
    <row r="1" spans="1:26" ht="15.75" customHeight="1">
      <c r="A1" s="240" t="s">
        <v>2891</v>
      </c>
      <c r="B1" s="241">
        <f ca="1">IFERROR(__xludf.DUMMYFUNCTION("counta(filter(Recipes!A:A,Recipes!C:C=""""))"),6)</f>
        <v>6</v>
      </c>
      <c r="C1" s="70"/>
      <c r="D1" s="143" t="s">
        <v>2892</v>
      </c>
      <c r="E1" s="241">
        <f ca="1">COUNTA(D2:D38)</f>
        <v>31</v>
      </c>
      <c r="F1" s="143" t="s">
        <v>2893</v>
      </c>
      <c r="G1" s="241">
        <f>COUNTA(F2:F6)</f>
        <v>1</v>
      </c>
      <c r="H1" s="143" t="s">
        <v>2894</v>
      </c>
      <c r="I1" s="241">
        <f ca="1">COUNTA(H2:H1000)</f>
        <v>1</v>
      </c>
      <c r="J1" s="143" t="s">
        <v>2895</v>
      </c>
      <c r="K1" s="70"/>
      <c r="L1" s="70"/>
      <c r="M1" s="70"/>
      <c r="N1" s="70"/>
      <c r="O1" s="70"/>
      <c r="P1" s="70"/>
      <c r="Q1" s="70"/>
      <c r="R1" s="70"/>
      <c r="S1" s="70"/>
      <c r="T1" s="70"/>
      <c r="U1" s="70"/>
      <c r="V1" s="70"/>
      <c r="W1" s="70"/>
      <c r="X1" s="70"/>
      <c r="Y1" s="70"/>
      <c r="Z1" s="70"/>
    </row>
    <row r="2" spans="1:26" ht="15.75" customHeight="1">
      <c r="A2" s="240" t="s">
        <v>2896</v>
      </c>
      <c r="B2" s="241">
        <f ca="1">IFERROR(__xludf.DUMMYFUNCTION("counta(filter(Ingredients!A:A,Ingredients!B:B=""""))"),31)</f>
        <v>31</v>
      </c>
      <c r="C2" s="70"/>
      <c r="D2" s="70" t="str">
        <f ca="1">IFERROR(__xludf.DUMMYFUNCTION("filter(Ingredients!A:A,Ingredients!B:B="""")"),"Puppet Bead")</f>
        <v>Puppet Bead</v>
      </c>
      <c r="E2" s="70"/>
      <c r="F2" s="69" t="s">
        <v>1938</v>
      </c>
      <c r="G2" s="70"/>
      <c r="H2" s="70" t="str">
        <f ca="1">IFERROR(__xludf.DUMMYFUNCTION("sort(filter(Status!A:A,Status!C:C=""""))"),"")</f>
        <v/>
      </c>
      <c r="I2" s="70"/>
      <c r="J2" s="242" t="s">
        <v>2897</v>
      </c>
      <c r="K2" s="70"/>
      <c r="L2" s="70"/>
      <c r="M2" s="70"/>
      <c r="N2" s="70"/>
      <c r="O2" s="70"/>
      <c r="P2" s="70"/>
      <c r="Q2" s="70"/>
      <c r="R2" s="70"/>
      <c r="S2" s="70"/>
      <c r="T2" s="70"/>
      <c r="U2" s="70"/>
      <c r="V2" s="70"/>
      <c r="W2" s="70"/>
      <c r="X2" s="70"/>
      <c r="Y2" s="70"/>
      <c r="Z2" s="70"/>
    </row>
    <row r="3" spans="1:26" ht="15.75" customHeight="1">
      <c r="A3" s="69"/>
      <c r="B3" s="70"/>
      <c r="C3" s="70"/>
      <c r="D3" s="70" t="str">
        <f ca="1">IFERROR(__xludf.DUMMYFUNCTION("""COMPUTED_VALUE"""),"Silver Ore")</f>
        <v>Silver Ore</v>
      </c>
      <c r="E3" s="70"/>
      <c r="F3" s="70"/>
      <c r="G3" s="70"/>
      <c r="H3" s="70"/>
      <c r="I3" s="70"/>
      <c r="J3" s="69" t="s">
        <v>2898</v>
      </c>
      <c r="K3" s="70"/>
      <c r="L3" s="70"/>
      <c r="M3" s="70"/>
      <c r="N3" s="70"/>
      <c r="O3" s="70"/>
      <c r="P3" s="70"/>
      <c r="Q3" s="70"/>
      <c r="R3" s="70"/>
      <c r="S3" s="70"/>
      <c r="T3" s="70"/>
      <c r="U3" s="70"/>
      <c r="V3" s="70"/>
      <c r="W3" s="70"/>
      <c r="X3" s="70"/>
      <c r="Y3" s="70"/>
      <c r="Z3" s="70"/>
    </row>
    <row r="4" spans="1:26" ht="15.75" customHeight="1">
      <c r="A4" s="70"/>
      <c r="B4" s="70"/>
      <c r="C4" s="70"/>
      <c r="D4" s="70" t="str">
        <f ca="1">IFERROR(__xludf.DUMMYFUNCTION("""COMPUTED_VALUE"""),"Tablet")</f>
        <v>Tablet</v>
      </c>
      <c r="E4" s="70"/>
      <c r="F4" s="70"/>
      <c r="G4" s="70"/>
      <c r="H4" s="70"/>
      <c r="I4" s="70"/>
      <c r="J4" s="69" t="s">
        <v>2899</v>
      </c>
      <c r="K4" s="70"/>
      <c r="L4" s="70"/>
      <c r="M4" s="70"/>
      <c r="N4" s="70"/>
      <c r="O4" s="70"/>
      <c r="P4" s="70"/>
      <c r="Q4" s="70"/>
      <c r="R4" s="70"/>
      <c r="S4" s="70"/>
      <c r="T4" s="70"/>
      <c r="U4" s="70"/>
      <c r="V4" s="70"/>
      <c r="W4" s="70"/>
      <c r="X4" s="70"/>
      <c r="Y4" s="70"/>
      <c r="Z4" s="70"/>
    </row>
    <row r="5" spans="1:26" ht="15.75" customHeight="1">
      <c r="A5" s="143" t="s">
        <v>2900</v>
      </c>
      <c r="B5" s="144" t="s">
        <v>2901</v>
      </c>
      <c r="C5" s="70"/>
      <c r="D5" s="70" t="str">
        <f ca="1">IFERROR(__xludf.DUMMYFUNCTION("""COMPUTED_VALUE"""),"Apotheosis Scroll")</f>
        <v>Apotheosis Scroll</v>
      </c>
      <c r="E5" s="70"/>
      <c r="F5" s="70"/>
      <c r="G5" s="70"/>
      <c r="H5" s="70"/>
      <c r="I5" s="70"/>
      <c r="J5" s="69" t="s">
        <v>2902</v>
      </c>
      <c r="K5" s="70"/>
      <c r="L5" s="70"/>
      <c r="M5" s="70"/>
      <c r="N5" s="70"/>
      <c r="O5" s="70"/>
      <c r="P5" s="70"/>
      <c r="Q5" s="70"/>
      <c r="R5" s="70"/>
      <c r="S5" s="70"/>
      <c r="T5" s="70"/>
      <c r="U5" s="70"/>
      <c r="V5" s="70"/>
      <c r="W5" s="70"/>
      <c r="X5" s="70"/>
      <c r="Y5" s="70"/>
      <c r="Z5" s="70"/>
    </row>
    <row r="6" spans="1:26" ht="15.75" customHeight="1">
      <c r="A6" s="69" t="s">
        <v>2903</v>
      </c>
      <c r="B6" s="145" t="s">
        <v>34</v>
      </c>
      <c r="C6" s="70"/>
      <c r="D6" s="70" t="str">
        <f ca="1">IFERROR(__xludf.DUMMYFUNCTION("""COMPUTED_VALUE"""),"Arcane Stitch Scroll")</f>
        <v>Arcane Stitch Scroll</v>
      </c>
      <c r="E6" s="70"/>
      <c r="F6" s="70"/>
      <c r="G6" s="70"/>
      <c r="H6" s="70"/>
      <c r="I6" s="70"/>
      <c r="J6" s="69" t="s">
        <v>2904</v>
      </c>
      <c r="K6" s="70"/>
      <c r="L6" s="70"/>
      <c r="M6" s="70"/>
      <c r="N6" s="70"/>
      <c r="O6" s="70"/>
      <c r="P6" s="70"/>
      <c r="Q6" s="70"/>
      <c r="R6" s="70"/>
      <c r="S6" s="70"/>
      <c r="T6" s="70"/>
      <c r="U6" s="70"/>
      <c r="V6" s="70"/>
      <c r="W6" s="70"/>
      <c r="X6" s="70"/>
      <c r="Y6" s="70"/>
      <c r="Z6" s="70"/>
    </row>
    <row r="7" spans="1:26" ht="15.75" customHeight="1">
      <c r="A7" s="243" t="s">
        <v>2905</v>
      </c>
      <c r="B7" s="244" t="s">
        <v>5</v>
      </c>
      <c r="C7" s="70"/>
      <c r="D7" s="70" t="str">
        <f ca="1">IFERROR(__xludf.DUMMYFUNCTION("""COMPUTED_VALUE"""),"Bleed Fire Scroll")</f>
        <v>Bleed Fire Scroll</v>
      </c>
      <c r="E7" s="70"/>
      <c r="F7" s="143" t="s">
        <v>2906</v>
      </c>
      <c r="G7" s="12">
        <v>1</v>
      </c>
      <c r="H7" s="70"/>
      <c r="I7" s="70"/>
      <c r="J7" s="14" t="s">
        <v>2907</v>
      </c>
      <c r="K7" s="70"/>
      <c r="L7" s="70"/>
      <c r="M7" s="70"/>
      <c r="N7" s="70"/>
      <c r="O7" s="70"/>
      <c r="P7" s="70"/>
      <c r="Q7" s="70"/>
      <c r="R7" s="70"/>
      <c r="S7" s="70"/>
      <c r="T7" s="70"/>
      <c r="U7" s="70"/>
      <c r="V7" s="70"/>
      <c r="W7" s="70"/>
      <c r="X7" s="70"/>
      <c r="Y7" s="70"/>
      <c r="Z7" s="70"/>
    </row>
    <row r="8" spans="1:26" ht="15.75" customHeight="1">
      <c r="A8" s="69" t="s">
        <v>2908</v>
      </c>
      <c r="B8" s="145" t="s">
        <v>5</v>
      </c>
      <c r="C8" s="70"/>
      <c r="D8" s="70" t="str">
        <f ca="1">IFERROR(__xludf.DUMMYFUNCTION("""COMPUTED_VALUE"""),"Cannibalize Scroll")</f>
        <v>Cannibalize Scroll</v>
      </c>
      <c r="E8" s="70"/>
      <c r="F8" s="14" t="s">
        <v>1938</v>
      </c>
      <c r="G8" s="70"/>
      <c r="H8" s="70"/>
      <c r="I8" s="70"/>
      <c r="J8" s="14" t="s">
        <v>2909</v>
      </c>
      <c r="K8" s="70"/>
      <c r="L8" s="70"/>
      <c r="M8" s="70"/>
      <c r="N8" s="70"/>
      <c r="O8" s="70"/>
      <c r="P8" s="70"/>
      <c r="Q8" s="70"/>
      <c r="R8" s="70"/>
      <c r="S8" s="70"/>
      <c r="T8" s="70"/>
      <c r="U8" s="70"/>
      <c r="V8" s="70"/>
      <c r="W8" s="70"/>
      <c r="X8" s="70"/>
      <c r="Y8" s="70"/>
      <c r="Z8" s="70"/>
    </row>
    <row r="9" spans="1:26" ht="15.75" customHeight="1">
      <c r="A9" s="69" t="s">
        <v>2910</v>
      </c>
      <c r="B9" s="145" t="s">
        <v>32</v>
      </c>
      <c r="C9" s="70"/>
      <c r="D9" s="70" t="str">
        <f ca="1">IFERROR(__xludf.DUMMYFUNCTION("""COMPUTED_VALUE"""),"Conjure Incarnate Scroll")</f>
        <v>Conjure Incarnate Scroll</v>
      </c>
      <c r="E9" s="70"/>
      <c r="F9" s="70"/>
      <c r="G9" s="70"/>
      <c r="H9" s="70"/>
      <c r="I9" s="70"/>
      <c r="J9" s="69" t="s">
        <v>2911</v>
      </c>
      <c r="K9" s="70"/>
      <c r="L9" s="70"/>
      <c r="M9" s="70"/>
      <c r="N9" s="70"/>
      <c r="O9" s="70"/>
      <c r="P9" s="70"/>
      <c r="Q9" s="70"/>
      <c r="R9" s="70"/>
      <c r="S9" s="70"/>
      <c r="T9" s="70"/>
      <c r="U9" s="70"/>
      <c r="V9" s="70"/>
      <c r="W9" s="70"/>
      <c r="X9" s="70"/>
      <c r="Y9" s="70"/>
      <c r="Z9" s="70"/>
    </row>
    <row r="10" spans="1:26" ht="15.75" customHeight="1">
      <c r="A10" s="69" t="s">
        <v>2912</v>
      </c>
      <c r="B10" s="145" t="s">
        <v>36</v>
      </c>
      <c r="C10" s="70"/>
      <c r="D10" s="70" t="str">
        <f ca="1">IFERROR(__xludf.DUMMYFUNCTION("""COMPUTED_VALUE"""),"Cryogenic Stasis Scroll")</f>
        <v>Cryogenic Stasis Scroll</v>
      </c>
      <c r="E10" s="70"/>
      <c r="F10" s="70"/>
      <c r="G10" s="70"/>
      <c r="H10" s="70"/>
      <c r="I10" s="70"/>
      <c r="J10" s="69" t="s">
        <v>2913</v>
      </c>
      <c r="K10" s="70"/>
      <c r="L10" s="70"/>
      <c r="M10" s="70"/>
      <c r="N10" s="70"/>
      <c r="O10" s="70"/>
      <c r="P10" s="70"/>
      <c r="Q10" s="70"/>
      <c r="R10" s="70"/>
      <c r="S10" s="70"/>
      <c r="T10" s="70"/>
      <c r="U10" s="70"/>
      <c r="V10" s="70"/>
      <c r="W10" s="70"/>
      <c r="X10" s="70"/>
      <c r="Y10" s="70"/>
      <c r="Z10" s="70"/>
    </row>
    <row r="11" spans="1:26" ht="15.75" customHeight="1">
      <c r="A11" s="69" t="s">
        <v>2914</v>
      </c>
      <c r="B11" s="145" t="s">
        <v>36</v>
      </c>
      <c r="C11" s="70"/>
      <c r="D11" s="70" t="str">
        <f ca="1">IFERROR(__xludf.DUMMYFUNCTION("""COMPUTED_VALUE"""),"Dazing Bolt Scroll")</f>
        <v>Dazing Bolt Scroll</v>
      </c>
      <c r="E11" s="70"/>
      <c r="F11" s="70"/>
      <c r="G11" s="70"/>
      <c r="H11" s="70"/>
      <c r="I11" s="70"/>
      <c r="J11" s="69" t="s">
        <v>2915</v>
      </c>
      <c r="K11" s="70"/>
      <c r="L11" s="70"/>
      <c r="M11" s="70"/>
      <c r="N11" s="70"/>
      <c r="O11" s="70"/>
      <c r="P11" s="70"/>
      <c r="Q11" s="70"/>
      <c r="R11" s="70"/>
      <c r="S11" s="70"/>
      <c r="T11" s="70"/>
      <c r="U11" s="70"/>
      <c r="V11" s="70"/>
      <c r="W11" s="70"/>
      <c r="X11" s="70"/>
      <c r="Y11" s="70"/>
      <c r="Z11" s="70"/>
    </row>
    <row r="12" spans="1:26" ht="15.75" customHeight="1">
      <c r="A12" s="69" t="s">
        <v>2916</v>
      </c>
      <c r="B12" s="145" t="s">
        <v>2917</v>
      </c>
      <c r="C12" s="70"/>
      <c r="D12" s="70" t="str">
        <f ca="1">IFERROR(__xludf.DUMMYFUNCTION("""COMPUTED_VALUE"""),"Death Wish Scroll")</f>
        <v>Death Wish Scroll</v>
      </c>
      <c r="E12" s="70"/>
      <c r="F12" s="70"/>
      <c r="G12" s="70"/>
      <c r="H12" s="70"/>
      <c r="I12" s="70"/>
      <c r="J12" s="70"/>
      <c r="K12" s="70"/>
      <c r="L12" s="70"/>
      <c r="M12" s="70"/>
      <c r="N12" s="70"/>
      <c r="O12" s="70"/>
      <c r="P12" s="70"/>
      <c r="Q12" s="70"/>
      <c r="R12" s="70"/>
      <c r="S12" s="70"/>
      <c r="T12" s="70"/>
      <c r="U12" s="70"/>
      <c r="V12" s="70"/>
      <c r="W12" s="70"/>
      <c r="X12" s="70"/>
      <c r="Y12" s="70"/>
      <c r="Z12" s="70"/>
    </row>
    <row r="13" spans="1:26" ht="15.75" customHeight="1">
      <c r="A13" s="69" t="s">
        <v>2918</v>
      </c>
      <c r="B13" s="145" t="s">
        <v>14</v>
      </c>
      <c r="C13" s="70"/>
      <c r="D13" s="70" t="str">
        <f ca="1">IFERROR(__xludf.DUMMYFUNCTION("""COMPUTED_VALUE"""),"Door to Eternity Scroll")</f>
        <v>Door to Eternity Scroll</v>
      </c>
      <c r="E13" s="70"/>
      <c r="F13" s="70"/>
      <c r="G13" s="70"/>
      <c r="H13" s="70"/>
      <c r="I13" s="70"/>
      <c r="J13" s="70"/>
      <c r="K13" s="70"/>
      <c r="L13" s="70"/>
      <c r="M13" s="70"/>
      <c r="N13" s="70"/>
      <c r="O13" s="70"/>
      <c r="P13" s="70"/>
      <c r="Q13" s="70"/>
      <c r="R13" s="70"/>
      <c r="S13" s="70"/>
      <c r="T13" s="70"/>
      <c r="U13" s="70"/>
      <c r="V13" s="70"/>
      <c r="W13" s="70"/>
      <c r="X13" s="70"/>
      <c r="Y13" s="70"/>
      <c r="Z13" s="70"/>
    </row>
    <row r="14" spans="1:26" ht="15.75" customHeight="1">
      <c r="A14" s="14" t="s">
        <v>2919</v>
      </c>
      <c r="B14" s="245" t="s">
        <v>22</v>
      </c>
      <c r="C14" s="70"/>
      <c r="D14" s="70" t="str">
        <f ca="1">IFERROR(__xludf.DUMMYFUNCTION("""COMPUTED_VALUE"""),"Farsight Infusion Scroll")</f>
        <v>Farsight Infusion Scroll</v>
      </c>
      <c r="E14" s="70"/>
      <c r="F14" s="70"/>
      <c r="G14" s="70"/>
      <c r="H14" s="70"/>
      <c r="I14" s="70"/>
      <c r="J14" s="70"/>
      <c r="K14" s="70"/>
      <c r="L14" s="70"/>
      <c r="M14" s="70"/>
      <c r="N14" s="70"/>
      <c r="O14" s="70"/>
      <c r="P14" s="70"/>
      <c r="Q14" s="70"/>
      <c r="R14" s="70"/>
      <c r="S14" s="70"/>
      <c r="T14" s="70"/>
      <c r="U14" s="70"/>
      <c r="V14" s="70"/>
      <c r="W14" s="70"/>
      <c r="X14" s="70"/>
      <c r="Y14" s="70"/>
      <c r="Z14" s="70"/>
    </row>
    <row r="15" spans="1:26" ht="15.75" customHeight="1">
      <c r="A15" s="14" t="s">
        <v>2920</v>
      </c>
      <c r="B15" s="245" t="s">
        <v>36</v>
      </c>
      <c r="C15" s="70"/>
      <c r="D15" s="70" t="str">
        <f ca="1">IFERROR(__xludf.DUMMYFUNCTION("""COMPUTED_VALUE"""),"Forced Exchange Scroll")</f>
        <v>Forced Exchange Scroll</v>
      </c>
      <c r="E15" s="70"/>
      <c r="F15" s="70"/>
      <c r="G15" s="70"/>
      <c r="H15" s="70"/>
      <c r="I15" s="70"/>
      <c r="J15" s="70"/>
      <c r="K15" s="70"/>
      <c r="L15" s="70"/>
      <c r="M15" s="70"/>
      <c r="N15" s="70"/>
      <c r="O15" s="70"/>
      <c r="P15" s="70"/>
      <c r="Q15" s="70"/>
      <c r="R15" s="70"/>
      <c r="S15" s="70"/>
      <c r="T15" s="70"/>
      <c r="U15" s="70"/>
      <c r="V15" s="70"/>
      <c r="W15" s="70"/>
      <c r="X15" s="70"/>
      <c r="Y15" s="70"/>
      <c r="Z15" s="70"/>
    </row>
    <row r="16" spans="1:26" ht="15.75" customHeight="1">
      <c r="A16" s="69" t="s">
        <v>2921</v>
      </c>
      <c r="B16" s="245" t="s">
        <v>36</v>
      </c>
      <c r="C16" s="70"/>
      <c r="D16" s="70" t="str">
        <f ca="1">IFERROR(__xludf.DUMMYFUNCTION("""COMPUTED_VALUE"""),"Global Cooling Scroll")</f>
        <v>Global Cooling Scroll</v>
      </c>
      <c r="E16" s="70"/>
      <c r="F16" s="70"/>
      <c r="G16" s="70"/>
      <c r="H16" s="70"/>
      <c r="I16" s="70"/>
      <c r="J16" s="70"/>
      <c r="K16" s="70"/>
      <c r="L16" s="70"/>
      <c r="M16" s="70"/>
      <c r="N16" s="70"/>
      <c r="O16" s="70"/>
      <c r="P16" s="70"/>
      <c r="Q16" s="70"/>
      <c r="R16" s="70"/>
      <c r="S16" s="70"/>
      <c r="T16" s="70"/>
      <c r="U16" s="70"/>
      <c r="V16" s="70"/>
      <c r="W16" s="70"/>
      <c r="X16" s="70"/>
      <c r="Y16" s="70"/>
      <c r="Z16" s="70"/>
    </row>
    <row r="17" spans="1:26" ht="15.75" customHeight="1">
      <c r="A17" s="14" t="s">
        <v>2922</v>
      </c>
      <c r="B17" s="245" t="s">
        <v>126</v>
      </c>
      <c r="C17" s="70"/>
      <c r="D17" s="70" t="str">
        <f ca="1">IFERROR(__xludf.DUMMYFUNCTION("""COMPUTED_VALUE"""),"Ice Breaker Scroll")</f>
        <v>Ice Breaker Scroll</v>
      </c>
      <c r="E17" s="70"/>
      <c r="F17" s="70"/>
      <c r="G17" s="70"/>
      <c r="H17" s="70"/>
      <c r="I17" s="70"/>
      <c r="J17" s="70"/>
      <c r="K17" s="70"/>
      <c r="L17" s="70"/>
      <c r="M17" s="70"/>
      <c r="N17" s="70"/>
      <c r="O17" s="70"/>
      <c r="P17" s="70"/>
      <c r="Q17" s="70"/>
      <c r="R17" s="70"/>
      <c r="S17" s="70"/>
      <c r="T17" s="70"/>
      <c r="U17" s="70"/>
      <c r="V17" s="70"/>
      <c r="W17" s="70"/>
      <c r="X17" s="70"/>
      <c r="Y17" s="70"/>
      <c r="Z17" s="70"/>
    </row>
    <row r="18" spans="1:26" ht="15.75" customHeight="1">
      <c r="C18" s="70"/>
      <c r="D18" s="70" t="str">
        <f ca="1">IFERROR(__xludf.DUMMYFUNCTION("""COMPUTED_VALUE"""),"Medusa Head Scroll")</f>
        <v>Medusa Head Scroll</v>
      </c>
      <c r="E18" s="70"/>
      <c r="F18" s="70"/>
      <c r="G18" s="70"/>
      <c r="H18" s="70"/>
      <c r="I18" s="70"/>
      <c r="J18" s="70"/>
      <c r="K18" s="70"/>
      <c r="L18" s="70"/>
      <c r="M18" s="70"/>
      <c r="N18" s="70"/>
      <c r="O18" s="70"/>
      <c r="P18" s="70"/>
      <c r="Q18" s="70"/>
      <c r="R18" s="70"/>
      <c r="S18" s="70"/>
      <c r="T18" s="70"/>
      <c r="U18" s="70"/>
      <c r="V18" s="70"/>
      <c r="W18" s="70"/>
      <c r="X18" s="70"/>
      <c r="Y18" s="70"/>
      <c r="Z18" s="70"/>
    </row>
    <row r="19" spans="1:26" ht="15.75" customHeight="1">
      <c r="A19" s="143" t="s">
        <v>2923</v>
      </c>
      <c r="B19" s="151"/>
      <c r="C19" s="70"/>
      <c r="D19" s="70" t="str">
        <f ca="1">IFERROR(__xludf.DUMMYFUNCTION("""COMPUTED_VALUE"""),"Meteor Shower Scroll")</f>
        <v>Meteor Shower Scroll</v>
      </c>
      <c r="E19" s="70"/>
      <c r="F19" s="70"/>
      <c r="G19" s="70"/>
      <c r="H19" s="70"/>
      <c r="I19" s="70"/>
      <c r="J19" s="70"/>
      <c r="K19" s="70"/>
      <c r="L19" s="70"/>
      <c r="M19" s="70"/>
      <c r="N19" s="70"/>
      <c r="O19" s="70"/>
      <c r="P19" s="70"/>
      <c r="Q19" s="70"/>
      <c r="R19" s="70"/>
      <c r="S19" s="70"/>
      <c r="T19" s="70"/>
      <c r="U19" s="70"/>
      <c r="V19" s="70"/>
      <c r="W19" s="70"/>
      <c r="X19" s="70"/>
      <c r="Y19" s="70"/>
      <c r="Z19" s="70"/>
    </row>
    <row r="20" spans="1:26" ht="15.75" customHeight="1">
      <c r="A20" s="69" t="s">
        <v>2924</v>
      </c>
      <c r="B20" s="145" t="s">
        <v>14</v>
      </c>
      <c r="C20" s="70"/>
      <c r="D20" s="70" t="str">
        <f ca="1">IFERROR(__xludf.DUMMYFUNCTION("""COMPUTED_VALUE"""),"Mosquito Swarm Scroll")</f>
        <v>Mosquito Swarm Scroll</v>
      </c>
      <c r="E20" s="70"/>
      <c r="F20" s="70"/>
      <c r="G20" s="70"/>
      <c r="H20" s="70"/>
      <c r="I20" s="70"/>
      <c r="J20" s="70"/>
      <c r="K20" s="70"/>
      <c r="L20" s="70"/>
      <c r="M20" s="70"/>
      <c r="N20" s="70"/>
      <c r="O20" s="70"/>
      <c r="P20" s="70"/>
      <c r="Q20" s="70"/>
      <c r="R20" s="70"/>
      <c r="S20" s="70"/>
      <c r="T20" s="70"/>
      <c r="U20" s="70"/>
      <c r="V20" s="70"/>
      <c r="W20" s="70"/>
      <c r="X20" s="70"/>
      <c r="Y20" s="70"/>
      <c r="Z20" s="70"/>
    </row>
    <row r="21" spans="1:26" ht="15.75" customHeight="1">
      <c r="A21" s="70"/>
      <c r="B21" s="151"/>
      <c r="C21" s="70"/>
      <c r="D21" s="70" t="str">
        <f ca="1">IFERROR(__xludf.DUMMYFUNCTION("""COMPUTED_VALUE"""),"Power Infusion Scroll")</f>
        <v>Power Infusion Scroll</v>
      </c>
      <c r="E21" s="70"/>
      <c r="F21" s="70"/>
      <c r="G21" s="70"/>
      <c r="H21" s="70"/>
      <c r="I21" s="70"/>
      <c r="J21" s="70"/>
      <c r="K21" s="70"/>
      <c r="L21" s="70"/>
      <c r="M21" s="70"/>
      <c r="N21" s="70"/>
      <c r="O21" s="70"/>
      <c r="P21" s="70"/>
      <c r="Q21" s="70"/>
      <c r="R21" s="70"/>
      <c r="S21" s="70"/>
      <c r="T21" s="70"/>
      <c r="U21" s="70"/>
      <c r="V21" s="70"/>
      <c r="W21" s="70"/>
      <c r="X21" s="70"/>
      <c r="Y21" s="70"/>
      <c r="Z21" s="70"/>
    </row>
    <row r="22" spans="1:26" ht="15.75" customHeight="1">
      <c r="A22" s="60"/>
      <c r="B22" s="124"/>
      <c r="C22" s="70"/>
      <c r="D22" s="70" t="str">
        <f ca="1">IFERROR(__xludf.DUMMYFUNCTION("""COMPUTED_VALUE"""),"Pyroclastic Eruption Scroll")</f>
        <v>Pyroclastic Eruption Scroll</v>
      </c>
      <c r="E22" s="70"/>
      <c r="F22" s="70"/>
      <c r="G22" s="70"/>
      <c r="H22" s="70"/>
      <c r="I22" s="70"/>
      <c r="J22" s="70"/>
      <c r="K22" s="70"/>
      <c r="L22" s="70"/>
      <c r="M22" s="70"/>
      <c r="N22" s="70"/>
      <c r="O22" s="70"/>
      <c r="P22" s="70"/>
      <c r="Q22" s="70"/>
      <c r="R22" s="70"/>
      <c r="S22" s="70"/>
      <c r="T22" s="70"/>
      <c r="U22" s="70"/>
      <c r="V22" s="70"/>
      <c r="W22" s="70"/>
      <c r="X22" s="70"/>
      <c r="Y22" s="70"/>
      <c r="Z22" s="70"/>
    </row>
    <row r="23" spans="1:26" ht="15.75" customHeight="1">
      <c r="A23" s="69" t="s">
        <v>2925</v>
      </c>
      <c r="B23" s="124"/>
      <c r="C23" s="70"/>
      <c r="D23" s="70" t="str">
        <f ca="1">IFERROR(__xludf.DUMMYFUNCTION("""COMPUTED_VALUE"""),"Raining Blood Scroll")</f>
        <v>Raining Blood Scroll</v>
      </c>
      <c r="E23" s="70"/>
      <c r="F23" s="70"/>
      <c r="G23" s="70"/>
      <c r="H23" s="70"/>
      <c r="I23" s="70"/>
      <c r="J23" s="70"/>
      <c r="K23" s="70"/>
      <c r="L23" s="70"/>
      <c r="M23" s="70"/>
      <c r="N23" s="70"/>
      <c r="O23" s="70"/>
      <c r="P23" s="70"/>
      <c r="Q23" s="70"/>
      <c r="R23" s="70"/>
      <c r="S23" s="70"/>
      <c r="T23" s="70"/>
      <c r="U23" s="70"/>
      <c r="V23" s="70"/>
      <c r="W23" s="70"/>
      <c r="X23" s="70"/>
      <c r="Y23" s="70"/>
      <c r="Z23" s="70"/>
    </row>
    <row r="24" spans="1:26" ht="15.75" customHeight="1">
      <c r="A24" s="246" t="s">
        <v>2926</v>
      </c>
      <c r="B24" s="151"/>
      <c r="C24" s="70"/>
      <c r="D24" s="70" t="str">
        <f ca="1">IFERROR(__xludf.DUMMYFUNCTION("""COMPUTED_VALUE"""),"Shadow Infusion Scroll")</f>
        <v>Shadow Infusion Scroll</v>
      </c>
      <c r="E24" s="70"/>
      <c r="F24" s="70"/>
      <c r="G24" s="70"/>
      <c r="H24" s="70"/>
      <c r="I24" s="70"/>
      <c r="J24" s="70"/>
      <c r="K24" s="70"/>
      <c r="L24" s="70"/>
      <c r="M24" s="70"/>
      <c r="N24" s="70"/>
      <c r="O24" s="70"/>
      <c r="P24" s="70"/>
      <c r="Q24" s="70"/>
      <c r="R24" s="70"/>
      <c r="S24" s="70"/>
      <c r="T24" s="70"/>
      <c r="U24" s="70"/>
      <c r="V24" s="70"/>
      <c r="W24" s="70"/>
      <c r="X24" s="70"/>
      <c r="Y24" s="70"/>
      <c r="Z24" s="70"/>
    </row>
    <row r="25" spans="1:26" ht="15.75" customHeight="1">
      <c r="A25" s="70"/>
      <c r="B25" s="151"/>
      <c r="C25" s="70"/>
      <c r="D25" s="70" t="str">
        <f ca="1">IFERROR(__xludf.DUMMYFUNCTION("""COMPUTED_VALUE"""),"Siphon Poison Scroll")</f>
        <v>Siphon Poison Scroll</v>
      </c>
      <c r="E25" s="70"/>
      <c r="F25" s="70"/>
      <c r="G25" s="70"/>
      <c r="H25" s="70"/>
      <c r="I25" s="70"/>
      <c r="J25" s="70"/>
      <c r="K25" s="70"/>
      <c r="L25" s="70"/>
      <c r="M25" s="70"/>
      <c r="N25" s="70"/>
      <c r="O25" s="70"/>
      <c r="P25" s="70"/>
      <c r="Q25" s="70"/>
      <c r="R25" s="70"/>
      <c r="S25" s="70"/>
      <c r="T25" s="70"/>
      <c r="U25" s="70"/>
      <c r="V25" s="70"/>
      <c r="W25" s="70"/>
      <c r="X25" s="70"/>
      <c r="Y25" s="70"/>
      <c r="Z25" s="70"/>
    </row>
    <row r="26" spans="1:26" ht="15.75" customHeight="1">
      <c r="A26" s="69" t="s">
        <v>2927</v>
      </c>
      <c r="B26" s="145"/>
      <c r="C26" s="70"/>
      <c r="D26" s="70" t="str">
        <f ca="1">IFERROR(__xludf.DUMMYFUNCTION("""COMPUTED_VALUE"""),"Spontaneous Combustion Scroll")</f>
        <v>Spontaneous Combustion Scroll</v>
      </c>
      <c r="E26" s="70"/>
      <c r="F26" s="70"/>
      <c r="G26" s="70"/>
      <c r="H26" s="70"/>
      <c r="I26" s="70"/>
      <c r="J26" s="70"/>
      <c r="K26" s="70"/>
      <c r="L26" s="70"/>
      <c r="M26" s="70"/>
      <c r="N26" s="70"/>
      <c r="O26" s="70"/>
      <c r="P26" s="70"/>
      <c r="Q26" s="70"/>
      <c r="R26" s="70"/>
      <c r="S26" s="70"/>
      <c r="T26" s="70"/>
      <c r="U26" s="70"/>
      <c r="V26" s="70"/>
      <c r="W26" s="70"/>
      <c r="X26" s="70"/>
      <c r="Y26" s="70"/>
      <c r="Z26" s="70"/>
    </row>
    <row r="27" spans="1:26" ht="15.75" customHeight="1">
      <c r="A27" s="246" t="s">
        <v>2928</v>
      </c>
      <c r="B27" s="70"/>
      <c r="C27" s="70"/>
      <c r="D27" s="70" t="str">
        <f ca="1">IFERROR(__xludf.DUMMYFUNCTION("""COMPUTED_VALUE"""),"Summon Fire Slug Scroll")</f>
        <v>Summon Fire Slug Scroll</v>
      </c>
      <c r="E27" s="70"/>
      <c r="F27" s="70"/>
      <c r="G27" s="70"/>
      <c r="H27" s="70"/>
      <c r="I27" s="70"/>
      <c r="J27" s="70"/>
      <c r="K27" s="70"/>
      <c r="L27" s="70"/>
      <c r="M27" s="70"/>
      <c r="N27" s="70"/>
      <c r="O27" s="70"/>
      <c r="P27" s="70"/>
      <c r="Q27" s="70"/>
      <c r="R27" s="70"/>
      <c r="S27" s="70"/>
      <c r="T27" s="70"/>
      <c r="U27" s="70"/>
      <c r="V27" s="70"/>
      <c r="W27" s="70"/>
      <c r="X27" s="70"/>
      <c r="Y27" s="70"/>
      <c r="Z27" s="70"/>
    </row>
    <row r="28" spans="1:26" ht="15.75" customHeight="1">
      <c r="A28" s="70"/>
      <c r="B28" s="151"/>
      <c r="C28" s="70"/>
      <c r="D28" s="70" t="str">
        <f ca="1">IFERROR(__xludf.DUMMYFUNCTION("""COMPUTED_VALUE"""),"Supercharger Scroll")</f>
        <v>Supercharger Scroll</v>
      </c>
      <c r="E28" s="70"/>
      <c r="F28" s="70"/>
      <c r="G28" s="70"/>
      <c r="H28" s="70"/>
      <c r="I28" s="70"/>
      <c r="J28" s="70"/>
      <c r="K28" s="70"/>
      <c r="L28" s="70"/>
      <c r="M28" s="70"/>
      <c r="N28" s="70"/>
      <c r="O28" s="70"/>
      <c r="P28" s="70"/>
      <c r="Q28" s="70"/>
      <c r="R28" s="70"/>
      <c r="S28" s="70"/>
      <c r="T28" s="70"/>
      <c r="U28" s="70"/>
      <c r="V28" s="70"/>
      <c r="W28" s="70"/>
      <c r="X28" s="70"/>
      <c r="Y28" s="70"/>
      <c r="Z28" s="70"/>
    </row>
    <row r="29" spans="1:26" ht="15.75" customHeight="1">
      <c r="A29" s="69" t="s">
        <v>2929</v>
      </c>
      <c r="B29" s="151"/>
      <c r="C29" s="70"/>
      <c r="D29" s="70" t="str">
        <f ca="1">IFERROR(__xludf.DUMMYFUNCTION("""COMPUTED_VALUE"""),"Thunderstorm Scroll")</f>
        <v>Thunderstorm Scroll</v>
      </c>
      <c r="E29" s="70"/>
      <c r="F29" s="70"/>
      <c r="G29" s="70"/>
      <c r="H29" s="70"/>
      <c r="I29" s="70"/>
      <c r="J29" s="70"/>
      <c r="K29" s="70"/>
      <c r="L29" s="70"/>
      <c r="M29" s="70"/>
      <c r="N29" s="70"/>
      <c r="O29" s="70"/>
      <c r="P29" s="70"/>
      <c r="Q29" s="70"/>
      <c r="R29" s="70"/>
      <c r="S29" s="70"/>
      <c r="T29" s="70"/>
      <c r="U29" s="70"/>
      <c r="V29" s="70"/>
      <c r="W29" s="70"/>
      <c r="X29" s="70"/>
      <c r="Y29" s="70"/>
      <c r="Z29" s="70"/>
    </row>
    <row r="30" spans="1:26" ht="15.75" customHeight="1">
      <c r="A30" s="60"/>
      <c r="B30" s="151"/>
      <c r="C30" s="70"/>
      <c r="D30" s="70" t="str">
        <f ca="1">IFERROR(__xludf.DUMMYFUNCTION("""COMPUTED_VALUE"""),"Totems of the Necromancer Scroll")</f>
        <v>Totems of the Necromancer Scroll</v>
      </c>
      <c r="E30" s="70"/>
      <c r="F30" s="70"/>
      <c r="G30" s="70"/>
      <c r="H30" s="70"/>
      <c r="I30" s="70"/>
      <c r="J30" s="70"/>
      <c r="K30" s="70"/>
      <c r="L30" s="70"/>
      <c r="M30" s="70"/>
      <c r="N30" s="70"/>
      <c r="O30" s="70"/>
      <c r="P30" s="70"/>
      <c r="Q30" s="70"/>
      <c r="R30" s="70"/>
      <c r="S30" s="70"/>
      <c r="T30" s="70"/>
      <c r="U30" s="70"/>
      <c r="V30" s="70"/>
      <c r="W30" s="70"/>
      <c r="X30" s="70"/>
      <c r="Y30" s="70"/>
      <c r="Z30" s="70"/>
    </row>
    <row r="31" spans="1:26" ht="15.75" customHeight="1">
      <c r="A31" s="60"/>
      <c r="B31" s="151"/>
      <c r="C31" s="70"/>
      <c r="D31" s="70" t="str">
        <f ca="1">IFERROR(__xludf.DUMMYFUNCTION("""COMPUTED_VALUE"""),"Warp Infusion Scroll")</f>
        <v>Warp Infusion Scroll</v>
      </c>
      <c r="E31" s="70"/>
      <c r="F31" s="70"/>
      <c r="G31" s="70"/>
      <c r="H31" s="70"/>
      <c r="I31" s="70"/>
      <c r="J31" s="70"/>
      <c r="K31" s="70"/>
      <c r="L31" s="70"/>
      <c r="M31" s="70"/>
      <c r="N31" s="70"/>
      <c r="O31" s="70"/>
      <c r="P31" s="70"/>
      <c r="Q31" s="70"/>
      <c r="R31" s="70"/>
      <c r="S31" s="70"/>
      <c r="T31" s="70"/>
      <c r="U31" s="70"/>
      <c r="V31" s="70"/>
      <c r="W31" s="70"/>
      <c r="X31" s="70"/>
      <c r="Y31" s="70"/>
      <c r="Z31" s="70"/>
    </row>
    <row r="32" spans="1:26" ht="15.75" customHeight="1">
      <c r="A32" s="60"/>
      <c r="B32" s="151"/>
      <c r="C32" s="70"/>
      <c r="D32" s="70" t="str">
        <f ca="1">IFERROR(__xludf.DUMMYFUNCTION("""COMPUTED_VALUE"""),"Worm Tremor Scroll")</f>
        <v>Worm Tremor Scroll</v>
      </c>
      <c r="E32" s="70"/>
      <c r="F32" s="70"/>
      <c r="G32" s="70"/>
      <c r="H32" s="70"/>
      <c r="I32" s="70"/>
      <c r="J32" s="70"/>
      <c r="K32" s="70"/>
      <c r="L32" s="70"/>
      <c r="M32" s="70"/>
      <c r="N32" s="70"/>
      <c r="O32" s="70"/>
      <c r="P32" s="70"/>
      <c r="Q32" s="70"/>
      <c r="R32" s="70"/>
      <c r="S32" s="70"/>
      <c r="T32" s="70"/>
      <c r="U32" s="70"/>
      <c r="V32" s="70"/>
      <c r="W32" s="70"/>
      <c r="X32" s="70"/>
      <c r="Y32" s="70"/>
      <c r="Z32" s="70"/>
    </row>
    <row r="33" spans="1:26" ht="15.75" customHeight="1">
      <c r="A33" s="60"/>
      <c r="B33" s="151"/>
      <c r="C33" s="70"/>
      <c r="D33" s="70"/>
      <c r="E33" s="70"/>
      <c r="F33" s="70"/>
      <c r="G33" s="70"/>
      <c r="H33" s="70"/>
      <c r="I33" s="70"/>
      <c r="J33" s="70"/>
      <c r="K33" s="70"/>
      <c r="L33" s="70"/>
      <c r="M33" s="70"/>
      <c r="N33" s="70"/>
      <c r="O33" s="70"/>
      <c r="P33" s="70"/>
      <c r="Q33" s="70"/>
      <c r="R33" s="70"/>
      <c r="S33" s="70"/>
      <c r="T33" s="70"/>
      <c r="U33" s="70"/>
      <c r="V33" s="70"/>
      <c r="W33" s="70"/>
      <c r="X33" s="70"/>
      <c r="Y33" s="70"/>
      <c r="Z33" s="70"/>
    </row>
    <row r="34" spans="1:26" ht="15.75" customHeight="1">
      <c r="A34" s="60"/>
      <c r="B34" s="151"/>
      <c r="C34" s="70"/>
      <c r="D34" s="70"/>
      <c r="E34" s="70"/>
      <c r="F34" s="70"/>
      <c r="G34" s="70"/>
      <c r="H34" s="70"/>
      <c r="I34" s="70"/>
      <c r="J34" s="70"/>
      <c r="K34" s="70"/>
      <c r="L34" s="70"/>
      <c r="M34" s="70"/>
      <c r="N34" s="70"/>
      <c r="O34" s="70"/>
      <c r="P34" s="70"/>
      <c r="Q34" s="70"/>
      <c r="R34" s="70"/>
      <c r="S34" s="70"/>
      <c r="T34" s="70"/>
      <c r="U34" s="70"/>
      <c r="V34" s="70"/>
      <c r="W34" s="70"/>
      <c r="X34" s="70"/>
      <c r="Y34" s="70"/>
      <c r="Z34" s="70"/>
    </row>
    <row r="35" spans="1:26" ht="15.75" customHeight="1">
      <c r="A35" s="60"/>
      <c r="B35" s="151"/>
      <c r="C35" s="70"/>
      <c r="D35" s="70"/>
      <c r="E35" s="70"/>
      <c r="F35" s="70"/>
      <c r="G35" s="70"/>
      <c r="H35" s="70"/>
      <c r="I35" s="70"/>
      <c r="J35" s="70"/>
      <c r="K35" s="70"/>
      <c r="L35" s="70"/>
      <c r="M35" s="70"/>
      <c r="N35" s="70"/>
      <c r="O35" s="70"/>
      <c r="P35" s="70"/>
      <c r="Q35" s="70"/>
      <c r="R35" s="70"/>
      <c r="S35" s="70"/>
      <c r="T35" s="70"/>
      <c r="U35" s="70"/>
      <c r="V35" s="70"/>
      <c r="W35" s="70"/>
      <c r="X35" s="70"/>
      <c r="Y35" s="70"/>
      <c r="Z35" s="70"/>
    </row>
    <row r="36" spans="1:26" ht="15.75" customHeight="1">
      <c r="A36" s="70"/>
      <c r="B36" s="70"/>
      <c r="C36" s="70"/>
      <c r="D36" s="70"/>
      <c r="E36" s="70"/>
      <c r="F36" s="70"/>
      <c r="G36" s="70"/>
      <c r="H36" s="70"/>
      <c r="I36" s="70"/>
      <c r="J36" s="70"/>
      <c r="K36" s="70"/>
      <c r="L36" s="70"/>
      <c r="M36" s="70"/>
      <c r="N36" s="70"/>
      <c r="O36" s="70"/>
      <c r="P36" s="70"/>
      <c r="Q36" s="70"/>
      <c r="R36" s="70"/>
      <c r="S36" s="70"/>
      <c r="T36" s="70"/>
      <c r="U36" s="70"/>
      <c r="V36" s="70"/>
      <c r="W36" s="70"/>
      <c r="X36" s="70"/>
      <c r="Y36" s="70"/>
      <c r="Z36" s="70"/>
    </row>
    <row r="37" spans="1:26" ht="15.75" customHeight="1">
      <c r="A37" s="69"/>
      <c r="B37" s="70"/>
      <c r="C37" s="70"/>
      <c r="D37" s="70"/>
      <c r="E37" s="70"/>
      <c r="F37" s="70"/>
      <c r="G37" s="70"/>
      <c r="H37" s="70"/>
      <c r="I37" s="70"/>
      <c r="J37" s="70"/>
      <c r="K37" s="70"/>
      <c r="L37" s="70"/>
      <c r="M37" s="70"/>
      <c r="N37" s="70"/>
      <c r="O37" s="70"/>
      <c r="P37" s="70"/>
      <c r="Q37" s="70"/>
      <c r="R37" s="70"/>
      <c r="S37" s="70"/>
      <c r="T37" s="70"/>
      <c r="U37" s="70"/>
      <c r="V37" s="70"/>
      <c r="W37" s="70"/>
      <c r="X37" s="70"/>
      <c r="Y37" s="70"/>
      <c r="Z37" s="70"/>
    </row>
    <row r="38" spans="1:26" ht="15.75" customHeight="1">
      <c r="A38" s="69"/>
      <c r="B38" s="70"/>
      <c r="C38" s="70"/>
      <c r="D38" s="70"/>
      <c r="E38" s="70"/>
      <c r="F38" s="70"/>
      <c r="G38" s="70"/>
      <c r="H38" s="70"/>
      <c r="I38" s="70"/>
      <c r="J38" s="70"/>
      <c r="K38" s="70"/>
      <c r="L38" s="70"/>
      <c r="M38" s="70"/>
      <c r="N38" s="70"/>
      <c r="O38" s="70"/>
      <c r="P38" s="70"/>
      <c r="Q38" s="70"/>
      <c r="R38" s="70"/>
      <c r="S38" s="70"/>
      <c r="T38" s="70"/>
      <c r="U38" s="70"/>
      <c r="V38" s="70"/>
      <c r="W38" s="70"/>
      <c r="X38" s="70"/>
      <c r="Y38" s="70"/>
      <c r="Z38" s="70"/>
    </row>
    <row r="39" spans="1:26" ht="15.75" customHeight="1">
      <c r="A39" s="70"/>
      <c r="B39" s="70"/>
      <c r="C39" s="70"/>
      <c r="D39" s="70"/>
      <c r="E39" s="70"/>
      <c r="F39" s="70"/>
      <c r="G39" s="70"/>
      <c r="H39" s="70"/>
      <c r="I39" s="70"/>
      <c r="J39" s="70"/>
      <c r="K39" s="70"/>
      <c r="L39" s="70"/>
      <c r="M39" s="70"/>
      <c r="N39" s="70"/>
      <c r="O39" s="70"/>
      <c r="P39" s="70"/>
      <c r="Q39" s="70"/>
      <c r="R39" s="70"/>
      <c r="S39" s="70"/>
      <c r="T39" s="70"/>
      <c r="U39" s="70"/>
      <c r="V39" s="70"/>
      <c r="W39" s="70"/>
      <c r="X39" s="70"/>
      <c r="Y39" s="70"/>
      <c r="Z39" s="70"/>
    </row>
    <row r="40" spans="1:26" ht="15.75" customHeight="1">
      <c r="A40" s="70"/>
      <c r="B40" s="70"/>
      <c r="C40" s="70"/>
      <c r="D40" s="143" t="s">
        <v>2930</v>
      </c>
      <c r="E40" s="143" t="s">
        <v>2931</v>
      </c>
      <c r="F40" s="70"/>
      <c r="G40" s="70"/>
      <c r="H40" s="70"/>
      <c r="I40" s="70"/>
      <c r="J40" s="70"/>
      <c r="K40" s="70"/>
      <c r="L40" s="70"/>
      <c r="M40" s="70"/>
      <c r="N40" s="70"/>
      <c r="O40" s="70"/>
      <c r="P40" s="70"/>
      <c r="Q40" s="70"/>
      <c r="R40" s="70"/>
      <c r="S40" s="70"/>
      <c r="T40" s="70"/>
      <c r="U40" s="70"/>
      <c r="V40" s="70"/>
      <c r="W40" s="70"/>
      <c r="X40" s="70"/>
      <c r="Y40" s="70"/>
      <c r="Z40" s="70"/>
    </row>
    <row r="41" spans="1:26" ht="15.75" customHeight="1">
      <c r="A41" s="70"/>
      <c r="B41" s="70"/>
      <c r="C41" s="70"/>
      <c r="D41" s="69" t="s">
        <v>421</v>
      </c>
      <c r="E41" s="69" t="s">
        <v>699</v>
      </c>
      <c r="F41" s="70"/>
      <c r="G41" s="70"/>
      <c r="H41" s="70"/>
      <c r="I41" s="70"/>
      <c r="J41" s="70"/>
      <c r="K41" s="70"/>
      <c r="L41" s="70"/>
      <c r="M41" s="70"/>
      <c r="N41" s="70"/>
      <c r="O41" s="70"/>
      <c r="P41" s="70"/>
      <c r="Q41" s="70"/>
      <c r="R41" s="70"/>
      <c r="S41" s="70"/>
      <c r="T41" s="70"/>
      <c r="U41" s="70"/>
      <c r="V41" s="70"/>
      <c r="W41" s="70"/>
      <c r="X41" s="70"/>
      <c r="Y41" s="70"/>
      <c r="Z41" s="70"/>
    </row>
    <row r="42" spans="1:26" ht="15.75" customHeight="1">
      <c r="A42" s="70"/>
      <c r="B42" s="70"/>
      <c r="C42" s="70"/>
      <c r="D42" s="70" t="s">
        <v>614</v>
      </c>
      <c r="E42" s="69" t="s">
        <v>757</v>
      </c>
      <c r="F42" s="70"/>
      <c r="G42" s="70"/>
      <c r="H42" s="70"/>
      <c r="I42" s="70"/>
      <c r="J42" s="70"/>
      <c r="K42" s="70"/>
      <c r="L42" s="70"/>
      <c r="M42" s="70"/>
      <c r="N42" s="70"/>
      <c r="O42" s="70"/>
      <c r="P42" s="70"/>
      <c r="Q42" s="70"/>
      <c r="R42" s="70"/>
      <c r="S42" s="70"/>
      <c r="T42" s="70"/>
      <c r="U42" s="70"/>
      <c r="V42" s="70"/>
      <c r="W42" s="70"/>
      <c r="X42" s="70"/>
      <c r="Y42" s="70"/>
      <c r="Z42" s="70"/>
    </row>
    <row r="43" spans="1:26" ht="15.75" customHeight="1">
      <c r="A43" s="70"/>
      <c r="B43" s="70"/>
      <c r="C43" s="70"/>
      <c r="D43" s="60"/>
      <c r="E43" s="60"/>
      <c r="F43" s="70"/>
      <c r="G43" s="70"/>
      <c r="H43" s="70"/>
      <c r="I43" s="70"/>
      <c r="J43" s="70"/>
      <c r="K43" s="70"/>
      <c r="L43" s="70"/>
      <c r="M43" s="70"/>
      <c r="N43" s="70"/>
      <c r="O43" s="70"/>
      <c r="P43" s="70"/>
      <c r="Q43" s="70"/>
      <c r="R43" s="70"/>
      <c r="S43" s="70"/>
      <c r="T43" s="70"/>
      <c r="U43" s="70"/>
      <c r="V43" s="70"/>
      <c r="W43" s="70"/>
      <c r="X43" s="70"/>
      <c r="Y43" s="70"/>
      <c r="Z43" s="70"/>
    </row>
    <row r="44" spans="1:26" ht="15.75" customHeight="1">
      <c r="A44" s="70"/>
      <c r="B44" s="70"/>
      <c r="C44" s="70"/>
      <c r="D44" s="70"/>
      <c r="E44" s="70"/>
      <c r="F44" s="70"/>
      <c r="G44" s="70"/>
      <c r="H44" s="70"/>
      <c r="I44" s="70"/>
      <c r="J44" s="70"/>
      <c r="K44" s="70"/>
      <c r="L44" s="70"/>
      <c r="M44" s="70"/>
      <c r="N44" s="70"/>
      <c r="O44" s="70"/>
      <c r="P44" s="70"/>
      <c r="Q44" s="70"/>
      <c r="R44" s="70"/>
      <c r="S44" s="70"/>
      <c r="T44" s="70"/>
      <c r="U44" s="70"/>
      <c r="V44" s="70"/>
      <c r="W44" s="70"/>
      <c r="X44" s="70"/>
      <c r="Y44" s="70"/>
      <c r="Z44" s="70"/>
    </row>
    <row r="45" spans="1:26" ht="15.75" customHeight="1">
      <c r="A45" s="70"/>
      <c r="B45" s="70"/>
      <c r="C45" s="70"/>
      <c r="D45" s="70"/>
      <c r="E45" s="70"/>
      <c r="F45" s="70"/>
      <c r="G45" s="70"/>
      <c r="H45" s="70"/>
      <c r="I45" s="70"/>
      <c r="J45" s="70"/>
      <c r="K45" s="70"/>
      <c r="L45" s="70"/>
      <c r="M45" s="70"/>
      <c r="N45" s="70"/>
      <c r="O45" s="70"/>
      <c r="P45" s="70"/>
      <c r="Q45" s="70"/>
      <c r="R45" s="70"/>
      <c r="S45" s="70"/>
      <c r="T45" s="70"/>
      <c r="U45" s="70"/>
      <c r="V45" s="70"/>
      <c r="W45" s="70"/>
      <c r="X45" s="70"/>
      <c r="Y45" s="70"/>
      <c r="Z45" s="70"/>
    </row>
    <row r="46" spans="1:26" ht="15.75" customHeight="1">
      <c r="A46" s="70"/>
      <c r="B46" s="70"/>
      <c r="C46" s="70"/>
      <c r="D46" s="70"/>
      <c r="E46" s="70"/>
      <c r="F46" s="70"/>
      <c r="G46" s="70"/>
      <c r="H46" s="70"/>
      <c r="I46" s="70"/>
      <c r="J46" s="70"/>
      <c r="K46" s="70"/>
      <c r="L46" s="70"/>
      <c r="M46" s="70"/>
      <c r="N46" s="70"/>
      <c r="O46" s="70"/>
      <c r="P46" s="70"/>
      <c r="Q46" s="70"/>
      <c r="R46" s="70"/>
      <c r="S46" s="70"/>
      <c r="T46" s="70"/>
      <c r="U46" s="70"/>
      <c r="V46" s="70"/>
      <c r="W46" s="70"/>
      <c r="X46" s="70"/>
      <c r="Y46" s="70"/>
      <c r="Z46" s="70"/>
    </row>
    <row r="47" spans="1:26" ht="15.75" customHeight="1">
      <c r="A47" s="70"/>
      <c r="B47" s="70"/>
      <c r="C47" s="70"/>
      <c r="D47" s="70"/>
      <c r="E47" s="70"/>
      <c r="F47" s="70"/>
      <c r="G47" s="70"/>
      <c r="H47" s="70"/>
      <c r="I47" s="70"/>
      <c r="J47" s="70"/>
      <c r="K47" s="70"/>
      <c r="L47" s="70"/>
      <c r="M47" s="70"/>
      <c r="N47" s="70"/>
      <c r="O47" s="70"/>
      <c r="P47" s="70"/>
      <c r="Q47" s="70"/>
      <c r="R47" s="70"/>
      <c r="S47" s="70"/>
      <c r="T47" s="70"/>
      <c r="U47" s="70"/>
      <c r="V47" s="70"/>
      <c r="W47" s="70"/>
      <c r="X47" s="70"/>
      <c r="Y47" s="70"/>
      <c r="Z47" s="70"/>
    </row>
    <row r="48" spans="1:26" ht="15.75" customHeight="1">
      <c r="A48" s="70"/>
      <c r="B48" s="70"/>
      <c r="C48" s="70"/>
      <c r="D48" s="70"/>
      <c r="E48" s="70"/>
      <c r="F48" s="70"/>
      <c r="G48" s="70"/>
      <c r="H48" s="70"/>
      <c r="I48" s="70"/>
      <c r="J48" s="70"/>
      <c r="K48" s="70"/>
      <c r="L48" s="70"/>
      <c r="M48" s="70"/>
      <c r="N48" s="70"/>
      <c r="O48" s="70"/>
      <c r="P48" s="70"/>
      <c r="Q48" s="70"/>
      <c r="R48" s="70"/>
      <c r="S48" s="70"/>
      <c r="T48" s="70"/>
      <c r="U48" s="70"/>
      <c r="V48" s="70"/>
      <c r="W48" s="70"/>
      <c r="X48" s="70"/>
      <c r="Y48" s="70"/>
      <c r="Z48" s="70"/>
    </row>
    <row r="49" spans="1:26" ht="15.75" customHeight="1">
      <c r="A49" s="70"/>
      <c r="B49" s="70"/>
      <c r="C49" s="70"/>
      <c r="D49" s="70"/>
      <c r="E49" s="70"/>
      <c r="F49" s="70"/>
      <c r="G49" s="70"/>
      <c r="H49" s="70"/>
      <c r="I49" s="70"/>
      <c r="J49" s="70"/>
      <c r="K49" s="70"/>
      <c r="L49" s="70"/>
      <c r="M49" s="70"/>
      <c r="N49" s="70"/>
      <c r="O49" s="70"/>
      <c r="P49" s="70"/>
      <c r="Q49" s="70"/>
      <c r="R49" s="70"/>
      <c r="S49" s="70"/>
      <c r="T49" s="70"/>
      <c r="U49" s="70"/>
      <c r="V49" s="70"/>
      <c r="W49" s="70"/>
      <c r="X49" s="70"/>
      <c r="Y49" s="70"/>
      <c r="Z49" s="70"/>
    </row>
    <row r="50" spans="1:26" ht="15.75" customHeight="1">
      <c r="A50" s="70"/>
      <c r="B50" s="70"/>
      <c r="C50" s="70"/>
      <c r="D50" s="70"/>
      <c r="E50" s="70"/>
      <c r="F50" s="70"/>
      <c r="G50" s="70"/>
      <c r="H50" s="70"/>
      <c r="I50" s="70"/>
      <c r="J50" s="70"/>
      <c r="K50" s="70"/>
      <c r="L50" s="70"/>
      <c r="M50" s="70"/>
      <c r="N50" s="70"/>
      <c r="O50" s="70"/>
      <c r="P50" s="70"/>
      <c r="Q50" s="70"/>
      <c r="R50" s="70"/>
      <c r="S50" s="70"/>
      <c r="T50" s="70"/>
      <c r="U50" s="70"/>
      <c r="V50" s="70"/>
      <c r="W50" s="70"/>
      <c r="X50" s="70"/>
      <c r="Y50" s="70"/>
      <c r="Z50" s="70"/>
    </row>
    <row r="51" spans="1:26" ht="15.75" customHeight="1">
      <c r="A51" s="70"/>
      <c r="B51" s="70"/>
      <c r="C51" s="70"/>
      <c r="D51" s="70"/>
      <c r="E51" s="70"/>
      <c r="F51" s="70"/>
      <c r="G51" s="70"/>
      <c r="H51" s="70"/>
      <c r="I51" s="70"/>
      <c r="J51" s="70"/>
      <c r="K51" s="70"/>
      <c r="L51" s="70"/>
      <c r="M51" s="70"/>
      <c r="N51" s="70"/>
      <c r="O51" s="70"/>
      <c r="P51" s="70"/>
      <c r="Q51" s="70"/>
      <c r="R51" s="70"/>
      <c r="S51" s="70"/>
      <c r="T51" s="70"/>
      <c r="U51" s="70"/>
      <c r="V51" s="70"/>
      <c r="W51" s="70"/>
      <c r="X51" s="70"/>
      <c r="Y51" s="70"/>
      <c r="Z51" s="70"/>
    </row>
    <row r="52" spans="1:26" ht="15.75" customHeight="1">
      <c r="A52" s="70"/>
      <c r="B52" s="70"/>
      <c r="C52" s="70"/>
      <c r="D52" s="70"/>
      <c r="E52" s="70"/>
      <c r="F52" s="70"/>
      <c r="G52" s="70"/>
      <c r="H52" s="70"/>
      <c r="I52" s="70"/>
      <c r="J52" s="70"/>
      <c r="K52" s="70"/>
      <c r="L52" s="70"/>
      <c r="M52" s="70"/>
      <c r="N52" s="70"/>
      <c r="O52" s="70"/>
      <c r="P52" s="70"/>
      <c r="Q52" s="70"/>
      <c r="R52" s="70"/>
      <c r="S52" s="70"/>
      <c r="T52" s="70"/>
      <c r="U52" s="70"/>
      <c r="V52" s="70"/>
      <c r="W52" s="70"/>
      <c r="X52" s="70"/>
      <c r="Y52" s="70"/>
      <c r="Z52" s="70"/>
    </row>
    <row r="53" spans="1:26" ht="15.75" customHeight="1">
      <c r="A53" s="70"/>
      <c r="B53" s="70"/>
      <c r="C53" s="70"/>
      <c r="D53" s="70"/>
      <c r="E53" s="70"/>
      <c r="F53" s="70"/>
      <c r="G53" s="70"/>
      <c r="H53" s="70"/>
      <c r="I53" s="70"/>
      <c r="J53" s="70"/>
      <c r="K53" s="70"/>
      <c r="L53" s="70"/>
      <c r="M53" s="70"/>
      <c r="N53" s="70"/>
      <c r="O53" s="70"/>
      <c r="P53" s="70"/>
      <c r="Q53" s="70"/>
      <c r="R53" s="70"/>
      <c r="S53" s="70"/>
      <c r="T53" s="70"/>
      <c r="U53" s="70"/>
      <c r="V53" s="70"/>
      <c r="W53" s="70"/>
      <c r="X53" s="70"/>
      <c r="Y53" s="70"/>
      <c r="Z53" s="70"/>
    </row>
    <row r="54" spans="1:26" ht="15.75" customHeight="1">
      <c r="A54" s="70"/>
      <c r="B54" s="70"/>
      <c r="C54" s="70"/>
      <c r="D54" s="70"/>
      <c r="E54" s="70"/>
      <c r="F54" s="70"/>
      <c r="G54" s="70"/>
      <c r="H54" s="70"/>
      <c r="I54" s="70"/>
      <c r="J54" s="70"/>
      <c r="K54" s="70"/>
      <c r="L54" s="70"/>
      <c r="M54" s="70"/>
      <c r="N54" s="70"/>
      <c r="O54" s="70"/>
      <c r="P54" s="70"/>
      <c r="Q54" s="70"/>
      <c r="R54" s="70"/>
      <c r="S54" s="70"/>
      <c r="T54" s="70"/>
      <c r="U54" s="70"/>
      <c r="V54" s="70"/>
      <c r="W54" s="70"/>
      <c r="X54" s="70"/>
      <c r="Y54" s="70"/>
      <c r="Z54" s="70"/>
    </row>
    <row r="55" spans="1:26" ht="13">
      <c r="A55" s="70"/>
      <c r="B55" s="70"/>
      <c r="C55" s="70"/>
      <c r="D55" s="70"/>
      <c r="E55" s="70"/>
      <c r="F55" s="70"/>
      <c r="G55" s="70"/>
      <c r="H55" s="70"/>
      <c r="I55" s="70"/>
      <c r="J55" s="70"/>
      <c r="K55" s="70"/>
      <c r="L55" s="70"/>
      <c r="M55" s="70"/>
      <c r="N55" s="70"/>
      <c r="O55" s="70"/>
      <c r="P55" s="70"/>
      <c r="Q55" s="70"/>
      <c r="R55" s="70"/>
      <c r="S55" s="70"/>
      <c r="T55" s="70"/>
      <c r="U55" s="70"/>
      <c r="V55" s="70"/>
      <c r="W55" s="70"/>
      <c r="X55" s="70"/>
      <c r="Y55" s="70"/>
      <c r="Z55" s="70"/>
    </row>
    <row r="56" spans="1:26" ht="13">
      <c r="A56" s="70"/>
      <c r="B56" s="70"/>
      <c r="C56" s="70"/>
      <c r="D56" s="70"/>
      <c r="E56" s="70"/>
      <c r="F56" s="70"/>
      <c r="G56" s="70"/>
      <c r="H56" s="70"/>
      <c r="I56" s="70"/>
      <c r="J56" s="70"/>
      <c r="K56" s="70"/>
      <c r="L56" s="70"/>
      <c r="M56" s="70"/>
      <c r="N56" s="70"/>
      <c r="O56" s="70"/>
      <c r="P56" s="70"/>
      <c r="Q56" s="70"/>
      <c r="R56" s="70"/>
      <c r="S56" s="70"/>
      <c r="T56" s="70"/>
      <c r="U56" s="70"/>
      <c r="V56" s="70"/>
      <c r="W56" s="70"/>
      <c r="X56" s="70"/>
      <c r="Y56" s="70"/>
      <c r="Z56" s="70"/>
    </row>
    <row r="57" spans="1:26" ht="13">
      <c r="A57" s="70"/>
      <c r="B57" s="70"/>
      <c r="C57" s="70"/>
      <c r="D57" s="70"/>
      <c r="E57" s="70"/>
      <c r="F57" s="70"/>
      <c r="G57" s="70"/>
      <c r="H57" s="70"/>
      <c r="I57" s="70"/>
      <c r="J57" s="70"/>
      <c r="K57" s="70"/>
      <c r="L57" s="70"/>
      <c r="M57" s="70"/>
      <c r="N57" s="70"/>
      <c r="O57" s="70"/>
      <c r="P57" s="70"/>
      <c r="Q57" s="70"/>
      <c r="R57" s="70"/>
      <c r="S57" s="70"/>
      <c r="T57" s="70"/>
      <c r="U57" s="70"/>
      <c r="V57" s="70"/>
      <c r="W57" s="70"/>
      <c r="X57" s="70"/>
      <c r="Y57" s="70"/>
      <c r="Z57" s="70"/>
    </row>
    <row r="58" spans="1:26" ht="13">
      <c r="A58" s="70"/>
      <c r="B58" s="70"/>
      <c r="C58" s="70"/>
      <c r="D58" s="70"/>
      <c r="E58" s="70"/>
      <c r="F58" s="70"/>
      <c r="G58" s="70"/>
      <c r="H58" s="70"/>
      <c r="I58" s="70"/>
      <c r="J58" s="70"/>
      <c r="K58" s="70"/>
      <c r="L58" s="70"/>
      <c r="M58" s="70"/>
      <c r="N58" s="70"/>
      <c r="O58" s="70"/>
      <c r="P58" s="70"/>
      <c r="Q58" s="70"/>
      <c r="R58" s="70"/>
      <c r="S58" s="70"/>
      <c r="T58" s="70"/>
      <c r="U58" s="70"/>
      <c r="V58" s="70"/>
      <c r="W58" s="70"/>
      <c r="X58" s="70"/>
      <c r="Y58" s="70"/>
      <c r="Z58" s="70"/>
    </row>
    <row r="59" spans="1:26" ht="13">
      <c r="A59" s="70"/>
      <c r="B59" s="70"/>
      <c r="C59" s="70"/>
      <c r="D59" s="70"/>
      <c r="E59" s="70"/>
      <c r="F59" s="70"/>
      <c r="G59" s="70"/>
      <c r="H59" s="70"/>
      <c r="I59" s="70"/>
      <c r="J59" s="70"/>
      <c r="K59" s="70"/>
      <c r="L59" s="70"/>
      <c r="M59" s="70"/>
      <c r="N59" s="70"/>
      <c r="O59" s="70"/>
      <c r="P59" s="70"/>
      <c r="Q59" s="70"/>
      <c r="R59" s="70"/>
      <c r="S59" s="70"/>
      <c r="T59" s="70"/>
      <c r="U59" s="70"/>
      <c r="V59" s="70"/>
      <c r="W59" s="70"/>
      <c r="X59" s="70"/>
      <c r="Y59" s="70"/>
      <c r="Z59" s="70"/>
    </row>
    <row r="60" spans="1:26" ht="13">
      <c r="A60" s="70"/>
      <c r="B60" s="70"/>
      <c r="C60" s="70"/>
      <c r="D60" s="70"/>
      <c r="E60" s="70"/>
      <c r="F60" s="70"/>
      <c r="G60" s="70"/>
      <c r="H60" s="70"/>
      <c r="I60" s="70"/>
      <c r="J60" s="70"/>
      <c r="K60" s="70"/>
      <c r="L60" s="70"/>
      <c r="M60" s="70"/>
      <c r="N60" s="70"/>
      <c r="O60" s="70"/>
      <c r="P60" s="70"/>
      <c r="Q60" s="70"/>
      <c r="R60" s="70"/>
      <c r="S60" s="70"/>
      <c r="T60" s="70"/>
      <c r="U60" s="70"/>
      <c r="V60" s="70"/>
      <c r="W60" s="70"/>
      <c r="X60" s="70"/>
      <c r="Y60" s="70"/>
      <c r="Z60" s="70"/>
    </row>
    <row r="61" spans="1:26" ht="13">
      <c r="A61" s="70"/>
      <c r="B61" s="70"/>
      <c r="C61" s="70"/>
      <c r="D61" s="70"/>
      <c r="E61" s="70"/>
      <c r="F61" s="70"/>
      <c r="G61" s="70"/>
      <c r="H61" s="70"/>
      <c r="I61" s="70"/>
      <c r="J61" s="70"/>
      <c r="K61" s="70"/>
      <c r="L61" s="70"/>
      <c r="M61" s="70"/>
      <c r="N61" s="70"/>
      <c r="O61" s="70"/>
      <c r="P61" s="70"/>
      <c r="Q61" s="70"/>
      <c r="R61" s="70"/>
      <c r="S61" s="70"/>
      <c r="T61" s="70"/>
      <c r="U61" s="70"/>
      <c r="V61" s="70"/>
      <c r="W61" s="70"/>
      <c r="X61" s="70"/>
      <c r="Y61" s="70"/>
      <c r="Z61" s="70"/>
    </row>
    <row r="62" spans="1:26" ht="13">
      <c r="A62" s="70"/>
      <c r="B62" s="70"/>
      <c r="C62" s="70"/>
      <c r="D62" s="70"/>
      <c r="E62" s="70"/>
      <c r="F62" s="70"/>
      <c r="G62" s="70"/>
      <c r="H62" s="70"/>
      <c r="I62" s="70"/>
      <c r="J62" s="70"/>
      <c r="K62" s="70"/>
      <c r="L62" s="70"/>
      <c r="M62" s="70"/>
      <c r="N62" s="70"/>
      <c r="O62" s="70"/>
      <c r="P62" s="70"/>
      <c r="Q62" s="70"/>
      <c r="R62" s="70"/>
      <c r="S62" s="70"/>
      <c r="T62" s="70"/>
      <c r="U62" s="70"/>
      <c r="V62" s="70"/>
      <c r="W62" s="70"/>
      <c r="X62" s="70"/>
      <c r="Y62" s="70"/>
      <c r="Z62" s="70"/>
    </row>
    <row r="63" spans="1:26" ht="13">
      <c r="A63" s="70"/>
      <c r="B63" s="70"/>
      <c r="C63" s="70"/>
      <c r="D63" s="70"/>
      <c r="E63" s="70"/>
      <c r="F63" s="70"/>
      <c r="G63" s="70"/>
      <c r="H63" s="70"/>
      <c r="I63" s="70"/>
      <c r="J63" s="70"/>
      <c r="K63" s="70"/>
      <c r="L63" s="70"/>
      <c r="M63" s="70"/>
      <c r="N63" s="70"/>
      <c r="O63" s="70"/>
      <c r="P63" s="70"/>
      <c r="Q63" s="70"/>
      <c r="R63" s="70"/>
      <c r="S63" s="70"/>
      <c r="T63" s="70"/>
      <c r="U63" s="70"/>
      <c r="V63" s="70"/>
      <c r="W63" s="70"/>
      <c r="X63" s="70"/>
      <c r="Y63" s="70"/>
      <c r="Z63" s="70"/>
    </row>
    <row r="64" spans="1:26" ht="13">
      <c r="A64" s="70"/>
      <c r="B64" s="70"/>
      <c r="C64" s="70"/>
      <c r="D64" s="70"/>
      <c r="E64" s="70"/>
      <c r="F64" s="70"/>
      <c r="G64" s="70"/>
      <c r="H64" s="70"/>
      <c r="I64" s="70"/>
      <c r="J64" s="70"/>
      <c r="K64" s="70"/>
      <c r="L64" s="70"/>
      <c r="M64" s="70"/>
      <c r="N64" s="70"/>
      <c r="O64" s="70"/>
      <c r="P64" s="70"/>
      <c r="Q64" s="70"/>
      <c r="R64" s="70"/>
      <c r="S64" s="70"/>
      <c r="T64" s="70"/>
      <c r="U64" s="70"/>
      <c r="V64" s="70"/>
      <c r="W64" s="70"/>
      <c r="X64" s="70"/>
      <c r="Y64" s="70"/>
      <c r="Z64" s="70"/>
    </row>
    <row r="65" spans="1:26" ht="13">
      <c r="A65" s="70"/>
      <c r="B65" s="70"/>
      <c r="C65" s="70"/>
      <c r="D65" s="70"/>
      <c r="E65" s="70"/>
      <c r="F65" s="70"/>
      <c r="G65" s="70"/>
      <c r="H65" s="70"/>
      <c r="I65" s="70"/>
      <c r="J65" s="70"/>
      <c r="K65" s="70"/>
      <c r="L65" s="70"/>
      <c r="M65" s="70"/>
      <c r="N65" s="70"/>
      <c r="O65" s="70"/>
      <c r="P65" s="70"/>
      <c r="Q65" s="70"/>
      <c r="R65" s="70"/>
      <c r="S65" s="70"/>
      <c r="T65" s="70"/>
      <c r="U65" s="70"/>
      <c r="V65" s="70"/>
      <c r="W65" s="70"/>
      <c r="X65" s="70"/>
      <c r="Y65" s="70"/>
      <c r="Z65" s="70"/>
    </row>
    <row r="66" spans="1:26" ht="13">
      <c r="A66" s="70"/>
      <c r="B66" s="70"/>
      <c r="C66" s="70"/>
      <c r="D66" s="70"/>
      <c r="E66" s="70"/>
      <c r="F66" s="70"/>
      <c r="G66" s="70"/>
      <c r="H66" s="70"/>
      <c r="I66" s="70"/>
      <c r="J66" s="70"/>
      <c r="K66" s="70"/>
      <c r="L66" s="70"/>
      <c r="M66" s="70"/>
      <c r="N66" s="70"/>
      <c r="O66" s="70"/>
      <c r="P66" s="70"/>
      <c r="Q66" s="70"/>
      <c r="R66" s="70"/>
      <c r="S66" s="70"/>
      <c r="T66" s="70"/>
      <c r="U66" s="70"/>
      <c r="V66" s="70"/>
      <c r="W66" s="70"/>
      <c r="X66" s="70"/>
      <c r="Y66" s="70"/>
      <c r="Z66" s="70"/>
    </row>
    <row r="67" spans="1:26" ht="13">
      <c r="A67" s="70"/>
      <c r="B67" s="70"/>
      <c r="C67" s="70"/>
      <c r="D67" s="70"/>
      <c r="E67" s="70"/>
      <c r="F67" s="70"/>
      <c r="G67" s="70"/>
      <c r="H67" s="70"/>
      <c r="I67" s="70"/>
      <c r="J67" s="70"/>
      <c r="K67" s="70"/>
      <c r="L67" s="70"/>
      <c r="M67" s="70"/>
      <c r="N67" s="70"/>
      <c r="O67" s="70"/>
      <c r="P67" s="70"/>
      <c r="Q67" s="70"/>
      <c r="R67" s="70"/>
      <c r="S67" s="70"/>
      <c r="T67" s="70"/>
      <c r="U67" s="70"/>
      <c r="V67" s="70"/>
      <c r="W67" s="70"/>
      <c r="X67" s="70"/>
      <c r="Y67" s="70"/>
      <c r="Z67" s="70"/>
    </row>
    <row r="68" spans="1:26" ht="13">
      <c r="A68" s="70"/>
      <c r="B68" s="70"/>
      <c r="C68" s="70"/>
      <c r="D68" s="70"/>
      <c r="E68" s="70"/>
      <c r="F68" s="70"/>
      <c r="G68" s="70"/>
      <c r="H68" s="70"/>
      <c r="I68" s="70"/>
      <c r="J68" s="70"/>
      <c r="K68" s="70"/>
      <c r="L68" s="70"/>
      <c r="M68" s="70"/>
      <c r="N68" s="70"/>
      <c r="O68" s="70"/>
      <c r="P68" s="70"/>
      <c r="Q68" s="70"/>
      <c r="R68" s="70"/>
      <c r="S68" s="70"/>
      <c r="T68" s="70"/>
      <c r="U68" s="70"/>
      <c r="V68" s="70"/>
      <c r="W68" s="70"/>
      <c r="X68" s="70"/>
      <c r="Y68" s="70"/>
      <c r="Z68" s="70"/>
    </row>
    <row r="69" spans="1:26" ht="13">
      <c r="A69" s="70"/>
      <c r="B69" s="70"/>
      <c r="C69" s="70"/>
      <c r="D69" s="70"/>
      <c r="E69" s="70"/>
      <c r="F69" s="70"/>
      <c r="G69" s="70"/>
      <c r="H69" s="70"/>
      <c r="I69" s="70"/>
      <c r="J69" s="70"/>
      <c r="K69" s="70"/>
      <c r="L69" s="70"/>
      <c r="M69" s="70"/>
      <c r="N69" s="70"/>
      <c r="O69" s="70"/>
      <c r="P69" s="70"/>
      <c r="Q69" s="70"/>
      <c r="R69" s="70"/>
      <c r="S69" s="70"/>
      <c r="T69" s="70"/>
      <c r="U69" s="70"/>
      <c r="V69" s="70"/>
      <c r="W69" s="70"/>
      <c r="X69" s="70"/>
      <c r="Y69" s="70"/>
      <c r="Z69" s="70"/>
    </row>
    <row r="70" spans="1:26" ht="13">
      <c r="A70" s="70"/>
      <c r="B70" s="70"/>
      <c r="C70" s="70"/>
      <c r="D70" s="70"/>
      <c r="E70" s="70"/>
      <c r="F70" s="70"/>
      <c r="G70" s="70"/>
      <c r="H70" s="70"/>
      <c r="I70" s="70"/>
      <c r="J70" s="70"/>
      <c r="K70" s="70"/>
      <c r="L70" s="70"/>
      <c r="M70" s="70"/>
      <c r="N70" s="70"/>
      <c r="O70" s="70"/>
      <c r="P70" s="70"/>
      <c r="Q70" s="70"/>
      <c r="R70" s="70"/>
      <c r="S70" s="70"/>
      <c r="T70" s="70"/>
      <c r="U70" s="70"/>
      <c r="V70" s="70"/>
      <c r="W70" s="70"/>
      <c r="X70" s="70"/>
      <c r="Y70" s="70"/>
      <c r="Z70" s="70"/>
    </row>
    <row r="71" spans="1:26" ht="13">
      <c r="A71" s="70"/>
      <c r="B71" s="70"/>
      <c r="C71" s="70"/>
      <c r="D71" s="70"/>
      <c r="E71" s="70"/>
      <c r="F71" s="70"/>
      <c r="G71" s="70"/>
      <c r="H71" s="70"/>
      <c r="I71" s="70"/>
      <c r="J71" s="70"/>
      <c r="K71" s="70"/>
      <c r="L71" s="70"/>
      <c r="M71" s="70"/>
      <c r="N71" s="70"/>
      <c r="O71" s="70"/>
      <c r="P71" s="70"/>
      <c r="Q71" s="70"/>
      <c r="R71" s="70"/>
      <c r="S71" s="70"/>
      <c r="T71" s="70"/>
      <c r="U71" s="70"/>
      <c r="V71" s="70"/>
      <c r="W71" s="70"/>
      <c r="X71" s="70"/>
      <c r="Y71" s="70"/>
      <c r="Z71" s="70"/>
    </row>
    <row r="72" spans="1:26" ht="13">
      <c r="A72" s="70"/>
      <c r="B72" s="70"/>
      <c r="C72" s="70"/>
      <c r="D72" s="70"/>
      <c r="E72" s="70"/>
      <c r="F72" s="70"/>
      <c r="G72" s="70"/>
      <c r="H72" s="70"/>
      <c r="I72" s="70"/>
      <c r="J72" s="70"/>
      <c r="K72" s="70"/>
      <c r="L72" s="70"/>
      <c r="M72" s="70"/>
      <c r="N72" s="70"/>
      <c r="O72" s="70"/>
      <c r="P72" s="70"/>
      <c r="Q72" s="70"/>
      <c r="R72" s="70"/>
      <c r="S72" s="70"/>
      <c r="T72" s="70"/>
      <c r="U72" s="70"/>
      <c r="V72" s="70"/>
      <c r="W72" s="70"/>
      <c r="X72" s="70"/>
      <c r="Y72" s="70"/>
      <c r="Z72" s="70"/>
    </row>
    <row r="73" spans="1:26" ht="13">
      <c r="A73" s="70"/>
      <c r="B73" s="70"/>
      <c r="C73" s="70"/>
      <c r="D73" s="70"/>
      <c r="E73" s="70"/>
      <c r="F73" s="70"/>
      <c r="G73" s="70"/>
      <c r="H73" s="70"/>
      <c r="I73" s="70"/>
      <c r="J73" s="70"/>
      <c r="K73" s="70"/>
      <c r="L73" s="70"/>
      <c r="M73" s="70"/>
      <c r="N73" s="70"/>
      <c r="O73" s="70"/>
      <c r="P73" s="70"/>
      <c r="Q73" s="70"/>
      <c r="R73" s="70"/>
      <c r="S73" s="70"/>
      <c r="T73" s="70"/>
      <c r="U73" s="70"/>
      <c r="V73" s="70"/>
      <c r="W73" s="70"/>
      <c r="X73" s="70"/>
      <c r="Y73" s="70"/>
      <c r="Z73" s="70"/>
    </row>
    <row r="74" spans="1:26" ht="13">
      <c r="A74" s="70"/>
      <c r="B74" s="70"/>
      <c r="C74" s="70"/>
      <c r="D74" s="70"/>
      <c r="E74" s="70"/>
      <c r="F74" s="70"/>
      <c r="G74" s="70"/>
      <c r="H74" s="70"/>
      <c r="I74" s="70"/>
      <c r="J74" s="70"/>
      <c r="K74" s="70"/>
      <c r="L74" s="70"/>
      <c r="M74" s="70"/>
      <c r="N74" s="70"/>
      <c r="O74" s="70"/>
      <c r="P74" s="70"/>
      <c r="Q74" s="70"/>
      <c r="R74" s="70"/>
      <c r="S74" s="70"/>
      <c r="T74" s="70"/>
      <c r="U74" s="70"/>
      <c r="V74" s="70"/>
      <c r="W74" s="70"/>
      <c r="X74" s="70"/>
      <c r="Y74" s="70"/>
      <c r="Z74" s="70"/>
    </row>
    <row r="75" spans="1:26" ht="13">
      <c r="A75" s="70"/>
      <c r="B75" s="70"/>
      <c r="C75" s="70"/>
      <c r="D75" s="70"/>
      <c r="E75" s="70"/>
      <c r="F75" s="70"/>
      <c r="G75" s="70"/>
      <c r="H75" s="70"/>
      <c r="I75" s="70"/>
      <c r="J75" s="70"/>
      <c r="K75" s="70"/>
      <c r="L75" s="70"/>
      <c r="M75" s="70"/>
      <c r="N75" s="70"/>
      <c r="O75" s="70"/>
      <c r="P75" s="70"/>
      <c r="Q75" s="70"/>
      <c r="R75" s="70"/>
      <c r="S75" s="70"/>
      <c r="T75" s="70"/>
      <c r="U75" s="70"/>
      <c r="V75" s="70"/>
      <c r="W75" s="70"/>
      <c r="X75" s="70"/>
      <c r="Y75" s="70"/>
      <c r="Z75" s="70"/>
    </row>
    <row r="76" spans="1:26" ht="13">
      <c r="A76" s="70"/>
      <c r="B76" s="70"/>
      <c r="C76" s="70"/>
      <c r="D76" s="70"/>
      <c r="E76" s="70"/>
      <c r="F76" s="70"/>
      <c r="G76" s="70"/>
      <c r="H76" s="70"/>
      <c r="I76" s="70"/>
      <c r="J76" s="70"/>
      <c r="K76" s="70"/>
      <c r="L76" s="70"/>
      <c r="M76" s="70"/>
      <c r="N76" s="70"/>
      <c r="O76" s="70"/>
      <c r="P76" s="70"/>
      <c r="Q76" s="70"/>
      <c r="R76" s="70"/>
      <c r="S76" s="70"/>
      <c r="T76" s="70"/>
      <c r="U76" s="70"/>
      <c r="V76" s="70"/>
      <c r="W76" s="70"/>
      <c r="X76" s="70"/>
      <c r="Y76" s="70"/>
      <c r="Z76" s="70"/>
    </row>
    <row r="77" spans="1:26" ht="13">
      <c r="A77" s="70"/>
      <c r="B77" s="70"/>
      <c r="C77" s="70"/>
      <c r="D77" s="70"/>
      <c r="E77" s="70"/>
      <c r="F77" s="70"/>
      <c r="G77" s="70"/>
      <c r="H77" s="70"/>
      <c r="I77" s="70"/>
      <c r="J77" s="70"/>
      <c r="K77" s="70"/>
      <c r="L77" s="70"/>
      <c r="M77" s="70"/>
      <c r="N77" s="70"/>
      <c r="O77" s="70"/>
      <c r="P77" s="70"/>
      <c r="Q77" s="70"/>
      <c r="R77" s="70"/>
      <c r="S77" s="70"/>
      <c r="T77" s="70"/>
      <c r="U77" s="70"/>
      <c r="V77" s="70"/>
      <c r="W77" s="70"/>
      <c r="X77" s="70"/>
      <c r="Y77" s="70"/>
      <c r="Z77" s="70"/>
    </row>
    <row r="78" spans="1:26" ht="13">
      <c r="A78" s="70"/>
      <c r="B78" s="70"/>
      <c r="C78" s="70"/>
      <c r="D78" s="70"/>
      <c r="E78" s="70"/>
      <c r="F78" s="70"/>
      <c r="G78" s="70"/>
      <c r="H78" s="70"/>
      <c r="I78" s="70"/>
      <c r="J78" s="70"/>
      <c r="K78" s="70"/>
      <c r="L78" s="70"/>
      <c r="M78" s="70"/>
      <c r="N78" s="70"/>
      <c r="O78" s="70"/>
      <c r="P78" s="70"/>
      <c r="Q78" s="70"/>
      <c r="R78" s="70"/>
      <c r="S78" s="70"/>
      <c r="T78" s="70"/>
      <c r="U78" s="70"/>
      <c r="V78" s="70"/>
      <c r="W78" s="70"/>
      <c r="X78" s="70"/>
      <c r="Y78" s="70"/>
      <c r="Z78" s="70"/>
    </row>
    <row r="79" spans="1:26" ht="13">
      <c r="A79" s="70"/>
      <c r="B79" s="70"/>
      <c r="C79" s="70"/>
      <c r="D79" s="70"/>
      <c r="E79" s="70"/>
      <c r="F79" s="70"/>
      <c r="G79" s="70"/>
      <c r="H79" s="70"/>
      <c r="I79" s="70"/>
      <c r="J79" s="70"/>
      <c r="K79" s="70"/>
      <c r="L79" s="70"/>
      <c r="M79" s="70"/>
      <c r="N79" s="70"/>
      <c r="O79" s="70"/>
      <c r="P79" s="70"/>
      <c r="Q79" s="70"/>
      <c r="R79" s="70"/>
      <c r="S79" s="70"/>
      <c r="T79" s="70"/>
      <c r="U79" s="70"/>
      <c r="V79" s="70"/>
      <c r="W79" s="70"/>
      <c r="X79" s="70"/>
      <c r="Y79" s="70"/>
      <c r="Z79" s="70"/>
    </row>
    <row r="80" spans="1:26" ht="13">
      <c r="A80" s="70"/>
      <c r="B80" s="70"/>
      <c r="C80" s="70"/>
      <c r="D80" s="70"/>
      <c r="E80" s="70"/>
      <c r="F80" s="70"/>
      <c r="G80" s="70"/>
      <c r="H80" s="70"/>
      <c r="I80" s="70"/>
      <c r="J80" s="70"/>
      <c r="K80" s="70"/>
      <c r="L80" s="70"/>
      <c r="M80" s="70"/>
      <c r="N80" s="70"/>
      <c r="O80" s="70"/>
      <c r="P80" s="70"/>
      <c r="Q80" s="70"/>
      <c r="R80" s="70"/>
      <c r="S80" s="70"/>
      <c r="T80" s="70"/>
      <c r="U80" s="70"/>
      <c r="V80" s="70"/>
      <c r="W80" s="70"/>
      <c r="X80" s="70"/>
      <c r="Y80" s="70"/>
      <c r="Z80" s="70"/>
    </row>
    <row r="81" spans="1:26" ht="13">
      <c r="A81" s="70"/>
      <c r="B81" s="70"/>
      <c r="C81" s="70"/>
      <c r="D81" s="70"/>
      <c r="E81" s="70"/>
      <c r="F81" s="70"/>
      <c r="G81" s="70"/>
      <c r="H81" s="70"/>
      <c r="I81" s="70"/>
      <c r="J81" s="70"/>
      <c r="K81" s="70"/>
      <c r="L81" s="70"/>
      <c r="M81" s="70"/>
      <c r="N81" s="70"/>
      <c r="O81" s="70"/>
      <c r="P81" s="70"/>
      <c r="Q81" s="70"/>
      <c r="R81" s="70"/>
      <c r="S81" s="70"/>
      <c r="T81" s="70"/>
      <c r="U81" s="70"/>
      <c r="V81" s="70"/>
      <c r="W81" s="70"/>
      <c r="X81" s="70"/>
      <c r="Y81" s="70"/>
      <c r="Z81" s="70"/>
    </row>
    <row r="82" spans="1:26" ht="13">
      <c r="A82" s="70"/>
      <c r="B82" s="70"/>
      <c r="C82" s="70"/>
      <c r="D82" s="70"/>
      <c r="E82" s="70"/>
      <c r="F82" s="70"/>
      <c r="G82" s="70"/>
      <c r="H82" s="70"/>
      <c r="I82" s="70"/>
      <c r="J82" s="70"/>
      <c r="K82" s="70"/>
      <c r="L82" s="70"/>
      <c r="M82" s="70"/>
      <c r="N82" s="70"/>
      <c r="O82" s="70"/>
      <c r="P82" s="70"/>
      <c r="Q82" s="70"/>
      <c r="R82" s="70"/>
      <c r="S82" s="70"/>
      <c r="T82" s="70"/>
      <c r="U82" s="70"/>
      <c r="V82" s="70"/>
      <c r="W82" s="70"/>
      <c r="X82" s="70"/>
      <c r="Y82" s="70"/>
      <c r="Z82" s="70"/>
    </row>
    <row r="83" spans="1:26" ht="13">
      <c r="A83" s="70"/>
      <c r="B83" s="70"/>
      <c r="C83" s="70"/>
      <c r="D83" s="70"/>
      <c r="E83" s="70"/>
      <c r="F83" s="70"/>
      <c r="G83" s="70"/>
      <c r="H83" s="70"/>
      <c r="I83" s="70"/>
      <c r="J83" s="70"/>
      <c r="K83" s="70"/>
      <c r="L83" s="70"/>
      <c r="M83" s="70"/>
      <c r="N83" s="70"/>
      <c r="O83" s="70"/>
      <c r="P83" s="70"/>
      <c r="Q83" s="70"/>
      <c r="R83" s="70"/>
      <c r="S83" s="70"/>
      <c r="T83" s="70"/>
      <c r="U83" s="70"/>
      <c r="V83" s="70"/>
      <c r="W83" s="70"/>
      <c r="X83" s="70"/>
      <c r="Y83" s="70"/>
      <c r="Z83" s="70"/>
    </row>
    <row r="84" spans="1:26" ht="13">
      <c r="A84" s="70"/>
      <c r="B84" s="70"/>
      <c r="C84" s="70"/>
      <c r="D84" s="70"/>
      <c r="E84" s="70"/>
      <c r="F84" s="70"/>
      <c r="G84" s="70"/>
      <c r="H84" s="70"/>
      <c r="I84" s="70"/>
      <c r="J84" s="70"/>
      <c r="K84" s="70"/>
      <c r="L84" s="70"/>
      <c r="M84" s="70"/>
      <c r="N84" s="70"/>
      <c r="O84" s="70"/>
      <c r="P84" s="70"/>
      <c r="Q84" s="70"/>
      <c r="R84" s="70"/>
      <c r="S84" s="70"/>
      <c r="T84" s="70"/>
      <c r="U84" s="70"/>
      <c r="V84" s="70"/>
      <c r="W84" s="70"/>
      <c r="X84" s="70"/>
      <c r="Y84" s="70"/>
      <c r="Z84" s="70"/>
    </row>
    <row r="85" spans="1:26" ht="13">
      <c r="A85" s="70"/>
      <c r="B85" s="70"/>
      <c r="C85" s="70"/>
      <c r="D85" s="70"/>
      <c r="E85" s="70"/>
      <c r="F85" s="70"/>
      <c r="G85" s="70"/>
      <c r="H85" s="70"/>
      <c r="I85" s="70"/>
      <c r="J85" s="70"/>
      <c r="K85" s="70"/>
      <c r="L85" s="70"/>
      <c r="M85" s="70"/>
      <c r="N85" s="70"/>
      <c r="O85" s="70"/>
      <c r="P85" s="70"/>
      <c r="Q85" s="70"/>
      <c r="R85" s="70"/>
      <c r="S85" s="70"/>
      <c r="T85" s="70"/>
      <c r="U85" s="70"/>
      <c r="V85" s="70"/>
      <c r="W85" s="70"/>
      <c r="X85" s="70"/>
      <c r="Y85" s="70"/>
      <c r="Z85" s="70"/>
    </row>
    <row r="86" spans="1:26" ht="13">
      <c r="A86" s="70"/>
      <c r="B86" s="70"/>
      <c r="C86" s="70"/>
      <c r="D86" s="70"/>
      <c r="E86" s="70"/>
      <c r="F86" s="70"/>
      <c r="G86" s="70"/>
      <c r="H86" s="70"/>
      <c r="I86" s="70"/>
      <c r="J86" s="70"/>
      <c r="K86" s="70"/>
      <c r="L86" s="70"/>
      <c r="M86" s="70"/>
      <c r="N86" s="70"/>
      <c r="O86" s="70"/>
      <c r="P86" s="70"/>
      <c r="Q86" s="70"/>
      <c r="R86" s="70"/>
      <c r="S86" s="70"/>
      <c r="T86" s="70"/>
      <c r="U86" s="70"/>
      <c r="V86" s="70"/>
      <c r="W86" s="70"/>
      <c r="X86" s="70"/>
      <c r="Y86" s="70"/>
      <c r="Z86" s="70"/>
    </row>
    <row r="87" spans="1:26" ht="13">
      <c r="A87" s="70"/>
      <c r="B87" s="70"/>
      <c r="C87" s="70"/>
      <c r="D87" s="70"/>
      <c r="E87" s="70"/>
      <c r="F87" s="70"/>
      <c r="G87" s="70"/>
      <c r="H87" s="70"/>
      <c r="I87" s="70"/>
      <c r="J87" s="70"/>
      <c r="K87" s="70"/>
      <c r="L87" s="70"/>
      <c r="M87" s="70"/>
      <c r="N87" s="70"/>
      <c r="O87" s="70"/>
      <c r="P87" s="70"/>
      <c r="Q87" s="70"/>
      <c r="R87" s="70"/>
      <c r="S87" s="70"/>
      <c r="T87" s="70"/>
      <c r="U87" s="70"/>
      <c r="V87" s="70"/>
      <c r="W87" s="70"/>
      <c r="X87" s="70"/>
      <c r="Y87" s="70"/>
      <c r="Z87" s="70"/>
    </row>
    <row r="88" spans="1:26" ht="13">
      <c r="A88" s="70"/>
      <c r="B88" s="70"/>
      <c r="C88" s="70"/>
      <c r="D88" s="70"/>
      <c r="E88" s="70"/>
      <c r="F88" s="70"/>
      <c r="G88" s="70"/>
      <c r="H88" s="70"/>
      <c r="I88" s="70"/>
      <c r="J88" s="70"/>
      <c r="K88" s="70"/>
      <c r="L88" s="70"/>
      <c r="M88" s="70"/>
      <c r="N88" s="70"/>
      <c r="O88" s="70"/>
      <c r="P88" s="70"/>
      <c r="Q88" s="70"/>
      <c r="R88" s="70"/>
      <c r="S88" s="70"/>
      <c r="T88" s="70"/>
      <c r="U88" s="70"/>
      <c r="V88" s="70"/>
      <c r="W88" s="70"/>
      <c r="X88" s="70"/>
      <c r="Y88" s="70"/>
      <c r="Z88" s="70"/>
    </row>
    <row r="89" spans="1:26" ht="13">
      <c r="A89" s="70"/>
      <c r="B89" s="70"/>
      <c r="C89" s="70"/>
      <c r="D89" s="70"/>
      <c r="E89" s="70"/>
      <c r="F89" s="70"/>
      <c r="G89" s="70"/>
      <c r="H89" s="70"/>
      <c r="I89" s="70"/>
      <c r="J89" s="70"/>
      <c r="K89" s="70"/>
      <c r="L89" s="70"/>
      <c r="M89" s="70"/>
      <c r="N89" s="70"/>
      <c r="O89" s="70"/>
      <c r="P89" s="70"/>
      <c r="Q89" s="70"/>
      <c r="R89" s="70"/>
      <c r="S89" s="70"/>
      <c r="T89" s="70"/>
      <c r="U89" s="70"/>
      <c r="V89" s="70"/>
      <c r="W89" s="70"/>
      <c r="X89" s="70"/>
      <c r="Y89" s="70"/>
      <c r="Z89" s="70"/>
    </row>
    <row r="90" spans="1:26" ht="13">
      <c r="A90" s="70"/>
      <c r="B90" s="70"/>
      <c r="C90" s="70"/>
      <c r="D90" s="70"/>
      <c r="E90" s="70"/>
      <c r="F90" s="70"/>
      <c r="G90" s="70"/>
      <c r="H90" s="70"/>
      <c r="I90" s="70"/>
      <c r="J90" s="70"/>
      <c r="K90" s="70"/>
      <c r="L90" s="70"/>
      <c r="M90" s="70"/>
      <c r="N90" s="70"/>
      <c r="O90" s="70"/>
      <c r="P90" s="70"/>
      <c r="Q90" s="70"/>
      <c r="R90" s="70"/>
      <c r="S90" s="70"/>
      <c r="T90" s="70"/>
      <c r="U90" s="70"/>
      <c r="V90" s="70"/>
      <c r="W90" s="70"/>
      <c r="X90" s="70"/>
      <c r="Y90" s="70"/>
      <c r="Z90" s="70"/>
    </row>
    <row r="91" spans="1:26" ht="13">
      <c r="A91" s="70"/>
      <c r="B91" s="70"/>
      <c r="C91" s="70"/>
      <c r="D91" s="70"/>
      <c r="E91" s="70"/>
      <c r="F91" s="70"/>
      <c r="G91" s="70"/>
      <c r="H91" s="70"/>
      <c r="I91" s="70"/>
      <c r="J91" s="70"/>
      <c r="K91" s="70"/>
      <c r="L91" s="70"/>
      <c r="M91" s="70"/>
      <c r="N91" s="70"/>
      <c r="O91" s="70"/>
      <c r="P91" s="70"/>
      <c r="Q91" s="70"/>
      <c r="R91" s="70"/>
      <c r="S91" s="70"/>
      <c r="T91" s="70"/>
      <c r="U91" s="70"/>
      <c r="V91" s="70"/>
      <c r="W91" s="70"/>
      <c r="X91" s="70"/>
      <c r="Y91" s="70"/>
      <c r="Z91" s="70"/>
    </row>
    <row r="92" spans="1:26" ht="13">
      <c r="A92" s="70"/>
      <c r="B92" s="70"/>
      <c r="C92" s="70"/>
      <c r="D92" s="70"/>
      <c r="E92" s="70"/>
      <c r="F92" s="70"/>
      <c r="G92" s="70"/>
      <c r="H92" s="70"/>
      <c r="I92" s="70"/>
      <c r="J92" s="70"/>
      <c r="K92" s="70"/>
      <c r="L92" s="70"/>
      <c r="M92" s="70"/>
      <c r="N92" s="70"/>
      <c r="O92" s="70"/>
      <c r="P92" s="70"/>
      <c r="Q92" s="70"/>
      <c r="R92" s="70"/>
      <c r="S92" s="70"/>
      <c r="T92" s="70"/>
      <c r="U92" s="70"/>
      <c r="V92" s="70"/>
      <c r="W92" s="70"/>
      <c r="X92" s="70"/>
      <c r="Y92" s="70"/>
      <c r="Z92" s="70"/>
    </row>
    <row r="93" spans="1:26" ht="13">
      <c r="A93" s="70"/>
      <c r="B93" s="70"/>
      <c r="C93" s="70"/>
      <c r="D93" s="70"/>
      <c r="E93" s="70"/>
      <c r="F93" s="70"/>
      <c r="G93" s="70"/>
      <c r="H93" s="70"/>
      <c r="I93" s="70"/>
      <c r="J93" s="70"/>
      <c r="K93" s="70"/>
      <c r="L93" s="70"/>
      <c r="M93" s="70"/>
      <c r="N93" s="70"/>
      <c r="O93" s="70"/>
      <c r="P93" s="70"/>
      <c r="Q93" s="70"/>
      <c r="R93" s="70"/>
      <c r="S93" s="70"/>
      <c r="T93" s="70"/>
      <c r="U93" s="70"/>
      <c r="V93" s="70"/>
      <c r="W93" s="70"/>
      <c r="X93" s="70"/>
      <c r="Y93" s="70"/>
      <c r="Z93" s="70"/>
    </row>
    <row r="94" spans="1:26" ht="13">
      <c r="A94" s="70"/>
      <c r="B94" s="70"/>
      <c r="C94" s="70"/>
      <c r="D94" s="70"/>
      <c r="E94" s="70"/>
      <c r="F94" s="70"/>
      <c r="G94" s="70"/>
      <c r="H94" s="70"/>
      <c r="I94" s="70"/>
      <c r="J94" s="70"/>
      <c r="K94" s="70"/>
      <c r="L94" s="70"/>
      <c r="M94" s="70"/>
      <c r="N94" s="70"/>
      <c r="O94" s="70"/>
      <c r="P94" s="70"/>
      <c r="Q94" s="70"/>
      <c r="R94" s="70"/>
      <c r="S94" s="70"/>
      <c r="T94" s="70"/>
      <c r="U94" s="70"/>
      <c r="V94" s="70"/>
      <c r="W94" s="70"/>
      <c r="X94" s="70"/>
      <c r="Y94" s="70"/>
      <c r="Z94" s="70"/>
    </row>
    <row r="95" spans="1:26" ht="13">
      <c r="A95" s="70"/>
      <c r="B95" s="70"/>
      <c r="C95" s="70"/>
      <c r="D95" s="70"/>
      <c r="E95" s="70"/>
      <c r="F95" s="70"/>
      <c r="G95" s="70"/>
      <c r="H95" s="70"/>
      <c r="I95" s="70"/>
      <c r="J95" s="70"/>
      <c r="K95" s="70"/>
      <c r="L95" s="70"/>
      <c r="M95" s="70"/>
      <c r="N95" s="70"/>
      <c r="O95" s="70"/>
      <c r="P95" s="70"/>
      <c r="Q95" s="70"/>
      <c r="R95" s="70"/>
      <c r="S95" s="70"/>
      <c r="T95" s="70"/>
      <c r="U95" s="70"/>
      <c r="V95" s="70"/>
      <c r="W95" s="70"/>
      <c r="X95" s="70"/>
      <c r="Y95" s="70"/>
      <c r="Z95" s="70"/>
    </row>
    <row r="96" spans="1:26" ht="13">
      <c r="A96" s="70"/>
      <c r="B96" s="70"/>
      <c r="C96" s="70"/>
      <c r="D96" s="70"/>
      <c r="E96" s="70"/>
      <c r="F96" s="70"/>
      <c r="G96" s="70"/>
      <c r="H96" s="70"/>
      <c r="I96" s="70"/>
      <c r="J96" s="70"/>
      <c r="K96" s="70"/>
      <c r="L96" s="70"/>
      <c r="M96" s="70"/>
      <c r="N96" s="70"/>
      <c r="O96" s="70"/>
      <c r="P96" s="70"/>
      <c r="Q96" s="70"/>
      <c r="R96" s="70"/>
      <c r="S96" s="70"/>
      <c r="T96" s="70"/>
      <c r="U96" s="70"/>
      <c r="V96" s="70"/>
      <c r="W96" s="70"/>
      <c r="X96" s="70"/>
      <c r="Y96" s="70"/>
      <c r="Z96" s="70"/>
    </row>
    <row r="97" spans="1:26" ht="13">
      <c r="A97" s="70"/>
      <c r="B97" s="70"/>
      <c r="C97" s="70"/>
      <c r="D97" s="70"/>
      <c r="E97" s="70"/>
      <c r="F97" s="70"/>
      <c r="G97" s="70"/>
      <c r="H97" s="70"/>
      <c r="I97" s="70"/>
      <c r="J97" s="70"/>
      <c r="K97" s="70"/>
      <c r="L97" s="70"/>
      <c r="M97" s="70"/>
      <c r="N97" s="70"/>
      <c r="O97" s="70"/>
      <c r="P97" s="70"/>
      <c r="Q97" s="70"/>
      <c r="R97" s="70"/>
      <c r="S97" s="70"/>
      <c r="T97" s="70"/>
      <c r="U97" s="70"/>
      <c r="V97" s="70"/>
      <c r="W97" s="70"/>
      <c r="X97" s="70"/>
      <c r="Y97" s="70"/>
      <c r="Z97" s="70"/>
    </row>
    <row r="98" spans="1:26" ht="13">
      <c r="A98" s="70"/>
      <c r="B98" s="70"/>
      <c r="C98" s="70"/>
      <c r="D98" s="70"/>
      <c r="E98" s="70"/>
      <c r="F98" s="70"/>
      <c r="G98" s="70"/>
      <c r="H98" s="70"/>
      <c r="I98" s="70"/>
      <c r="J98" s="70"/>
      <c r="K98" s="70"/>
      <c r="L98" s="70"/>
      <c r="M98" s="70"/>
      <c r="N98" s="70"/>
      <c r="O98" s="70"/>
      <c r="P98" s="70"/>
      <c r="Q98" s="70"/>
      <c r="R98" s="70"/>
      <c r="S98" s="70"/>
      <c r="T98" s="70"/>
      <c r="U98" s="70"/>
      <c r="V98" s="70"/>
      <c r="W98" s="70"/>
      <c r="X98" s="70"/>
      <c r="Y98" s="70"/>
      <c r="Z98" s="70"/>
    </row>
    <row r="99" spans="1:26" ht="13">
      <c r="A99" s="70"/>
      <c r="B99" s="70"/>
      <c r="C99" s="70"/>
      <c r="D99" s="70"/>
      <c r="E99" s="70"/>
      <c r="F99" s="70"/>
      <c r="G99" s="70"/>
      <c r="H99" s="70"/>
      <c r="I99" s="70"/>
      <c r="J99" s="70"/>
      <c r="K99" s="70"/>
      <c r="L99" s="70"/>
      <c r="M99" s="70"/>
      <c r="N99" s="70"/>
      <c r="O99" s="70"/>
      <c r="P99" s="70"/>
      <c r="Q99" s="70"/>
      <c r="R99" s="70"/>
      <c r="S99" s="70"/>
      <c r="T99" s="70"/>
      <c r="U99" s="70"/>
      <c r="V99" s="70"/>
      <c r="W99" s="70"/>
      <c r="X99" s="70"/>
      <c r="Y99" s="70"/>
      <c r="Z99" s="70"/>
    </row>
    <row r="100" spans="1:26" ht="13">
      <c r="A100" s="70"/>
      <c r="B100" s="70"/>
      <c r="C100" s="70"/>
      <c r="D100" s="70"/>
      <c r="E100" s="70"/>
      <c r="F100" s="70"/>
      <c r="G100" s="70"/>
      <c r="H100" s="70"/>
      <c r="I100" s="70"/>
      <c r="J100" s="70"/>
      <c r="K100" s="70"/>
      <c r="L100" s="70"/>
      <c r="M100" s="70"/>
      <c r="N100" s="70"/>
      <c r="O100" s="70"/>
      <c r="P100" s="70"/>
      <c r="Q100" s="70"/>
      <c r="R100" s="70"/>
      <c r="S100" s="70"/>
      <c r="T100" s="70"/>
      <c r="U100" s="70"/>
      <c r="V100" s="70"/>
      <c r="W100" s="70"/>
      <c r="X100" s="70"/>
      <c r="Y100" s="70"/>
      <c r="Z100" s="70"/>
    </row>
    <row r="101" spans="1:26" ht="13">
      <c r="A101" s="70"/>
      <c r="B101" s="70"/>
      <c r="C101" s="70"/>
      <c r="D101" s="70"/>
      <c r="E101" s="70"/>
      <c r="F101" s="70"/>
      <c r="G101" s="70"/>
      <c r="H101" s="70"/>
      <c r="I101" s="70"/>
      <c r="J101" s="70"/>
      <c r="K101" s="70"/>
      <c r="L101" s="70"/>
      <c r="M101" s="70"/>
      <c r="N101" s="70"/>
      <c r="O101" s="70"/>
      <c r="P101" s="70"/>
      <c r="Q101" s="70"/>
      <c r="R101" s="70"/>
      <c r="S101" s="70"/>
      <c r="T101" s="70"/>
      <c r="U101" s="70"/>
      <c r="V101" s="70"/>
      <c r="W101" s="70"/>
      <c r="X101" s="70"/>
      <c r="Y101" s="70"/>
      <c r="Z101" s="70"/>
    </row>
    <row r="102" spans="1:26" ht="13">
      <c r="A102" s="70"/>
      <c r="B102" s="70"/>
      <c r="C102" s="70"/>
      <c r="D102" s="70"/>
      <c r="E102" s="70"/>
      <c r="F102" s="70"/>
      <c r="G102" s="70"/>
      <c r="H102" s="70"/>
      <c r="I102" s="70"/>
      <c r="J102" s="70"/>
      <c r="K102" s="70"/>
      <c r="L102" s="70"/>
      <c r="M102" s="70"/>
      <c r="N102" s="70"/>
      <c r="O102" s="70"/>
      <c r="P102" s="70"/>
      <c r="Q102" s="70"/>
      <c r="R102" s="70"/>
      <c r="S102" s="70"/>
      <c r="T102" s="70"/>
      <c r="U102" s="70"/>
      <c r="V102" s="70"/>
      <c r="W102" s="70"/>
      <c r="X102" s="70"/>
      <c r="Y102" s="70"/>
      <c r="Z102" s="70"/>
    </row>
    <row r="103" spans="1:26" ht="13">
      <c r="A103" s="70"/>
      <c r="B103" s="70"/>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row>
    <row r="104" spans="1:26" ht="13">
      <c r="A104" s="70"/>
      <c r="B104" s="70"/>
      <c r="C104" s="70"/>
      <c r="D104" s="70"/>
      <c r="E104" s="70"/>
      <c r="F104" s="70"/>
      <c r="G104" s="70"/>
      <c r="H104" s="70"/>
      <c r="I104" s="70"/>
      <c r="J104" s="70"/>
      <c r="K104" s="70"/>
      <c r="L104" s="70"/>
      <c r="M104" s="70"/>
      <c r="N104" s="70"/>
      <c r="O104" s="70"/>
      <c r="P104" s="70"/>
      <c r="Q104" s="70"/>
      <c r="R104" s="70"/>
      <c r="S104" s="70"/>
      <c r="T104" s="70"/>
      <c r="U104" s="70"/>
      <c r="V104" s="70"/>
      <c r="W104" s="70"/>
      <c r="X104" s="70"/>
      <c r="Y104" s="70"/>
      <c r="Z104" s="70"/>
    </row>
    <row r="105" spans="1:26" ht="13">
      <c r="A105" s="70"/>
      <c r="B105" s="70"/>
      <c r="C105" s="70"/>
      <c r="D105" s="70"/>
      <c r="E105" s="70"/>
      <c r="F105" s="70"/>
      <c r="G105" s="70"/>
      <c r="H105" s="70"/>
      <c r="I105" s="70"/>
      <c r="J105" s="70"/>
      <c r="K105" s="70"/>
      <c r="L105" s="70"/>
      <c r="M105" s="70"/>
      <c r="N105" s="70"/>
      <c r="O105" s="70"/>
      <c r="P105" s="70"/>
      <c r="Q105" s="70"/>
      <c r="R105" s="70"/>
      <c r="S105" s="70"/>
      <c r="T105" s="70"/>
      <c r="U105" s="70"/>
      <c r="V105" s="70"/>
      <c r="W105" s="70"/>
      <c r="X105" s="70"/>
      <c r="Y105" s="70"/>
      <c r="Z105" s="70"/>
    </row>
    <row r="106" spans="1:26" ht="13">
      <c r="A106" s="70"/>
      <c r="B106" s="70"/>
      <c r="C106" s="70"/>
      <c r="D106" s="70"/>
      <c r="E106" s="70"/>
      <c r="F106" s="70"/>
      <c r="G106" s="70"/>
      <c r="H106" s="70"/>
      <c r="I106" s="70"/>
      <c r="J106" s="70"/>
      <c r="K106" s="70"/>
      <c r="L106" s="70"/>
      <c r="M106" s="70"/>
      <c r="N106" s="70"/>
      <c r="O106" s="70"/>
      <c r="P106" s="70"/>
      <c r="Q106" s="70"/>
      <c r="R106" s="70"/>
      <c r="S106" s="70"/>
      <c r="T106" s="70"/>
      <c r="U106" s="70"/>
      <c r="V106" s="70"/>
      <c r="W106" s="70"/>
      <c r="X106" s="70"/>
      <c r="Y106" s="70"/>
      <c r="Z106" s="70"/>
    </row>
    <row r="107" spans="1:26" ht="13">
      <c r="A107" s="70"/>
      <c r="B107" s="70"/>
      <c r="C107" s="70"/>
      <c r="D107" s="70"/>
      <c r="E107" s="70"/>
      <c r="F107" s="70"/>
      <c r="G107" s="70"/>
      <c r="H107" s="70"/>
      <c r="I107" s="70"/>
      <c r="J107" s="70"/>
      <c r="K107" s="70"/>
      <c r="L107" s="70"/>
      <c r="M107" s="70"/>
      <c r="N107" s="70"/>
      <c r="O107" s="70"/>
      <c r="P107" s="70"/>
      <c r="Q107" s="70"/>
      <c r="R107" s="70"/>
      <c r="S107" s="70"/>
      <c r="T107" s="70"/>
      <c r="U107" s="70"/>
      <c r="V107" s="70"/>
      <c r="W107" s="70"/>
      <c r="X107" s="70"/>
      <c r="Y107" s="70"/>
      <c r="Z107" s="70"/>
    </row>
    <row r="108" spans="1:26" ht="13">
      <c r="A108" s="70"/>
      <c r="B108" s="70"/>
      <c r="C108" s="70"/>
      <c r="D108" s="70"/>
      <c r="E108" s="70"/>
      <c r="F108" s="70"/>
      <c r="G108" s="70"/>
      <c r="H108" s="70"/>
      <c r="I108" s="70"/>
      <c r="J108" s="70"/>
      <c r="K108" s="70"/>
      <c r="L108" s="70"/>
      <c r="M108" s="70"/>
      <c r="N108" s="70"/>
      <c r="O108" s="70"/>
      <c r="P108" s="70"/>
      <c r="Q108" s="70"/>
      <c r="R108" s="70"/>
      <c r="S108" s="70"/>
      <c r="T108" s="70"/>
      <c r="U108" s="70"/>
      <c r="V108" s="70"/>
      <c r="W108" s="70"/>
      <c r="X108" s="70"/>
      <c r="Y108" s="70"/>
      <c r="Z108" s="70"/>
    </row>
    <row r="109" spans="1:26" ht="13">
      <c r="A109" s="70"/>
      <c r="B109" s="70"/>
      <c r="C109" s="70"/>
      <c r="D109" s="70"/>
      <c r="E109" s="70"/>
      <c r="F109" s="70"/>
      <c r="G109" s="70"/>
      <c r="H109" s="70"/>
      <c r="I109" s="70"/>
      <c r="J109" s="70"/>
      <c r="K109" s="70"/>
      <c r="L109" s="70"/>
      <c r="M109" s="70"/>
      <c r="N109" s="70"/>
      <c r="O109" s="70"/>
      <c r="P109" s="70"/>
      <c r="Q109" s="70"/>
      <c r="R109" s="70"/>
      <c r="S109" s="70"/>
      <c r="T109" s="70"/>
      <c r="U109" s="70"/>
      <c r="V109" s="70"/>
      <c r="W109" s="70"/>
      <c r="X109" s="70"/>
      <c r="Y109" s="70"/>
      <c r="Z109" s="70"/>
    </row>
    <row r="110" spans="1:26" ht="13">
      <c r="A110" s="70"/>
      <c r="B110" s="70"/>
      <c r="C110" s="70"/>
      <c r="D110" s="70"/>
      <c r="E110" s="70"/>
      <c r="F110" s="70"/>
      <c r="G110" s="70"/>
      <c r="H110" s="70"/>
      <c r="I110" s="70"/>
      <c r="J110" s="70"/>
      <c r="K110" s="70"/>
      <c r="L110" s="70"/>
      <c r="M110" s="70"/>
      <c r="N110" s="70"/>
      <c r="O110" s="70"/>
      <c r="P110" s="70"/>
      <c r="Q110" s="70"/>
      <c r="R110" s="70"/>
      <c r="S110" s="70"/>
      <c r="T110" s="70"/>
      <c r="U110" s="70"/>
      <c r="V110" s="70"/>
      <c r="W110" s="70"/>
      <c r="X110" s="70"/>
      <c r="Y110" s="70"/>
      <c r="Z110" s="70"/>
    </row>
    <row r="111" spans="1:26" ht="13">
      <c r="A111" s="70"/>
      <c r="B111" s="70"/>
      <c r="C111" s="70"/>
      <c r="D111" s="70"/>
      <c r="E111" s="70"/>
      <c r="F111" s="70"/>
      <c r="G111" s="70"/>
      <c r="H111" s="70"/>
      <c r="I111" s="70"/>
      <c r="J111" s="70"/>
      <c r="K111" s="70"/>
      <c r="L111" s="70"/>
      <c r="M111" s="70"/>
      <c r="N111" s="70"/>
      <c r="O111" s="70"/>
      <c r="P111" s="70"/>
      <c r="Q111" s="70"/>
      <c r="R111" s="70"/>
      <c r="S111" s="70"/>
      <c r="T111" s="70"/>
      <c r="U111" s="70"/>
      <c r="V111" s="70"/>
      <c r="W111" s="70"/>
      <c r="X111" s="70"/>
      <c r="Y111" s="70"/>
      <c r="Z111" s="70"/>
    </row>
    <row r="112" spans="1:26" ht="13">
      <c r="A112" s="70"/>
      <c r="B112" s="70"/>
      <c r="C112" s="70"/>
      <c r="D112" s="70"/>
      <c r="E112" s="70"/>
      <c r="F112" s="70"/>
      <c r="G112" s="70"/>
      <c r="H112" s="70"/>
      <c r="I112" s="70"/>
      <c r="J112" s="70"/>
      <c r="K112" s="70"/>
      <c r="L112" s="70"/>
      <c r="M112" s="70"/>
      <c r="N112" s="70"/>
      <c r="O112" s="70"/>
      <c r="P112" s="70"/>
      <c r="Q112" s="70"/>
      <c r="R112" s="70"/>
      <c r="S112" s="70"/>
      <c r="T112" s="70"/>
      <c r="U112" s="70"/>
      <c r="V112" s="70"/>
      <c r="W112" s="70"/>
      <c r="X112" s="70"/>
      <c r="Y112" s="70"/>
      <c r="Z112" s="70"/>
    </row>
    <row r="113" spans="1:26" ht="13">
      <c r="A113" s="70"/>
      <c r="B113" s="70"/>
      <c r="C113" s="70"/>
      <c r="D113" s="70"/>
      <c r="E113" s="70"/>
      <c r="F113" s="70"/>
      <c r="G113" s="70"/>
      <c r="H113" s="70"/>
      <c r="I113" s="70"/>
      <c r="J113" s="70"/>
      <c r="K113" s="70"/>
      <c r="L113" s="70"/>
      <c r="M113" s="70"/>
      <c r="N113" s="70"/>
      <c r="O113" s="70"/>
      <c r="P113" s="70"/>
      <c r="Q113" s="70"/>
      <c r="R113" s="70"/>
      <c r="S113" s="70"/>
      <c r="T113" s="70"/>
      <c r="U113" s="70"/>
      <c r="V113" s="70"/>
      <c r="W113" s="70"/>
      <c r="X113" s="70"/>
      <c r="Y113" s="70"/>
      <c r="Z113" s="70"/>
    </row>
    <row r="114" spans="1:26" ht="13">
      <c r="A114" s="70"/>
      <c r="B114" s="70"/>
      <c r="C114" s="70"/>
      <c r="D114" s="70"/>
      <c r="E114" s="70"/>
      <c r="F114" s="70"/>
      <c r="G114" s="70"/>
      <c r="H114" s="70"/>
      <c r="I114" s="70"/>
      <c r="J114" s="70"/>
      <c r="K114" s="70"/>
      <c r="L114" s="70"/>
      <c r="M114" s="70"/>
      <c r="N114" s="70"/>
      <c r="O114" s="70"/>
      <c r="P114" s="70"/>
      <c r="Q114" s="70"/>
      <c r="R114" s="70"/>
      <c r="S114" s="70"/>
      <c r="T114" s="70"/>
      <c r="U114" s="70"/>
      <c r="V114" s="70"/>
      <c r="W114" s="70"/>
      <c r="X114" s="70"/>
      <c r="Y114" s="70"/>
      <c r="Z114" s="70"/>
    </row>
    <row r="115" spans="1:26" ht="13">
      <c r="A115" s="70"/>
      <c r="B115" s="70"/>
      <c r="C115" s="70"/>
      <c r="D115" s="70"/>
      <c r="E115" s="70"/>
      <c r="F115" s="70"/>
      <c r="G115" s="70"/>
      <c r="H115" s="70"/>
      <c r="I115" s="70"/>
      <c r="J115" s="70"/>
      <c r="K115" s="70"/>
      <c r="L115" s="70"/>
      <c r="M115" s="70"/>
      <c r="N115" s="70"/>
      <c r="O115" s="70"/>
      <c r="P115" s="70"/>
      <c r="Q115" s="70"/>
      <c r="R115" s="70"/>
      <c r="S115" s="70"/>
      <c r="T115" s="70"/>
      <c r="U115" s="70"/>
      <c r="V115" s="70"/>
      <c r="W115" s="70"/>
      <c r="X115" s="70"/>
      <c r="Y115" s="70"/>
      <c r="Z115" s="70"/>
    </row>
    <row r="116" spans="1:26" ht="13">
      <c r="A116" s="70"/>
      <c r="B116" s="70"/>
      <c r="C116" s="70"/>
      <c r="D116" s="70"/>
      <c r="E116" s="70"/>
      <c r="F116" s="70"/>
      <c r="G116" s="70"/>
      <c r="H116" s="70"/>
      <c r="I116" s="70"/>
      <c r="J116" s="70"/>
      <c r="K116" s="70"/>
      <c r="L116" s="70"/>
      <c r="M116" s="70"/>
      <c r="N116" s="70"/>
      <c r="O116" s="70"/>
      <c r="P116" s="70"/>
      <c r="Q116" s="70"/>
      <c r="R116" s="70"/>
      <c r="S116" s="70"/>
      <c r="T116" s="70"/>
      <c r="U116" s="70"/>
      <c r="V116" s="70"/>
      <c r="W116" s="70"/>
      <c r="X116" s="70"/>
      <c r="Y116" s="70"/>
      <c r="Z116" s="70"/>
    </row>
    <row r="117" spans="1:26" ht="13">
      <c r="A117" s="70"/>
      <c r="B117" s="70"/>
      <c r="C117" s="70"/>
      <c r="D117" s="70"/>
      <c r="E117" s="70"/>
      <c r="F117" s="70"/>
      <c r="G117" s="70"/>
      <c r="H117" s="70"/>
      <c r="I117" s="70"/>
      <c r="J117" s="70"/>
      <c r="K117" s="70"/>
      <c r="L117" s="70"/>
      <c r="M117" s="70"/>
      <c r="N117" s="70"/>
      <c r="O117" s="70"/>
      <c r="P117" s="70"/>
      <c r="Q117" s="70"/>
      <c r="R117" s="70"/>
      <c r="S117" s="70"/>
      <c r="T117" s="70"/>
      <c r="U117" s="70"/>
      <c r="V117" s="70"/>
      <c r="W117" s="70"/>
      <c r="X117" s="70"/>
      <c r="Y117" s="70"/>
      <c r="Z117" s="70"/>
    </row>
    <row r="118" spans="1:26" ht="13">
      <c r="A118" s="70"/>
      <c r="B118" s="70"/>
      <c r="C118" s="70"/>
      <c r="D118" s="70"/>
      <c r="E118" s="70"/>
      <c r="F118" s="70"/>
      <c r="G118" s="70"/>
      <c r="H118" s="70"/>
      <c r="I118" s="70"/>
      <c r="J118" s="70"/>
      <c r="K118" s="70"/>
      <c r="L118" s="70"/>
      <c r="M118" s="70"/>
      <c r="N118" s="70"/>
      <c r="O118" s="70"/>
      <c r="P118" s="70"/>
      <c r="Q118" s="70"/>
      <c r="R118" s="70"/>
      <c r="S118" s="70"/>
      <c r="T118" s="70"/>
      <c r="U118" s="70"/>
      <c r="V118" s="70"/>
      <c r="W118" s="70"/>
      <c r="X118" s="70"/>
      <c r="Y118" s="70"/>
      <c r="Z118" s="70"/>
    </row>
    <row r="119" spans="1:26" ht="13">
      <c r="A119" s="70"/>
      <c r="B119" s="70"/>
      <c r="C119" s="70"/>
      <c r="D119" s="70"/>
      <c r="E119" s="70"/>
      <c r="F119" s="70"/>
      <c r="G119" s="70"/>
      <c r="H119" s="70"/>
      <c r="I119" s="70"/>
      <c r="J119" s="70"/>
      <c r="K119" s="70"/>
      <c r="L119" s="70"/>
      <c r="M119" s="70"/>
      <c r="N119" s="70"/>
      <c r="O119" s="70"/>
      <c r="P119" s="70"/>
      <c r="Q119" s="70"/>
      <c r="R119" s="70"/>
      <c r="S119" s="70"/>
      <c r="T119" s="70"/>
      <c r="U119" s="70"/>
      <c r="V119" s="70"/>
      <c r="W119" s="70"/>
      <c r="X119" s="70"/>
      <c r="Y119" s="70"/>
      <c r="Z119" s="70"/>
    </row>
    <row r="120" spans="1:26" ht="13">
      <c r="A120" s="70"/>
      <c r="B120" s="70"/>
      <c r="C120" s="70"/>
      <c r="D120" s="70"/>
      <c r="E120" s="70"/>
      <c r="F120" s="70"/>
      <c r="G120" s="70"/>
      <c r="H120" s="70"/>
      <c r="I120" s="70"/>
      <c r="J120" s="70"/>
      <c r="K120" s="70"/>
      <c r="L120" s="70"/>
      <c r="M120" s="70"/>
      <c r="N120" s="70"/>
      <c r="O120" s="70"/>
      <c r="P120" s="70"/>
      <c r="Q120" s="70"/>
      <c r="R120" s="70"/>
      <c r="S120" s="70"/>
      <c r="T120" s="70"/>
      <c r="U120" s="70"/>
      <c r="V120" s="70"/>
      <c r="W120" s="70"/>
      <c r="X120" s="70"/>
      <c r="Y120" s="70"/>
      <c r="Z120" s="70"/>
    </row>
    <row r="121" spans="1:26" ht="13">
      <c r="A121" s="70"/>
      <c r="B121" s="70"/>
      <c r="C121" s="70"/>
      <c r="D121" s="70"/>
      <c r="E121" s="70"/>
      <c r="F121" s="70"/>
      <c r="G121" s="70"/>
      <c r="H121" s="70"/>
      <c r="I121" s="70"/>
      <c r="J121" s="70"/>
      <c r="K121" s="70"/>
      <c r="L121" s="70"/>
      <c r="M121" s="70"/>
      <c r="N121" s="70"/>
      <c r="O121" s="70"/>
      <c r="P121" s="70"/>
      <c r="Q121" s="70"/>
      <c r="R121" s="70"/>
      <c r="S121" s="70"/>
      <c r="T121" s="70"/>
      <c r="U121" s="70"/>
      <c r="V121" s="70"/>
      <c r="W121" s="70"/>
      <c r="X121" s="70"/>
      <c r="Y121" s="70"/>
      <c r="Z121" s="70"/>
    </row>
    <row r="122" spans="1:26" ht="13">
      <c r="A122" s="70"/>
      <c r="B122" s="70"/>
      <c r="C122" s="70"/>
      <c r="D122" s="70"/>
      <c r="E122" s="70"/>
      <c r="F122" s="70"/>
      <c r="G122" s="70"/>
      <c r="H122" s="70"/>
      <c r="I122" s="70"/>
      <c r="J122" s="70"/>
      <c r="K122" s="70"/>
      <c r="L122" s="70"/>
      <c r="M122" s="70"/>
      <c r="N122" s="70"/>
      <c r="O122" s="70"/>
      <c r="P122" s="70"/>
      <c r="Q122" s="70"/>
      <c r="R122" s="70"/>
      <c r="S122" s="70"/>
      <c r="T122" s="70"/>
      <c r="U122" s="70"/>
      <c r="V122" s="70"/>
      <c r="W122" s="70"/>
      <c r="X122" s="70"/>
      <c r="Y122" s="70"/>
      <c r="Z122" s="70"/>
    </row>
    <row r="123" spans="1:26" ht="13">
      <c r="A123" s="70"/>
      <c r="B123" s="70"/>
      <c r="C123" s="70"/>
      <c r="D123" s="70"/>
      <c r="E123" s="70"/>
      <c r="F123" s="70"/>
      <c r="G123" s="70"/>
      <c r="H123" s="70"/>
      <c r="I123" s="70"/>
      <c r="J123" s="70"/>
      <c r="K123" s="70"/>
      <c r="L123" s="70"/>
      <c r="M123" s="70"/>
      <c r="N123" s="70"/>
      <c r="O123" s="70"/>
      <c r="P123" s="70"/>
      <c r="Q123" s="70"/>
      <c r="R123" s="70"/>
      <c r="S123" s="70"/>
      <c r="T123" s="70"/>
      <c r="U123" s="70"/>
      <c r="V123" s="70"/>
      <c r="W123" s="70"/>
      <c r="X123" s="70"/>
      <c r="Y123" s="70"/>
      <c r="Z123" s="70"/>
    </row>
    <row r="124" spans="1:26" ht="13">
      <c r="A124" s="70"/>
      <c r="B124" s="70"/>
      <c r="C124" s="70"/>
      <c r="D124" s="70"/>
      <c r="E124" s="70"/>
      <c r="F124" s="70"/>
      <c r="G124" s="70"/>
      <c r="H124" s="70"/>
      <c r="I124" s="70"/>
      <c r="J124" s="70"/>
      <c r="K124" s="70"/>
      <c r="L124" s="70"/>
      <c r="M124" s="70"/>
      <c r="N124" s="70"/>
      <c r="O124" s="70"/>
      <c r="P124" s="70"/>
      <c r="Q124" s="70"/>
      <c r="R124" s="70"/>
      <c r="S124" s="70"/>
      <c r="T124" s="70"/>
      <c r="U124" s="70"/>
      <c r="V124" s="70"/>
      <c r="W124" s="70"/>
      <c r="X124" s="70"/>
      <c r="Y124" s="70"/>
      <c r="Z124" s="70"/>
    </row>
    <row r="125" spans="1:26" ht="13">
      <c r="A125" s="70"/>
      <c r="B125" s="70"/>
      <c r="C125" s="70"/>
      <c r="D125" s="70"/>
      <c r="E125" s="70"/>
      <c r="F125" s="70"/>
      <c r="G125" s="70"/>
      <c r="H125" s="70"/>
      <c r="I125" s="70"/>
      <c r="J125" s="70"/>
      <c r="K125" s="70"/>
      <c r="L125" s="70"/>
      <c r="M125" s="70"/>
      <c r="N125" s="70"/>
      <c r="O125" s="70"/>
      <c r="P125" s="70"/>
      <c r="Q125" s="70"/>
      <c r="R125" s="70"/>
      <c r="S125" s="70"/>
      <c r="T125" s="70"/>
      <c r="U125" s="70"/>
      <c r="V125" s="70"/>
      <c r="W125" s="70"/>
      <c r="X125" s="70"/>
      <c r="Y125" s="70"/>
      <c r="Z125" s="70"/>
    </row>
    <row r="126" spans="1:26" ht="13">
      <c r="A126" s="70"/>
      <c r="B126" s="70"/>
      <c r="C126" s="70"/>
      <c r="D126" s="70"/>
      <c r="E126" s="70"/>
      <c r="F126" s="70"/>
      <c r="G126" s="70"/>
      <c r="H126" s="70"/>
      <c r="I126" s="70"/>
      <c r="J126" s="70"/>
      <c r="K126" s="70"/>
      <c r="L126" s="70"/>
      <c r="M126" s="70"/>
      <c r="N126" s="70"/>
      <c r="O126" s="70"/>
      <c r="P126" s="70"/>
      <c r="Q126" s="70"/>
      <c r="R126" s="70"/>
      <c r="S126" s="70"/>
      <c r="T126" s="70"/>
      <c r="U126" s="70"/>
      <c r="V126" s="70"/>
      <c r="W126" s="70"/>
      <c r="X126" s="70"/>
      <c r="Y126" s="70"/>
      <c r="Z126" s="70"/>
    </row>
    <row r="127" spans="1:26" ht="13">
      <c r="A127" s="70"/>
      <c r="B127" s="70"/>
      <c r="C127" s="70"/>
      <c r="D127" s="70"/>
      <c r="E127" s="70"/>
      <c r="F127" s="70"/>
      <c r="G127" s="70"/>
      <c r="H127" s="70"/>
      <c r="I127" s="70"/>
      <c r="J127" s="70"/>
      <c r="K127" s="70"/>
      <c r="L127" s="70"/>
      <c r="M127" s="70"/>
      <c r="N127" s="70"/>
      <c r="O127" s="70"/>
      <c r="P127" s="70"/>
      <c r="Q127" s="70"/>
      <c r="R127" s="70"/>
      <c r="S127" s="70"/>
      <c r="T127" s="70"/>
      <c r="U127" s="70"/>
      <c r="V127" s="70"/>
      <c r="W127" s="70"/>
      <c r="X127" s="70"/>
      <c r="Y127" s="70"/>
      <c r="Z127" s="70"/>
    </row>
    <row r="128" spans="1:26" ht="13">
      <c r="A128" s="70"/>
      <c r="B128" s="70"/>
      <c r="C128" s="70"/>
      <c r="D128" s="70"/>
      <c r="E128" s="70"/>
      <c r="F128" s="70"/>
      <c r="G128" s="70"/>
      <c r="H128" s="70"/>
      <c r="I128" s="70"/>
      <c r="J128" s="70"/>
      <c r="K128" s="70"/>
      <c r="L128" s="70"/>
      <c r="M128" s="70"/>
      <c r="N128" s="70"/>
      <c r="O128" s="70"/>
      <c r="P128" s="70"/>
      <c r="Q128" s="70"/>
      <c r="R128" s="70"/>
      <c r="S128" s="70"/>
      <c r="T128" s="70"/>
      <c r="U128" s="70"/>
      <c r="V128" s="70"/>
      <c r="W128" s="70"/>
      <c r="X128" s="70"/>
      <c r="Y128" s="70"/>
      <c r="Z128" s="70"/>
    </row>
    <row r="129" spans="1:26" ht="13">
      <c r="A129" s="70"/>
      <c r="B129" s="70"/>
      <c r="C129" s="70"/>
      <c r="D129" s="70"/>
      <c r="E129" s="70"/>
      <c r="F129" s="70"/>
      <c r="G129" s="70"/>
      <c r="H129" s="70"/>
      <c r="I129" s="70"/>
      <c r="J129" s="70"/>
      <c r="K129" s="70"/>
      <c r="L129" s="70"/>
      <c r="M129" s="70"/>
      <c r="N129" s="70"/>
      <c r="O129" s="70"/>
      <c r="P129" s="70"/>
      <c r="Q129" s="70"/>
      <c r="R129" s="70"/>
      <c r="S129" s="70"/>
      <c r="T129" s="70"/>
      <c r="U129" s="70"/>
      <c r="V129" s="70"/>
      <c r="W129" s="70"/>
      <c r="X129" s="70"/>
      <c r="Y129" s="70"/>
      <c r="Z129" s="70"/>
    </row>
    <row r="130" spans="1:26" ht="13">
      <c r="A130" s="70"/>
      <c r="B130" s="70"/>
      <c r="C130" s="70"/>
      <c r="D130" s="70"/>
      <c r="E130" s="70"/>
      <c r="F130" s="70"/>
      <c r="G130" s="70"/>
      <c r="H130" s="70"/>
      <c r="I130" s="70"/>
      <c r="J130" s="70"/>
      <c r="K130" s="70"/>
      <c r="L130" s="70"/>
      <c r="M130" s="70"/>
      <c r="N130" s="70"/>
      <c r="O130" s="70"/>
      <c r="P130" s="70"/>
      <c r="Q130" s="70"/>
      <c r="R130" s="70"/>
      <c r="S130" s="70"/>
      <c r="T130" s="70"/>
      <c r="U130" s="70"/>
      <c r="V130" s="70"/>
      <c r="W130" s="70"/>
      <c r="X130" s="70"/>
      <c r="Y130" s="70"/>
      <c r="Z130" s="70"/>
    </row>
    <row r="131" spans="1:26" ht="13">
      <c r="A131" s="70"/>
      <c r="B131" s="70"/>
      <c r="C131" s="70"/>
      <c r="D131" s="70"/>
      <c r="E131" s="70"/>
      <c r="F131" s="70"/>
      <c r="G131" s="70"/>
      <c r="H131" s="70"/>
      <c r="I131" s="70"/>
      <c r="J131" s="70"/>
      <c r="K131" s="70"/>
      <c r="L131" s="70"/>
      <c r="M131" s="70"/>
      <c r="N131" s="70"/>
      <c r="O131" s="70"/>
      <c r="P131" s="70"/>
      <c r="Q131" s="70"/>
      <c r="R131" s="70"/>
      <c r="S131" s="70"/>
      <c r="T131" s="70"/>
      <c r="U131" s="70"/>
      <c r="V131" s="70"/>
      <c r="W131" s="70"/>
      <c r="X131" s="70"/>
      <c r="Y131" s="70"/>
      <c r="Z131" s="70"/>
    </row>
    <row r="132" spans="1:26" ht="13">
      <c r="A132" s="70"/>
      <c r="B132" s="70"/>
      <c r="C132" s="70"/>
      <c r="D132" s="70"/>
      <c r="E132" s="70"/>
      <c r="F132" s="70"/>
      <c r="G132" s="70"/>
      <c r="H132" s="70"/>
      <c r="I132" s="70"/>
      <c r="J132" s="70"/>
      <c r="K132" s="70"/>
      <c r="L132" s="70"/>
      <c r="M132" s="70"/>
      <c r="N132" s="70"/>
      <c r="O132" s="70"/>
      <c r="P132" s="70"/>
      <c r="Q132" s="70"/>
      <c r="R132" s="70"/>
      <c r="S132" s="70"/>
      <c r="T132" s="70"/>
      <c r="U132" s="70"/>
      <c r="V132" s="70"/>
      <c r="W132" s="70"/>
      <c r="X132" s="70"/>
      <c r="Y132" s="70"/>
      <c r="Z132" s="70"/>
    </row>
    <row r="133" spans="1:26" ht="13">
      <c r="A133" s="70"/>
      <c r="B133" s="70"/>
      <c r="C133" s="70"/>
      <c r="D133" s="70"/>
      <c r="E133" s="70"/>
      <c r="F133" s="70"/>
      <c r="G133" s="70"/>
      <c r="H133" s="70"/>
      <c r="I133" s="70"/>
      <c r="J133" s="70"/>
      <c r="K133" s="70"/>
      <c r="L133" s="70"/>
      <c r="M133" s="70"/>
      <c r="N133" s="70"/>
      <c r="O133" s="70"/>
      <c r="P133" s="70"/>
      <c r="Q133" s="70"/>
      <c r="R133" s="70"/>
      <c r="S133" s="70"/>
      <c r="T133" s="70"/>
      <c r="U133" s="70"/>
      <c r="V133" s="70"/>
      <c r="W133" s="70"/>
      <c r="X133" s="70"/>
      <c r="Y133" s="70"/>
      <c r="Z133" s="70"/>
    </row>
    <row r="134" spans="1:26" ht="13">
      <c r="A134" s="70"/>
      <c r="B134" s="70"/>
      <c r="C134" s="70"/>
      <c r="D134" s="70"/>
      <c r="E134" s="70"/>
      <c r="F134" s="70"/>
      <c r="G134" s="70"/>
      <c r="H134" s="70"/>
      <c r="I134" s="70"/>
      <c r="J134" s="70"/>
      <c r="K134" s="70"/>
      <c r="L134" s="70"/>
      <c r="M134" s="70"/>
      <c r="N134" s="70"/>
      <c r="O134" s="70"/>
      <c r="P134" s="70"/>
      <c r="Q134" s="70"/>
      <c r="R134" s="70"/>
      <c r="S134" s="70"/>
      <c r="T134" s="70"/>
      <c r="U134" s="70"/>
      <c r="V134" s="70"/>
      <c r="W134" s="70"/>
      <c r="X134" s="70"/>
      <c r="Y134" s="70"/>
      <c r="Z134" s="70"/>
    </row>
    <row r="135" spans="1:26" ht="13">
      <c r="A135" s="70"/>
      <c r="B135" s="70"/>
      <c r="C135" s="70"/>
      <c r="D135" s="70"/>
      <c r="E135" s="70"/>
      <c r="F135" s="70"/>
      <c r="G135" s="70"/>
      <c r="H135" s="70"/>
      <c r="I135" s="70"/>
      <c r="J135" s="70"/>
      <c r="K135" s="70"/>
      <c r="L135" s="70"/>
      <c r="M135" s="70"/>
      <c r="N135" s="70"/>
      <c r="O135" s="70"/>
      <c r="P135" s="70"/>
      <c r="Q135" s="70"/>
      <c r="R135" s="70"/>
      <c r="S135" s="70"/>
      <c r="T135" s="70"/>
      <c r="U135" s="70"/>
      <c r="V135" s="70"/>
      <c r="W135" s="70"/>
      <c r="X135" s="70"/>
      <c r="Y135" s="70"/>
      <c r="Z135" s="70"/>
    </row>
    <row r="136" spans="1:26" ht="13">
      <c r="A136" s="70"/>
      <c r="B136" s="70"/>
      <c r="C136" s="70"/>
      <c r="D136" s="70"/>
      <c r="E136" s="70"/>
      <c r="F136" s="70"/>
      <c r="G136" s="70"/>
      <c r="H136" s="70"/>
      <c r="I136" s="70"/>
      <c r="J136" s="70"/>
      <c r="K136" s="70"/>
      <c r="L136" s="70"/>
      <c r="M136" s="70"/>
      <c r="N136" s="70"/>
      <c r="O136" s="70"/>
      <c r="P136" s="70"/>
      <c r="Q136" s="70"/>
      <c r="R136" s="70"/>
      <c r="S136" s="70"/>
      <c r="T136" s="70"/>
      <c r="U136" s="70"/>
      <c r="V136" s="70"/>
      <c r="W136" s="70"/>
      <c r="X136" s="70"/>
      <c r="Y136" s="70"/>
      <c r="Z136" s="70"/>
    </row>
    <row r="137" spans="1:26" ht="13">
      <c r="A137" s="70"/>
      <c r="B137" s="70"/>
      <c r="C137" s="70"/>
      <c r="D137" s="70"/>
      <c r="E137" s="70"/>
      <c r="F137" s="70"/>
      <c r="G137" s="70"/>
      <c r="H137" s="70"/>
      <c r="I137" s="70"/>
      <c r="J137" s="70"/>
      <c r="K137" s="70"/>
      <c r="L137" s="70"/>
      <c r="M137" s="70"/>
      <c r="N137" s="70"/>
      <c r="O137" s="70"/>
      <c r="P137" s="70"/>
      <c r="Q137" s="70"/>
      <c r="R137" s="70"/>
      <c r="S137" s="70"/>
      <c r="T137" s="70"/>
      <c r="U137" s="70"/>
      <c r="V137" s="70"/>
      <c r="W137" s="70"/>
      <c r="X137" s="70"/>
      <c r="Y137" s="70"/>
      <c r="Z137" s="70"/>
    </row>
    <row r="138" spans="1:26" ht="13">
      <c r="A138" s="70"/>
      <c r="B138" s="70"/>
      <c r="C138" s="70"/>
      <c r="D138" s="70"/>
      <c r="E138" s="70"/>
      <c r="F138" s="70"/>
      <c r="G138" s="70"/>
      <c r="H138" s="70"/>
      <c r="I138" s="70"/>
      <c r="J138" s="70"/>
      <c r="K138" s="70"/>
      <c r="L138" s="70"/>
      <c r="M138" s="70"/>
      <c r="N138" s="70"/>
      <c r="O138" s="70"/>
      <c r="P138" s="70"/>
      <c r="Q138" s="70"/>
      <c r="R138" s="70"/>
      <c r="S138" s="70"/>
      <c r="T138" s="70"/>
      <c r="U138" s="70"/>
      <c r="V138" s="70"/>
      <c r="W138" s="70"/>
      <c r="X138" s="70"/>
      <c r="Y138" s="70"/>
      <c r="Z138" s="70"/>
    </row>
    <row r="139" spans="1:26" ht="13">
      <c r="A139" s="70"/>
      <c r="B139" s="70"/>
      <c r="C139" s="70"/>
      <c r="D139" s="70"/>
      <c r="E139" s="70"/>
      <c r="F139" s="70"/>
      <c r="G139" s="70"/>
      <c r="H139" s="70"/>
      <c r="I139" s="70"/>
      <c r="J139" s="70"/>
      <c r="K139" s="70"/>
      <c r="L139" s="70"/>
      <c r="M139" s="70"/>
      <c r="N139" s="70"/>
      <c r="O139" s="70"/>
      <c r="P139" s="70"/>
      <c r="Q139" s="70"/>
      <c r="R139" s="70"/>
      <c r="S139" s="70"/>
      <c r="T139" s="70"/>
      <c r="U139" s="70"/>
      <c r="V139" s="70"/>
      <c r="W139" s="70"/>
      <c r="X139" s="70"/>
      <c r="Y139" s="70"/>
      <c r="Z139" s="70"/>
    </row>
    <row r="140" spans="1:26" ht="13">
      <c r="A140" s="70"/>
      <c r="B140" s="70"/>
      <c r="C140" s="70"/>
      <c r="D140" s="70"/>
      <c r="E140" s="70"/>
      <c r="F140" s="70"/>
      <c r="G140" s="70"/>
      <c r="H140" s="70"/>
      <c r="I140" s="70"/>
      <c r="J140" s="70"/>
      <c r="K140" s="70"/>
      <c r="L140" s="70"/>
      <c r="M140" s="70"/>
      <c r="N140" s="70"/>
      <c r="O140" s="70"/>
      <c r="P140" s="70"/>
      <c r="Q140" s="70"/>
      <c r="R140" s="70"/>
      <c r="S140" s="70"/>
      <c r="T140" s="70"/>
      <c r="U140" s="70"/>
      <c r="V140" s="70"/>
      <c r="W140" s="70"/>
      <c r="X140" s="70"/>
      <c r="Y140" s="70"/>
      <c r="Z140" s="70"/>
    </row>
    <row r="141" spans="1:26" ht="13">
      <c r="A141" s="70"/>
      <c r="B141" s="70"/>
      <c r="C141" s="70"/>
      <c r="D141" s="70"/>
      <c r="E141" s="70"/>
      <c r="F141" s="70"/>
      <c r="G141" s="70"/>
      <c r="H141" s="70"/>
      <c r="I141" s="70"/>
      <c r="J141" s="70"/>
      <c r="K141" s="70"/>
      <c r="L141" s="70"/>
      <c r="M141" s="70"/>
      <c r="N141" s="70"/>
      <c r="O141" s="70"/>
      <c r="P141" s="70"/>
      <c r="Q141" s="70"/>
      <c r="R141" s="70"/>
      <c r="S141" s="70"/>
      <c r="T141" s="70"/>
      <c r="U141" s="70"/>
      <c r="V141" s="70"/>
      <c r="W141" s="70"/>
      <c r="X141" s="70"/>
      <c r="Y141" s="70"/>
      <c r="Z141" s="70"/>
    </row>
    <row r="142" spans="1:26" ht="13">
      <c r="A142" s="70"/>
      <c r="B142" s="70"/>
      <c r="C142" s="70"/>
      <c r="D142" s="70"/>
      <c r="E142" s="70"/>
      <c r="F142" s="70"/>
      <c r="G142" s="70"/>
      <c r="H142" s="70"/>
      <c r="I142" s="70"/>
      <c r="J142" s="70"/>
      <c r="K142" s="70"/>
      <c r="L142" s="70"/>
      <c r="M142" s="70"/>
      <c r="N142" s="70"/>
      <c r="O142" s="70"/>
      <c r="P142" s="70"/>
      <c r="Q142" s="70"/>
      <c r="R142" s="70"/>
      <c r="S142" s="70"/>
      <c r="T142" s="70"/>
      <c r="U142" s="70"/>
      <c r="V142" s="70"/>
      <c r="W142" s="70"/>
      <c r="X142" s="70"/>
      <c r="Y142" s="70"/>
      <c r="Z142" s="70"/>
    </row>
    <row r="143" spans="1:26" ht="13">
      <c r="A143" s="70"/>
      <c r="B143" s="70"/>
      <c r="C143" s="70"/>
      <c r="D143" s="70"/>
      <c r="E143" s="70"/>
      <c r="F143" s="70"/>
      <c r="G143" s="70"/>
      <c r="H143" s="70"/>
      <c r="I143" s="70"/>
      <c r="J143" s="70"/>
      <c r="K143" s="70"/>
      <c r="L143" s="70"/>
      <c r="M143" s="70"/>
      <c r="N143" s="70"/>
      <c r="O143" s="70"/>
      <c r="P143" s="70"/>
      <c r="Q143" s="70"/>
      <c r="R143" s="70"/>
      <c r="S143" s="70"/>
      <c r="T143" s="70"/>
      <c r="U143" s="70"/>
      <c r="V143" s="70"/>
      <c r="W143" s="70"/>
      <c r="X143" s="70"/>
      <c r="Y143" s="70"/>
      <c r="Z143" s="70"/>
    </row>
    <row r="144" spans="1:26" ht="13">
      <c r="A144" s="70"/>
      <c r="B144" s="70"/>
      <c r="C144" s="70"/>
      <c r="D144" s="70"/>
      <c r="E144" s="70"/>
      <c r="F144" s="70"/>
      <c r="G144" s="70"/>
      <c r="H144" s="70"/>
      <c r="I144" s="70"/>
      <c r="J144" s="70"/>
      <c r="K144" s="70"/>
      <c r="L144" s="70"/>
      <c r="M144" s="70"/>
      <c r="N144" s="70"/>
      <c r="O144" s="70"/>
      <c r="P144" s="70"/>
      <c r="Q144" s="70"/>
      <c r="R144" s="70"/>
      <c r="S144" s="70"/>
      <c r="T144" s="70"/>
      <c r="U144" s="70"/>
      <c r="V144" s="70"/>
      <c r="W144" s="70"/>
      <c r="X144" s="70"/>
      <c r="Y144" s="70"/>
      <c r="Z144" s="70"/>
    </row>
    <row r="145" spans="1:26" ht="13">
      <c r="A145" s="70"/>
      <c r="B145" s="70"/>
      <c r="C145" s="70"/>
      <c r="D145" s="70"/>
      <c r="E145" s="70"/>
      <c r="F145" s="70"/>
      <c r="G145" s="70"/>
      <c r="H145" s="70"/>
      <c r="I145" s="70"/>
      <c r="J145" s="70"/>
      <c r="K145" s="70"/>
      <c r="L145" s="70"/>
      <c r="M145" s="70"/>
      <c r="N145" s="70"/>
      <c r="O145" s="70"/>
      <c r="P145" s="70"/>
      <c r="Q145" s="70"/>
      <c r="R145" s="70"/>
      <c r="S145" s="70"/>
      <c r="T145" s="70"/>
      <c r="U145" s="70"/>
      <c r="V145" s="70"/>
      <c r="W145" s="70"/>
      <c r="X145" s="70"/>
      <c r="Y145" s="70"/>
      <c r="Z145" s="70"/>
    </row>
    <row r="146" spans="1:26" ht="13">
      <c r="A146" s="70"/>
      <c r="B146" s="70"/>
      <c r="C146" s="70"/>
      <c r="D146" s="70"/>
      <c r="E146" s="70"/>
      <c r="F146" s="70"/>
      <c r="G146" s="70"/>
      <c r="H146" s="70"/>
      <c r="I146" s="70"/>
      <c r="J146" s="70"/>
      <c r="K146" s="70"/>
      <c r="L146" s="70"/>
      <c r="M146" s="70"/>
      <c r="N146" s="70"/>
      <c r="O146" s="70"/>
      <c r="P146" s="70"/>
      <c r="Q146" s="70"/>
      <c r="R146" s="70"/>
      <c r="S146" s="70"/>
      <c r="T146" s="70"/>
      <c r="U146" s="70"/>
      <c r="V146" s="70"/>
      <c r="W146" s="70"/>
      <c r="X146" s="70"/>
      <c r="Y146" s="70"/>
      <c r="Z146" s="70"/>
    </row>
    <row r="147" spans="1:26" ht="13">
      <c r="A147" s="70"/>
      <c r="B147" s="70"/>
      <c r="C147" s="70"/>
      <c r="D147" s="70"/>
      <c r="E147" s="70"/>
      <c r="F147" s="70"/>
      <c r="G147" s="70"/>
      <c r="H147" s="70"/>
      <c r="I147" s="70"/>
      <c r="J147" s="70"/>
      <c r="K147" s="70"/>
      <c r="L147" s="70"/>
      <c r="M147" s="70"/>
      <c r="N147" s="70"/>
      <c r="O147" s="70"/>
      <c r="P147" s="70"/>
      <c r="Q147" s="70"/>
      <c r="R147" s="70"/>
      <c r="S147" s="70"/>
      <c r="T147" s="70"/>
      <c r="U147" s="70"/>
      <c r="V147" s="70"/>
      <c r="W147" s="70"/>
      <c r="X147" s="70"/>
      <c r="Y147" s="70"/>
      <c r="Z147" s="70"/>
    </row>
    <row r="148" spans="1:26" ht="13">
      <c r="A148" s="70"/>
      <c r="B148" s="70"/>
      <c r="C148" s="70"/>
      <c r="D148" s="70"/>
      <c r="E148" s="70"/>
      <c r="F148" s="70"/>
      <c r="G148" s="70"/>
      <c r="H148" s="70"/>
      <c r="I148" s="70"/>
      <c r="J148" s="70"/>
      <c r="K148" s="70"/>
      <c r="L148" s="70"/>
      <c r="M148" s="70"/>
      <c r="N148" s="70"/>
      <c r="O148" s="70"/>
      <c r="P148" s="70"/>
      <c r="Q148" s="70"/>
      <c r="R148" s="70"/>
      <c r="S148" s="70"/>
      <c r="T148" s="70"/>
      <c r="U148" s="70"/>
      <c r="V148" s="70"/>
      <c r="W148" s="70"/>
      <c r="X148" s="70"/>
      <c r="Y148" s="70"/>
      <c r="Z148" s="70"/>
    </row>
    <row r="149" spans="1:26" ht="13">
      <c r="A149" s="70"/>
      <c r="B149" s="70"/>
      <c r="C149" s="70"/>
      <c r="D149" s="70"/>
      <c r="E149" s="70"/>
      <c r="F149" s="70"/>
      <c r="G149" s="70"/>
      <c r="H149" s="70"/>
      <c r="I149" s="70"/>
      <c r="J149" s="70"/>
      <c r="K149" s="70"/>
      <c r="L149" s="70"/>
      <c r="M149" s="70"/>
      <c r="N149" s="70"/>
      <c r="O149" s="70"/>
      <c r="P149" s="70"/>
      <c r="Q149" s="70"/>
      <c r="R149" s="70"/>
      <c r="S149" s="70"/>
      <c r="T149" s="70"/>
      <c r="U149" s="70"/>
      <c r="V149" s="70"/>
      <c r="W149" s="70"/>
      <c r="X149" s="70"/>
      <c r="Y149" s="70"/>
      <c r="Z149" s="70"/>
    </row>
    <row r="150" spans="1:26" ht="13">
      <c r="A150" s="70"/>
      <c r="B150" s="70"/>
      <c r="C150" s="70"/>
      <c r="D150" s="70"/>
      <c r="E150" s="70"/>
      <c r="F150" s="70"/>
      <c r="G150" s="70"/>
      <c r="H150" s="70"/>
      <c r="I150" s="70"/>
      <c r="J150" s="70"/>
      <c r="K150" s="70"/>
      <c r="L150" s="70"/>
      <c r="M150" s="70"/>
      <c r="N150" s="70"/>
      <c r="O150" s="70"/>
      <c r="P150" s="70"/>
      <c r="Q150" s="70"/>
      <c r="R150" s="70"/>
      <c r="S150" s="70"/>
      <c r="T150" s="70"/>
      <c r="U150" s="70"/>
      <c r="V150" s="70"/>
      <c r="W150" s="70"/>
      <c r="X150" s="70"/>
      <c r="Y150" s="70"/>
      <c r="Z150" s="70"/>
    </row>
    <row r="151" spans="1:26" ht="13">
      <c r="A151" s="70"/>
      <c r="B151" s="70"/>
      <c r="C151" s="70"/>
      <c r="D151" s="70"/>
      <c r="E151" s="70"/>
      <c r="F151" s="70"/>
      <c r="G151" s="70"/>
      <c r="H151" s="70"/>
      <c r="I151" s="70"/>
      <c r="J151" s="70"/>
      <c r="K151" s="70"/>
      <c r="L151" s="70"/>
      <c r="M151" s="70"/>
      <c r="N151" s="70"/>
      <c r="O151" s="70"/>
      <c r="P151" s="70"/>
      <c r="Q151" s="70"/>
      <c r="R151" s="70"/>
      <c r="S151" s="70"/>
      <c r="T151" s="70"/>
      <c r="U151" s="70"/>
      <c r="V151" s="70"/>
      <c r="W151" s="70"/>
      <c r="X151" s="70"/>
      <c r="Y151" s="70"/>
      <c r="Z151" s="70"/>
    </row>
    <row r="152" spans="1:26" ht="13">
      <c r="A152" s="70"/>
      <c r="B152" s="70"/>
      <c r="C152" s="70"/>
      <c r="D152" s="70"/>
      <c r="E152" s="70"/>
      <c r="F152" s="70"/>
      <c r="G152" s="70"/>
      <c r="H152" s="70"/>
      <c r="I152" s="70"/>
      <c r="J152" s="70"/>
      <c r="K152" s="70"/>
      <c r="L152" s="70"/>
      <c r="M152" s="70"/>
      <c r="N152" s="70"/>
      <c r="O152" s="70"/>
      <c r="P152" s="70"/>
      <c r="Q152" s="70"/>
      <c r="R152" s="70"/>
      <c r="S152" s="70"/>
      <c r="T152" s="70"/>
      <c r="U152" s="70"/>
      <c r="V152" s="70"/>
      <c r="W152" s="70"/>
      <c r="X152" s="70"/>
      <c r="Y152" s="70"/>
      <c r="Z152" s="70"/>
    </row>
    <row r="153" spans="1:26" ht="13">
      <c r="A153" s="70"/>
      <c r="B153" s="70"/>
      <c r="C153" s="70"/>
      <c r="D153" s="70"/>
      <c r="E153" s="70"/>
      <c r="F153" s="70"/>
      <c r="G153" s="70"/>
      <c r="H153" s="70"/>
      <c r="I153" s="70"/>
      <c r="J153" s="70"/>
      <c r="K153" s="70"/>
      <c r="L153" s="70"/>
      <c r="M153" s="70"/>
      <c r="N153" s="70"/>
      <c r="O153" s="70"/>
      <c r="P153" s="70"/>
      <c r="Q153" s="70"/>
      <c r="R153" s="70"/>
      <c r="S153" s="70"/>
      <c r="T153" s="70"/>
      <c r="U153" s="70"/>
      <c r="V153" s="70"/>
      <c r="W153" s="70"/>
      <c r="X153" s="70"/>
      <c r="Y153" s="70"/>
      <c r="Z153" s="70"/>
    </row>
    <row r="154" spans="1:26" ht="13">
      <c r="A154" s="70"/>
      <c r="B154" s="70"/>
      <c r="C154" s="70"/>
      <c r="D154" s="70"/>
      <c r="E154" s="70"/>
      <c r="F154" s="70"/>
      <c r="G154" s="70"/>
      <c r="H154" s="70"/>
      <c r="I154" s="70"/>
      <c r="J154" s="70"/>
      <c r="K154" s="70"/>
      <c r="L154" s="70"/>
      <c r="M154" s="70"/>
      <c r="N154" s="70"/>
      <c r="O154" s="70"/>
      <c r="P154" s="70"/>
      <c r="Q154" s="70"/>
      <c r="R154" s="70"/>
      <c r="S154" s="70"/>
      <c r="T154" s="70"/>
      <c r="U154" s="70"/>
      <c r="V154" s="70"/>
      <c r="W154" s="70"/>
      <c r="X154" s="70"/>
      <c r="Y154" s="70"/>
      <c r="Z154" s="70"/>
    </row>
    <row r="155" spans="1:26" ht="13">
      <c r="A155" s="70"/>
      <c r="B155" s="70"/>
      <c r="C155" s="70"/>
      <c r="D155" s="70"/>
      <c r="E155" s="70"/>
      <c r="F155" s="70"/>
      <c r="G155" s="70"/>
      <c r="H155" s="70"/>
      <c r="I155" s="70"/>
      <c r="J155" s="70"/>
      <c r="K155" s="70"/>
      <c r="L155" s="70"/>
      <c r="M155" s="70"/>
      <c r="N155" s="70"/>
      <c r="O155" s="70"/>
      <c r="P155" s="70"/>
      <c r="Q155" s="70"/>
      <c r="R155" s="70"/>
      <c r="S155" s="70"/>
      <c r="T155" s="70"/>
      <c r="U155" s="70"/>
      <c r="V155" s="70"/>
      <c r="W155" s="70"/>
      <c r="X155" s="70"/>
      <c r="Y155" s="70"/>
      <c r="Z155" s="70"/>
    </row>
    <row r="156" spans="1:26" ht="13">
      <c r="A156" s="70"/>
      <c r="B156" s="70"/>
      <c r="C156" s="70"/>
      <c r="D156" s="70"/>
      <c r="E156" s="70"/>
      <c r="F156" s="70"/>
      <c r="G156" s="70"/>
      <c r="H156" s="70"/>
      <c r="I156" s="70"/>
      <c r="J156" s="70"/>
      <c r="K156" s="70"/>
      <c r="L156" s="70"/>
      <c r="M156" s="70"/>
      <c r="N156" s="70"/>
      <c r="O156" s="70"/>
      <c r="P156" s="70"/>
      <c r="Q156" s="70"/>
      <c r="R156" s="70"/>
      <c r="S156" s="70"/>
      <c r="T156" s="70"/>
      <c r="U156" s="70"/>
      <c r="V156" s="70"/>
      <c r="W156" s="70"/>
      <c r="X156" s="70"/>
      <c r="Y156" s="70"/>
      <c r="Z156" s="70"/>
    </row>
    <row r="157" spans="1:26" ht="13">
      <c r="A157" s="70"/>
      <c r="B157" s="70"/>
      <c r="C157" s="70"/>
      <c r="D157" s="70"/>
      <c r="E157" s="70"/>
      <c r="F157" s="70"/>
      <c r="G157" s="70"/>
      <c r="H157" s="70"/>
      <c r="I157" s="70"/>
      <c r="J157" s="70"/>
      <c r="K157" s="70"/>
      <c r="L157" s="70"/>
      <c r="M157" s="70"/>
      <c r="N157" s="70"/>
      <c r="O157" s="70"/>
      <c r="P157" s="70"/>
      <c r="Q157" s="70"/>
      <c r="R157" s="70"/>
      <c r="S157" s="70"/>
      <c r="T157" s="70"/>
      <c r="U157" s="70"/>
      <c r="V157" s="70"/>
      <c r="W157" s="70"/>
      <c r="X157" s="70"/>
      <c r="Y157" s="70"/>
      <c r="Z157" s="70"/>
    </row>
    <row r="158" spans="1:26" ht="13">
      <c r="A158" s="70"/>
      <c r="B158" s="70"/>
      <c r="C158" s="70"/>
      <c r="D158" s="70"/>
      <c r="E158" s="70"/>
      <c r="F158" s="70"/>
      <c r="G158" s="70"/>
      <c r="H158" s="70"/>
      <c r="I158" s="70"/>
      <c r="J158" s="70"/>
      <c r="K158" s="70"/>
      <c r="L158" s="70"/>
      <c r="M158" s="70"/>
      <c r="N158" s="70"/>
      <c r="O158" s="70"/>
      <c r="P158" s="70"/>
      <c r="Q158" s="70"/>
      <c r="R158" s="70"/>
      <c r="S158" s="70"/>
      <c r="T158" s="70"/>
      <c r="U158" s="70"/>
      <c r="V158" s="70"/>
      <c r="W158" s="70"/>
      <c r="X158" s="70"/>
      <c r="Y158" s="70"/>
      <c r="Z158" s="70"/>
    </row>
    <row r="159" spans="1:26" ht="13">
      <c r="A159" s="70"/>
      <c r="B159" s="70"/>
      <c r="C159" s="70"/>
      <c r="D159" s="70"/>
      <c r="E159" s="70"/>
      <c r="F159" s="70"/>
      <c r="G159" s="70"/>
      <c r="H159" s="70"/>
      <c r="I159" s="70"/>
      <c r="J159" s="70"/>
      <c r="K159" s="70"/>
      <c r="L159" s="70"/>
      <c r="M159" s="70"/>
      <c r="N159" s="70"/>
      <c r="O159" s="70"/>
      <c r="P159" s="70"/>
      <c r="Q159" s="70"/>
      <c r="R159" s="70"/>
      <c r="S159" s="70"/>
      <c r="T159" s="70"/>
      <c r="U159" s="70"/>
      <c r="V159" s="70"/>
      <c r="W159" s="70"/>
      <c r="X159" s="70"/>
      <c r="Y159" s="70"/>
      <c r="Z159" s="70"/>
    </row>
    <row r="160" spans="1:26" ht="13">
      <c r="A160" s="70"/>
      <c r="B160" s="70"/>
      <c r="C160" s="70"/>
      <c r="D160" s="70"/>
      <c r="E160" s="70"/>
      <c r="F160" s="70"/>
      <c r="G160" s="70"/>
      <c r="H160" s="70"/>
      <c r="I160" s="70"/>
      <c r="J160" s="70"/>
      <c r="K160" s="70"/>
      <c r="L160" s="70"/>
      <c r="M160" s="70"/>
      <c r="N160" s="70"/>
      <c r="O160" s="70"/>
      <c r="P160" s="70"/>
      <c r="Q160" s="70"/>
      <c r="R160" s="70"/>
      <c r="S160" s="70"/>
      <c r="T160" s="70"/>
      <c r="U160" s="70"/>
      <c r="V160" s="70"/>
      <c r="W160" s="70"/>
      <c r="X160" s="70"/>
      <c r="Y160" s="70"/>
      <c r="Z160" s="70"/>
    </row>
    <row r="161" spans="1:26" ht="13">
      <c r="A161" s="70"/>
      <c r="B161" s="70"/>
      <c r="C161" s="70"/>
      <c r="D161" s="70"/>
      <c r="E161" s="70"/>
      <c r="F161" s="70"/>
      <c r="G161" s="70"/>
      <c r="H161" s="70"/>
      <c r="I161" s="70"/>
      <c r="J161" s="70"/>
      <c r="K161" s="70"/>
      <c r="L161" s="70"/>
      <c r="M161" s="70"/>
      <c r="N161" s="70"/>
      <c r="O161" s="70"/>
      <c r="P161" s="70"/>
      <c r="Q161" s="70"/>
      <c r="R161" s="70"/>
      <c r="S161" s="70"/>
      <c r="T161" s="70"/>
      <c r="U161" s="70"/>
      <c r="V161" s="70"/>
      <c r="W161" s="70"/>
      <c r="X161" s="70"/>
      <c r="Y161" s="70"/>
      <c r="Z161" s="70"/>
    </row>
    <row r="162" spans="1:26" ht="13">
      <c r="A162" s="70"/>
      <c r="B162" s="70"/>
      <c r="C162" s="70"/>
      <c r="D162" s="70"/>
      <c r="E162" s="70"/>
      <c r="F162" s="70"/>
      <c r="G162" s="70"/>
      <c r="H162" s="70"/>
      <c r="I162" s="70"/>
      <c r="J162" s="70"/>
      <c r="K162" s="70"/>
      <c r="L162" s="70"/>
      <c r="M162" s="70"/>
      <c r="N162" s="70"/>
      <c r="O162" s="70"/>
      <c r="P162" s="70"/>
      <c r="Q162" s="70"/>
      <c r="R162" s="70"/>
      <c r="S162" s="70"/>
      <c r="T162" s="70"/>
      <c r="U162" s="70"/>
      <c r="V162" s="70"/>
      <c r="W162" s="70"/>
      <c r="X162" s="70"/>
      <c r="Y162" s="70"/>
      <c r="Z162" s="70"/>
    </row>
    <row r="163" spans="1:26" ht="13">
      <c r="A163" s="70"/>
      <c r="B163" s="70"/>
      <c r="C163" s="70"/>
      <c r="D163" s="70"/>
      <c r="E163" s="70"/>
      <c r="F163" s="70"/>
      <c r="G163" s="70"/>
      <c r="H163" s="70"/>
      <c r="I163" s="70"/>
      <c r="J163" s="70"/>
      <c r="K163" s="70"/>
      <c r="L163" s="70"/>
      <c r="M163" s="70"/>
      <c r="N163" s="70"/>
      <c r="O163" s="70"/>
      <c r="P163" s="70"/>
      <c r="Q163" s="70"/>
      <c r="R163" s="70"/>
      <c r="S163" s="70"/>
      <c r="T163" s="70"/>
      <c r="U163" s="70"/>
      <c r="V163" s="70"/>
      <c r="W163" s="70"/>
      <c r="X163" s="70"/>
      <c r="Y163" s="70"/>
      <c r="Z163" s="70"/>
    </row>
    <row r="164" spans="1:26" ht="13">
      <c r="A164" s="70"/>
      <c r="B164" s="70"/>
      <c r="C164" s="70"/>
      <c r="D164" s="70"/>
      <c r="E164" s="70"/>
      <c r="F164" s="70"/>
      <c r="G164" s="70"/>
      <c r="H164" s="70"/>
      <c r="I164" s="70"/>
      <c r="J164" s="70"/>
      <c r="K164" s="70"/>
      <c r="L164" s="70"/>
      <c r="M164" s="70"/>
      <c r="N164" s="70"/>
      <c r="O164" s="70"/>
      <c r="P164" s="70"/>
      <c r="Q164" s="70"/>
      <c r="R164" s="70"/>
      <c r="S164" s="70"/>
      <c r="T164" s="70"/>
      <c r="U164" s="70"/>
      <c r="V164" s="70"/>
      <c r="W164" s="70"/>
      <c r="X164" s="70"/>
      <c r="Y164" s="70"/>
      <c r="Z164" s="70"/>
    </row>
    <row r="165" spans="1:26" ht="13">
      <c r="A165" s="70"/>
      <c r="B165" s="70"/>
      <c r="C165" s="70"/>
      <c r="D165" s="70"/>
      <c r="E165" s="70"/>
      <c r="F165" s="70"/>
      <c r="G165" s="70"/>
      <c r="H165" s="70"/>
      <c r="I165" s="70"/>
      <c r="J165" s="70"/>
      <c r="K165" s="70"/>
      <c r="L165" s="70"/>
      <c r="M165" s="70"/>
      <c r="N165" s="70"/>
      <c r="O165" s="70"/>
      <c r="P165" s="70"/>
      <c r="Q165" s="70"/>
      <c r="R165" s="70"/>
      <c r="S165" s="70"/>
      <c r="T165" s="70"/>
      <c r="U165" s="70"/>
      <c r="V165" s="70"/>
      <c r="W165" s="70"/>
      <c r="X165" s="70"/>
      <c r="Y165" s="70"/>
      <c r="Z165" s="70"/>
    </row>
    <row r="166" spans="1:26" ht="13">
      <c r="A166" s="70"/>
      <c r="B166" s="70"/>
      <c r="C166" s="70"/>
      <c r="D166" s="70"/>
      <c r="E166" s="70"/>
      <c r="F166" s="70"/>
      <c r="G166" s="70"/>
      <c r="H166" s="70"/>
      <c r="I166" s="70"/>
      <c r="J166" s="70"/>
      <c r="K166" s="70"/>
      <c r="L166" s="70"/>
      <c r="M166" s="70"/>
      <c r="N166" s="70"/>
      <c r="O166" s="70"/>
      <c r="P166" s="70"/>
      <c r="Q166" s="70"/>
      <c r="R166" s="70"/>
      <c r="S166" s="70"/>
      <c r="T166" s="70"/>
      <c r="U166" s="70"/>
      <c r="V166" s="70"/>
      <c r="W166" s="70"/>
      <c r="X166" s="70"/>
      <c r="Y166" s="70"/>
      <c r="Z166" s="70"/>
    </row>
    <row r="167" spans="1:26" ht="13">
      <c r="A167" s="70"/>
      <c r="B167" s="70"/>
      <c r="C167" s="70"/>
      <c r="D167" s="70"/>
      <c r="E167" s="70"/>
      <c r="F167" s="70"/>
      <c r="G167" s="70"/>
      <c r="H167" s="70"/>
      <c r="I167" s="70"/>
      <c r="J167" s="70"/>
      <c r="K167" s="70"/>
      <c r="L167" s="70"/>
      <c r="M167" s="70"/>
      <c r="N167" s="70"/>
      <c r="O167" s="70"/>
      <c r="P167" s="70"/>
      <c r="Q167" s="70"/>
      <c r="R167" s="70"/>
      <c r="S167" s="70"/>
      <c r="T167" s="70"/>
      <c r="U167" s="70"/>
      <c r="V167" s="70"/>
      <c r="W167" s="70"/>
      <c r="X167" s="70"/>
      <c r="Y167" s="70"/>
      <c r="Z167" s="70"/>
    </row>
    <row r="168" spans="1:26" ht="13">
      <c r="A168" s="70"/>
      <c r="B168" s="70"/>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row>
    <row r="169" spans="1:26" ht="13">
      <c r="A169" s="70"/>
      <c r="B169" s="70"/>
      <c r="C169" s="70"/>
      <c r="D169" s="70"/>
      <c r="E169" s="70"/>
      <c r="F169" s="70"/>
      <c r="G169" s="70"/>
      <c r="H169" s="70"/>
      <c r="I169" s="70"/>
      <c r="J169" s="70"/>
      <c r="K169" s="70"/>
      <c r="L169" s="70"/>
      <c r="M169" s="70"/>
      <c r="N169" s="70"/>
      <c r="O169" s="70"/>
      <c r="P169" s="70"/>
      <c r="Q169" s="70"/>
      <c r="R169" s="70"/>
      <c r="S169" s="70"/>
      <c r="T169" s="70"/>
      <c r="U169" s="70"/>
      <c r="V169" s="70"/>
      <c r="W169" s="70"/>
      <c r="X169" s="70"/>
      <c r="Y169" s="70"/>
      <c r="Z169" s="70"/>
    </row>
    <row r="170" spans="1:26" ht="13">
      <c r="A170" s="70"/>
      <c r="B170" s="70"/>
      <c r="C170" s="70"/>
      <c r="D170" s="70"/>
      <c r="E170" s="70"/>
      <c r="F170" s="70"/>
      <c r="G170" s="70"/>
      <c r="H170" s="70"/>
      <c r="I170" s="70"/>
      <c r="J170" s="70"/>
      <c r="K170" s="70"/>
      <c r="L170" s="70"/>
      <c r="M170" s="70"/>
      <c r="N170" s="70"/>
      <c r="O170" s="70"/>
      <c r="P170" s="70"/>
      <c r="Q170" s="70"/>
      <c r="R170" s="70"/>
      <c r="S170" s="70"/>
      <c r="T170" s="70"/>
      <c r="U170" s="70"/>
      <c r="V170" s="70"/>
      <c r="W170" s="70"/>
      <c r="X170" s="70"/>
      <c r="Y170" s="70"/>
      <c r="Z170" s="70"/>
    </row>
    <row r="171" spans="1:26" ht="13">
      <c r="A171" s="70"/>
      <c r="B171" s="70"/>
      <c r="C171" s="70"/>
      <c r="D171" s="70"/>
      <c r="E171" s="70"/>
      <c r="F171" s="70"/>
      <c r="G171" s="70"/>
      <c r="H171" s="70"/>
      <c r="I171" s="70"/>
      <c r="J171" s="70"/>
      <c r="K171" s="70"/>
      <c r="L171" s="70"/>
      <c r="M171" s="70"/>
      <c r="N171" s="70"/>
      <c r="O171" s="70"/>
      <c r="P171" s="70"/>
      <c r="Q171" s="70"/>
      <c r="R171" s="70"/>
      <c r="S171" s="70"/>
      <c r="T171" s="70"/>
      <c r="U171" s="70"/>
      <c r="V171" s="70"/>
      <c r="W171" s="70"/>
      <c r="X171" s="70"/>
      <c r="Y171" s="70"/>
      <c r="Z171" s="70"/>
    </row>
    <row r="172" spans="1:26" ht="13">
      <c r="A172" s="70"/>
      <c r="B172" s="70"/>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row>
    <row r="173" spans="1:26" ht="13">
      <c r="A173" s="70"/>
      <c r="B173" s="70"/>
      <c r="C173" s="70"/>
      <c r="D173" s="70"/>
      <c r="E173" s="70"/>
      <c r="F173" s="70"/>
      <c r="G173" s="70"/>
      <c r="H173" s="70"/>
      <c r="I173" s="70"/>
      <c r="J173" s="70"/>
      <c r="K173" s="70"/>
      <c r="L173" s="70"/>
      <c r="M173" s="70"/>
      <c r="N173" s="70"/>
      <c r="O173" s="70"/>
      <c r="P173" s="70"/>
      <c r="Q173" s="70"/>
      <c r="R173" s="70"/>
      <c r="S173" s="70"/>
      <c r="T173" s="70"/>
      <c r="U173" s="70"/>
      <c r="V173" s="70"/>
      <c r="W173" s="70"/>
      <c r="X173" s="70"/>
      <c r="Y173" s="70"/>
      <c r="Z173" s="70"/>
    </row>
    <row r="174" spans="1:26" ht="13">
      <c r="A174" s="70"/>
      <c r="B174" s="70"/>
      <c r="C174" s="70"/>
      <c r="D174" s="70"/>
      <c r="E174" s="70"/>
      <c r="F174" s="70"/>
      <c r="G174" s="70"/>
      <c r="H174" s="70"/>
      <c r="I174" s="70"/>
      <c r="J174" s="70"/>
      <c r="K174" s="70"/>
      <c r="L174" s="70"/>
      <c r="M174" s="70"/>
      <c r="N174" s="70"/>
      <c r="O174" s="70"/>
      <c r="P174" s="70"/>
      <c r="Q174" s="70"/>
      <c r="R174" s="70"/>
      <c r="S174" s="70"/>
      <c r="T174" s="70"/>
      <c r="U174" s="70"/>
      <c r="V174" s="70"/>
      <c r="W174" s="70"/>
      <c r="X174" s="70"/>
      <c r="Y174" s="70"/>
      <c r="Z174" s="70"/>
    </row>
    <row r="175" spans="1:26" ht="13">
      <c r="A175" s="70"/>
      <c r="B175" s="70"/>
      <c r="C175" s="70"/>
      <c r="D175" s="70"/>
      <c r="E175" s="70"/>
      <c r="F175" s="70"/>
      <c r="G175" s="70"/>
      <c r="H175" s="70"/>
      <c r="I175" s="70"/>
      <c r="J175" s="70"/>
      <c r="K175" s="70"/>
      <c r="L175" s="70"/>
      <c r="M175" s="70"/>
      <c r="N175" s="70"/>
      <c r="O175" s="70"/>
      <c r="P175" s="70"/>
      <c r="Q175" s="70"/>
      <c r="R175" s="70"/>
      <c r="S175" s="70"/>
      <c r="T175" s="70"/>
      <c r="U175" s="70"/>
      <c r="V175" s="70"/>
      <c r="W175" s="70"/>
      <c r="X175" s="70"/>
      <c r="Y175" s="70"/>
      <c r="Z175" s="70"/>
    </row>
    <row r="176" spans="1:26" ht="13">
      <c r="A176" s="70"/>
      <c r="B176" s="70"/>
      <c r="C176" s="70"/>
      <c r="D176" s="70"/>
      <c r="E176" s="70"/>
      <c r="F176" s="70"/>
      <c r="G176" s="70"/>
      <c r="H176" s="70"/>
      <c r="I176" s="70"/>
      <c r="J176" s="70"/>
      <c r="K176" s="70"/>
      <c r="L176" s="70"/>
      <c r="M176" s="70"/>
      <c r="N176" s="70"/>
      <c r="O176" s="70"/>
      <c r="P176" s="70"/>
      <c r="Q176" s="70"/>
      <c r="R176" s="70"/>
      <c r="S176" s="70"/>
      <c r="T176" s="70"/>
      <c r="U176" s="70"/>
      <c r="V176" s="70"/>
      <c r="W176" s="70"/>
      <c r="X176" s="70"/>
      <c r="Y176" s="70"/>
      <c r="Z176" s="70"/>
    </row>
    <row r="177" spans="1:26" ht="13">
      <c r="A177" s="70"/>
      <c r="B177" s="70"/>
      <c r="C177" s="70"/>
      <c r="D177" s="70"/>
      <c r="E177" s="70"/>
      <c r="F177" s="70"/>
      <c r="G177" s="70"/>
      <c r="H177" s="70"/>
      <c r="I177" s="70"/>
      <c r="J177" s="70"/>
      <c r="K177" s="70"/>
      <c r="L177" s="70"/>
      <c r="M177" s="70"/>
      <c r="N177" s="70"/>
      <c r="O177" s="70"/>
      <c r="P177" s="70"/>
      <c r="Q177" s="70"/>
      <c r="R177" s="70"/>
      <c r="S177" s="70"/>
      <c r="T177" s="70"/>
      <c r="U177" s="70"/>
      <c r="V177" s="70"/>
      <c r="W177" s="70"/>
      <c r="X177" s="70"/>
      <c r="Y177" s="70"/>
      <c r="Z177" s="70"/>
    </row>
    <row r="178" spans="1:26" ht="13">
      <c r="A178" s="70"/>
      <c r="B178" s="70"/>
      <c r="C178" s="70"/>
      <c r="D178" s="70"/>
      <c r="E178" s="70"/>
      <c r="F178" s="70"/>
      <c r="G178" s="70"/>
      <c r="H178" s="70"/>
      <c r="I178" s="70"/>
      <c r="J178" s="70"/>
      <c r="K178" s="70"/>
      <c r="L178" s="70"/>
      <c r="M178" s="70"/>
      <c r="N178" s="70"/>
      <c r="O178" s="70"/>
      <c r="P178" s="70"/>
      <c r="Q178" s="70"/>
      <c r="R178" s="70"/>
      <c r="S178" s="70"/>
      <c r="T178" s="70"/>
      <c r="U178" s="70"/>
      <c r="V178" s="70"/>
      <c r="W178" s="70"/>
      <c r="X178" s="70"/>
      <c r="Y178" s="70"/>
      <c r="Z178" s="70"/>
    </row>
    <row r="179" spans="1:26" ht="13">
      <c r="A179" s="70"/>
      <c r="B179" s="70"/>
      <c r="C179" s="70"/>
      <c r="D179" s="70"/>
      <c r="E179" s="70"/>
      <c r="F179" s="70"/>
      <c r="G179" s="70"/>
      <c r="H179" s="70"/>
      <c r="I179" s="70"/>
      <c r="J179" s="70"/>
      <c r="K179" s="70"/>
      <c r="L179" s="70"/>
      <c r="M179" s="70"/>
      <c r="N179" s="70"/>
      <c r="O179" s="70"/>
      <c r="P179" s="70"/>
      <c r="Q179" s="70"/>
      <c r="R179" s="70"/>
      <c r="S179" s="70"/>
      <c r="T179" s="70"/>
      <c r="U179" s="70"/>
      <c r="V179" s="70"/>
      <c r="W179" s="70"/>
      <c r="X179" s="70"/>
      <c r="Y179" s="70"/>
      <c r="Z179" s="70"/>
    </row>
    <row r="180" spans="1:26" ht="13">
      <c r="A180" s="70"/>
      <c r="B180" s="70"/>
      <c r="C180" s="70"/>
      <c r="D180" s="70"/>
      <c r="E180" s="70"/>
      <c r="F180" s="70"/>
      <c r="G180" s="70"/>
      <c r="H180" s="70"/>
      <c r="I180" s="70"/>
      <c r="J180" s="70"/>
      <c r="K180" s="70"/>
      <c r="L180" s="70"/>
      <c r="M180" s="70"/>
      <c r="N180" s="70"/>
      <c r="O180" s="70"/>
      <c r="P180" s="70"/>
      <c r="Q180" s="70"/>
      <c r="R180" s="70"/>
      <c r="S180" s="70"/>
      <c r="T180" s="70"/>
      <c r="U180" s="70"/>
      <c r="V180" s="70"/>
      <c r="W180" s="70"/>
      <c r="X180" s="70"/>
      <c r="Y180" s="70"/>
      <c r="Z180" s="70"/>
    </row>
    <row r="181" spans="1:26" ht="13">
      <c r="A181" s="70"/>
      <c r="B181" s="70"/>
      <c r="C181" s="70"/>
      <c r="D181" s="70"/>
      <c r="E181" s="70"/>
      <c r="F181" s="70"/>
      <c r="G181" s="70"/>
      <c r="H181" s="70"/>
      <c r="I181" s="70"/>
      <c r="J181" s="70"/>
      <c r="K181" s="70"/>
      <c r="L181" s="70"/>
      <c r="M181" s="70"/>
      <c r="N181" s="70"/>
      <c r="O181" s="70"/>
      <c r="P181" s="70"/>
      <c r="Q181" s="70"/>
      <c r="R181" s="70"/>
      <c r="S181" s="70"/>
      <c r="T181" s="70"/>
      <c r="U181" s="70"/>
      <c r="V181" s="70"/>
      <c r="W181" s="70"/>
      <c r="X181" s="70"/>
      <c r="Y181" s="70"/>
      <c r="Z181" s="70"/>
    </row>
    <row r="182" spans="1:26" ht="13">
      <c r="A182" s="70"/>
      <c r="B182" s="70"/>
      <c r="C182" s="70"/>
      <c r="D182" s="70"/>
      <c r="E182" s="70"/>
      <c r="F182" s="70"/>
      <c r="G182" s="70"/>
      <c r="H182" s="70"/>
      <c r="I182" s="70"/>
      <c r="J182" s="70"/>
      <c r="K182" s="70"/>
      <c r="L182" s="70"/>
      <c r="M182" s="70"/>
      <c r="N182" s="70"/>
      <c r="O182" s="70"/>
      <c r="P182" s="70"/>
      <c r="Q182" s="70"/>
      <c r="R182" s="70"/>
      <c r="S182" s="70"/>
      <c r="T182" s="70"/>
      <c r="U182" s="70"/>
      <c r="V182" s="70"/>
      <c r="W182" s="70"/>
      <c r="X182" s="70"/>
      <c r="Y182" s="70"/>
      <c r="Z182" s="70"/>
    </row>
    <row r="183" spans="1:26" ht="13">
      <c r="A183" s="70"/>
      <c r="B183" s="70"/>
      <c r="C183" s="70"/>
      <c r="D183" s="70"/>
      <c r="E183" s="70"/>
      <c r="F183" s="70"/>
      <c r="G183" s="70"/>
      <c r="H183" s="70"/>
      <c r="I183" s="70"/>
      <c r="J183" s="70"/>
      <c r="K183" s="70"/>
      <c r="L183" s="70"/>
      <c r="M183" s="70"/>
      <c r="N183" s="70"/>
      <c r="O183" s="70"/>
      <c r="P183" s="70"/>
      <c r="Q183" s="70"/>
      <c r="R183" s="70"/>
      <c r="S183" s="70"/>
      <c r="T183" s="70"/>
      <c r="U183" s="70"/>
      <c r="V183" s="70"/>
      <c r="W183" s="70"/>
      <c r="X183" s="70"/>
      <c r="Y183" s="70"/>
      <c r="Z183" s="70"/>
    </row>
    <row r="184" spans="1:26" ht="13">
      <c r="A184" s="70"/>
      <c r="B184" s="70"/>
      <c r="C184" s="70"/>
      <c r="D184" s="70"/>
      <c r="E184" s="70"/>
      <c r="F184" s="70"/>
      <c r="G184" s="70"/>
      <c r="H184" s="70"/>
      <c r="I184" s="70"/>
      <c r="J184" s="70"/>
      <c r="K184" s="70"/>
      <c r="L184" s="70"/>
      <c r="M184" s="70"/>
      <c r="N184" s="70"/>
      <c r="O184" s="70"/>
      <c r="P184" s="70"/>
      <c r="Q184" s="70"/>
      <c r="R184" s="70"/>
      <c r="S184" s="70"/>
      <c r="T184" s="70"/>
      <c r="U184" s="70"/>
      <c r="V184" s="70"/>
      <c r="W184" s="70"/>
      <c r="X184" s="70"/>
      <c r="Y184" s="70"/>
      <c r="Z184" s="70"/>
    </row>
    <row r="185" spans="1:26" ht="13">
      <c r="A185" s="70"/>
      <c r="B185" s="70"/>
      <c r="C185" s="70"/>
      <c r="D185" s="70"/>
      <c r="E185" s="70"/>
      <c r="F185" s="70"/>
      <c r="G185" s="70"/>
      <c r="H185" s="70"/>
      <c r="I185" s="70"/>
      <c r="J185" s="70"/>
      <c r="K185" s="70"/>
      <c r="L185" s="70"/>
      <c r="M185" s="70"/>
      <c r="N185" s="70"/>
      <c r="O185" s="70"/>
      <c r="P185" s="70"/>
      <c r="Q185" s="70"/>
      <c r="R185" s="70"/>
      <c r="S185" s="70"/>
      <c r="T185" s="70"/>
      <c r="U185" s="70"/>
      <c r="V185" s="70"/>
      <c r="W185" s="70"/>
      <c r="X185" s="70"/>
      <c r="Y185" s="70"/>
      <c r="Z185" s="70"/>
    </row>
    <row r="186" spans="1:26" ht="13">
      <c r="A186" s="70"/>
      <c r="B186" s="70"/>
      <c r="C186" s="70"/>
      <c r="D186" s="70"/>
      <c r="E186" s="70"/>
      <c r="F186" s="70"/>
      <c r="G186" s="70"/>
      <c r="H186" s="70"/>
      <c r="I186" s="70"/>
      <c r="J186" s="70"/>
      <c r="K186" s="70"/>
      <c r="L186" s="70"/>
      <c r="M186" s="70"/>
      <c r="N186" s="70"/>
      <c r="O186" s="70"/>
      <c r="P186" s="70"/>
      <c r="Q186" s="70"/>
      <c r="R186" s="70"/>
      <c r="S186" s="70"/>
      <c r="T186" s="70"/>
      <c r="U186" s="70"/>
      <c r="V186" s="70"/>
      <c r="W186" s="70"/>
      <c r="X186" s="70"/>
      <c r="Y186" s="70"/>
      <c r="Z186" s="70"/>
    </row>
    <row r="187" spans="1:26" ht="13">
      <c r="A187" s="70"/>
      <c r="B187" s="70"/>
      <c r="C187" s="70"/>
      <c r="D187" s="70"/>
      <c r="E187" s="70"/>
      <c r="F187" s="70"/>
      <c r="G187" s="70"/>
      <c r="H187" s="70"/>
      <c r="I187" s="70"/>
      <c r="J187" s="70"/>
      <c r="K187" s="70"/>
      <c r="L187" s="70"/>
      <c r="M187" s="70"/>
      <c r="N187" s="70"/>
      <c r="O187" s="70"/>
      <c r="P187" s="70"/>
      <c r="Q187" s="70"/>
      <c r="R187" s="70"/>
      <c r="S187" s="70"/>
      <c r="T187" s="70"/>
      <c r="U187" s="70"/>
      <c r="V187" s="70"/>
      <c r="W187" s="70"/>
      <c r="X187" s="70"/>
      <c r="Y187" s="70"/>
      <c r="Z187" s="70"/>
    </row>
    <row r="188" spans="1:26" ht="13">
      <c r="A188" s="70"/>
      <c r="B188" s="70"/>
      <c r="C188" s="70"/>
      <c r="D188" s="70"/>
      <c r="E188" s="70"/>
      <c r="F188" s="70"/>
      <c r="G188" s="70"/>
      <c r="H188" s="70"/>
      <c r="I188" s="70"/>
      <c r="J188" s="70"/>
      <c r="K188" s="70"/>
      <c r="L188" s="70"/>
      <c r="M188" s="70"/>
      <c r="N188" s="70"/>
      <c r="O188" s="70"/>
      <c r="P188" s="70"/>
      <c r="Q188" s="70"/>
      <c r="R188" s="70"/>
      <c r="S188" s="70"/>
      <c r="T188" s="70"/>
      <c r="U188" s="70"/>
      <c r="V188" s="70"/>
      <c r="W188" s="70"/>
      <c r="X188" s="70"/>
      <c r="Y188" s="70"/>
      <c r="Z188" s="70"/>
    </row>
    <row r="189" spans="1:26" ht="13">
      <c r="A189" s="70"/>
      <c r="B189" s="70"/>
      <c r="C189" s="70"/>
      <c r="D189" s="70"/>
      <c r="E189" s="70"/>
      <c r="F189" s="70"/>
      <c r="G189" s="70"/>
      <c r="H189" s="70"/>
      <c r="I189" s="70"/>
      <c r="J189" s="70"/>
      <c r="K189" s="70"/>
      <c r="L189" s="70"/>
      <c r="M189" s="70"/>
      <c r="N189" s="70"/>
      <c r="O189" s="70"/>
      <c r="P189" s="70"/>
      <c r="Q189" s="70"/>
      <c r="R189" s="70"/>
      <c r="S189" s="70"/>
      <c r="T189" s="70"/>
      <c r="U189" s="70"/>
      <c r="V189" s="70"/>
      <c r="W189" s="70"/>
      <c r="X189" s="70"/>
      <c r="Y189" s="70"/>
      <c r="Z189" s="70"/>
    </row>
    <row r="190" spans="1:26" ht="13">
      <c r="A190" s="70"/>
      <c r="B190" s="70"/>
      <c r="C190" s="70"/>
      <c r="D190" s="70"/>
      <c r="E190" s="70"/>
      <c r="F190" s="70"/>
      <c r="G190" s="70"/>
      <c r="H190" s="70"/>
      <c r="I190" s="70"/>
      <c r="J190" s="70"/>
      <c r="K190" s="70"/>
      <c r="L190" s="70"/>
      <c r="M190" s="70"/>
      <c r="N190" s="70"/>
      <c r="O190" s="70"/>
      <c r="P190" s="70"/>
      <c r="Q190" s="70"/>
      <c r="R190" s="70"/>
      <c r="S190" s="70"/>
      <c r="T190" s="70"/>
      <c r="U190" s="70"/>
      <c r="V190" s="70"/>
      <c r="W190" s="70"/>
      <c r="X190" s="70"/>
      <c r="Y190" s="70"/>
      <c r="Z190" s="70"/>
    </row>
    <row r="191" spans="1:26" ht="13">
      <c r="A191" s="70"/>
      <c r="B191" s="70"/>
      <c r="C191" s="70"/>
      <c r="D191" s="70"/>
      <c r="E191" s="70"/>
      <c r="F191" s="70"/>
      <c r="G191" s="70"/>
      <c r="H191" s="70"/>
      <c r="I191" s="70"/>
      <c r="J191" s="70"/>
      <c r="K191" s="70"/>
      <c r="L191" s="70"/>
      <c r="M191" s="70"/>
      <c r="N191" s="70"/>
      <c r="O191" s="70"/>
      <c r="P191" s="70"/>
      <c r="Q191" s="70"/>
      <c r="R191" s="70"/>
      <c r="S191" s="70"/>
      <c r="T191" s="70"/>
      <c r="U191" s="70"/>
      <c r="V191" s="70"/>
      <c r="W191" s="70"/>
      <c r="X191" s="70"/>
      <c r="Y191" s="70"/>
      <c r="Z191" s="70"/>
    </row>
    <row r="192" spans="1:26" ht="13">
      <c r="A192" s="70"/>
      <c r="B192" s="70"/>
      <c r="C192" s="70"/>
      <c r="D192" s="70"/>
      <c r="E192" s="70"/>
      <c r="F192" s="70"/>
      <c r="G192" s="70"/>
      <c r="H192" s="70"/>
      <c r="I192" s="70"/>
      <c r="J192" s="70"/>
      <c r="K192" s="70"/>
      <c r="L192" s="70"/>
      <c r="M192" s="70"/>
      <c r="N192" s="70"/>
      <c r="O192" s="70"/>
      <c r="P192" s="70"/>
      <c r="Q192" s="70"/>
      <c r="R192" s="70"/>
      <c r="S192" s="70"/>
      <c r="T192" s="70"/>
      <c r="U192" s="70"/>
      <c r="V192" s="70"/>
      <c r="W192" s="70"/>
      <c r="X192" s="70"/>
      <c r="Y192" s="70"/>
      <c r="Z192" s="70"/>
    </row>
    <row r="193" spans="1:26" ht="13">
      <c r="A193" s="70"/>
      <c r="B193" s="70"/>
      <c r="C193" s="70"/>
      <c r="D193" s="70"/>
      <c r="E193" s="70"/>
      <c r="F193" s="70"/>
      <c r="G193" s="70"/>
      <c r="H193" s="70"/>
      <c r="I193" s="70"/>
      <c r="J193" s="70"/>
      <c r="K193" s="70"/>
      <c r="L193" s="70"/>
      <c r="M193" s="70"/>
      <c r="N193" s="70"/>
      <c r="O193" s="70"/>
      <c r="P193" s="70"/>
      <c r="Q193" s="70"/>
      <c r="R193" s="70"/>
      <c r="S193" s="70"/>
      <c r="T193" s="70"/>
      <c r="U193" s="70"/>
      <c r="V193" s="70"/>
      <c r="W193" s="70"/>
      <c r="X193" s="70"/>
      <c r="Y193" s="70"/>
      <c r="Z193" s="70"/>
    </row>
    <row r="194" spans="1:26" ht="13">
      <c r="A194" s="70"/>
      <c r="B194" s="70"/>
      <c r="C194" s="70"/>
      <c r="D194" s="70"/>
      <c r="E194" s="70"/>
      <c r="F194" s="70"/>
      <c r="G194" s="70"/>
      <c r="H194" s="70"/>
      <c r="I194" s="70"/>
      <c r="J194" s="70"/>
      <c r="K194" s="70"/>
      <c r="L194" s="70"/>
      <c r="M194" s="70"/>
      <c r="N194" s="70"/>
      <c r="O194" s="70"/>
      <c r="P194" s="70"/>
      <c r="Q194" s="70"/>
      <c r="R194" s="70"/>
      <c r="S194" s="70"/>
      <c r="T194" s="70"/>
      <c r="U194" s="70"/>
      <c r="V194" s="70"/>
      <c r="W194" s="70"/>
      <c r="X194" s="70"/>
      <c r="Y194" s="70"/>
      <c r="Z194" s="70"/>
    </row>
    <row r="195" spans="1:26" ht="13">
      <c r="A195" s="70"/>
      <c r="B195" s="70"/>
      <c r="C195" s="70"/>
      <c r="D195" s="70"/>
      <c r="E195" s="70"/>
      <c r="F195" s="70"/>
      <c r="G195" s="70"/>
      <c r="H195" s="70"/>
      <c r="I195" s="70"/>
      <c r="J195" s="70"/>
      <c r="K195" s="70"/>
      <c r="L195" s="70"/>
      <c r="M195" s="70"/>
      <c r="N195" s="70"/>
      <c r="O195" s="70"/>
      <c r="P195" s="70"/>
      <c r="Q195" s="70"/>
      <c r="R195" s="70"/>
      <c r="S195" s="70"/>
      <c r="T195" s="70"/>
      <c r="U195" s="70"/>
      <c r="V195" s="70"/>
      <c r="W195" s="70"/>
      <c r="X195" s="70"/>
      <c r="Y195" s="70"/>
      <c r="Z195" s="70"/>
    </row>
    <row r="196" spans="1:26" ht="13">
      <c r="A196" s="70"/>
      <c r="B196" s="70"/>
      <c r="C196" s="70"/>
      <c r="D196" s="70"/>
      <c r="E196" s="70"/>
      <c r="F196" s="70"/>
      <c r="G196" s="70"/>
      <c r="H196" s="70"/>
      <c r="I196" s="70"/>
      <c r="J196" s="70"/>
      <c r="K196" s="70"/>
      <c r="L196" s="70"/>
      <c r="M196" s="70"/>
      <c r="N196" s="70"/>
      <c r="O196" s="70"/>
      <c r="P196" s="70"/>
      <c r="Q196" s="70"/>
      <c r="R196" s="70"/>
      <c r="S196" s="70"/>
      <c r="T196" s="70"/>
      <c r="U196" s="70"/>
      <c r="V196" s="70"/>
      <c r="W196" s="70"/>
      <c r="X196" s="70"/>
      <c r="Y196" s="70"/>
      <c r="Z196" s="70"/>
    </row>
    <row r="197" spans="1:26" ht="13">
      <c r="A197" s="70"/>
      <c r="B197" s="70"/>
      <c r="C197" s="70"/>
      <c r="D197" s="70"/>
      <c r="E197" s="70"/>
      <c r="F197" s="70"/>
      <c r="G197" s="70"/>
      <c r="H197" s="70"/>
      <c r="I197" s="70"/>
      <c r="J197" s="70"/>
      <c r="K197" s="70"/>
      <c r="L197" s="70"/>
      <c r="M197" s="70"/>
      <c r="N197" s="70"/>
      <c r="O197" s="70"/>
      <c r="P197" s="70"/>
      <c r="Q197" s="70"/>
      <c r="R197" s="70"/>
      <c r="S197" s="70"/>
      <c r="T197" s="70"/>
      <c r="U197" s="70"/>
      <c r="V197" s="70"/>
      <c r="W197" s="70"/>
      <c r="X197" s="70"/>
      <c r="Y197" s="70"/>
      <c r="Z197" s="70"/>
    </row>
    <row r="198" spans="1:26" ht="13">
      <c r="A198" s="70"/>
      <c r="B198" s="70"/>
      <c r="C198" s="70"/>
      <c r="D198" s="70"/>
      <c r="E198" s="70"/>
      <c r="F198" s="70"/>
      <c r="G198" s="70"/>
      <c r="H198" s="70"/>
      <c r="I198" s="70"/>
      <c r="J198" s="70"/>
      <c r="K198" s="70"/>
      <c r="L198" s="70"/>
      <c r="M198" s="70"/>
      <c r="N198" s="70"/>
      <c r="O198" s="70"/>
      <c r="P198" s="70"/>
      <c r="Q198" s="70"/>
      <c r="R198" s="70"/>
      <c r="S198" s="70"/>
      <c r="T198" s="70"/>
      <c r="U198" s="70"/>
      <c r="V198" s="70"/>
      <c r="W198" s="70"/>
      <c r="X198" s="70"/>
      <c r="Y198" s="70"/>
      <c r="Z198" s="70"/>
    </row>
    <row r="199" spans="1:26" ht="13">
      <c r="A199" s="70"/>
      <c r="B199" s="70"/>
      <c r="C199" s="70"/>
      <c r="D199" s="70"/>
      <c r="E199" s="70"/>
      <c r="F199" s="70"/>
      <c r="G199" s="70"/>
      <c r="H199" s="70"/>
      <c r="I199" s="70"/>
      <c r="J199" s="70"/>
      <c r="K199" s="70"/>
      <c r="L199" s="70"/>
      <c r="M199" s="70"/>
      <c r="N199" s="70"/>
      <c r="O199" s="70"/>
      <c r="P199" s="70"/>
      <c r="Q199" s="70"/>
      <c r="R199" s="70"/>
      <c r="S199" s="70"/>
      <c r="T199" s="70"/>
      <c r="U199" s="70"/>
      <c r="V199" s="70"/>
      <c r="W199" s="70"/>
      <c r="X199" s="70"/>
      <c r="Y199" s="70"/>
      <c r="Z199" s="70"/>
    </row>
    <row r="200" spans="1:26" ht="13">
      <c r="A200" s="70"/>
      <c r="B200" s="70"/>
      <c r="C200" s="70"/>
      <c r="D200" s="70"/>
      <c r="E200" s="70"/>
      <c r="F200" s="70"/>
      <c r="G200" s="70"/>
      <c r="H200" s="70"/>
      <c r="I200" s="70"/>
      <c r="J200" s="70"/>
      <c r="K200" s="70"/>
      <c r="L200" s="70"/>
      <c r="M200" s="70"/>
      <c r="N200" s="70"/>
      <c r="O200" s="70"/>
      <c r="P200" s="70"/>
      <c r="Q200" s="70"/>
      <c r="R200" s="70"/>
      <c r="S200" s="70"/>
      <c r="T200" s="70"/>
      <c r="U200" s="70"/>
      <c r="V200" s="70"/>
      <c r="W200" s="70"/>
      <c r="X200" s="70"/>
      <c r="Y200" s="70"/>
      <c r="Z200" s="70"/>
    </row>
    <row r="201" spans="1:26" ht="13">
      <c r="A201" s="70"/>
      <c r="B201" s="70"/>
      <c r="C201" s="70"/>
      <c r="D201" s="70"/>
      <c r="E201" s="70"/>
      <c r="F201" s="70"/>
      <c r="G201" s="70"/>
      <c r="H201" s="70"/>
      <c r="I201" s="70"/>
      <c r="J201" s="70"/>
      <c r="K201" s="70"/>
      <c r="L201" s="70"/>
      <c r="M201" s="70"/>
      <c r="N201" s="70"/>
      <c r="O201" s="70"/>
      <c r="P201" s="70"/>
      <c r="Q201" s="70"/>
      <c r="R201" s="70"/>
      <c r="S201" s="70"/>
      <c r="T201" s="70"/>
      <c r="U201" s="70"/>
      <c r="V201" s="70"/>
      <c r="W201" s="70"/>
      <c r="X201" s="70"/>
      <c r="Y201" s="70"/>
      <c r="Z201" s="70"/>
    </row>
    <row r="202" spans="1:26" ht="13">
      <c r="A202" s="70"/>
      <c r="B202" s="70"/>
      <c r="C202" s="70"/>
      <c r="D202" s="70"/>
      <c r="E202" s="70"/>
      <c r="F202" s="70"/>
      <c r="G202" s="70"/>
      <c r="H202" s="70"/>
      <c r="I202" s="70"/>
      <c r="J202" s="70"/>
      <c r="K202" s="70"/>
      <c r="L202" s="70"/>
      <c r="M202" s="70"/>
      <c r="N202" s="70"/>
      <c r="O202" s="70"/>
      <c r="P202" s="70"/>
      <c r="Q202" s="70"/>
      <c r="R202" s="70"/>
      <c r="S202" s="70"/>
      <c r="T202" s="70"/>
      <c r="U202" s="70"/>
      <c r="V202" s="70"/>
      <c r="W202" s="70"/>
      <c r="X202" s="70"/>
      <c r="Y202" s="70"/>
      <c r="Z202" s="70"/>
    </row>
    <row r="203" spans="1:26" ht="13">
      <c r="A203" s="70"/>
      <c r="B203" s="70"/>
      <c r="C203" s="70"/>
      <c r="D203" s="70"/>
      <c r="E203" s="70"/>
      <c r="F203" s="70"/>
      <c r="G203" s="70"/>
      <c r="H203" s="70"/>
      <c r="I203" s="70"/>
      <c r="J203" s="70"/>
      <c r="K203" s="70"/>
      <c r="L203" s="70"/>
      <c r="M203" s="70"/>
      <c r="N203" s="70"/>
      <c r="O203" s="70"/>
      <c r="P203" s="70"/>
      <c r="Q203" s="70"/>
      <c r="R203" s="70"/>
      <c r="S203" s="70"/>
      <c r="T203" s="70"/>
      <c r="U203" s="70"/>
      <c r="V203" s="70"/>
      <c r="W203" s="70"/>
      <c r="X203" s="70"/>
      <c r="Y203" s="70"/>
      <c r="Z203" s="70"/>
    </row>
    <row r="204" spans="1:26" ht="13">
      <c r="A204" s="70"/>
      <c r="B204" s="70"/>
      <c r="C204" s="70"/>
      <c r="D204" s="70"/>
      <c r="E204" s="70"/>
      <c r="F204" s="70"/>
      <c r="G204" s="70"/>
      <c r="H204" s="70"/>
      <c r="I204" s="70"/>
      <c r="J204" s="70"/>
      <c r="K204" s="70"/>
      <c r="L204" s="70"/>
      <c r="M204" s="70"/>
      <c r="N204" s="70"/>
      <c r="O204" s="70"/>
      <c r="P204" s="70"/>
      <c r="Q204" s="70"/>
      <c r="R204" s="70"/>
      <c r="S204" s="70"/>
      <c r="T204" s="70"/>
      <c r="U204" s="70"/>
      <c r="V204" s="70"/>
      <c r="W204" s="70"/>
      <c r="X204" s="70"/>
      <c r="Y204" s="70"/>
      <c r="Z204" s="70"/>
    </row>
    <row r="205" spans="1:26" ht="13">
      <c r="A205" s="70"/>
      <c r="B205" s="70"/>
      <c r="C205" s="70"/>
      <c r="D205" s="70"/>
      <c r="E205" s="70"/>
      <c r="F205" s="70"/>
      <c r="G205" s="70"/>
      <c r="H205" s="70"/>
      <c r="I205" s="70"/>
      <c r="J205" s="70"/>
      <c r="K205" s="70"/>
      <c r="L205" s="70"/>
      <c r="M205" s="70"/>
      <c r="N205" s="70"/>
      <c r="O205" s="70"/>
      <c r="P205" s="70"/>
      <c r="Q205" s="70"/>
      <c r="R205" s="70"/>
      <c r="S205" s="70"/>
      <c r="T205" s="70"/>
      <c r="U205" s="70"/>
      <c r="V205" s="70"/>
      <c r="W205" s="70"/>
      <c r="X205" s="70"/>
      <c r="Y205" s="70"/>
      <c r="Z205" s="70"/>
    </row>
    <row r="206" spans="1:26" ht="13">
      <c r="A206" s="70"/>
      <c r="B206" s="70"/>
      <c r="C206" s="70"/>
      <c r="D206" s="70"/>
      <c r="E206" s="70"/>
      <c r="F206" s="70"/>
      <c r="G206" s="70"/>
      <c r="H206" s="70"/>
      <c r="I206" s="70"/>
      <c r="J206" s="70"/>
      <c r="K206" s="70"/>
      <c r="L206" s="70"/>
      <c r="M206" s="70"/>
      <c r="N206" s="70"/>
      <c r="O206" s="70"/>
      <c r="P206" s="70"/>
      <c r="Q206" s="70"/>
      <c r="R206" s="70"/>
      <c r="S206" s="70"/>
      <c r="T206" s="70"/>
      <c r="U206" s="70"/>
      <c r="V206" s="70"/>
      <c r="W206" s="70"/>
      <c r="X206" s="70"/>
      <c r="Y206" s="70"/>
      <c r="Z206" s="70"/>
    </row>
    <row r="207" spans="1:26" ht="13">
      <c r="A207" s="70"/>
      <c r="B207" s="70"/>
      <c r="C207" s="70"/>
      <c r="D207" s="70"/>
      <c r="E207" s="70"/>
      <c r="F207" s="70"/>
      <c r="G207" s="70"/>
      <c r="H207" s="70"/>
      <c r="I207" s="70"/>
      <c r="J207" s="70"/>
      <c r="K207" s="70"/>
      <c r="L207" s="70"/>
      <c r="M207" s="70"/>
      <c r="N207" s="70"/>
      <c r="O207" s="70"/>
      <c r="P207" s="70"/>
      <c r="Q207" s="70"/>
      <c r="R207" s="70"/>
      <c r="S207" s="70"/>
      <c r="T207" s="70"/>
      <c r="U207" s="70"/>
      <c r="V207" s="70"/>
      <c r="W207" s="70"/>
      <c r="X207" s="70"/>
      <c r="Y207" s="70"/>
      <c r="Z207" s="70"/>
    </row>
    <row r="208" spans="1:26" ht="13">
      <c r="A208" s="70"/>
      <c r="B208" s="70"/>
      <c r="C208" s="70"/>
      <c r="D208" s="70"/>
      <c r="E208" s="70"/>
      <c r="F208" s="70"/>
      <c r="G208" s="70"/>
      <c r="H208" s="70"/>
      <c r="I208" s="70"/>
      <c r="J208" s="70"/>
      <c r="K208" s="70"/>
      <c r="L208" s="70"/>
      <c r="M208" s="70"/>
      <c r="N208" s="70"/>
      <c r="O208" s="70"/>
      <c r="P208" s="70"/>
      <c r="Q208" s="70"/>
      <c r="R208" s="70"/>
      <c r="S208" s="70"/>
      <c r="T208" s="70"/>
      <c r="U208" s="70"/>
      <c r="V208" s="70"/>
      <c r="W208" s="70"/>
      <c r="X208" s="70"/>
      <c r="Y208" s="70"/>
      <c r="Z208" s="70"/>
    </row>
    <row r="209" spans="1:26" ht="13">
      <c r="A209" s="70"/>
      <c r="B209" s="70"/>
      <c r="C209" s="70"/>
      <c r="D209" s="70"/>
      <c r="E209" s="70"/>
      <c r="F209" s="70"/>
      <c r="G209" s="70"/>
      <c r="H209" s="70"/>
      <c r="I209" s="70"/>
      <c r="J209" s="70"/>
      <c r="K209" s="70"/>
      <c r="L209" s="70"/>
      <c r="M209" s="70"/>
      <c r="N209" s="70"/>
      <c r="O209" s="70"/>
      <c r="P209" s="70"/>
      <c r="Q209" s="70"/>
      <c r="R209" s="70"/>
      <c r="S209" s="70"/>
      <c r="T209" s="70"/>
      <c r="U209" s="70"/>
      <c r="V209" s="70"/>
      <c r="W209" s="70"/>
      <c r="X209" s="70"/>
      <c r="Y209" s="70"/>
      <c r="Z209" s="70"/>
    </row>
    <row r="210" spans="1:26" ht="13">
      <c r="A210" s="70"/>
      <c r="B210" s="70"/>
      <c r="C210" s="70"/>
      <c r="D210" s="70"/>
      <c r="E210" s="70"/>
      <c r="F210" s="70"/>
      <c r="G210" s="70"/>
      <c r="H210" s="70"/>
      <c r="I210" s="70"/>
      <c r="J210" s="70"/>
      <c r="K210" s="70"/>
      <c r="L210" s="70"/>
      <c r="M210" s="70"/>
      <c r="N210" s="70"/>
      <c r="O210" s="70"/>
      <c r="P210" s="70"/>
      <c r="Q210" s="70"/>
      <c r="R210" s="70"/>
      <c r="S210" s="70"/>
      <c r="T210" s="70"/>
      <c r="U210" s="70"/>
      <c r="V210" s="70"/>
      <c r="W210" s="70"/>
      <c r="X210" s="70"/>
      <c r="Y210" s="70"/>
      <c r="Z210" s="70"/>
    </row>
    <row r="211" spans="1:26" ht="13">
      <c r="A211" s="70"/>
      <c r="B211" s="70"/>
      <c r="C211" s="70"/>
      <c r="D211" s="70"/>
      <c r="E211" s="70"/>
      <c r="F211" s="70"/>
      <c r="G211" s="70"/>
      <c r="H211" s="70"/>
      <c r="I211" s="70"/>
      <c r="J211" s="70"/>
      <c r="K211" s="70"/>
      <c r="L211" s="70"/>
      <c r="M211" s="70"/>
      <c r="N211" s="70"/>
      <c r="O211" s="70"/>
      <c r="P211" s="70"/>
      <c r="Q211" s="70"/>
      <c r="R211" s="70"/>
      <c r="S211" s="70"/>
      <c r="T211" s="70"/>
      <c r="U211" s="70"/>
      <c r="V211" s="70"/>
      <c r="W211" s="70"/>
      <c r="X211" s="70"/>
      <c r="Y211" s="70"/>
      <c r="Z211" s="70"/>
    </row>
    <row r="212" spans="1:26" ht="13">
      <c r="A212" s="70"/>
      <c r="B212" s="70"/>
      <c r="C212" s="70"/>
      <c r="D212" s="70"/>
      <c r="E212" s="70"/>
      <c r="F212" s="70"/>
      <c r="G212" s="70"/>
      <c r="H212" s="70"/>
      <c r="I212" s="70"/>
      <c r="J212" s="70"/>
      <c r="K212" s="70"/>
      <c r="L212" s="70"/>
      <c r="M212" s="70"/>
      <c r="N212" s="70"/>
      <c r="O212" s="70"/>
      <c r="P212" s="70"/>
      <c r="Q212" s="70"/>
      <c r="R212" s="70"/>
      <c r="S212" s="70"/>
      <c r="T212" s="70"/>
      <c r="U212" s="70"/>
      <c r="V212" s="70"/>
      <c r="W212" s="70"/>
      <c r="X212" s="70"/>
      <c r="Y212" s="70"/>
      <c r="Z212" s="70"/>
    </row>
    <row r="213" spans="1:26" ht="13">
      <c r="A213" s="70"/>
      <c r="B213" s="70"/>
      <c r="C213" s="70"/>
      <c r="D213" s="70"/>
      <c r="E213" s="70"/>
      <c r="F213" s="70"/>
      <c r="G213" s="70"/>
      <c r="H213" s="70"/>
      <c r="I213" s="70"/>
      <c r="J213" s="70"/>
      <c r="K213" s="70"/>
      <c r="L213" s="70"/>
      <c r="M213" s="70"/>
      <c r="N213" s="70"/>
      <c r="O213" s="70"/>
      <c r="P213" s="70"/>
      <c r="Q213" s="70"/>
      <c r="R213" s="70"/>
      <c r="S213" s="70"/>
      <c r="T213" s="70"/>
      <c r="U213" s="70"/>
      <c r="V213" s="70"/>
      <c r="W213" s="70"/>
      <c r="X213" s="70"/>
      <c r="Y213" s="70"/>
      <c r="Z213" s="70"/>
    </row>
    <row r="214" spans="1:26" ht="13">
      <c r="A214" s="70"/>
      <c r="B214" s="70"/>
      <c r="C214" s="70"/>
      <c r="D214" s="70"/>
      <c r="E214" s="70"/>
      <c r="F214" s="70"/>
      <c r="G214" s="70"/>
      <c r="H214" s="70"/>
      <c r="I214" s="70"/>
      <c r="J214" s="70"/>
      <c r="K214" s="70"/>
      <c r="L214" s="70"/>
      <c r="M214" s="70"/>
      <c r="N214" s="70"/>
      <c r="O214" s="70"/>
      <c r="P214" s="70"/>
      <c r="Q214" s="70"/>
      <c r="R214" s="70"/>
      <c r="S214" s="70"/>
      <c r="T214" s="70"/>
      <c r="U214" s="70"/>
      <c r="V214" s="70"/>
      <c r="W214" s="70"/>
      <c r="X214" s="70"/>
      <c r="Y214" s="70"/>
      <c r="Z214" s="70"/>
    </row>
    <row r="215" spans="1:26" ht="13">
      <c r="A215" s="70"/>
      <c r="B215" s="70"/>
      <c r="C215" s="70"/>
      <c r="D215" s="70"/>
      <c r="E215" s="70"/>
      <c r="F215" s="70"/>
      <c r="G215" s="70"/>
      <c r="H215" s="70"/>
      <c r="I215" s="70"/>
      <c r="J215" s="70"/>
      <c r="K215" s="70"/>
      <c r="L215" s="70"/>
      <c r="M215" s="70"/>
      <c r="N215" s="70"/>
      <c r="O215" s="70"/>
      <c r="P215" s="70"/>
      <c r="Q215" s="70"/>
      <c r="R215" s="70"/>
      <c r="S215" s="70"/>
      <c r="T215" s="70"/>
      <c r="U215" s="70"/>
      <c r="V215" s="70"/>
      <c r="W215" s="70"/>
      <c r="X215" s="70"/>
      <c r="Y215" s="70"/>
      <c r="Z215" s="70"/>
    </row>
    <row r="216" spans="1:26" ht="13">
      <c r="A216" s="70"/>
      <c r="B216" s="70"/>
      <c r="C216" s="70"/>
      <c r="D216" s="70"/>
      <c r="E216" s="70"/>
      <c r="F216" s="70"/>
      <c r="G216" s="70"/>
      <c r="H216" s="70"/>
      <c r="I216" s="70"/>
      <c r="J216" s="70"/>
      <c r="K216" s="70"/>
      <c r="L216" s="70"/>
      <c r="M216" s="70"/>
      <c r="N216" s="70"/>
      <c r="O216" s="70"/>
      <c r="P216" s="70"/>
      <c r="Q216" s="70"/>
      <c r="R216" s="70"/>
      <c r="S216" s="70"/>
      <c r="T216" s="70"/>
      <c r="U216" s="70"/>
      <c r="V216" s="70"/>
      <c r="W216" s="70"/>
      <c r="X216" s="70"/>
      <c r="Y216" s="70"/>
      <c r="Z216" s="70"/>
    </row>
    <row r="217" spans="1:26" ht="13">
      <c r="A217" s="70"/>
      <c r="B217" s="70"/>
      <c r="C217" s="70"/>
      <c r="D217" s="70"/>
      <c r="E217" s="70"/>
      <c r="F217" s="70"/>
      <c r="G217" s="70"/>
      <c r="H217" s="70"/>
      <c r="I217" s="70"/>
      <c r="J217" s="70"/>
      <c r="K217" s="70"/>
      <c r="L217" s="70"/>
      <c r="M217" s="70"/>
      <c r="N217" s="70"/>
      <c r="O217" s="70"/>
      <c r="P217" s="70"/>
      <c r="Q217" s="70"/>
      <c r="R217" s="70"/>
      <c r="S217" s="70"/>
      <c r="T217" s="70"/>
      <c r="U217" s="70"/>
      <c r="V217" s="70"/>
      <c r="W217" s="70"/>
      <c r="X217" s="70"/>
      <c r="Y217" s="70"/>
      <c r="Z217" s="70"/>
    </row>
    <row r="218" spans="1:26" ht="13">
      <c r="A218" s="70"/>
      <c r="B218" s="70"/>
      <c r="C218" s="70"/>
      <c r="D218" s="70"/>
      <c r="E218" s="70"/>
      <c r="F218" s="70"/>
      <c r="G218" s="70"/>
      <c r="H218" s="70"/>
      <c r="I218" s="70"/>
      <c r="J218" s="70"/>
      <c r="K218" s="70"/>
      <c r="L218" s="70"/>
      <c r="M218" s="70"/>
      <c r="N218" s="70"/>
      <c r="O218" s="70"/>
      <c r="P218" s="70"/>
      <c r="Q218" s="70"/>
      <c r="R218" s="70"/>
      <c r="S218" s="70"/>
      <c r="T218" s="70"/>
      <c r="U218" s="70"/>
      <c r="V218" s="70"/>
      <c r="W218" s="70"/>
      <c r="X218" s="70"/>
      <c r="Y218" s="70"/>
      <c r="Z218" s="70"/>
    </row>
    <row r="219" spans="1:26" ht="13">
      <c r="A219" s="70"/>
      <c r="B219" s="70"/>
      <c r="C219" s="70"/>
      <c r="D219" s="70"/>
      <c r="E219" s="70"/>
      <c r="F219" s="70"/>
      <c r="G219" s="70"/>
      <c r="H219" s="70"/>
      <c r="I219" s="70"/>
      <c r="J219" s="70"/>
      <c r="K219" s="70"/>
      <c r="L219" s="70"/>
      <c r="M219" s="70"/>
      <c r="N219" s="70"/>
      <c r="O219" s="70"/>
      <c r="P219" s="70"/>
      <c r="Q219" s="70"/>
      <c r="R219" s="70"/>
      <c r="S219" s="70"/>
      <c r="T219" s="70"/>
      <c r="U219" s="70"/>
      <c r="V219" s="70"/>
      <c r="W219" s="70"/>
      <c r="X219" s="70"/>
      <c r="Y219" s="70"/>
      <c r="Z219" s="70"/>
    </row>
    <row r="220" spans="1:26" ht="13">
      <c r="A220" s="70"/>
      <c r="B220" s="70"/>
      <c r="C220" s="70"/>
      <c r="D220" s="70"/>
      <c r="E220" s="70"/>
      <c r="F220" s="70"/>
      <c r="G220" s="70"/>
      <c r="H220" s="70"/>
      <c r="I220" s="70"/>
      <c r="J220" s="70"/>
      <c r="K220" s="70"/>
      <c r="L220" s="70"/>
      <c r="M220" s="70"/>
      <c r="N220" s="70"/>
      <c r="O220" s="70"/>
      <c r="P220" s="70"/>
      <c r="Q220" s="70"/>
      <c r="R220" s="70"/>
      <c r="S220" s="70"/>
      <c r="T220" s="70"/>
      <c r="U220" s="70"/>
      <c r="V220" s="70"/>
      <c r="W220" s="70"/>
      <c r="X220" s="70"/>
      <c r="Y220" s="70"/>
      <c r="Z220" s="70"/>
    </row>
    <row r="221" spans="1:26" ht="13">
      <c r="A221" s="70"/>
      <c r="B221" s="70"/>
      <c r="C221" s="70"/>
      <c r="D221" s="70"/>
      <c r="E221" s="70"/>
      <c r="F221" s="70"/>
      <c r="G221" s="70"/>
      <c r="H221" s="70"/>
      <c r="I221" s="70"/>
      <c r="J221" s="70"/>
      <c r="K221" s="70"/>
      <c r="L221" s="70"/>
      <c r="M221" s="70"/>
      <c r="N221" s="70"/>
      <c r="O221" s="70"/>
      <c r="P221" s="70"/>
      <c r="Q221" s="70"/>
      <c r="R221" s="70"/>
      <c r="S221" s="70"/>
      <c r="T221" s="70"/>
      <c r="U221" s="70"/>
      <c r="V221" s="70"/>
      <c r="W221" s="70"/>
      <c r="X221" s="70"/>
      <c r="Y221" s="70"/>
      <c r="Z221" s="70"/>
    </row>
    <row r="222" spans="1:26" ht="13">
      <c r="A222" s="70"/>
      <c r="B222" s="70"/>
      <c r="C222" s="70"/>
      <c r="D222" s="70"/>
      <c r="E222" s="70"/>
      <c r="F222" s="70"/>
      <c r="G222" s="70"/>
      <c r="H222" s="70"/>
      <c r="I222" s="70"/>
      <c r="J222" s="70"/>
      <c r="K222" s="70"/>
      <c r="L222" s="70"/>
      <c r="M222" s="70"/>
      <c r="N222" s="70"/>
      <c r="O222" s="70"/>
      <c r="P222" s="70"/>
      <c r="Q222" s="70"/>
      <c r="R222" s="70"/>
      <c r="S222" s="70"/>
      <c r="T222" s="70"/>
      <c r="U222" s="70"/>
      <c r="V222" s="70"/>
      <c r="W222" s="70"/>
      <c r="X222" s="70"/>
      <c r="Y222" s="70"/>
      <c r="Z222" s="70"/>
    </row>
    <row r="223" spans="1:26" ht="13">
      <c r="A223" s="70"/>
      <c r="B223" s="70"/>
      <c r="C223" s="70"/>
      <c r="D223" s="70"/>
      <c r="E223" s="70"/>
      <c r="F223" s="70"/>
      <c r="G223" s="70"/>
      <c r="H223" s="70"/>
      <c r="I223" s="70"/>
      <c r="J223" s="70"/>
      <c r="K223" s="70"/>
      <c r="L223" s="70"/>
      <c r="M223" s="70"/>
      <c r="N223" s="70"/>
      <c r="O223" s="70"/>
      <c r="P223" s="70"/>
      <c r="Q223" s="70"/>
      <c r="R223" s="70"/>
      <c r="S223" s="70"/>
      <c r="T223" s="70"/>
      <c r="U223" s="70"/>
      <c r="V223" s="70"/>
      <c r="W223" s="70"/>
      <c r="X223" s="70"/>
      <c r="Y223" s="70"/>
      <c r="Z223" s="70"/>
    </row>
    <row r="224" spans="1:26" ht="13">
      <c r="A224" s="70"/>
      <c r="B224" s="70"/>
      <c r="C224" s="70"/>
      <c r="D224" s="70"/>
      <c r="E224" s="70"/>
      <c r="F224" s="70"/>
      <c r="G224" s="70"/>
      <c r="H224" s="70"/>
      <c r="I224" s="70"/>
      <c r="J224" s="70"/>
      <c r="K224" s="70"/>
      <c r="L224" s="70"/>
      <c r="M224" s="70"/>
      <c r="N224" s="70"/>
      <c r="O224" s="70"/>
      <c r="P224" s="70"/>
      <c r="Q224" s="70"/>
      <c r="R224" s="70"/>
      <c r="S224" s="70"/>
      <c r="T224" s="70"/>
      <c r="U224" s="70"/>
      <c r="V224" s="70"/>
      <c r="W224" s="70"/>
      <c r="X224" s="70"/>
      <c r="Y224" s="70"/>
      <c r="Z224" s="70"/>
    </row>
    <row r="225" spans="1:26" ht="13">
      <c r="A225" s="70"/>
      <c r="B225" s="70"/>
      <c r="C225" s="70"/>
      <c r="D225" s="70"/>
      <c r="E225" s="70"/>
      <c r="F225" s="70"/>
      <c r="G225" s="70"/>
      <c r="H225" s="70"/>
      <c r="I225" s="70"/>
      <c r="J225" s="70"/>
      <c r="K225" s="70"/>
      <c r="L225" s="70"/>
      <c r="M225" s="70"/>
      <c r="N225" s="70"/>
      <c r="O225" s="70"/>
      <c r="P225" s="70"/>
      <c r="Q225" s="70"/>
      <c r="R225" s="70"/>
      <c r="S225" s="70"/>
      <c r="T225" s="70"/>
      <c r="U225" s="70"/>
      <c r="V225" s="70"/>
      <c r="W225" s="70"/>
      <c r="X225" s="70"/>
      <c r="Y225" s="70"/>
      <c r="Z225" s="70"/>
    </row>
    <row r="226" spans="1:26" ht="13">
      <c r="A226" s="70"/>
      <c r="B226" s="70"/>
      <c r="C226" s="70"/>
      <c r="D226" s="70"/>
      <c r="E226" s="70"/>
      <c r="F226" s="70"/>
      <c r="G226" s="70"/>
      <c r="H226" s="70"/>
      <c r="I226" s="70"/>
      <c r="J226" s="70"/>
      <c r="K226" s="70"/>
      <c r="L226" s="70"/>
      <c r="M226" s="70"/>
      <c r="N226" s="70"/>
      <c r="O226" s="70"/>
      <c r="P226" s="70"/>
      <c r="Q226" s="70"/>
      <c r="R226" s="70"/>
      <c r="S226" s="70"/>
      <c r="T226" s="70"/>
      <c r="U226" s="70"/>
      <c r="V226" s="70"/>
      <c r="W226" s="70"/>
      <c r="X226" s="70"/>
      <c r="Y226" s="70"/>
      <c r="Z226" s="70"/>
    </row>
    <row r="227" spans="1:26" ht="13">
      <c r="A227" s="70"/>
      <c r="B227" s="70"/>
      <c r="C227" s="70"/>
      <c r="D227" s="70"/>
      <c r="E227" s="70"/>
      <c r="F227" s="70"/>
      <c r="G227" s="70"/>
      <c r="H227" s="70"/>
      <c r="I227" s="70"/>
      <c r="J227" s="70"/>
      <c r="K227" s="70"/>
      <c r="L227" s="70"/>
      <c r="M227" s="70"/>
      <c r="N227" s="70"/>
      <c r="O227" s="70"/>
      <c r="P227" s="70"/>
      <c r="Q227" s="70"/>
      <c r="R227" s="70"/>
      <c r="S227" s="70"/>
      <c r="T227" s="70"/>
      <c r="U227" s="70"/>
      <c r="V227" s="70"/>
      <c r="W227" s="70"/>
      <c r="X227" s="70"/>
      <c r="Y227" s="70"/>
      <c r="Z227" s="70"/>
    </row>
    <row r="228" spans="1:26" ht="13">
      <c r="A228" s="70"/>
      <c r="B228" s="70"/>
      <c r="C228" s="70"/>
      <c r="D228" s="70"/>
      <c r="E228" s="70"/>
      <c r="F228" s="70"/>
      <c r="G228" s="70"/>
      <c r="H228" s="70"/>
      <c r="I228" s="70"/>
      <c r="J228" s="70"/>
      <c r="K228" s="70"/>
      <c r="L228" s="70"/>
      <c r="M228" s="70"/>
      <c r="N228" s="70"/>
      <c r="O228" s="70"/>
      <c r="P228" s="70"/>
      <c r="Q228" s="70"/>
      <c r="R228" s="70"/>
      <c r="S228" s="70"/>
      <c r="T228" s="70"/>
      <c r="U228" s="70"/>
      <c r="V228" s="70"/>
      <c r="W228" s="70"/>
      <c r="X228" s="70"/>
      <c r="Y228" s="70"/>
      <c r="Z228" s="70"/>
    </row>
    <row r="229" spans="1:26" ht="13">
      <c r="A229" s="70"/>
      <c r="B229" s="70"/>
      <c r="C229" s="70"/>
      <c r="D229" s="70"/>
      <c r="E229" s="70"/>
      <c r="F229" s="70"/>
      <c r="G229" s="70"/>
      <c r="H229" s="70"/>
      <c r="I229" s="70"/>
      <c r="J229" s="70"/>
      <c r="K229" s="70"/>
      <c r="L229" s="70"/>
      <c r="M229" s="70"/>
      <c r="N229" s="70"/>
      <c r="O229" s="70"/>
      <c r="P229" s="70"/>
      <c r="Q229" s="70"/>
      <c r="R229" s="70"/>
      <c r="S229" s="70"/>
      <c r="T229" s="70"/>
      <c r="U229" s="70"/>
      <c r="V229" s="70"/>
      <c r="W229" s="70"/>
      <c r="X229" s="70"/>
      <c r="Y229" s="70"/>
      <c r="Z229" s="70"/>
    </row>
    <row r="230" spans="1:26" ht="13">
      <c r="A230" s="70"/>
      <c r="B230" s="70"/>
      <c r="C230" s="70"/>
      <c r="D230" s="70"/>
      <c r="E230" s="70"/>
      <c r="F230" s="70"/>
      <c r="G230" s="70"/>
      <c r="H230" s="70"/>
      <c r="I230" s="70"/>
      <c r="J230" s="70"/>
      <c r="K230" s="70"/>
      <c r="L230" s="70"/>
      <c r="M230" s="70"/>
      <c r="N230" s="70"/>
      <c r="O230" s="70"/>
      <c r="P230" s="70"/>
      <c r="Q230" s="70"/>
      <c r="R230" s="70"/>
      <c r="S230" s="70"/>
      <c r="T230" s="70"/>
      <c r="U230" s="70"/>
      <c r="V230" s="70"/>
      <c r="W230" s="70"/>
      <c r="X230" s="70"/>
      <c r="Y230" s="70"/>
      <c r="Z230" s="70"/>
    </row>
    <row r="231" spans="1:26" ht="13">
      <c r="A231" s="70"/>
      <c r="B231" s="70"/>
      <c r="C231" s="70"/>
      <c r="D231" s="70"/>
      <c r="E231" s="70"/>
      <c r="F231" s="70"/>
      <c r="G231" s="70"/>
      <c r="H231" s="70"/>
      <c r="I231" s="70"/>
      <c r="J231" s="70"/>
      <c r="K231" s="70"/>
      <c r="L231" s="70"/>
      <c r="M231" s="70"/>
      <c r="N231" s="70"/>
      <c r="O231" s="70"/>
      <c r="P231" s="70"/>
      <c r="Q231" s="70"/>
      <c r="R231" s="70"/>
      <c r="S231" s="70"/>
      <c r="T231" s="70"/>
      <c r="U231" s="70"/>
      <c r="V231" s="70"/>
      <c r="W231" s="70"/>
      <c r="X231" s="70"/>
      <c r="Y231" s="70"/>
      <c r="Z231" s="70"/>
    </row>
    <row r="232" spans="1:26" ht="13">
      <c r="A232" s="70"/>
      <c r="B232" s="70"/>
      <c r="C232" s="70"/>
      <c r="D232" s="70"/>
      <c r="E232" s="70"/>
      <c r="F232" s="70"/>
      <c r="G232" s="70"/>
      <c r="H232" s="70"/>
      <c r="I232" s="70"/>
      <c r="J232" s="70"/>
      <c r="K232" s="70"/>
      <c r="L232" s="70"/>
      <c r="M232" s="70"/>
      <c r="N232" s="70"/>
      <c r="O232" s="70"/>
      <c r="P232" s="70"/>
      <c r="Q232" s="70"/>
      <c r="R232" s="70"/>
      <c r="S232" s="70"/>
      <c r="T232" s="70"/>
      <c r="U232" s="70"/>
      <c r="V232" s="70"/>
      <c r="W232" s="70"/>
      <c r="X232" s="70"/>
      <c r="Y232" s="70"/>
      <c r="Z232" s="70"/>
    </row>
    <row r="233" spans="1:26" ht="13">
      <c r="A233" s="70"/>
      <c r="B233" s="70"/>
      <c r="C233" s="70"/>
      <c r="D233" s="70"/>
      <c r="E233" s="70"/>
      <c r="F233" s="70"/>
      <c r="G233" s="70"/>
      <c r="H233" s="70"/>
      <c r="I233" s="70"/>
      <c r="J233" s="70"/>
      <c r="K233" s="70"/>
      <c r="L233" s="70"/>
      <c r="M233" s="70"/>
      <c r="N233" s="70"/>
      <c r="O233" s="70"/>
      <c r="P233" s="70"/>
      <c r="Q233" s="70"/>
      <c r="R233" s="70"/>
      <c r="S233" s="70"/>
      <c r="T233" s="70"/>
      <c r="U233" s="70"/>
      <c r="V233" s="70"/>
      <c r="W233" s="70"/>
      <c r="X233" s="70"/>
      <c r="Y233" s="70"/>
      <c r="Z233" s="70"/>
    </row>
    <row r="234" spans="1:26" ht="13">
      <c r="A234" s="70"/>
      <c r="B234" s="70"/>
      <c r="C234" s="70"/>
      <c r="D234" s="70"/>
      <c r="E234" s="70"/>
      <c r="F234" s="70"/>
      <c r="G234" s="70"/>
      <c r="H234" s="70"/>
      <c r="I234" s="70"/>
      <c r="J234" s="70"/>
      <c r="K234" s="70"/>
      <c r="L234" s="70"/>
      <c r="M234" s="70"/>
      <c r="N234" s="70"/>
      <c r="O234" s="70"/>
      <c r="P234" s="70"/>
      <c r="Q234" s="70"/>
      <c r="R234" s="70"/>
      <c r="S234" s="70"/>
      <c r="T234" s="70"/>
      <c r="U234" s="70"/>
      <c r="V234" s="70"/>
      <c r="W234" s="70"/>
      <c r="X234" s="70"/>
      <c r="Y234" s="70"/>
      <c r="Z234" s="70"/>
    </row>
    <row r="235" spans="1:26" ht="13">
      <c r="A235" s="70"/>
      <c r="B235" s="70"/>
      <c r="C235" s="70"/>
      <c r="D235" s="70"/>
      <c r="E235" s="70"/>
      <c r="F235" s="70"/>
      <c r="G235" s="70"/>
      <c r="H235" s="70"/>
      <c r="I235" s="70"/>
      <c r="J235" s="70"/>
      <c r="K235" s="70"/>
      <c r="L235" s="70"/>
      <c r="M235" s="70"/>
      <c r="N235" s="70"/>
      <c r="O235" s="70"/>
      <c r="P235" s="70"/>
      <c r="Q235" s="70"/>
      <c r="R235" s="70"/>
      <c r="S235" s="70"/>
      <c r="T235" s="70"/>
      <c r="U235" s="70"/>
      <c r="V235" s="70"/>
      <c r="W235" s="70"/>
      <c r="X235" s="70"/>
      <c r="Y235" s="70"/>
      <c r="Z235" s="70"/>
    </row>
    <row r="236" spans="1:26" ht="13">
      <c r="A236" s="70"/>
      <c r="B236" s="70"/>
      <c r="C236" s="70"/>
      <c r="D236" s="70"/>
      <c r="E236" s="70"/>
      <c r="F236" s="70"/>
      <c r="G236" s="70"/>
      <c r="H236" s="70"/>
      <c r="I236" s="70"/>
      <c r="J236" s="70"/>
      <c r="K236" s="70"/>
      <c r="L236" s="70"/>
      <c r="M236" s="70"/>
      <c r="N236" s="70"/>
      <c r="O236" s="70"/>
      <c r="P236" s="70"/>
      <c r="Q236" s="70"/>
      <c r="R236" s="70"/>
      <c r="S236" s="70"/>
      <c r="T236" s="70"/>
      <c r="U236" s="70"/>
      <c r="V236" s="70"/>
      <c r="W236" s="70"/>
      <c r="X236" s="70"/>
      <c r="Y236" s="70"/>
      <c r="Z236" s="70"/>
    </row>
    <row r="237" spans="1:26" ht="13">
      <c r="A237" s="70"/>
      <c r="B237" s="70"/>
      <c r="C237" s="70"/>
      <c r="D237" s="70"/>
      <c r="E237" s="70"/>
      <c r="F237" s="70"/>
      <c r="G237" s="70"/>
      <c r="H237" s="70"/>
      <c r="I237" s="70"/>
      <c r="J237" s="70"/>
      <c r="K237" s="70"/>
      <c r="L237" s="70"/>
      <c r="M237" s="70"/>
      <c r="N237" s="70"/>
      <c r="O237" s="70"/>
      <c r="P237" s="70"/>
      <c r="Q237" s="70"/>
      <c r="R237" s="70"/>
      <c r="S237" s="70"/>
      <c r="T237" s="70"/>
      <c r="U237" s="70"/>
      <c r="V237" s="70"/>
      <c r="W237" s="70"/>
      <c r="X237" s="70"/>
      <c r="Y237" s="70"/>
      <c r="Z237" s="70"/>
    </row>
    <row r="238" spans="1:26" ht="13">
      <c r="A238" s="70"/>
      <c r="B238" s="70"/>
      <c r="C238" s="70"/>
      <c r="D238" s="70"/>
      <c r="E238" s="70"/>
      <c r="F238" s="70"/>
      <c r="G238" s="70"/>
      <c r="H238" s="70"/>
      <c r="I238" s="70"/>
      <c r="J238" s="70"/>
      <c r="K238" s="70"/>
      <c r="L238" s="70"/>
      <c r="M238" s="70"/>
      <c r="N238" s="70"/>
      <c r="O238" s="70"/>
      <c r="P238" s="70"/>
      <c r="Q238" s="70"/>
      <c r="R238" s="70"/>
      <c r="S238" s="70"/>
      <c r="T238" s="70"/>
      <c r="U238" s="70"/>
      <c r="V238" s="70"/>
      <c r="W238" s="70"/>
      <c r="X238" s="70"/>
      <c r="Y238" s="70"/>
      <c r="Z238" s="70"/>
    </row>
    <row r="239" spans="1:26" ht="13">
      <c r="A239" s="70"/>
      <c r="B239" s="70"/>
      <c r="C239" s="70"/>
      <c r="D239" s="70"/>
      <c r="E239" s="70"/>
      <c r="F239" s="70"/>
      <c r="G239" s="70"/>
      <c r="H239" s="70"/>
      <c r="I239" s="70"/>
      <c r="J239" s="70"/>
      <c r="K239" s="70"/>
      <c r="L239" s="70"/>
      <c r="M239" s="70"/>
      <c r="N239" s="70"/>
      <c r="O239" s="70"/>
      <c r="P239" s="70"/>
      <c r="Q239" s="70"/>
      <c r="R239" s="70"/>
      <c r="S239" s="70"/>
      <c r="T239" s="70"/>
      <c r="U239" s="70"/>
      <c r="V239" s="70"/>
      <c r="W239" s="70"/>
      <c r="X239" s="70"/>
      <c r="Y239" s="70"/>
      <c r="Z239" s="70"/>
    </row>
    <row r="240" spans="1:26" ht="13">
      <c r="A240" s="70"/>
      <c r="B240" s="70"/>
      <c r="C240" s="70"/>
      <c r="D240" s="70"/>
      <c r="E240" s="70"/>
      <c r="F240" s="70"/>
      <c r="G240" s="70"/>
      <c r="H240" s="70"/>
      <c r="I240" s="70"/>
      <c r="J240" s="70"/>
      <c r="K240" s="70"/>
      <c r="L240" s="70"/>
      <c r="M240" s="70"/>
      <c r="N240" s="70"/>
      <c r="O240" s="70"/>
      <c r="P240" s="70"/>
      <c r="Q240" s="70"/>
      <c r="R240" s="70"/>
      <c r="S240" s="70"/>
      <c r="T240" s="70"/>
      <c r="U240" s="70"/>
      <c r="V240" s="70"/>
      <c r="W240" s="70"/>
      <c r="X240" s="70"/>
      <c r="Y240" s="70"/>
      <c r="Z240" s="70"/>
    </row>
    <row r="241" spans="1:26" ht="13">
      <c r="A241" s="70"/>
      <c r="B241" s="70"/>
      <c r="C241" s="70"/>
      <c r="D241" s="70"/>
      <c r="E241" s="70"/>
      <c r="F241" s="70"/>
      <c r="G241" s="70"/>
      <c r="H241" s="70"/>
      <c r="I241" s="70"/>
      <c r="J241" s="70"/>
      <c r="K241" s="70"/>
      <c r="L241" s="70"/>
      <c r="M241" s="70"/>
      <c r="N241" s="70"/>
      <c r="O241" s="70"/>
      <c r="P241" s="70"/>
      <c r="Q241" s="70"/>
      <c r="R241" s="70"/>
      <c r="S241" s="70"/>
      <c r="T241" s="70"/>
      <c r="U241" s="70"/>
      <c r="V241" s="70"/>
      <c r="W241" s="70"/>
      <c r="X241" s="70"/>
      <c r="Y241" s="70"/>
      <c r="Z241" s="70"/>
    </row>
    <row r="242" spans="1:26" ht="13">
      <c r="A242" s="70"/>
      <c r="B242" s="70"/>
      <c r="C242" s="70"/>
      <c r="D242" s="70"/>
      <c r="E242" s="70"/>
      <c r="F242" s="70"/>
      <c r="G242" s="70"/>
      <c r="H242" s="70"/>
      <c r="I242" s="70"/>
      <c r="J242" s="70"/>
      <c r="K242" s="70"/>
      <c r="L242" s="70"/>
      <c r="M242" s="70"/>
      <c r="N242" s="70"/>
      <c r="O242" s="70"/>
      <c r="P242" s="70"/>
      <c r="Q242" s="70"/>
      <c r="R242" s="70"/>
      <c r="S242" s="70"/>
      <c r="T242" s="70"/>
      <c r="U242" s="70"/>
      <c r="V242" s="70"/>
      <c r="W242" s="70"/>
      <c r="X242" s="70"/>
      <c r="Y242" s="70"/>
      <c r="Z242" s="70"/>
    </row>
    <row r="243" spans="1:26" ht="13">
      <c r="A243" s="70"/>
      <c r="B243" s="70"/>
      <c r="C243" s="70"/>
      <c r="D243" s="70"/>
      <c r="E243" s="70"/>
      <c r="F243" s="70"/>
      <c r="G243" s="70"/>
      <c r="H243" s="70"/>
      <c r="I243" s="70"/>
      <c r="J243" s="70"/>
      <c r="K243" s="70"/>
      <c r="L243" s="70"/>
      <c r="M243" s="70"/>
      <c r="N243" s="70"/>
      <c r="O243" s="70"/>
      <c r="P243" s="70"/>
      <c r="Q243" s="70"/>
      <c r="R243" s="70"/>
      <c r="S243" s="70"/>
      <c r="T243" s="70"/>
      <c r="U243" s="70"/>
      <c r="V243" s="70"/>
      <c r="W243" s="70"/>
      <c r="X243" s="70"/>
      <c r="Y243" s="70"/>
      <c r="Z243" s="70"/>
    </row>
    <row r="244" spans="1:26" ht="13">
      <c r="A244" s="70"/>
      <c r="B244" s="70"/>
      <c r="C244" s="70"/>
      <c r="D244" s="70"/>
      <c r="E244" s="70"/>
      <c r="F244" s="70"/>
      <c r="G244" s="70"/>
      <c r="H244" s="70"/>
      <c r="I244" s="70"/>
      <c r="J244" s="70"/>
      <c r="K244" s="70"/>
      <c r="L244" s="70"/>
      <c r="M244" s="70"/>
      <c r="N244" s="70"/>
      <c r="O244" s="70"/>
      <c r="P244" s="70"/>
      <c r="Q244" s="70"/>
      <c r="R244" s="70"/>
      <c r="S244" s="70"/>
      <c r="T244" s="70"/>
      <c r="U244" s="70"/>
      <c r="V244" s="70"/>
      <c r="W244" s="70"/>
      <c r="X244" s="70"/>
      <c r="Y244" s="70"/>
      <c r="Z244" s="70"/>
    </row>
    <row r="245" spans="1:26" ht="13">
      <c r="A245" s="70"/>
      <c r="B245" s="70"/>
      <c r="C245" s="70"/>
      <c r="D245" s="70"/>
      <c r="E245" s="70"/>
      <c r="F245" s="70"/>
      <c r="G245" s="70"/>
      <c r="H245" s="70"/>
      <c r="I245" s="70"/>
      <c r="J245" s="70"/>
      <c r="K245" s="70"/>
      <c r="L245" s="70"/>
      <c r="M245" s="70"/>
      <c r="N245" s="70"/>
      <c r="O245" s="70"/>
      <c r="P245" s="70"/>
      <c r="Q245" s="70"/>
      <c r="R245" s="70"/>
      <c r="S245" s="70"/>
      <c r="T245" s="70"/>
      <c r="U245" s="70"/>
      <c r="V245" s="70"/>
      <c r="W245" s="70"/>
      <c r="X245" s="70"/>
      <c r="Y245" s="70"/>
      <c r="Z245" s="70"/>
    </row>
    <row r="246" spans="1:26" ht="13">
      <c r="A246" s="70"/>
      <c r="B246" s="70"/>
      <c r="C246" s="70"/>
      <c r="D246" s="70"/>
      <c r="E246" s="70"/>
      <c r="F246" s="70"/>
      <c r="G246" s="70"/>
      <c r="H246" s="70"/>
      <c r="I246" s="70"/>
      <c r="J246" s="70"/>
      <c r="K246" s="70"/>
      <c r="L246" s="70"/>
      <c r="M246" s="70"/>
      <c r="N246" s="70"/>
      <c r="O246" s="70"/>
      <c r="P246" s="70"/>
      <c r="Q246" s="70"/>
      <c r="R246" s="70"/>
      <c r="S246" s="70"/>
      <c r="T246" s="70"/>
      <c r="U246" s="70"/>
      <c r="V246" s="70"/>
      <c r="W246" s="70"/>
      <c r="X246" s="70"/>
      <c r="Y246" s="70"/>
      <c r="Z246" s="70"/>
    </row>
    <row r="247" spans="1:26" ht="13">
      <c r="A247" s="70"/>
      <c r="B247" s="70"/>
      <c r="C247" s="70"/>
      <c r="D247" s="70"/>
      <c r="E247" s="70"/>
      <c r="F247" s="70"/>
      <c r="G247" s="70"/>
      <c r="H247" s="70"/>
      <c r="I247" s="70"/>
      <c r="J247" s="70"/>
      <c r="K247" s="70"/>
      <c r="L247" s="70"/>
      <c r="M247" s="70"/>
      <c r="N247" s="70"/>
      <c r="O247" s="70"/>
      <c r="P247" s="70"/>
      <c r="Q247" s="70"/>
      <c r="R247" s="70"/>
      <c r="S247" s="70"/>
      <c r="T247" s="70"/>
      <c r="U247" s="70"/>
      <c r="V247" s="70"/>
      <c r="W247" s="70"/>
      <c r="X247" s="70"/>
      <c r="Y247" s="70"/>
      <c r="Z247" s="70"/>
    </row>
    <row r="248" spans="1:26" ht="13">
      <c r="A248" s="70"/>
      <c r="B248" s="70"/>
      <c r="C248" s="70"/>
      <c r="D248" s="70"/>
      <c r="E248" s="70"/>
      <c r="F248" s="70"/>
      <c r="G248" s="70"/>
      <c r="H248" s="70"/>
      <c r="I248" s="70"/>
      <c r="J248" s="70"/>
      <c r="K248" s="70"/>
      <c r="L248" s="70"/>
      <c r="M248" s="70"/>
      <c r="N248" s="70"/>
      <c r="O248" s="70"/>
      <c r="P248" s="70"/>
      <c r="Q248" s="70"/>
      <c r="R248" s="70"/>
      <c r="S248" s="70"/>
      <c r="T248" s="70"/>
      <c r="U248" s="70"/>
      <c r="V248" s="70"/>
      <c r="W248" s="70"/>
      <c r="X248" s="70"/>
      <c r="Y248" s="70"/>
      <c r="Z248" s="70"/>
    </row>
    <row r="249" spans="1:26" ht="13">
      <c r="A249" s="70"/>
      <c r="B249" s="70"/>
      <c r="C249" s="70"/>
      <c r="D249" s="70"/>
      <c r="E249" s="70"/>
      <c r="F249" s="70"/>
      <c r="G249" s="70"/>
      <c r="H249" s="70"/>
      <c r="I249" s="70"/>
      <c r="J249" s="70"/>
      <c r="K249" s="70"/>
      <c r="L249" s="70"/>
      <c r="M249" s="70"/>
      <c r="N249" s="70"/>
      <c r="O249" s="70"/>
      <c r="P249" s="70"/>
      <c r="Q249" s="70"/>
      <c r="R249" s="70"/>
      <c r="S249" s="70"/>
      <c r="T249" s="70"/>
      <c r="U249" s="70"/>
      <c r="V249" s="70"/>
      <c r="W249" s="70"/>
      <c r="X249" s="70"/>
      <c r="Y249" s="70"/>
      <c r="Z249" s="70"/>
    </row>
    <row r="250" spans="1:26" ht="13">
      <c r="A250" s="70"/>
      <c r="B250" s="70"/>
      <c r="C250" s="70"/>
      <c r="D250" s="70"/>
      <c r="E250" s="70"/>
      <c r="F250" s="70"/>
      <c r="G250" s="70"/>
      <c r="H250" s="70"/>
      <c r="I250" s="70"/>
      <c r="J250" s="70"/>
      <c r="K250" s="70"/>
      <c r="L250" s="70"/>
      <c r="M250" s="70"/>
      <c r="N250" s="70"/>
      <c r="O250" s="70"/>
      <c r="P250" s="70"/>
      <c r="Q250" s="70"/>
      <c r="R250" s="70"/>
      <c r="S250" s="70"/>
      <c r="T250" s="70"/>
      <c r="U250" s="70"/>
      <c r="V250" s="70"/>
      <c r="W250" s="70"/>
      <c r="X250" s="70"/>
      <c r="Y250" s="70"/>
      <c r="Z250" s="70"/>
    </row>
    <row r="251" spans="1:26" ht="13">
      <c r="A251" s="70"/>
      <c r="B251" s="70"/>
      <c r="C251" s="70"/>
      <c r="D251" s="70"/>
      <c r="E251" s="70"/>
      <c r="F251" s="70"/>
      <c r="G251" s="70"/>
      <c r="H251" s="70"/>
      <c r="I251" s="70"/>
      <c r="J251" s="70"/>
      <c r="K251" s="70"/>
      <c r="L251" s="70"/>
      <c r="M251" s="70"/>
      <c r="N251" s="70"/>
      <c r="O251" s="70"/>
      <c r="P251" s="70"/>
      <c r="Q251" s="70"/>
      <c r="R251" s="70"/>
      <c r="S251" s="70"/>
      <c r="T251" s="70"/>
      <c r="U251" s="70"/>
      <c r="V251" s="70"/>
      <c r="W251" s="70"/>
      <c r="X251" s="70"/>
      <c r="Y251" s="70"/>
      <c r="Z251" s="70"/>
    </row>
    <row r="252" spans="1:26" ht="13">
      <c r="A252" s="70"/>
      <c r="B252" s="70"/>
      <c r="C252" s="70"/>
      <c r="D252" s="70"/>
      <c r="E252" s="70"/>
      <c r="F252" s="70"/>
      <c r="G252" s="70"/>
      <c r="H252" s="70"/>
      <c r="I252" s="70"/>
      <c r="J252" s="70"/>
      <c r="K252" s="70"/>
      <c r="L252" s="70"/>
      <c r="M252" s="70"/>
      <c r="N252" s="70"/>
      <c r="O252" s="70"/>
      <c r="P252" s="70"/>
      <c r="Q252" s="70"/>
      <c r="R252" s="70"/>
      <c r="S252" s="70"/>
      <c r="T252" s="70"/>
      <c r="U252" s="70"/>
      <c r="V252" s="70"/>
      <c r="W252" s="70"/>
      <c r="X252" s="70"/>
      <c r="Y252" s="70"/>
      <c r="Z252" s="70"/>
    </row>
    <row r="253" spans="1:26" ht="13">
      <c r="A253" s="70"/>
      <c r="B253" s="70"/>
      <c r="C253" s="70"/>
      <c r="D253" s="70"/>
      <c r="E253" s="70"/>
      <c r="F253" s="70"/>
      <c r="G253" s="70"/>
      <c r="H253" s="70"/>
      <c r="I253" s="70"/>
      <c r="J253" s="70"/>
      <c r="K253" s="70"/>
      <c r="L253" s="70"/>
      <c r="M253" s="70"/>
      <c r="N253" s="70"/>
      <c r="O253" s="70"/>
      <c r="P253" s="70"/>
      <c r="Q253" s="70"/>
      <c r="R253" s="70"/>
      <c r="S253" s="70"/>
      <c r="T253" s="70"/>
      <c r="U253" s="70"/>
      <c r="V253" s="70"/>
      <c r="W253" s="70"/>
      <c r="X253" s="70"/>
      <c r="Y253" s="70"/>
      <c r="Z253" s="70"/>
    </row>
    <row r="254" spans="1:26" ht="13">
      <c r="A254" s="70"/>
      <c r="B254" s="70"/>
      <c r="C254" s="70"/>
      <c r="D254" s="70"/>
      <c r="E254" s="70"/>
      <c r="F254" s="70"/>
      <c r="G254" s="70"/>
      <c r="H254" s="70"/>
      <c r="I254" s="70"/>
      <c r="J254" s="70"/>
      <c r="K254" s="70"/>
      <c r="L254" s="70"/>
      <c r="M254" s="70"/>
      <c r="N254" s="70"/>
      <c r="O254" s="70"/>
      <c r="P254" s="70"/>
      <c r="Q254" s="70"/>
      <c r="R254" s="70"/>
      <c r="S254" s="70"/>
      <c r="T254" s="70"/>
      <c r="U254" s="70"/>
      <c r="V254" s="70"/>
      <c r="W254" s="70"/>
      <c r="X254" s="70"/>
      <c r="Y254" s="70"/>
      <c r="Z254" s="70"/>
    </row>
    <row r="255" spans="1:26" ht="13">
      <c r="A255" s="70"/>
      <c r="B255" s="70"/>
      <c r="C255" s="70"/>
      <c r="D255" s="70"/>
      <c r="E255" s="70"/>
      <c r="F255" s="70"/>
      <c r="G255" s="70"/>
      <c r="H255" s="70"/>
      <c r="I255" s="70"/>
      <c r="J255" s="70"/>
      <c r="K255" s="70"/>
      <c r="L255" s="70"/>
      <c r="M255" s="70"/>
      <c r="N255" s="70"/>
      <c r="O255" s="70"/>
      <c r="P255" s="70"/>
      <c r="Q255" s="70"/>
      <c r="R255" s="70"/>
      <c r="S255" s="70"/>
      <c r="T255" s="70"/>
      <c r="U255" s="70"/>
      <c r="V255" s="70"/>
      <c r="W255" s="70"/>
      <c r="X255" s="70"/>
      <c r="Y255" s="70"/>
      <c r="Z255" s="70"/>
    </row>
    <row r="256" spans="1:26" ht="13">
      <c r="A256" s="70"/>
      <c r="B256" s="70"/>
      <c r="C256" s="70"/>
      <c r="D256" s="70"/>
      <c r="E256" s="70"/>
      <c r="F256" s="70"/>
      <c r="G256" s="70"/>
      <c r="H256" s="70"/>
      <c r="I256" s="70"/>
      <c r="J256" s="70"/>
      <c r="K256" s="70"/>
      <c r="L256" s="70"/>
      <c r="M256" s="70"/>
      <c r="N256" s="70"/>
      <c r="O256" s="70"/>
      <c r="P256" s="70"/>
      <c r="Q256" s="70"/>
      <c r="R256" s="70"/>
      <c r="S256" s="70"/>
      <c r="T256" s="70"/>
      <c r="U256" s="70"/>
      <c r="V256" s="70"/>
      <c r="W256" s="70"/>
      <c r="X256" s="70"/>
      <c r="Y256" s="70"/>
      <c r="Z256" s="70"/>
    </row>
    <row r="257" spans="1:26" ht="13">
      <c r="A257" s="70"/>
      <c r="B257" s="70"/>
      <c r="C257" s="70"/>
      <c r="D257" s="70"/>
      <c r="E257" s="70"/>
      <c r="F257" s="70"/>
      <c r="G257" s="70"/>
      <c r="H257" s="70"/>
      <c r="I257" s="70"/>
      <c r="J257" s="70"/>
      <c r="K257" s="70"/>
      <c r="L257" s="70"/>
      <c r="M257" s="70"/>
      <c r="N257" s="70"/>
      <c r="O257" s="70"/>
      <c r="P257" s="70"/>
      <c r="Q257" s="70"/>
      <c r="R257" s="70"/>
      <c r="S257" s="70"/>
      <c r="T257" s="70"/>
      <c r="U257" s="70"/>
      <c r="V257" s="70"/>
      <c r="W257" s="70"/>
      <c r="X257" s="70"/>
      <c r="Y257" s="70"/>
      <c r="Z257" s="70"/>
    </row>
    <row r="258" spans="1:26" ht="13">
      <c r="A258" s="70"/>
      <c r="B258" s="70"/>
      <c r="C258" s="70"/>
      <c r="D258" s="70"/>
      <c r="E258" s="70"/>
      <c r="F258" s="70"/>
      <c r="G258" s="70"/>
      <c r="H258" s="70"/>
      <c r="I258" s="70"/>
      <c r="J258" s="70"/>
      <c r="K258" s="70"/>
      <c r="L258" s="70"/>
      <c r="M258" s="70"/>
      <c r="N258" s="70"/>
      <c r="O258" s="70"/>
      <c r="P258" s="70"/>
      <c r="Q258" s="70"/>
      <c r="R258" s="70"/>
      <c r="S258" s="70"/>
      <c r="T258" s="70"/>
      <c r="U258" s="70"/>
      <c r="V258" s="70"/>
      <c r="W258" s="70"/>
      <c r="X258" s="70"/>
      <c r="Y258" s="70"/>
      <c r="Z258" s="70"/>
    </row>
    <row r="259" spans="1:26" ht="13">
      <c r="A259" s="70"/>
      <c r="B259" s="70"/>
      <c r="C259" s="70"/>
      <c r="D259" s="70"/>
      <c r="E259" s="70"/>
      <c r="F259" s="70"/>
      <c r="G259" s="70"/>
      <c r="H259" s="70"/>
      <c r="I259" s="70"/>
      <c r="J259" s="70"/>
      <c r="K259" s="70"/>
      <c r="L259" s="70"/>
      <c r="M259" s="70"/>
      <c r="N259" s="70"/>
      <c r="O259" s="70"/>
      <c r="P259" s="70"/>
      <c r="Q259" s="70"/>
      <c r="R259" s="70"/>
      <c r="S259" s="70"/>
      <c r="T259" s="70"/>
      <c r="U259" s="70"/>
      <c r="V259" s="70"/>
      <c r="W259" s="70"/>
      <c r="X259" s="70"/>
      <c r="Y259" s="70"/>
      <c r="Z259" s="70"/>
    </row>
    <row r="260" spans="1:26" ht="13">
      <c r="A260" s="70"/>
      <c r="B260" s="70"/>
      <c r="C260" s="70"/>
      <c r="D260" s="70"/>
      <c r="E260" s="70"/>
      <c r="F260" s="70"/>
      <c r="G260" s="70"/>
      <c r="H260" s="70"/>
      <c r="I260" s="70"/>
      <c r="J260" s="70"/>
      <c r="K260" s="70"/>
      <c r="L260" s="70"/>
      <c r="M260" s="70"/>
      <c r="N260" s="70"/>
      <c r="O260" s="70"/>
      <c r="P260" s="70"/>
      <c r="Q260" s="70"/>
      <c r="R260" s="70"/>
      <c r="S260" s="70"/>
      <c r="T260" s="70"/>
      <c r="U260" s="70"/>
      <c r="V260" s="70"/>
      <c r="W260" s="70"/>
      <c r="X260" s="70"/>
      <c r="Y260" s="70"/>
      <c r="Z260" s="70"/>
    </row>
    <row r="261" spans="1:26" ht="13">
      <c r="A261" s="70"/>
      <c r="B261" s="70"/>
      <c r="C261" s="70"/>
      <c r="D261" s="70"/>
      <c r="E261" s="70"/>
      <c r="F261" s="70"/>
      <c r="G261" s="70"/>
      <c r="H261" s="70"/>
      <c r="I261" s="70"/>
      <c r="J261" s="70"/>
      <c r="K261" s="70"/>
      <c r="L261" s="70"/>
      <c r="M261" s="70"/>
      <c r="N261" s="70"/>
      <c r="O261" s="70"/>
      <c r="P261" s="70"/>
      <c r="Q261" s="70"/>
      <c r="R261" s="70"/>
      <c r="S261" s="70"/>
      <c r="T261" s="70"/>
      <c r="U261" s="70"/>
      <c r="V261" s="70"/>
      <c r="W261" s="70"/>
      <c r="X261" s="70"/>
      <c r="Y261" s="70"/>
      <c r="Z261" s="70"/>
    </row>
    <row r="262" spans="1:26" ht="13">
      <c r="A262" s="70"/>
      <c r="B262" s="70"/>
      <c r="C262" s="70"/>
      <c r="D262" s="70"/>
      <c r="E262" s="70"/>
      <c r="F262" s="70"/>
      <c r="G262" s="70"/>
      <c r="H262" s="70"/>
      <c r="I262" s="70"/>
      <c r="J262" s="70"/>
      <c r="K262" s="70"/>
      <c r="L262" s="70"/>
      <c r="M262" s="70"/>
      <c r="N262" s="70"/>
      <c r="O262" s="70"/>
      <c r="P262" s="70"/>
      <c r="Q262" s="70"/>
      <c r="R262" s="70"/>
      <c r="S262" s="70"/>
      <c r="T262" s="70"/>
      <c r="U262" s="70"/>
      <c r="V262" s="70"/>
      <c r="W262" s="70"/>
      <c r="X262" s="70"/>
      <c r="Y262" s="70"/>
      <c r="Z262" s="70"/>
    </row>
    <row r="263" spans="1:26" ht="13">
      <c r="A263" s="70"/>
      <c r="B263" s="70"/>
      <c r="C263" s="70"/>
      <c r="D263" s="70"/>
      <c r="E263" s="70"/>
      <c r="F263" s="70"/>
      <c r="G263" s="70"/>
      <c r="H263" s="70"/>
      <c r="I263" s="70"/>
      <c r="J263" s="70"/>
      <c r="K263" s="70"/>
      <c r="L263" s="70"/>
      <c r="M263" s="70"/>
      <c r="N263" s="70"/>
      <c r="O263" s="70"/>
      <c r="P263" s="70"/>
      <c r="Q263" s="70"/>
      <c r="R263" s="70"/>
      <c r="S263" s="70"/>
      <c r="T263" s="70"/>
      <c r="U263" s="70"/>
      <c r="V263" s="70"/>
      <c r="W263" s="70"/>
      <c r="X263" s="70"/>
      <c r="Y263" s="70"/>
      <c r="Z263" s="70"/>
    </row>
    <row r="264" spans="1:26" ht="13">
      <c r="A264" s="70"/>
      <c r="B264" s="70"/>
      <c r="C264" s="70"/>
      <c r="D264" s="70"/>
      <c r="E264" s="70"/>
      <c r="F264" s="70"/>
      <c r="G264" s="70"/>
      <c r="H264" s="70"/>
      <c r="I264" s="70"/>
      <c r="J264" s="70"/>
      <c r="K264" s="70"/>
      <c r="L264" s="70"/>
      <c r="M264" s="70"/>
      <c r="N264" s="70"/>
      <c r="O264" s="70"/>
      <c r="P264" s="70"/>
      <c r="Q264" s="70"/>
      <c r="R264" s="70"/>
      <c r="S264" s="70"/>
      <c r="T264" s="70"/>
      <c r="U264" s="70"/>
      <c r="V264" s="70"/>
      <c r="W264" s="70"/>
      <c r="X264" s="70"/>
      <c r="Y264" s="70"/>
      <c r="Z264" s="70"/>
    </row>
    <row r="265" spans="1:26" ht="13">
      <c r="A265" s="70"/>
      <c r="B265" s="70"/>
      <c r="C265" s="70"/>
      <c r="D265" s="70"/>
      <c r="E265" s="70"/>
      <c r="F265" s="70"/>
      <c r="G265" s="70"/>
      <c r="H265" s="70"/>
      <c r="I265" s="70"/>
      <c r="J265" s="70"/>
      <c r="K265" s="70"/>
      <c r="L265" s="70"/>
      <c r="M265" s="70"/>
      <c r="N265" s="70"/>
      <c r="O265" s="70"/>
      <c r="P265" s="70"/>
      <c r="Q265" s="70"/>
      <c r="R265" s="70"/>
      <c r="S265" s="70"/>
      <c r="T265" s="70"/>
      <c r="U265" s="70"/>
      <c r="V265" s="70"/>
      <c r="W265" s="70"/>
      <c r="X265" s="70"/>
      <c r="Y265" s="70"/>
      <c r="Z265" s="70"/>
    </row>
    <row r="266" spans="1:26" ht="13">
      <c r="A266" s="70"/>
      <c r="B266" s="70"/>
      <c r="C266" s="70"/>
      <c r="D266" s="70"/>
      <c r="E266" s="70"/>
      <c r="F266" s="70"/>
      <c r="G266" s="70"/>
      <c r="H266" s="70"/>
      <c r="I266" s="70"/>
      <c r="J266" s="70"/>
      <c r="K266" s="70"/>
      <c r="L266" s="70"/>
      <c r="M266" s="70"/>
      <c r="N266" s="70"/>
      <c r="O266" s="70"/>
      <c r="P266" s="70"/>
      <c r="Q266" s="70"/>
      <c r="R266" s="70"/>
      <c r="S266" s="70"/>
      <c r="T266" s="70"/>
      <c r="U266" s="70"/>
      <c r="V266" s="70"/>
      <c r="W266" s="70"/>
      <c r="X266" s="70"/>
      <c r="Y266" s="70"/>
      <c r="Z266" s="70"/>
    </row>
    <row r="267" spans="1:26" ht="13">
      <c r="A267" s="70"/>
      <c r="B267" s="70"/>
      <c r="C267" s="70"/>
      <c r="D267" s="70"/>
      <c r="E267" s="70"/>
      <c r="F267" s="70"/>
      <c r="G267" s="70"/>
      <c r="H267" s="70"/>
      <c r="I267" s="70"/>
      <c r="J267" s="70"/>
      <c r="K267" s="70"/>
      <c r="L267" s="70"/>
      <c r="M267" s="70"/>
      <c r="N267" s="70"/>
      <c r="O267" s="70"/>
      <c r="P267" s="70"/>
      <c r="Q267" s="70"/>
      <c r="R267" s="70"/>
      <c r="S267" s="70"/>
      <c r="T267" s="70"/>
      <c r="U267" s="70"/>
      <c r="V267" s="70"/>
      <c r="W267" s="70"/>
      <c r="X267" s="70"/>
      <c r="Y267" s="70"/>
      <c r="Z267" s="70"/>
    </row>
    <row r="268" spans="1:26" ht="13">
      <c r="A268" s="70"/>
      <c r="B268" s="70"/>
      <c r="C268" s="70"/>
      <c r="D268" s="70"/>
      <c r="E268" s="70"/>
      <c r="F268" s="70"/>
      <c r="G268" s="70"/>
      <c r="H268" s="70"/>
      <c r="I268" s="70"/>
      <c r="J268" s="70"/>
      <c r="K268" s="70"/>
      <c r="L268" s="70"/>
      <c r="M268" s="70"/>
      <c r="N268" s="70"/>
      <c r="O268" s="70"/>
      <c r="P268" s="70"/>
      <c r="Q268" s="70"/>
      <c r="R268" s="70"/>
      <c r="S268" s="70"/>
      <c r="T268" s="70"/>
      <c r="U268" s="70"/>
      <c r="V268" s="70"/>
      <c r="W268" s="70"/>
      <c r="X268" s="70"/>
      <c r="Y268" s="70"/>
      <c r="Z268" s="70"/>
    </row>
    <row r="269" spans="1:26" ht="13">
      <c r="A269" s="70"/>
      <c r="B269" s="70"/>
      <c r="C269" s="70"/>
      <c r="D269" s="70"/>
      <c r="E269" s="70"/>
      <c r="F269" s="70"/>
      <c r="G269" s="70"/>
      <c r="H269" s="70"/>
      <c r="I269" s="70"/>
      <c r="J269" s="70"/>
      <c r="K269" s="70"/>
      <c r="L269" s="70"/>
      <c r="M269" s="70"/>
      <c r="N269" s="70"/>
      <c r="O269" s="70"/>
      <c r="P269" s="70"/>
      <c r="Q269" s="70"/>
      <c r="R269" s="70"/>
      <c r="S269" s="70"/>
      <c r="T269" s="70"/>
      <c r="U269" s="70"/>
      <c r="V269" s="70"/>
      <c r="W269" s="70"/>
      <c r="X269" s="70"/>
      <c r="Y269" s="70"/>
      <c r="Z269" s="70"/>
    </row>
    <row r="270" spans="1:26" ht="13">
      <c r="A270" s="70"/>
      <c r="B270" s="70"/>
      <c r="C270" s="70"/>
      <c r="D270" s="70"/>
      <c r="E270" s="70"/>
      <c r="F270" s="70"/>
      <c r="G270" s="70"/>
      <c r="H270" s="70"/>
      <c r="I270" s="70"/>
      <c r="J270" s="70"/>
      <c r="K270" s="70"/>
      <c r="L270" s="70"/>
      <c r="M270" s="70"/>
      <c r="N270" s="70"/>
      <c r="O270" s="70"/>
      <c r="P270" s="70"/>
      <c r="Q270" s="70"/>
      <c r="R270" s="70"/>
      <c r="S270" s="70"/>
      <c r="T270" s="70"/>
      <c r="U270" s="70"/>
      <c r="V270" s="70"/>
      <c r="W270" s="70"/>
      <c r="X270" s="70"/>
      <c r="Y270" s="70"/>
      <c r="Z270" s="70"/>
    </row>
    <row r="271" spans="1:26" ht="13">
      <c r="A271" s="70"/>
      <c r="B271" s="70"/>
      <c r="C271" s="70"/>
      <c r="D271" s="70"/>
      <c r="E271" s="70"/>
      <c r="F271" s="70"/>
      <c r="G271" s="70"/>
      <c r="H271" s="70"/>
      <c r="I271" s="70"/>
      <c r="J271" s="70"/>
      <c r="K271" s="70"/>
      <c r="L271" s="70"/>
      <c r="M271" s="70"/>
      <c r="N271" s="70"/>
      <c r="O271" s="70"/>
      <c r="P271" s="70"/>
      <c r="Q271" s="70"/>
      <c r="R271" s="70"/>
      <c r="S271" s="70"/>
      <c r="T271" s="70"/>
      <c r="U271" s="70"/>
      <c r="V271" s="70"/>
      <c r="W271" s="70"/>
      <c r="X271" s="70"/>
      <c r="Y271" s="70"/>
      <c r="Z271" s="70"/>
    </row>
    <row r="272" spans="1:26" ht="13">
      <c r="A272" s="70"/>
      <c r="B272" s="70"/>
      <c r="C272" s="70"/>
      <c r="D272" s="70"/>
      <c r="E272" s="70"/>
      <c r="F272" s="70"/>
      <c r="G272" s="70"/>
      <c r="H272" s="70"/>
      <c r="I272" s="70"/>
      <c r="J272" s="70"/>
      <c r="K272" s="70"/>
      <c r="L272" s="70"/>
      <c r="M272" s="70"/>
      <c r="N272" s="70"/>
      <c r="O272" s="70"/>
      <c r="P272" s="70"/>
      <c r="Q272" s="70"/>
      <c r="R272" s="70"/>
      <c r="S272" s="70"/>
      <c r="T272" s="70"/>
      <c r="U272" s="70"/>
      <c r="V272" s="70"/>
      <c r="W272" s="70"/>
      <c r="X272" s="70"/>
      <c r="Y272" s="70"/>
      <c r="Z272" s="70"/>
    </row>
    <row r="273" spans="1:26" ht="13">
      <c r="A273" s="70"/>
      <c r="B273" s="70"/>
      <c r="C273" s="70"/>
      <c r="D273" s="70"/>
      <c r="E273" s="70"/>
      <c r="F273" s="70"/>
      <c r="G273" s="70"/>
      <c r="H273" s="70"/>
      <c r="I273" s="70"/>
      <c r="J273" s="70"/>
      <c r="K273" s="70"/>
      <c r="L273" s="70"/>
      <c r="M273" s="70"/>
      <c r="N273" s="70"/>
      <c r="O273" s="70"/>
      <c r="P273" s="70"/>
      <c r="Q273" s="70"/>
      <c r="R273" s="70"/>
      <c r="S273" s="70"/>
      <c r="T273" s="70"/>
      <c r="U273" s="70"/>
      <c r="V273" s="70"/>
      <c r="W273" s="70"/>
      <c r="X273" s="70"/>
      <c r="Y273" s="70"/>
      <c r="Z273" s="70"/>
    </row>
    <row r="274" spans="1:26" ht="13">
      <c r="A274" s="70"/>
      <c r="B274" s="70"/>
      <c r="C274" s="70"/>
      <c r="D274" s="70"/>
      <c r="E274" s="70"/>
      <c r="F274" s="70"/>
      <c r="G274" s="70"/>
      <c r="H274" s="70"/>
      <c r="I274" s="70"/>
      <c r="J274" s="70"/>
      <c r="K274" s="70"/>
      <c r="L274" s="70"/>
      <c r="M274" s="70"/>
      <c r="N274" s="70"/>
      <c r="O274" s="70"/>
      <c r="P274" s="70"/>
      <c r="Q274" s="70"/>
      <c r="R274" s="70"/>
      <c r="S274" s="70"/>
      <c r="T274" s="70"/>
      <c r="U274" s="70"/>
      <c r="V274" s="70"/>
      <c r="W274" s="70"/>
      <c r="X274" s="70"/>
      <c r="Y274" s="70"/>
      <c r="Z274" s="70"/>
    </row>
    <row r="275" spans="1:26" ht="13">
      <c r="A275" s="70"/>
      <c r="B275" s="70"/>
      <c r="C275" s="70"/>
      <c r="D275" s="70"/>
      <c r="E275" s="70"/>
      <c r="F275" s="70"/>
      <c r="G275" s="70"/>
      <c r="H275" s="70"/>
      <c r="I275" s="70"/>
      <c r="J275" s="70"/>
      <c r="K275" s="70"/>
      <c r="L275" s="70"/>
      <c r="M275" s="70"/>
      <c r="N275" s="70"/>
      <c r="O275" s="70"/>
      <c r="P275" s="70"/>
      <c r="Q275" s="70"/>
      <c r="R275" s="70"/>
      <c r="S275" s="70"/>
      <c r="T275" s="70"/>
      <c r="U275" s="70"/>
      <c r="V275" s="70"/>
      <c r="W275" s="70"/>
      <c r="X275" s="70"/>
      <c r="Y275" s="70"/>
      <c r="Z275" s="70"/>
    </row>
    <row r="276" spans="1:26" ht="13">
      <c r="A276" s="70"/>
      <c r="B276" s="70"/>
      <c r="C276" s="70"/>
      <c r="D276" s="70"/>
      <c r="E276" s="70"/>
      <c r="F276" s="70"/>
      <c r="G276" s="70"/>
      <c r="H276" s="70"/>
      <c r="I276" s="70"/>
      <c r="J276" s="70"/>
      <c r="K276" s="70"/>
      <c r="L276" s="70"/>
      <c r="M276" s="70"/>
      <c r="N276" s="70"/>
      <c r="O276" s="70"/>
      <c r="P276" s="70"/>
      <c r="Q276" s="70"/>
      <c r="R276" s="70"/>
      <c r="S276" s="70"/>
      <c r="T276" s="70"/>
      <c r="U276" s="70"/>
      <c r="V276" s="70"/>
      <c r="W276" s="70"/>
      <c r="X276" s="70"/>
      <c r="Y276" s="70"/>
      <c r="Z276" s="70"/>
    </row>
    <row r="277" spans="1:26" ht="13">
      <c r="A277" s="70"/>
      <c r="B277" s="70"/>
      <c r="C277" s="70"/>
      <c r="D277" s="70"/>
      <c r="E277" s="70"/>
      <c r="F277" s="70"/>
      <c r="G277" s="70"/>
      <c r="H277" s="70"/>
      <c r="I277" s="70"/>
      <c r="J277" s="70"/>
      <c r="K277" s="70"/>
      <c r="L277" s="70"/>
      <c r="M277" s="70"/>
      <c r="N277" s="70"/>
      <c r="O277" s="70"/>
      <c r="P277" s="70"/>
      <c r="Q277" s="70"/>
      <c r="R277" s="70"/>
      <c r="S277" s="70"/>
      <c r="T277" s="70"/>
      <c r="U277" s="70"/>
      <c r="V277" s="70"/>
      <c r="W277" s="70"/>
      <c r="X277" s="70"/>
      <c r="Y277" s="70"/>
      <c r="Z277" s="70"/>
    </row>
    <row r="278" spans="1:26" ht="13">
      <c r="A278" s="70"/>
      <c r="B278" s="70"/>
      <c r="C278" s="70"/>
      <c r="D278" s="70"/>
      <c r="E278" s="70"/>
      <c r="F278" s="70"/>
      <c r="G278" s="70"/>
      <c r="H278" s="70"/>
      <c r="I278" s="70"/>
      <c r="J278" s="70"/>
      <c r="K278" s="70"/>
      <c r="L278" s="70"/>
      <c r="M278" s="70"/>
      <c r="N278" s="70"/>
      <c r="O278" s="70"/>
      <c r="P278" s="70"/>
      <c r="Q278" s="70"/>
      <c r="R278" s="70"/>
      <c r="S278" s="70"/>
      <c r="T278" s="70"/>
      <c r="U278" s="70"/>
      <c r="V278" s="70"/>
      <c r="W278" s="70"/>
      <c r="X278" s="70"/>
      <c r="Y278" s="70"/>
      <c r="Z278" s="70"/>
    </row>
    <row r="279" spans="1:26" ht="13">
      <c r="A279" s="70"/>
      <c r="B279" s="70"/>
      <c r="C279" s="70"/>
      <c r="D279" s="70"/>
      <c r="E279" s="70"/>
      <c r="F279" s="70"/>
      <c r="G279" s="70"/>
      <c r="H279" s="70"/>
      <c r="I279" s="70"/>
      <c r="J279" s="70"/>
      <c r="K279" s="70"/>
      <c r="L279" s="70"/>
      <c r="M279" s="70"/>
      <c r="N279" s="70"/>
      <c r="O279" s="70"/>
      <c r="P279" s="70"/>
      <c r="Q279" s="70"/>
      <c r="R279" s="70"/>
      <c r="S279" s="70"/>
      <c r="T279" s="70"/>
      <c r="U279" s="70"/>
      <c r="V279" s="70"/>
      <c r="W279" s="70"/>
      <c r="X279" s="70"/>
      <c r="Y279" s="70"/>
      <c r="Z279" s="70"/>
    </row>
    <row r="280" spans="1:26" ht="13">
      <c r="A280" s="70"/>
      <c r="B280" s="70"/>
      <c r="C280" s="70"/>
      <c r="D280" s="70"/>
      <c r="E280" s="70"/>
      <c r="F280" s="70"/>
      <c r="G280" s="70"/>
      <c r="H280" s="70"/>
      <c r="I280" s="70"/>
      <c r="J280" s="70"/>
      <c r="K280" s="70"/>
      <c r="L280" s="70"/>
      <c r="M280" s="70"/>
      <c r="N280" s="70"/>
      <c r="O280" s="70"/>
      <c r="P280" s="70"/>
      <c r="Q280" s="70"/>
      <c r="R280" s="70"/>
      <c r="S280" s="70"/>
      <c r="T280" s="70"/>
      <c r="U280" s="70"/>
      <c r="V280" s="70"/>
      <c r="W280" s="70"/>
      <c r="X280" s="70"/>
      <c r="Y280" s="70"/>
      <c r="Z280" s="70"/>
    </row>
    <row r="281" spans="1:26" ht="13">
      <c r="A281" s="70"/>
      <c r="B281" s="70"/>
      <c r="C281" s="70"/>
      <c r="D281" s="70"/>
      <c r="E281" s="70"/>
      <c r="F281" s="70"/>
      <c r="G281" s="70"/>
      <c r="H281" s="70"/>
      <c r="I281" s="70"/>
      <c r="J281" s="70"/>
      <c r="K281" s="70"/>
      <c r="L281" s="70"/>
      <c r="M281" s="70"/>
      <c r="N281" s="70"/>
      <c r="O281" s="70"/>
      <c r="P281" s="70"/>
      <c r="Q281" s="70"/>
      <c r="R281" s="70"/>
      <c r="S281" s="70"/>
      <c r="T281" s="70"/>
      <c r="U281" s="70"/>
      <c r="V281" s="70"/>
      <c r="W281" s="70"/>
      <c r="X281" s="70"/>
      <c r="Y281" s="70"/>
      <c r="Z281" s="70"/>
    </row>
    <row r="282" spans="1:26" ht="13">
      <c r="A282" s="70"/>
      <c r="B282" s="70"/>
      <c r="C282" s="70"/>
      <c r="D282" s="70"/>
      <c r="E282" s="70"/>
      <c r="F282" s="70"/>
      <c r="G282" s="70"/>
      <c r="H282" s="70"/>
      <c r="I282" s="70"/>
      <c r="J282" s="70"/>
      <c r="K282" s="70"/>
      <c r="L282" s="70"/>
      <c r="M282" s="70"/>
      <c r="N282" s="70"/>
      <c r="O282" s="70"/>
      <c r="P282" s="70"/>
      <c r="Q282" s="70"/>
      <c r="R282" s="70"/>
      <c r="S282" s="70"/>
      <c r="T282" s="70"/>
      <c r="U282" s="70"/>
      <c r="V282" s="70"/>
      <c r="W282" s="70"/>
      <c r="X282" s="70"/>
      <c r="Y282" s="70"/>
      <c r="Z282" s="70"/>
    </row>
    <row r="283" spans="1:26" ht="13">
      <c r="A283" s="70"/>
      <c r="B283" s="70"/>
      <c r="C283" s="70"/>
      <c r="D283" s="70"/>
      <c r="E283" s="70"/>
      <c r="F283" s="70"/>
      <c r="G283" s="70"/>
      <c r="H283" s="70"/>
      <c r="I283" s="70"/>
      <c r="J283" s="70"/>
      <c r="K283" s="70"/>
      <c r="L283" s="70"/>
      <c r="M283" s="70"/>
      <c r="N283" s="70"/>
      <c r="O283" s="70"/>
      <c r="P283" s="70"/>
      <c r="Q283" s="70"/>
      <c r="R283" s="70"/>
      <c r="S283" s="70"/>
      <c r="T283" s="70"/>
      <c r="U283" s="70"/>
      <c r="V283" s="70"/>
      <c r="W283" s="70"/>
      <c r="X283" s="70"/>
      <c r="Y283" s="70"/>
      <c r="Z283" s="70"/>
    </row>
    <row r="284" spans="1:26" ht="13">
      <c r="A284" s="70"/>
      <c r="B284" s="70"/>
      <c r="C284" s="70"/>
      <c r="D284" s="70"/>
      <c r="E284" s="70"/>
      <c r="F284" s="70"/>
      <c r="G284" s="70"/>
      <c r="H284" s="70"/>
      <c r="I284" s="70"/>
      <c r="J284" s="70"/>
      <c r="K284" s="70"/>
      <c r="L284" s="70"/>
      <c r="M284" s="70"/>
      <c r="N284" s="70"/>
      <c r="O284" s="70"/>
      <c r="P284" s="70"/>
      <c r="Q284" s="70"/>
      <c r="R284" s="70"/>
      <c r="S284" s="70"/>
      <c r="T284" s="70"/>
      <c r="U284" s="70"/>
      <c r="V284" s="70"/>
      <c r="W284" s="70"/>
      <c r="X284" s="70"/>
      <c r="Y284" s="70"/>
      <c r="Z284" s="70"/>
    </row>
    <row r="285" spans="1:26" ht="13">
      <c r="A285" s="70"/>
      <c r="B285" s="70"/>
      <c r="C285" s="70"/>
      <c r="D285" s="70"/>
      <c r="E285" s="70"/>
      <c r="F285" s="70"/>
      <c r="G285" s="70"/>
      <c r="H285" s="70"/>
      <c r="I285" s="70"/>
      <c r="J285" s="70"/>
      <c r="K285" s="70"/>
      <c r="L285" s="70"/>
      <c r="M285" s="70"/>
      <c r="N285" s="70"/>
      <c r="O285" s="70"/>
      <c r="P285" s="70"/>
      <c r="Q285" s="70"/>
      <c r="R285" s="70"/>
      <c r="S285" s="70"/>
      <c r="T285" s="70"/>
      <c r="U285" s="70"/>
      <c r="V285" s="70"/>
      <c r="W285" s="70"/>
      <c r="X285" s="70"/>
      <c r="Y285" s="70"/>
      <c r="Z285" s="70"/>
    </row>
    <row r="286" spans="1:26" ht="13">
      <c r="A286" s="70"/>
      <c r="B286" s="70"/>
      <c r="C286" s="70"/>
      <c r="D286" s="70"/>
      <c r="E286" s="70"/>
      <c r="F286" s="70"/>
      <c r="G286" s="70"/>
      <c r="H286" s="70"/>
      <c r="I286" s="70"/>
      <c r="J286" s="70"/>
      <c r="K286" s="70"/>
      <c r="L286" s="70"/>
      <c r="M286" s="70"/>
      <c r="N286" s="70"/>
      <c r="O286" s="70"/>
      <c r="P286" s="70"/>
      <c r="Q286" s="70"/>
      <c r="R286" s="70"/>
      <c r="S286" s="70"/>
      <c r="T286" s="70"/>
      <c r="U286" s="70"/>
      <c r="V286" s="70"/>
      <c r="W286" s="70"/>
      <c r="X286" s="70"/>
      <c r="Y286" s="70"/>
      <c r="Z286" s="70"/>
    </row>
    <row r="287" spans="1:26" ht="13">
      <c r="A287" s="70"/>
      <c r="B287" s="70"/>
      <c r="C287" s="70"/>
      <c r="D287" s="70"/>
      <c r="E287" s="70"/>
      <c r="F287" s="70"/>
      <c r="G287" s="70"/>
      <c r="H287" s="70"/>
      <c r="I287" s="70"/>
      <c r="J287" s="70"/>
      <c r="K287" s="70"/>
      <c r="L287" s="70"/>
      <c r="M287" s="70"/>
      <c r="N287" s="70"/>
      <c r="O287" s="70"/>
      <c r="P287" s="70"/>
      <c r="Q287" s="70"/>
      <c r="R287" s="70"/>
      <c r="S287" s="70"/>
      <c r="T287" s="70"/>
      <c r="U287" s="70"/>
      <c r="V287" s="70"/>
      <c r="W287" s="70"/>
      <c r="X287" s="70"/>
      <c r="Y287" s="70"/>
      <c r="Z287" s="70"/>
    </row>
    <row r="288" spans="1:26" ht="13">
      <c r="A288" s="70"/>
      <c r="B288" s="70"/>
      <c r="C288" s="70"/>
      <c r="D288" s="70"/>
      <c r="E288" s="70"/>
      <c r="F288" s="70"/>
      <c r="G288" s="70"/>
      <c r="H288" s="70"/>
      <c r="I288" s="70"/>
      <c r="J288" s="70"/>
      <c r="K288" s="70"/>
      <c r="L288" s="70"/>
      <c r="M288" s="70"/>
      <c r="N288" s="70"/>
      <c r="O288" s="70"/>
      <c r="P288" s="70"/>
      <c r="Q288" s="70"/>
      <c r="R288" s="70"/>
      <c r="S288" s="70"/>
      <c r="T288" s="70"/>
      <c r="U288" s="70"/>
      <c r="V288" s="70"/>
      <c r="W288" s="70"/>
      <c r="X288" s="70"/>
      <c r="Y288" s="70"/>
      <c r="Z288" s="70"/>
    </row>
    <row r="289" spans="1:26" ht="13">
      <c r="A289" s="70"/>
      <c r="B289" s="70"/>
      <c r="C289" s="70"/>
      <c r="D289" s="70"/>
      <c r="E289" s="70"/>
      <c r="F289" s="70"/>
      <c r="G289" s="70"/>
      <c r="H289" s="70"/>
      <c r="I289" s="70"/>
      <c r="J289" s="70"/>
      <c r="K289" s="70"/>
      <c r="L289" s="70"/>
      <c r="M289" s="70"/>
      <c r="N289" s="70"/>
      <c r="O289" s="70"/>
      <c r="P289" s="70"/>
      <c r="Q289" s="70"/>
      <c r="R289" s="70"/>
      <c r="S289" s="70"/>
      <c r="T289" s="70"/>
      <c r="U289" s="70"/>
      <c r="V289" s="70"/>
      <c r="W289" s="70"/>
      <c r="X289" s="70"/>
      <c r="Y289" s="70"/>
      <c r="Z289" s="70"/>
    </row>
    <row r="290" spans="1:26" ht="13">
      <c r="A290" s="70"/>
      <c r="B290" s="70"/>
      <c r="C290" s="70"/>
      <c r="D290" s="70"/>
      <c r="E290" s="70"/>
      <c r="F290" s="70"/>
      <c r="G290" s="70"/>
      <c r="H290" s="70"/>
      <c r="I290" s="70"/>
      <c r="J290" s="70"/>
      <c r="K290" s="70"/>
      <c r="L290" s="70"/>
      <c r="M290" s="70"/>
      <c r="N290" s="70"/>
      <c r="O290" s="70"/>
      <c r="P290" s="70"/>
      <c r="Q290" s="70"/>
      <c r="R290" s="70"/>
      <c r="S290" s="70"/>
      <c r="T290" s="70"/>
      <c r="U290" s="70"/>
      <c r="V290" s="70"/>
      <c r="W290" s="70"/>
      <c r="X290" s="70"/>
      <c r="Y290" s="70"/>
      <c r="Z290" s="70"/>
    </row>
    <row r="291" spans="1:26" ht="13">
      <c r="A291" s="70"/>
      <c r="B291" s="70"/>
      <c r="C291" s="70"/>
      <c r="D291" s="70"/>
      <c r="E291" s="70"/>
      <c r="F291" s="70"/>
      <c r="G291" s="70"/>
      <c r="H291" s="70"/>
      <c r="I291" s="70"/>
      <c r="J291" s="70"/>
      <c r="K291" s="70"/>
      <c r="L291" s="70"/>
      <c r="M291" s="70"/>
      <c r="N291" s="70"/>
      <c r="O291" s="70"/>
      <c r="P291" s="70"/>
      <c r="Q291" s="70"/>
      <c r="R291" s="70"/>
      <c r="S291" s="70"/>
      <c r="T291" s="70"/>
      <c r="U291" s="70"/>
      <c r="V291" s="70"/>
      <c r="W291" s="70"/>
      <c r="X291" s="70"/>
      <c r="Y291" s="70"/>
      <c r="Z291" s="70"/>
    </row>
    <row r="292" spans="1:26" ht="13">
      <c r="A292" s="70"/>
      <c r="B292" s="70"/>
      <c r="C292" s="70"/>
      <c r="D292" s="70"/>
      <c r="E292" s="70"/>
      <c r="F292" s="70"/>
      <c r="G292" s="70"/>
      <c r="H292" s="70"/>
      <c r="I292" s="70"/>
      <c r="J292" s="70"/>
      <c r="K292" s="70"/>
      <c r="L292" s="70"/>
      <c r="M292" s="70"/>
      <c r="N292" s="70"/>
      <c r="O292" s="70"/>
      <c r="P292" s="70"/>
      <c r="Q292" s="70"/>
      <c r="R292" s="70"/>
      <c r="S292" s="70"/>
      <c r="T292" s="70"/>
      <c r="U292" s="70"/>
      <c r="V292" s="70"/>
      <c r="W292" s="70"/>
      <c r="X292" s="70"/>
      <c r="Y292" s="70"/>
      <c r="Z292" s="70"/>
    </row>
    <row r="293" spans="1:26" ht="13">
      <c r="A293" s="70"/>
      <c r="B293" s="70"/>
      <c r="C293" s="70"/>
      <c r="D293" s="70"/>
      <c r="E293" s="70"/>
      <c r="F293" s="70"/>
      <c r="G293" s="70"/>
      <c r="H293" s="70"/>
      <c r="I293" s="70"/>
      <c r="J293" s="70"/>
      <c r="K293" s="70"/>
      <c r="L293" s="70"/>
      <c r="M293" s="70"/>
      <c r="N293" s="70"/>
      <c r="O293" s="70"/>
      <c r="P293" s="70"/>
      <c r="Q293" s="70"/>
      <c r="R293" s="70"/>
      <c r="S293" s="70"/>
      <c r="T293" s="70"/>
      <c r="U293" s="70"/>
      <c r="V293" s="70"/>
      <c r="W293" s="70"/>
      <c r="X293" s="70"/>
      <c r="Y293" s="70"/>
      <c r="Z293" s="70"/>
    </row>
    <row r="294" spans="1:26" ht="13">
      <c r="A294" s="70"/>
      <c r="B294" s="70"/>
      <c r="C294" s="70"/>
      <c r="D294" s="70"/>
      <c r="E294" s="70"/>
      <c r="F294" s="70"/>
      <c r="G294" s="70"/>
      <c r="H294" s="70"/>
      <c r="I294" s="70"/>
      <c r="J294" s="70"/>
      <c r="K294" s="70"/>
      <c r="L294" s="70"/>
      <c r="M294" s="70"/>
      <c r="N294" s="70"/>
      <c r="O294" s="70"/>
      <c r="P294" s="70"/>
      <c r="Q294" s="70"/>
      <c r="R294" s="70"/>
      <c r="S294" s="70"/>
      <c r="T294" s="70"/>
      <c r="U294" s="70"/>
      <c r="V294" s="70"/>
      <c r="W294" s="70"/>
      <c r="X294" s="70"/>
      <c r="Y294" s="70"/>
      <c r="Z294" s="70"/>
    </row>
    <row r="295" spans="1:26" ht="13">
      <c r="A295" s="70"/>
      <c r="B295" s="70"/>
      <c r="C295" s="70"/>
      <c r="D295" s="70"/>
      <c r="E295" s="70"/>
      <c r="F295" s="70"/>
      <c r="G295" s="70"/>
      <c r="H295" s="70"/>
      <c r="I295" s="70"/>
      <c r="J295" s="70"/>
      <c r="K295" s="70"/>
      <c r="L295" s="70"/>
      <c r="M295" s="70"/>
      <c r="N295" s="70"/>
      <c r="O295" s="70"/>
      <c r="P295" s="70"/>
      <c r="Q295" s="70"/>
      <c r="R295" s="70"/>
      <c r="S295" s="70"/>
      <c r="T295" s="70"/>
      <c r="U295" s="70"/>
      <c r="V295" s="70"/>
      <c r="W295" s="70"/>
      <c r="X295" s="70"/>
      <c r="Y295" s="70"/>
      <c r="Z295" s="70"/>
    </row>
    <row r="296" spans="1:26" ht="13">
      <c r="A296" s="70"/>
      <c r="B296" s="70"/>
      <c r="C296" s="70"/>
      <c r="D296" s="70"/>
      <c r="E296" s="70"/>
      <c r="F296" s="70"/>
      <c r="G296" s="70"/>
      <c r="H296" s="70"/>
      <c r="I296" s="70"/>
      <c r="J296" s="70"/>
      <c r="K296" s="70"/>
      <c r="L296" s="70"/>
      <c r="M296" s="70"/>
      <c r="N296" s="70"/>
      <c r="O296" s="70"/>
      <c r="P296" s="70"/>
      <c r="Q296" s="70"/>
      <c r="R296" s="70"/>
      <c r="S296" s="70"/>
      <c r="T296" s="70"/>
      <c r="U296" s="70"/>
      <c r="V296" s="70"/>
      <c r="W296" s="70"/>
      <c r="X296" s="70"/>
      <c r="Y296" s="70"/>
      <c r="Z296" s="70"/>
    </row>
    <row r="297" spans="1:26" ht="13">
      <c r="A297" s="70"/>
      <c r="B297" s="70"/>
      <c r="C297" s="70"/>
      <c r="D297" s="70"/>
      <c r="E297" s="70"/>
      <c r="F297" s="70"/>
      <c r="G297" s="70"/>
      <c r="H297" s="70"/>
      <c r="I297" s="70"/>
      <c r="J297" s="70"/>
      <c r="K297" s="70"/>
      <c r="L297" s="70"/>
      <c r="M297" s="70"/>
      <c r="N297" s="70"/>
      <c r="O297" s="70"/>
      <c r="P297" s="70"/>
      <c r="Q297" s="70"/>
      <c r="R297" s="70"/>
      <c r="S297" s="70"/>
      <c r="T297" s="70"/>
      <c r="U297" s="70"/>
      <c r="V297" s="70"/>
      <c r="W297" s="70"/>
      <c r="X297" s="70"/>
      <c r="Y297" s="70"/>
      <c r="Z297" s="70"/>
    </row>
    <row r="298" spans="1:26" ht="13">
      <c r="A298" s="70"/>
      <c r="B298" s="70"/>
      <c r="C298" s="70"/>
      <c r="D298" s="70"/>
      <c r="E298" s="70"/>
      <c r="F298" s="70"/>
      <c r="G298" s="70"/>
      <c r="H298" s="70"/>
      <c r="I298" s="70"/>
      <c r="J298" s="70"/>
      <c r="K298" s="70"/>
      <c r="L298" s="70"/>
      <c r="M298" s="70"/>
      <c r="N298" s="70"/>
      <c r="O298" s="70"/>
      <c r="P298" s="70"/>
      <c r="Q298" s="70"/>
      <c r="R298" s="70"/>
      <c r="S298" s="70"/>
      <c r="T298" s="70"/>
      <c r="U298" s="70"/>
      <c r="V298" s="70"/>
      <c r="W298" s="70"/>
      <c r="X298" s="70"/>
      <c r="Y298" s="70"/>
      <c r="Z298" s="70"/>
    </row>
    <row r="299" spans="1:26" ht="13">
      <c r="A299" s="70"/>
      <c r="B299" s="70"/>
      <c r="C299" s="70"/>
      <c r="D299" s="70"/>
      <c r="E299" s="70"/>
      <c r="F299" s="70"/>
      <c r="G299" s="70"/>
      <c r="H299" s="70"/>
      <c r="I299" s="70"/>
      <c r="J299" s="70"/>
      <c r="K299" s="70"/>
      <c r="L299" s="70"/>
      <c r="M299" s="70"/>
      <c r="N299" s="70"/>
      <c r="O299" s="70"/>
      <c r="P299" s="70"/>
      <c r="Q299" s="70"/>
      <c r="R299" s="70"/>
      <c r="S299" s="70"/>
      <c r="T299" s="70"/>
      <c r="U299" s="70"/>
      <c r="V299" s="70"/>
      <c r="W299" s="70"/>
      <c r="X299" s="70"/>
      <c r="Y299" s="70"/>
      <c r="Z299" s="70"/>
    </row>
    <row r="300" spans="1:26" ht="13">
      <c r="A300" s="70"/>
      <c r="B300" s="70"/>
      <c r="C300" s="70"/>
      <c r="D300" s="70"/>
      <c r="E300" s="70"/>
      <c r="F300" s="70"/>
      <c r="G300" s="70"/>
      <c r="H300" s="70"/>
      <c r="I300" s="70"/>
      <c r="J300" s="70"/>
      <c r="K300" s="70"/>
      <c r="L300" s="70"/>
      <c r="M300" s="70"/>
      <c r="N300" s="70"/>
      <c r="O300" s="70"/>
      <c r="P300" s="70"/>
      <c r="Q300" s="70"/>
      <c r="R300" s="70"/>
      <c r="S300" s="70"/>
      <c r="T300" s="70"/>
      <c r="U300" s="70"/>
      <c r="V300" s="70"/>
      <c r="W300" s="70"/>
      <c r="X300" s="70"/>
      <c r="Y300" s="70"/>
      <c r="Z300" s="70"/>
    </row>
    <row r="301" spans="1:26" ht="13">
      <c r="A301" s="70"/>
      <c r="B301" s="70"/>
      <c r="C301" s="70"/>
      <c r="D301" s="70"/>
      <c r="E301" s="70"/>
      <c r="F301" s="70"/>
      <c r="G301" s="70"/>
      <c r="H301" s="70"/>
      <c r="I301" s="70"/>
      <c r="J301" s="70"/>
      <c r="K301" s="70"/>
      <c r="L301" s="70"/>
      <c r="M301" s="70"/>
      <c r="N301" s="70"/>
      <c r="O301" s="70"/>
      <c r="P301" s="70"/>
      <c r="Q301" s="70"/>
      <c r="R301" s="70"/>
      <c r="S301" s="70"/>
      <c r="T301" s="70"/>
      <c r="U301" s="70"/>
      <c r="V301" s="70"/>
      <c r="W301" s="70"/>
      <c r="X301" s="70"/>
      <c r="Y301" s="70"/>
      <c r="Z301" s="70"/>
    </row>
    <row r="302" spans="1:26" ht="13">
      <c r="A302" s="70"/>
      <c r="B302" s="70"/>
      <c r="C302" s="70"/>
      <c r="D302" s="70"/>
      <c r="E302" s="70"/>
      <c r="F302" s="70"/>
      <c r="G302" s="70"/>
      <c r="H302" s="70"/>
      <c r="I302" s="70"/>
      <c r="J302" s="70"/>
      <c r="K302" s="70"/>
      <c r="L302" s="70"/>
      <c r="M302" s="70"/>
      <c r="N302" s="70"/>
      <c r="O302" s="70"/>
      <c r="P302" s="70"/>
      <c r="Q302" s="70"/>
      <c r="R302" s="70"/>
      <c r="S302" s="70"/>
      <c r="T302" s="70"/>
      <c r="U302" s="70"/>
      <c r="V302" s="70"/>
      <c r="W302" s="70"/>
      <c r="X302" s="70"/>
      <c r="Y302" s="70"/>
      <c r="Z302" s="70"/>
    </row>
    <row r="303" spans="1:26" ht="13">
      <c r="A303" s="70"/>
      <c r="B303" s="70"/>
      <c r="C303" s="70"/>
      <c r="D303" s="70"/>
      <c r="E303" s="70"/>
      <c r="F303" s="70"/>
      <c r="G303" s="70"/>
      <c r="H303" s="70"/>
      <c r="I303" s="70"/>
      <c r="J303" s="70"/>
      <c r="K303" s="70"/>
      <c r="L303" s="70"/>
      <c r="M303" s="70"/>
      <c r="N303" s="70"/>
      <c r="O303" s="70"/>
      <c r="P303" s="70"/>
      <c r="Q303" s="70"/>
      <c r="R303" s="70"/>
      <c r="S303" s="70"/>
      <c r="T303" s="70"/>
      <c r="U303" s="70"/>
      <c r="V303" s="70"/>
      <c r="W303" s="70"/>
      <c r="X303" s="70"/>
      <c r="Y303" s="70"/>
      <c r="Z303" s="70"/>
    </row>
    <row r="304" spans="1:26" ht="13">
      <c r="A304" s="70"/>
      <c r="B304" s="70"/>
      <c r="C304" s="70"/>
      <c r="D304" s="70"/>
      <c r="E304" s="70"/>
      <c r="F304" s="70"/>
      <c r="G304" s="70"/>
      <c r="H304" s="70"/>
      <c r="I304" s="70"/>
      <c r="J304" s="70"/>
      <c r="K304" s="70"/>
      <c r="L304" s="70"/>
      <c r="M304" s="70"/>
      <c r="N304" s="70"/>
      <c r="O304" s="70"/>
      <c r="P304" s="70"/>
      <c r="Q304" s="70"/>
      <c r="R304" s="70"/>
      <c r="S304" s="70"/>
      <c r="T304" s="70"/>
      <c r="U304" s="70"/>
      <c r="V304" s="70"/>
      <c r="W304" s="70"/>
      <c r="X304" s="70"/>
      <c r="Y304" s="70"/>
      <c r="Z304" s="70"/>
    </row>
    <row r="305" spans="1:26" ht="13">
      <c r="A305" s="70"/>
      <c r="B305" s="70"/>
      <c r="C305" s="70"/>
      <c r="D305" s="70"/>
      <c r="E305" s="70"/>
      <c r="F305" s="70"/>
      <c r="G305" s="70"/>
      <c r="H305" s="70"/>
      <c r="I305" s="70"/>
      <c r="J305" s="70"/>
      <c r="K305" s="70"/>
      <c r="L305" s="70"/>
      <c r="M305" s="70"/>
      <c r="N305" s="70"/>
      <c r="O305" s="70"/>
      <c r="P305" s="70"/>
      <c r="Q305" s="70"/>
      <c r="R305" s="70"/>
      <c r="S305" s="70"/>
      <c r="T305" s="70"/>
      <c r="U305" s="70"/>
      <c r="V305" s="70"/>
      <c r="W305" s="70"/>
      <c r="X305" s="70"/>
      <c r="Y305" s="70"/>
      <c r="Z305" s="70"/>
    </row>
    <row r="306" spans="1:26" ht="13">
      <c r="A306" s="70"/>
      <c r="B306" s="70"/>
      <c r="C306" s="70"/>
      <c r="D306" s="70"/>
      <c r="E306" s="70"/>
      <c r="F306" s="70"/>
      <c r="G306" s="70"/>
      <c r="H306" s="70"/>
      <c r="I306" s="70"/>
      <c r="J306" s="70"/>
      <c r="K306" s="70"/>
      <c r="L306" s="70"/>
      <c r="M306" s="70"/>
      <c r="N306" s="70"/>
      <c r="O306" s="70"/>
      <c r="P306" s="70"/>
      <c r="Q306" s="70"/>
      <c r="R306" s="70"/>
      <c r="S306" s="70"/>
      <c r="T306" s="70"/>
      <c r="U306" s="70"/>
      <c r="V306" s="70"/>
      <c r="W306" s="70"/>
      <c r="X306" s="70"/>
      <c r="Y306" s="70"/>
      <c r="Z306" s="70"/>
    </row>
    <row r="307" spans="1:26" ht="13">
      <c r="A307" s="70"/>
      <c r="B307" s="70"/>
      <c r="C307" s="70"/>
      <c r="D307" s="70"/>
      <c r="E307" s="70"/>
      <c r="F307" s="70"/>
      <c r="G307" s="70"/>
      <c r="H307" s="70"/>
      <c r="I307" s="70"/>
      <c r="J307" s="70"/>
      <c r="K307" s="70"/>
      <c r="L307" s="70"/>
      <c r="M307" s="70"/>
      <c r="N307" s="70"/>
      <c r="O307" s="70"/>
      <c r="P307" s="70"/>
      <c r="Q307" s="70"/>
      <c r="R307" s="70"/>
      <c r="S307" s="70"/>
      <c r="T307" s="70"/>
      <c r="U307" s="70"/>
      <c r="V307" s="70"/>
      <c r="W307" s="70"/>
      <c r="X307" s="70"/>
      <c r="Y307" s="70"/>
      <c r="Z307" s="70"/>
    </row>
    <row r="308" spans="1:26" ht="13">
      <c r="A308" s="70"/>
      <c r="B308" s="70"/>
      <c r="C308" s="70"/>
      <c r="D308" s="70"/>
      <c r="E308" s="70"/>
      <c r="F308" s="70"/>
      <c r="G308" s="70"/>
      <c r="H308" s="70"/>
      <c r="I308" s="70"/>
      <c r="J308" s="70"/>
      <c r="K308" s="70"/>
      <c r="L308" s="70"/>
      <c r="M308" s="70"/>
      <c r="N308" s="70"/>
      <c r="O308" s="70"/>
      <c r="P308" s="70"/>
      <c r="Q308" s="70"/>
      <c r="R308" s="70"/>
      <c r="S308" s="70"/>
      <c r="T308" s="70"/>
      <c r="U308" s="70"/>
      <c r="V308" s="70"/>
      <c r="W308" s="70"/>
      <c r="X308" s="70"/>
      <c r="Y308" s="70"/>
      <c r="Z308" s="70"/>
    </row>
    <row r="309" spans="1:26" ht="13">
      <c r="A309" s="70"/>
      <c r="B309" s="70"/>
      <c r="C309" s="70"/>
      <c r="D309" s="70"/>
      <c r="E309" s="70"/>
      <c r="F309" s="70"/>
      <c r="G309" s="70"/>
      <c r="H309" s="70"/>
      <c r="I309" s="70"/>
      <c r="J309" s="70"/>
      <c r="K309" s="70"/>
      <c r="L309" s="70"/>
      <c r="M309" s="70"/>
      <c r="N309" s="70"/>
      <c r="O309" s="70"/>
      <c r="P309" s="70"/>
      <c r="Q309" s="70"/>
      <c r="R309" s="70"/>
      <c r="S309" s="70"/>
      <c r="T309" s="70"/>
      <c r="U309" s="70"/>
      <c r="V309" s="70"/>
      <c r="W309" s="70"/>
      <c r="X309" s="70"/>
      <c r="Y309" s="70"/>
      <c r="Z309" s="70"/>
    </row>
    <row r="310" spans="1:26" ht="13">
      <c r="A310" s="70"/>
      <c r="B310" s="70"/>
      <c r="C310" s="70"/>
      <c r="D310" s="70"/>
      <c r="E310" s="70"/>
      <c r="F310" s="70"/>
      <c r="G310" s="70"/>
      <c r="H310" s="70"/>
      <c r="I310" s="70"/>
      <c r="J310" s="70"/>
      <c r="K310" s="70"/>
      <c r="L310" s="70"/>
      <c r="M310" s="70"/>
      <c r="N310" s="70"/>
      <c r="O310" s="70"/>
      <c r="P310" s="70"/>
      <c r="Q310" s="70"/>
      <c r="R310" s="70"/>
      <c r="S310" s="70"/>
      <c r="T310" s="70"/>
      <c r="U310" s="70"/>
      <c r="V310" s="70"/>
      <c r="W310" s="70"/>
      <c r="X310" s="70"/>
      <c r="Y310" s="70"/>
      <c r="Z310" s="70"/>
    </row>
    <row r="311" spans="1:26" ht="13">
      <c r="A311" s="70"/>
      <c r="B311" s="70"/>
      <c r="C311" s="70"/>
      <c r="D311" s="70"/>
      <c r="E311" s="70"/>
      <c r="F311" s="70"/>
      <c r="G311" s="70"/>
      <c r="H311" s="70"/>
      <c r="I311" s="70"/>
      <c r="J311" s="70"/>
      <c r="K311" s="70"/>
      <c r="L311" s="70"/>
      <c r="M311" s="70"/>
      <c r="N311" s="70"/>
      <c r="O311" s="70"/>
      <c r="P311" s="70"/>
      <c r="Q311" s="70"/>
      <c r="R311" s="70"/>
      <c r="S311" s="70"/>
      <c r="T311" s="70"/>
      <c r="U311" s="70"/>
      <c r="V311" s="70"/>
      <c r="W311" s="70"/>
      <c r="X311" s="70"/>
      <c r="Y311" s="70"/>
      <c r="Z311" s="70"/>
    </row>
    <row r="312" spans="1:26" ht="13">
      <c r="A312" s="70"/>
      <c r="B312" s="70"/>
      <c r="C312" s="70"/>
      <c r="D312" s="70"/>
      <c r="E312" s="70"/>
      <c r="F312" s="70"/>
      <c r="G312" s="70"/>
      <c r="H312" s="70"/>
      <c r="I312" s="70"/>
      <c r="J312" s="70"/>
      <c r="K312" s="70"/>
      <c r="L312" s="70"/>
      <c r="M312" s="70"/>
      <c r="N312" s="70"/>
      <c r="O312" s="70"/>
      <c r="P312" s="70"/>
      <c r="Q312" s="70"/>
      <c r="R312" s="70"/>
      <c r="S312" s="70"/>
      <c r="T312" s="70"/>
      <c r="U312" s="70"/>
      <c r="V312" s="70"/>
      <c r="W312" s="70"/>
      <c r="X312" s="70"/>
      <c r="Y312" s="70"/>
      <c r="Z312" s="70"/>
    </row>
    <row r="313" spans="1:26" ht="13">
      <c r="A313" s="70"/>
      <c r="B313" s="70"/>
      <c r="C313" s="70"/>
      <c r="D313" s="70"/>
      <c r="E313" s="70"/>
      <c r="F313" s="70"/>
      <c r="G313" s="70"/>
      <c r="H313" s="70"/>
      <c r="I313" s="70"/>
      <c r="J313" s="70"/>
      <c r="K313" s="70"/>
      <c r="L313" s="70"/>
      <c r="M313" s="70"/>
      <c r="N313" s="70"/>
      <c r="O313" s="70"/>
      <c r="P313" s="70"/>
      <c r="Q313" s="70"/>
      <c r="R313" s="70"/>
      <c r="S313" s="70"/>
      <c r="T313" s="70"/>
      <c r="U313" s="70"/>
      <c r="V313" s="70"/>
      <c r="W313" s="70"/>
      <c r="X313" s="70"/>
      <c r="Y313" s="70"/>
      <c r="Z313" s="70"/>
    </row>
    <row r="314" spans="1:26" ht="13">
      <c r="A314" s="70"/>
      <c r="B314" s="70"/>
      <c r="C314" s="70"/>
      <c r="D314" s="70"/>
      <c r="E314" s="70"/>
      <c r="F314" s="70"/>
      <c r="G314" s="70"/>
      <c r="H314" s="70"/>
      <c r="I314" s="70"/>
      <c r="J314" s="70"/>
      <c r="K314" s="70"/>
      <c r="L314" s="70"/>
      <c r="M314" s="70"/>
      <c r="N314" s="70"/>
      <c r="O314" s="70"/>
      <c r="P314" s="70"/>
      <c r="Q314" s="70"/>
      <c r="R314" s="70"/>
      <c r="S314" s="70"/>
      <c r="T314" s="70"/>
      <c r="U314" s="70"/>
      <c r="V314" s="70"/>
      <c r="W314" s="70"/>
      <c r="X314" s="70"/>
      <c r="Y314" s="70"/>
      <c r="Z314" s="70"/>
    </row>
    <row r="315" spans="1:26" ht="13">
      <c r="A315" s="70"/>
      <c r="B315" s="70"/>
      <c r="C315" s="70"/>
      <c r="D315" s="70"/>
      <c r="E315" s="70"/>
      <c r="F315" s="70"/>
      <c r="G315" s="70"/>
      <c r="H315" s="70"/>
      <c r="I315" s="70"/>
      <c r="J315" s="70"/>
      <c r="K315" s="70"/>
      <c r="L315" s="70"/>
      <c r="M315" s="70"/>
      <c r="N315" s="70"/>
      <c r="O315" s="70"/>
      <c r="P315" s="70"/>
      <c r="Q315" s="70"/>
      <c r="R315" s="70"/>
      <c r="S315" s="70"/>
      <c r="T315" s="70"/>
      <c r="U315" s="70"/>
      <c r="V315" s="70"/>
      <c r="W315" s="70"/>
      <c r="X315" s="70"/>
      <c r="Y315" s="70"/>
      <c r="Z315" s="70"/>
    </row>
    <row r="316" spans="1:26" ht="13">
      <c r="A316" s="70"/>
      <c r="B316" s="70"/>
      <c r="C316" s="70"/>
      <c r="D316" s="70"/>
      <c r="E316" s="70"/>
      <c r="F316" s="70"/>
      <c r="G316" s="70"/>
      <c r="H316" s="70"/>
      <c r="I316" s="70"/>
      <c r="J316" s="70"/>
      <c r="K316" s="70"/>
      <c r="L316" s="70"/>
      <c r="M316" s="70"/>
      <c r="N316" s="70"/>
      <c r="O316" s="70"/>
      <c r="P316" s="70"/>
      <c r="Q316" s="70"/>
      <c r="R316" s="70"/>
      <c r="S316" s="70"/>
      <c r="T316" s="70"/>
      <c r="U316" s="70"/>
      <c r="V316" s="70"/>
      <c r="W316" s="70"/>
      <c r="X316" s="70"/>
      <c r="Y316" s="70"/>
      <c r="Z316" s="70"/>
    </row>
    <row r="317" spans="1:26" ht="13">
      <c r="A317" s="70"/>
      <c r="B317" s="70"/>
      <c r="C317" s="70"/>
      <c r="D317" s="70"/>
      <c r="E317" s="70"/>
      <c r="F317" s="70"/>
      <c r="G317" s="70"/>
      <c r="H317" s="70"/>
      <c r="I317" s="70"/>
      <c r="J317" s="70"/>
      <c r="K317" s="70"/>
      <c r="L317" s="70"/>
      <c r="M317" s="70"/>
      <c r="N317" s="70"/>
      <c r="O317" s="70"/>
      <c r="P317" s="70"/>
      <c r="Q317" s="70"/>
      <c r="R317" s="70"/>
      <c r="S317" s="70"/>
      <c r="T317" s="70"/>
      <c r="U317" s="70"/>
      <c r="V317" s="70"/>
      <c r="W317" s="70"/>
      <c r="X317" s="70"/>
      <c r="Y317" s="70"/>
      <c r="Z317" s="70"/>
    </row>
    <row r="318" spans="1:26" ht="13">
      <c r="A318" s="70"/>
      <c r="B318" s="70"/>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row>
    <row r="319" spans="1:26" ht="13">
      <c r="A319" s="70"/>
      <c r="B319" s="70"/>
      <c r="C319" s="70"/>
      <c r="D319" s="70"/>
      <c r="E319" s="70"/>
      <c r="F319" s="70"/>
      <c r="G319" s="70"/>
      <c r="H319" s="70"/>
      <c r="I319" s="70"/>
      <c r="J319" s="70"/>
      <c r="K319" s="70"/>
      <c r="L319" s="70"/>
      <c r="M319" s="70"/>
      <c r="N319" s="70"/>
      <c r="O319" s="70"/>
      <c r="P319" s="70"/>
      <c r="Q319" s="70"/>
      <c r="R319" s="70"/>
      <c r="S319" s="70"/>
      <c r="T319" s="70"/>
      <c r="U319" s="70"/>
      <c r="V319" s="70"/>
      <c r="W319" s="70"/>
      <c r="X319" s="70"/>
      <c r="Y319" s="70"/>
      <c r="Z319" s="70"/>
    </row>
    <row r="320" spans="1:26" ht="13">
      <c r="A320" s="70"/>
      <c r="B320" s="70"/>
      <c r="C320" s="70"/>
      <c r="D320" s="70"/>
      <c r="E320" s="70"/>
      <c r="F320" s="70"/>
      <c r="G320" s="70"/>
      <c r="H320" s="70"/>
      <c r="I320" s="70"/>
      <c r="J320" s="70"/>
      <c r="K320" s="70"/>
      <c r="L320" s="70"/>
      <c r="M320" s="70"/>
      <c r="N320" s="70"/>
      <c r="O320" s="70"/>
      <c r="P320" s="70"/>
      <c r="Q320" s="70"/>
      <c r="R320" s="70"/>
      <c r="S320" s="70"/>
      <c r="T320" s="70"/>
      <c r="U320" s="70"/>
      <c r="V320" s="70"/>
      <c r="W320" s="70"/>
      <c r="X320" s="70"/>
      <c r="Y320" s="70"/>
      <c r="Z320" s="70"/>
    </row>
    <row r="321" spans="1:26" ht="13">
      <c r="A321" s="70"/>
      <c r="B321" s="70"/>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row>
    <row r="322" spans="1:26" ht="13">
      <c r="A322" s="70"/>
      <c r="B322" s="70"/>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row>
    <row r="323" spans="1:26" ht="13">
      <c r="A323" s="70"/>
      <c r="B323" s="70"/>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row>
    <row r="324" spans="1:26" ht="13">
      <c r="A324" s="70"/>
      <c r="B324" s="70"/>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row>
    <row r="325" spans="1:26" ht="13">
      <c r="A325" s="70"/>
      <c r="B325" s="70"/>
      <c r="C325" s="70"/>
      <c r="D325" s="70"/>
      <c r="E325" s="70"/>
      <c r="F325" s="70"/>
      <c r="G325" s="70"/>
      <c r="H325" s="70"/>
      <c r="I325" s="70"/>
      <c r="J325" s="70"/>
      <c r="K325" s="70"/>
      <c r="L325" s="70"/>
      <c r="M325" s="70"/>
      <c r="N325" s="70"/>
      <c r="O325" s="70"/>
      <c r="P325" s="70"/>
      <c r="Q325" s="70"/>
      <c r="R325" s="70"/>
      <c r="S325" s="70"/>
      <c r="T325" s="70"/>
      <c r="U325" s="70"/>
      <c r="V325" s="70"/>
      <c r="W325" s="70"/>
      <c r="X325" s="70"/>
      <c r="Y325" s="70"/>
      <c r="Z325" s="70"/>
    </row>
    <row r="326" spans="1:26" ht="13">
      <c r="A326" s="70"/>
      <c r="B326" s="70"/>
      <c r="C326" s="70"/>
      <c r="D326" s="70"/>
      <c r="E326" s="70"/>
      <c r="F326" s="70"/>
      <c r="G326" s="70"/>
      <c r="H326" s="70"/>
      <c r="I326" s="70"/>
      <c r="J326" s="70"/>
      <c r="K326" s="70"/>
      <c r="L326" s="70"/>
      <c r="M326" s="70"/>
      <c r="N326" s="70"/>
      <c r="O326" s="70"/>
      <c r="P326" s="70"/>
      <c r="Q326" s="70"/>
      <c r="R326" s="70"/>
      <c r="S326" s="70"/>
      <c r="T326" s="70"/>
      <c r="U326" s="70"/>
      <c r="V326" s="70"/>
      <c r="W326" s="70"/>
      <c r="X326" s="70"/>
      <c r="Y326" s="70"/>
      <c r="Z326" s="70"/>
    </row>
    <row r="327" spans="1:26" ht="13">
      <c r="A327" s="70"/>
      <c r="B327" s="70"/>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row>
    <row r="328" spans="1:26" ht="13">
      <c r="A328" s="70"/>
      <c r="B328" s="70"/>
      <c r="C328" s="70"/>
      <c r="D328" s="70"/>
      <c r="E328" s="70"/>
      <c r="F328" s="70"/>
      <c r="G328" s="70"/>
      <c r="H328" s="70"/>
      <c r="I328" s="70"/>
      <c r="J328" s="70"/>
      <c r="K328" s="70"/>
      <c r="L328" s="70"/>
      <c r="M328" s="70"/>
      <c r="N328" s="70"/>
      <c r="O328" s="70"/>
      <c r="P328" s="70"/>
      <c r="Q328" s="70"/>
      <c r="R328" s="70"/>
      <c r="S328" s="70"/>
      <c r="T328" s="70"/>
      <c r="U328" s="70"/>
      <c r="V328" s="70"/>
      <c r="W328" s="70"/>
      <c r="X328" s="70"/>
      <c r="Y328" s="70"/>
      <c r="Z328" s="70"/>
    </row>
    <row r="329" spans="1:26" ht="13">
      <c r="A329" s="70"/>
      <c r="B329" s="70"/>
      <c r="C329" s="70"/>
      <c r="D329" s="70"/>
      <c r="E329" s="70"/>
      <c r="F329" s="70"/>
      <c r="G329" s="70"/>
      <c r="H329" s="70"/>
      <c r="I329" s="70"/>
      <c r="J329" s="70"/>
      <c r="K329" s="70"/>
      <c r="L329" s="70"/>
      <c r="M329" s="70"/>
      <c r="N329" s="70"/>
      <c r="O329" s="70"/>
      <c r="P329" s="70"/>
      <c r="Q329" s="70"/>
      <c r="R329" s="70"/>
      <c r="S329" s="70"/>
      <c r="T329" s="70"/>
      <c r="U329" s="70"/>
      <c r="V329" s="70"/>
      <c r="W329" s="70"/>
      <c r="X329" s="70"/>
      <c r="Y329" s="70"/>
      <c r="Z329" s="70"/>
    </row>
    <row r="330" spans="1:26" ht="13">
      <c r="A330" s="70"/>
      <c r="B330" s="70"/>
      <c r="C330" s="70"/>
      <c r="D330" s="70"/>
      <c r="E330" s="70"/>
      <c r="F330" s="70"/>
      <c r="G330" s="70"/>
      <c r="H330" s="70"/>
      <c r="I330" s="70"/>
      <c r="J330" s="70"/>
      <c r="K330" s="70"/>
      <c r="L330" s="70"/>
      <c r="M330" s="70"/>
      <c r="N330" s="70"/>
      <c r="O330" s="70"/>
      <c r="P330" s="70"/>
      <c r="Q330" s="70"/>
      <c r="R330" s="70"/>
      <c r="S330" s="70"/>
      <c r="T330" s="70"/>
      <c r="U330" s="70"/>
      <c r="V330" s="70"/>
      <c r="W330" s="70"/>
      <c r="X330" s="70"/>
      <c r="Y330" s="70"/>
      <c r="Z330" s="70"/>
    </row>
    <row r="331" spans="1:26" ht="13">
      <c r="A331" s="70"/>
      <c r="B331" s="70"/>
      <c r="C331" s="70"/>
      <c r="D331" s="70"/>
      <c r="E331" s="70"/>
      <c r="F331" s="70"/>
      <c r="G331" s="70"/>
      <c r="H331" s="70"/>
      <c r="I331" s="70"/>
      <c r="J331" s="70"/>
      <c r="K331" s="70"/>
      <c r="L331" s="70"/>
      <c r="M331" s="70"/>
      <c r="N331" s="70"/>
      <c r="O331" s="70"/>
      <c r="P331" s="70"/>
      <c r="Q331" s="70"/>
      <c r="R331" s="70"/>
      <c r="S331" s="70"/>
      <c r="T331" s="70"/>
      <c r="U331" s="70"/>
      <c r="V331" s="70"/>
      <c r="W331" s="70"/>
      <c r="X331" s="70"/>
      <c r="Y331" s="70"/>
      <c r="Z331" s="70"/>
    </row>
    <row r="332" spans="1:26" ht="13">
      <c r="A332" s="70"/>
      <c r="B332" s="70"/>
      <c r="C332" s="70"/>
      <c r="D332" s="70"/>
      <c r="E332" s="70"/>
      <c r="F332" s="70"/>
      <c r="G332" s="70"/>
      <c r="H332" s="70"/>
      <c r="I332" s="70"/>
      <c r="J332" s="70"/>
      <c r="K332" s="70"/>
      <c r="L332" s="70"/>
      <c r="M332" s="70"/>
      <c r="N332" s="70"/>
      <c r="O332" s="70"/>
      <c r="P332" s="70"/>
      <c r="Q332" s="70"/>
      <c r="R332" s="70"/>
      <c r="S332" s="70"/>
      <c r="T332" s="70"/>
      <c r="U332" s="70"/>
      <c r="V332" s="70"/>
      <c r="W332" s="70"/>
      <c r="X332" s="70"/>
      <c r="Y332" s="70"/>
      <c r="Z332" s="70"/>
    </row>
    <row r="333" spans="1:26" ht="13">
      <c r="A333" s="70"/>
      <c r="B333" s="70"/>
      <c r="C333" s="70"/>
      <c r="D333" s="70"/>
      <c r="E333" s="70"/>
      <c r="F333" s="70"/>
      <c r="G333" s="70"/>
      <c r="H333" s="70"/>
      <c r="I333" s="70"/>
      <c r="J333" s="70"/>
      <c r="K333" s="70"/>
      <c r="L333" s="70"/>
      <c r="M333" s="70"/>
      <c r="N333" s="70"/>
      <c r="O333" s="70"/>
      <c r="P333" s="70"/>
      <c r="Q333" s="70"/>
      <c r="R333" s="70"/>
      <c r="S333" s="70"/>
      <c r="T333" s="70"/>
      <c r="U333" s="70"/>
      <c r="V333" s="70"/>
      <c r="W333" s="70"/>
      <c r="X333" s="70"/>
      <c r="Y333" s="70"/>
      <c r="Z333" s="70"/>
    </row>
    <row r="334" spans="1:26" ht="13">
      <c r="A334" s="70"/>
      <c r="B334" s="70"/>
      <c r="C334" s="70"/>
      <c r="D334" s="70"/>
      <c r="E334" s="70"/>
      <c r="F334" s="70"/>
      <c r="G334" s="70"/>
      <c r="H334" s="70"/>
      <c r="I334" s="70"/>
      <c r="J334" s="70"/>
      <c r="K334" s="70"/>
      <c r="L334" s="70"/>
      <c r="M334" s="70"/>
      <c r="N334" s="70"/>
      <c r="O334" s="70"/>
      <c r="P334" s="70"/>
      <c r="Q334" s="70"/>
      <c r="R334" s="70"/>
      <c r="S334" s="70"/>
      <c r="T334" s="70"/>
      <c r="U334" s="70"/>
      <c r="V334" s="70"/>
      <c r="W334" s="70"/>
      <c r="X334" s="70"/>
      <c r="Y334" s="70"/>
      <c r="Z334" s="70"/>
    </row>
    <row r="335" spans="1:26" ht="13">
      <c r="A335" s="70"/>
      <c r="B335" s="70"/>
      <c r="C335" s="70"/>
      <c r="D335" s="70"/>
      <c r="E335" s="70"/>
      <c r="F335" s="70"/>
      <c r="G335" s="70"/>
      <c r="H335" s="70"/>
      <c r="I335" s="70"/>
      <c r="J335" s="70"/>
      <c r="K335" s="70"/>
      <c r="L335" s="70"/>
      <c r="M335" s="70"/>
      <c r="N335" s="70"/>
      <c r="O335" s="70"/>
      <c r="P335" s="70"/>
      <c r="Q335" s="70"/>
      <c r="R335" s="70"/>
      <c r="S335" s="70"/>
      <c r="T335" s="70"/>
      <c r="U335" s="70"/>
      <c r="V335" s="70"/>
      <c r="W335" s="70"/>
      <c r="X335" s="70"/>
      <c r="Y335" s="70"/>
      <c r="Z335" s="70"/>
    </row>
    <row r="336" spans="1:26" ht="13">
      <c r="A336" s="70"/>
      <c r="B336" s="70"/>
      <c r="C336" s="70"/>
      <c r="D336" s="70"/>
      <c r="E336" s="70"/>
      <c r="F336" s="70"/>
      <c r="G336" s="70"/>
      <c r="H336" s="70"/>
      <c r="I336" s="70"/>
      <c r="J336" s="70"/>
      <c r="K336" s="70"/>
      <c r="L336" s="70"/>
      <c r="M336" s="70"/>
      <c r="N336" s="70"/>
      <c r="O336" s="70"/>
      <c r="P336" s="70"/>
      <c r="Q336" s="70"/>
      <c r="R336" s="70"/>
      <c r="S336" s="70"/>
      <c r="T336" s="70"/>
      <c r="U336" s="70"/>
      <c r="V336" s="70"/>
      <c r="W336" s="70"/>
      <c r="X336" s="70"/>
      <c r="Y336" s="70"/>
      <c r="Z336" s="70"/>
    </row>
    <row r="337" spans="1:26" ht="13">
      <c r="A337" s="70"/>
      <c r="B337" s="70"/>
      <c r="C337" s="70"/>
      <c r="D337" s="70"/>
      <c r="E337" s="70"/>
      <c r="F337" s="70"/>
      <c r="G337" s="70"/>
      <c r="H337" s="70"/>
      <c r="I337" s="70"/>
      <c r="J337" s="70"/>
      <c r="K337" s="70"/>
      <c r="L337" s="70"/>
      <c r="M337" s="70"/>
      <c r="N337" s="70"/>
      <c r="O337" s="70"/>
      <c r="P337" s="70"/>
      <c r="Q337" s="70"/>
      <c r="R337" s="70"/>
      <c r="S337" s="70"/>
      <c r="T337" s="70"/>
      <c r="U337" s="70"/>
      <c r="V337" s="70"/>
      <c r="W337" s="70"/>
      <c r="X337" s="70"/>
      <c r="Y337" s="70"/>
      <c r="Z337" s="70"/>
    </row>
    <row r="338" spans="1:26" ht="13">
      <c r="A338" s="70"/>
      <c r="B338" s="70"/>
      <c r="C338" s="70"/>
      <c r="D338" s="70"/>
      <c r="E338" s="70"/>
      <c r="F338" s="70"/>
      <c r="G338" s="70"/>
      <c r="H338" s="70"/>
      <c r="I338" s="70"/>
      <c r="J338" s="70"/>
      <c r="K338" s="70"/>
      <c r="L338" s="70"/>
      <c r="M338" s="70"/>
      <c r="N338" s="70"/>
      <c r="O338" s="70"/>
      <c r="P338" s="70"/>
      <c r="Q338" s="70"/>
      <c r="R338" s="70"/>
      <c r="S338" s="70"/>
      <c r="T338" s="70"/>
      <c r="U338" s="70"/>
      <c r="V338" s="70"/>
      <c r="W338" s="70"/>
      <c r="X338" s="70"/>
      <c r="Y338" s="70"/>
      <c r="Z338" s="70"/>
    </row>
    <row r="339" spans="1:26" ht="13">
      <c r="A339" s="70"/>
      <c r="B339" s="70"/>
      <c r="C339" s="70"/>
      <c r="D339" s="70"/>
      <c r="E339" s="70"/>
      <c r="F339" s="70"/>
      <c r="G339" s="70"/>
      <c r="H339" s="70"/>
      <c r="I339" s="70"/>
      <c r="J339" s="70"/>
      <c r="K339" s="70"/>
      <c r="L339" s="70"/>
      <c r="M339" s="70"/>
      <c r="N339" s="70"/>
      <c r="O339" s="70"/>
      <c r="P339" s="70"/>
      <c r="Q339" s="70"/>
      <c r="R339" s="70"/>
      <c r="S339" s="70"/>
      <c r="T339" s="70"/>
      <c r="U339" s="70"/>
      <c r="V339" s="70"/>
      <c r="W339" s="70"/>
      <c r="X339" s="70"/>
      <c r="Y339" s="70"/>
      <c r="Z339" s="70"/>
    </row>
    <row r="340" spans="1:26" ht="13">
      <c r="A340" s="70"/>
      <c r="B340" s="70"/>
      <c r="C340" s="70"/>
      <c r="D340" s="70"/>
      <c r="E340" s="70"/>
      <c r="F340" s="70"/>
      <c r="G340" s="70"/>
      <c r="H340" s="70"/>
      <c r="I340" s="70"/>
      <c r="J340" s="70"/>
      <c r="K340" s="70"/>
      <c r="L340" s="70"/>
      <c r="M340" s="70"/>
      <c r="N340" s="70"/>
      <c r="O340" s="70"/>
      <c r="P340" s="70"/>
      <c r="Q340" s="70"/>
      <c r="R340" s="70"/>
      <c r="S340" s="70"/>
      <c r="T340" s="70"/>
      <c r="U340" s="70"/>
      <c r="V340" s="70"/>
      <c r="W340" s="70"/>
      <c r="X340" s="70"/>
      <c r="Y340" s="70"/>
      <c r="Z340" s="70"/>
    </row>
    <row r="341" spans="1:26" ht="13">
      <c r="A341" s="70"/>
      <c r="B341" s="70"/>
      <c r="C341" s="70"/>
      <c r="D341" s="70"/>
      <c r="E341" s="70"/>
      <c r="F341" s="70"/>
      <c r="G341" s="70"/>
      <c r="H341" s="70"/>
      <c r="I341" s="70"/>
      <c r="J341" s="70"/>
      <c r="K341" s="70"/>
      <c r="L341" s="70"/>
      <c r="M341" s="70"/>
      <c r="N341" s="70"/>
      <c r="O341" s="70"/>
      <c r="P341" s="70"/>
      <c r="Q341" s="70"/>
      <c r="R341" s="70"/>
      <c r="S341" s="70"/>
      <c r="T341" s="70"/>
      <c r="U341" s="70"/>
      <c r="V341" s="70"/>
      <c r="W341" s="70"/>
      <c r="X341" s="70"/>
      <c r="Y341" s="70"/>
      <c r="Z341" s="70"/>
    </row>
    <row r="342" spans="1:26" ht="13">
      <c r="A342" s="70"/>
      <c r="B342" s="70"/>
      <c r="C342" s="70"/>
      <c r="D342" s="70"/>
      <c r="E342" s="70"/>
      <c r="F342" s="70"/>
      <c r="G342" s="70"/>
      <c r="H342" s="70"/>
      <c r="I342" s="70"/>
      <c r="J342" s="70"/>
      <c r="K342" s="70"/>
      <c r="L342" s="70"/>
      <c r="M342" s="70"/>
      <c r="N342" s="70"/>
      <c r="O342" s="70"/>
      <c r="P342" s="70"/>
      <c r="Q342" s="70"/>
      <c r="R342" s="70"/>
      <c r="S342" s="70"/>
      <c r="T342" s="70"/>
      <c r="U342" s="70"/>
      <c r="V342" s="70"/>
      <c r="W342" s="70"/>
      <c r="X342" s="70"/>
      <c r="Y342" s="70"/>
      <c r="Z342" s="70"/>
    </row>
    <row r="343" spans="1:26" ht="13">
      <c r="A343" s="70"/>
      <c r="B343" s="70"/>
      <c r="C343" s="70"/>
      <c r="D343" s="70"/>
      <c r="E343" s="70"/>
      <c r="F343" s="70"/>
      <c r="G343" s="70"/>
      <c r="H343" s="70"/>
      <c r="I343" s="70"/>
      <c r="J343" s="70"/>
      <c r="K343" s="70"/>
      <c r="L343" s="70"/>
      <c r="M343" s="70"/>
      <c r="N343" s="70"/>
      <c r="O343" s="70"/>
      <c r="P343" s="70"/>
      <c r="Q343" s="70"/>
      <c r="R343" s="70"/>
      <c r="S343" s="70"/>
      <c r="T343" s="70"/>
      <c r="U343" s="70"/>
      <c r="V343" s="70"/>
      <c r="W343" s="70"/>
      <c r="X343" s="70"/>
      <c r="Y343" s="70"/>
      <c r="Z343" s="70"/>
    </row>
    <row r="344" spans="1:26" ht="13">
      <c r="A344" s="70"/>
      <c r="B344" s="70"/>
      <c r="C344" s="70"/>
      <c r="D344" s="70"/>
      <c r="E344" s="70"/>
      <c r="F344" s="70"/>
      <c r="G344" s="70"/>
      <c r="H344" s="70"/>
      <c r="I344" s="70"/>
      <c r="J344" s="70"/>
      <c r="K344" s="70"/>
      <c r="L344" s="70"/>
      <c r="M344" s="70"/>
      <c r="N344" s="70"/>
      <c r="O344" s="70"/>
      <c r="P344" s="70"/>
      <c r="Q344" s="70"/>
      <c r="R344" s="70"/>
      <c r="S344" s="70"/>
      <c r="T344" s="70"/>
      <c r="U344" s="70"/>
      <c r="V344" s="70"/>
      <c r="W344" s="70"/>
      <c r="X344" s="70"/>
      <c r="Y344" s="70"/>
      <c r="Z344" s="70"/>
    </row>
    <row r="345" spans="1:26" ht="13">
      <c r="A345" s="70"/>
      <c r="B345" s="70"/>
      <c r="C345" s="70"/>
      <c r="D345" s="70"/>
      <c r="E345" s="70"/>
      <c r="F345" s="70"/>
      <c r="G345" s="70"/>
      <c r="H345" s="70"/>
      <c r="I345" s="70"/>
      <c r="J345" s="70"/>
      <c r="K345" s="70"/>
      <c r="L345" s="70"/>
      <c r="M345" s="70"/>
      <c r="N345" s="70"/>
      <c r="O345" s="70"/>
      <c r="P345" s="70"/>
      <c r="Q345" s="70"/>
      <c r="R345" s="70"/>
      <c r="S345" s="70"/>
      <c r="T345" s="70"/>
      <c r="U345" s="70"/>
      <c r="V345" s="70"/>
      <c r="W345" s="70"/>
      <c r="X345" s="70"/>
      <c r="Y345" s="70"/>
      <c r="Z345" s="70"/>
    </row>
    <row r="346" spans="1:26" ht="13">
      <c r="A346" s="70"/>
      <c r="B346" s="70"/>
      <c r="C346" s="70"/>
      <c r="D346" s="70"/>
      <c r="E346" s="70"/>
      <c r="F346" s="70"/>
      <c r="G346" s="70"/>
      <c r="H346" s="70"/>
      <c r="I346" s="70"/>
      <c r="J346" s="70"/>
      <c r="K346" s="70"/>
      <c r="L346" s="70"/>
      <c r="M346" s="70"/>
      <c r="N346" s="70"/>
      <c r="O346" s="70"/>
      <c r="P346" s="70"/>
      <c r="Q346" s="70"/>
      <c r="R346" s="70"/>
      <c r="S346" s="70"/>
      <c r="T346" s="70"/>
      <c r="U346" s="70"/>
      <c r="V346" s="70"/>
      <c r="W346" s="70"/>
      <c r="X346" s="70"/>
      <c r="Y346" s="70"/>
      <c r="Z346" s="70"/>
    </row>
    <row r="347" spans="1:26" ht="13">
      <c r="A347" s="70"/>
      <c r="B347" s="70"/>
      <c r="C347" s="70"/>
      <c r="D347" s="70"/>
      <c r="E347" s="70"/>
      <c r="F347" s="70"/>
      <c r="G347" s="70"/>
      <c r="H347" s="70"/>
      <c r="I347" s="70"/>
      <c r="J347" s="70"/>
      <c r="K347" s="70"/>
      <c r="L347" s="70"/>
      <c r="M347" s="70"/>
      <c r="N347" s="70"/>
      <c r="O347" s="70"/>
      <c r="P347" s="70"/>
      <c r="Q347" s="70"/>
      <c r="R347" s="70"/>
      <c r="S347" s="70"/>
      <c r="T347" s="70"/>
      <c r="U347" s="70"/>
      <c r="V347" s="70"/>
      <c r="W347" s="70"/>
      <c r="X347" s="70"/>
      <c r="Y347" s="70"/>
      <c r="Z347" s="70"/>
    </row>
    <row r="348" spans="1:26" ht="13">
      <c r="A348" s="70"/>
      <c r="B348" s="70"/>
      <c r="C348" s="70"/>
      <c r="D348" s="70"/>
      <c r="E348" s="70"/>
      <c r="F348" s="70"/>
      <c r="G348" s="70"/>
      <c r="H348" s="70"/>
      <c r="I348" s="70"/>
      <c r="J348" s="70"/>
      <c r="K348" s="70"/>
      <c r="L348" s="70"/>
      <c r="M348" s="70"/>
      <c r="N348" s="70"/>
      <c r="O348" s="70"/>
      <c r="P348" s="70"/>
      <c r="Q348" s="70"/>
      <c r="R348" s="70"/>
      <c r="S348" s="70"/>
      <c r="T348" s="70"/>
      <c r="U348" s="70"/>
      <c r="V348" s="70"/>
      <c r="W348" s="70"/>
      <c r="X348" s="70"/>
      <c r="Y348" s="70"/>
      <c r="Z348" s="70"/>
    </row>
    <row r="349" spans="1:26" ht="13">
      <c r="A349" s="70"/>
      <c r="B349" s="70"/>
      <c r="C349" s="70"/>
      <c r="D349" s="70"/>
      <c r="E349" s="70"/>
      <c r="F349" s="70"/>
      <c r="G349" s="70"/>
      <c r="H349" s="70"/>
      <c r="I349" s="70"/>
      <c r="J349" s="70"/>
      <c r="K349" s="70"/>
      <c r="L349" s="70"/>
      <c r="M349" s="70"/>
      <c r="N349" s="70"/>
      <c r="O349" s="70"/>
      <c r="P349" s="70"/>
      <c r="Q349" s="70"/>
      <c r="R349" s="70"/>
      <c r="S349" s="70"/>
      <c r="T349" s="70"/>
      <c r="U349" s="70"/>
      <c r="V349" s="70"/>
      <c r="W349" s="70"/>
      <c r="X349" s="70"/>
      <c r="Y349" s="70"/>
      <c r="Z349" s="70"/>
    </row>
    <row r="350" spans="1:26" ht="13">
      <c r="A350" s="70"/>
      <c r="B350" s="70"/>
      <c r="C350" s="70"/>
      <c r="D350" s="70"/>
      <c r="E350" s="70"/>
      <c r="F350" s="70"/>
      <c r="G350" s="70"/>
      <c r="H350" s="70"/>
      <c r="I350" s="70"/>
      <c r="J350" s="70"/>
      <c r="K350" s="70"/>
      <c r="L350" s="70"/>
      <c r="M350" s="70"/>
      <c r="N350" s="70"/>
      <c r="O350" s="70"/>
      <c r="P350" s="70"/>
      <c r="Q350" s="70"/>
      <c r="R350" s="70"/>
      <c r="S350" s="70"/>
      <c r="T350" s="70"/>
      <c r="U350" s="70"/>
      <c r="V350" s="70"/>
      <c r="W350" s="70"/>
      <c r="X350" s="70"/>
      <c r="Y350" s="70"/>
      <c r="Z350" s="70"/>
    </row>
    <row r="351" spans="1:26" ht="13">
      <c r="A351" s="70"/>
      <c r="B351" s="70"/>
      <c r="C351" s="70"/>
      <c r="D351" s="70"/>
      <c r="E351" s="70"/>
      <c r="F351" s="70"/>
      <c r="G351" s="70"/>
      <c r="H351" s="70"/>
      <c r="I351" s="70"/>
      <c r="J351" s="70"/>
      <c r="K351" s="70"/>
      <c r="L351" s="70"/>
      <c r="M351" s="70"/>
      <c r="N351" s="70"/>
      <c r="O351" s="70"/>
      <c r="P351" s="70"/>
      <c r="Q351" s="70"/>
      <c r="R351" s="70"/>
      <c r="S351" s="70"/>
      <c r="T351" s="70"/>
      <c r="U351" s="70"/>
      <c r="V351" s="70"/>
      <c r="W351" s="70"/>
      <c r="X351" s="70"/>
      <c r="Y351" s="70"/>
      <c r="Z351" s="70"/>
    </row>
    <row r="352" spans="1:26" ht="13">
      <c r="A352" s="70"/>
      <c r="B352" s="70"/>
      <c r="C352" s="70"/>
      <c r="D352" s="70"/>
      <c r="E352" s="70"/>
      <c r="F352" s="70"/>
      <c r="G352" s="70"/>
      <c r="H352" s="70"/>
      <c r="I352" s="70"/>
      <c r="J352" s="70"/>
      <c r="K352" s="70"/>
      <c r="L352" s="70"/>
      <c r="M352" s="70"/>
      <c r="N352" s="70"/>
      <c r="O352" s="70"/>
      <c r="P352" s="70"/>
      <c r="Q352" s="70"/>
      <c r="R352" s="70"/>
      <c r="S352" s="70"/>
      <c r="T352" s="70"/>
      <c r="U352" s="70"/>
      <c r="V352" s="70"/>
      <c r="W352" s="70"/>
      <c r="X352" s="70"/>
      <c r="Y352" s="70"/>
      <c r="Z352" s="70"/>
    </row>
    <row r="353" spans="1:26" ht="13">
      <c r="A353" s="70"/>
      <c r="B353" s="70"/>
      <c r="C353" s="70"/>
      <c r="D353" s="70"/>
      <c r="E353" s="70"/>
      <c r="F353" s="70"/>
      <c r="G353" s="70"/>
      <c r="H353" s="70"/>
      <c r="I353" s="70"/>
      <c r="J353" s="70"/>
      <c r="K353" s="70"/>
      <c r="L353" s="70"/>
      <c r="M353" s="70"/>
      <c r="N353" s="70"/>
      <c r="O353" s="70"/>
      <c r="P353" s="70"/>
      <c r="Q353" s="70"/>
      <c r="R353" s="70"/>
      <c r="S353" s="70"/>
      <c r="T353" s="70"/>
      <c r="U353" s="70"/>
      <c r="V353" s="70"/>
      <c r="W353" s="70"/>
      <c r="X353" s="70"/>
      <c r="Y353" s="70"/>
      <c r="Z353" s="70"/>
    </row>
    <row r="354" spans="1:26" ht="13">
      <c r="A354" s="70"/>
      <c r="B354" s="70"/>
      <c r="C354" s="70"/>
      <c r="D354" s="70"/>
      <c r="E354" s="70"/>
      <c r="F354" s="70"/>
      <c r="G354" s="70"/>
      <c r="H354" s="70"/>
      <c r="I354" s="70"/>
      <c r="J354" s="70"/>
      <c r="K354" s="70"/>
      <c r="L354" s="70"/>
      <c r="M354" s="70"/>
      <c r="N354" s="70"/>
      <c r="O354" s="70"/>
      <c r="P354" s="70"/>
      <c r="Q354" s="70"/>
      <c r="R354" s="70"/>
      <c r="S354" s="70"/>
      <c r="T354" s="70"/>
      <c r="U354" s="70"/>
      <c r="V354" s="70"/>
      <c r="W354" s="70"/>
      <c r="X354" s="70"/>
      <c r="Y354" s="70"/>
      <c r="Z354" s="70"/>
    </row>
    <row r="355" spans="1:26" ht="13">
      <c r="A355" s="70"/>
      <c r="B355" s="70"/>
      <c r="C355" s="70"/>
      <c r="D355" s="70"/>
      <c r="E355" s="70"/>
      <c r="F355" s="70"/>
      <c r="G355" s="70"/>
      <c r="H355" s="70"/>
      <c r="I355" s="70"/>
      <c r="J355" s="70"/>
      <c r="K355" s="70"/>
      <c r="L355" s="70"/>
      <c r="M355" s="70"/>
      <c r="N355" s="70"/>
      <c r="O355" s="70"/>
      <c r="P355" s="70"/>
      <c r="Q355" s="70"/>
      <c r="R355" s="70"/>
      <c r="S355" s="70"/>
      <c r="T355" s="70"/>
      <c r="U355" s="70"/>
      <c r="V355" s="70"/>
      <c r="W355" s="70"/>
      <c r="X355" s="70"/>
      <c r="Y355" s="70"/>
      <c r="Z355" s="70"/>
    </row>
    <row r="356" spans="1:26" ht="13">
      <c r="A356" s="70"/>
      <c r="B356" s="70"/>
      <c r="C356" s="70"/>
      <c r="D356" s="70"/>
      <c r="E356" s="70"/>
      <c r="F356" s="70"/>
      <c r="G356" s="70"/>
      <c r="H356" s="70"/>
      <c r="I356" s="70"/>
      <c r="J356" s="70"/>
      <c r="K356" s="70"/>
      <c r="L356" s="70"/>
      <c r="M356" s="70"/>
      <c r="N356" s="70"/>
      <c r="O356" s="70"/>
      <c r="P356" s="70"/>
      <c r="Q356" s="70"/>
      <c r="R356" s="70"/>
      <c r="S356" s="70"/>
      <c r="T356" s="70"/>
      <c r="U356" s="70"/>
      <c r="V356" s="70"/>
      <c r="W356" s="70"/>
      <c r="X356" s="70"/>
      <c r="Y356" s="70"/>
      <c r="Z356" s="70"/>
    </row>
    <row r="357" spans="1:26" ht="13">
      <c r="A357" s="70"/>
      <c r="B357" s="70"/>
      <c r="C357" s="70"/>
      <c r="D357" s="70"/>
      <c r="E357" s="70"/>
      <c r="F357" s="70"/>
      <c r="G357" s="70"/>
      <c r="H357" s="70"/>
      <c r="I357" s="70"/>
      <c r="J357" s="70"/>
      <c r="K357" s="70"/>
      <c r="L357" s="70"/>
      <c r="M357" s="70"/>
      <c r="N357" s="70"/>
      <c r="O357" s="70"/>
      <c r="P357" s="70"/>
      <c r="Q357" s="70"/>
      <c r="R357" s="70"/>
      <c r="S357" s="70"/>
      <c r="T357" s="70"/>
      <c r="U357" s="70"/>
      <c r="V357" s="70"/>
      <c r="W357" s="70"/>
      <c r="X357" s="70"/>
      <c r="Y357" s="70"/>
      <c r="Z357" s="70"/>
    </row>
    <row r="358" spans="1:26" ht="13">
      <c r="A358" s="70"/>
      <c r="B358" s="70"/>
      <c r="C358" s="70"/>
      <c r="D358" s="70"/>
      <c r="E358" s="70"/>
      <c r="F358" s="70"/>
      <c r="G358" s="70"/>
      <c r="H358" s="70"/>
      <c r="I358" s="70"/>
      <c r="J358" s="70"/>
      <c r="K358" s="70"/>
      <c r="L358" s="70"/>
      <c r="M358" s="70"/>
      <c r="N358" s="70"/>
      <c r="O358" s="70"/>
      <c r="P358" s="70"/>
      <c r="Q358" s="70"/>
      <c r="R358" s="70"/>
      <c r="S358" s="70"/>
      <c r="T358" s="70"/>
      <c r="U358" s="70"/>
      <c r="V358" s="70"/>
      <c r="W358" s="70"/>
      <c r="X358" s="70"/>
      <c r="Y358" s="70"/>
      <c r="Z358" s="70"/>
    </row>
    <row r="359" spans="1:26" ht="13">
      <c r="A359" s="70"/>
      <c r="B359" s="70"/>
      <c r="C359" s="70"/>
      <c r="D359" s="70"/>
      <c r="E359" s="70"/>
      <c r="F359" s="70"/>
      <c r="G359" s="70"/>
      <c r="H359" s="70"/>
      <c r="I359" s="70"/>
      <c r="J359" s="70"/>
      <c r="K359" s="70"/>
      <c r="L359" s="70"/>
      <c r="M359" s="70"/>
      <c r="N359" s="70"/>
      <c r="O359" s="70"/>
      <c r="P359" s="70"/>
      <c r="Q359" s="70"/>
      <c r="R359" s="70"/>
      <c r="S359" s="70"/>
      <c r="T359" s="70"/>
      <c r="U359" s="70"/>
      <c r="V359" s="70"/>
      <c r="W359" s="70"/>
      <c r="X359" s="70"/>
      <c r="Y359" s="70"/>
      <c r="Z359" s="70"/>
    </row>
    <row r="360" spans="1:26" ht="13">
      <c r="A360" s="70"/>
      <c r="B360" s="70"/>
      <c r="C360" s="70"/>
      <c r="D360" s="70"/>
      <c r="E360" s="70"/>
      <c r="F360" s="70"/>
      <c r="G360" s="70"/>
      <c r="H360" s="70"/>
      <c r="I360" s="70"/>
      <c r="J360" s="70"/>
      <c r="K360" s="70"/>
      <c r="L360" s="70"/>
      <c r="M360" s="70"/>
      <c r="N360" s="70"/>
      <c r="O360" s="70"/>
      <c r="P360" s="70"/>
      <c r="Q360" s="70"/>
      <c r="R360" s="70"/>
      <c r="S360" s="70"/>
      <c r="T360" s="70"/>
      <c r="U360" s="70"/>
      <c r="V360" s="70"/>
      <c r="W360" s="70"/>
      <c r="X360" s="70"/>
      <c r="Y360" s="70"/>
      <c r="Z360" s="70"/>
    </row>
    <row r="361" spans="1:26" ht="13">
      <c r="A361" s="70"/>
      <c r="B361" s="70"/>
      <c r="C361" s="70"/>
      <c r="D361" s="70"/>
      <c r="E361" s="70"/>
      <c r="F361" s="70"/>
      <c r="G361" s="70"/>
      <c r="H361" s="70"/>
      <c r="I361" s="70"/>
      <c r="J361" s="70"/>
      <c r="K361" s="70"/>
      <c r="L361" s="70"/>
      <c r="M361" s="70"/>
      <c r="N361" s="70"/>
      <c r="O361" s="70"/>
      <c r="P361" s="70"/>
      <c r="Q361" s="70"/>
      <c r="R361" s="70"/>
      <c r="S361" s="70"/>
      <c r="T361" s="70"/>
      <c r="U361" s="70"/>
      <c r="V361" s="70"/>
      <c r="W361" s="70"/>
      <c r="X361" s="70"/>
      <c r="Y361" s="70"/>
      <c r="Z361" s="70"/>
    </row>
    <row r="362" spans="1:26" ht="13">
      <c r="A362" s="70"/>
      <c r="B362" s="70"/>
      <c r="C362" s="70"/>
      <c r="D362" s="70"/>
      <c r="E362" s="70"/>
      <c r="F362" s="70"/>
      <c r="G362" s="70"/>
      <c r="H362" s="70"/>
      <c r="I362" s="70"/>
      <c r="J362" s="70"/>
      <c r="K362" s="70"/>
      <c r="L362" s="70"/>
      <c r="M362" s="70"/>
      <c r="N362" s="70"/>
      <c r="O362" s="70"/>
      <c r="P362" s="70"/>
      <c r="Q362" s="70"/>
      <c r="R362" s="70"/>
      <c r="S362" s="70"/>
      <c r="T362" s="70"/>
      <c r="U362" s="70"/>
      <c r="V362" s="70"/>
      <c r="W362" s="70"/>
      <c r="X362" s="70"/>
      <c r="Y362" s="70"/>
      <c r="Z362" s="70"/>
    </row>
    <row r="363" spans="1:26" ht="13">
      <c r="A363" s="70"/>
      <c r="B363" s="70"/>
      <c r="C363" s="70"/>
      <c r="D363" s="70"/>
      <c r="E363" s="70"/>
      <c r="F363" s="70"/>
      <c r="G363" s="70"/>
      <c r="H363" s="70"/>
      <c r="I363" s="70"/>
      <c r="J363" s="70"/>
      <c r="K363" s="70"/>
      <c r="L363" s="70"/>
      <c r="M363" s="70"/>
      <c r="N363" s="70"/>
      <c r="O363" s="70"/>
      <c r="P363" s="70"/>
      <c r="Q363" s="70"/>
      <c r="R363" s="70"/>
      <c r="S363" s="70"/>
      <c r="T363" s="70"/>
      <c r="U363" s="70"/>
      <c r="V363" s="70"/>
      <c r="W363" s="70"/>
      <c r="X363" s="70"/>
      <c r="Y363" s="70"/>
      <c r="Z363" s="70"/>
    </row>
    <row r="364" spans="1:26" ht="13">
      <c r="A364" s="70"/>
      <c r="B364" s="70"/>
      <c r="C364" s="70"/>
      <c r="D364" s="70"/>
      <c r="E364" s="70"/>
      <c r="F364" s="70"/>
      <c r="G364" s="70"/>
      <c r="H364" s="70"/>
      <c r="I364" s="70"/>
      <c r="J364" s="70"/>
      <c r="K364" s="70"/>
      <c r="L364" s="70"/>
      <c r="M364" s="70"/>
      <c r="N364" s="70"/>
      <c r="O364" s="70"/>
      <c r="P364" s="70"/>
      <c r="Q364" s="70"/>
      <c r="R364" s="70"/>
      <c r="S364" s="70"/>
      <c r="T364" s="70"/>
      <c r="U364" s="70"/>
      <c r="V364" s="70"/>
      <c r="W364" s="70"/>
      <c r="X364" s="70"/>
      <c r="Y364" s="70"/>
      <c r="Z364" s="70"/>
    </row>
    <row r="365" spans="1:26" ht="13">
      <c r="A365" s="70"/>
      <c r="B365" s="70"/>
      <c r="C365" s="70"/>
      <c r="D365" s="70"/>
      <c r="E365" s="70"/>
      <c r="F365" s="70"/>
      <c r="G365" s="70"/>
      <c r="H365" s="70"/>
      <c r="I365" s="70"/>
      <c r="J365" s="70"/>
      <c r="K365" s="70"/>
      <c r="L365" s="70"/>
      <c r="M365" s="70"/>
      <c r="N365" s="70"/>
      <c r="O365" s="70"/>
      <c r="P365" s="70"/>
      <c r="Q365" s="70"/>
      <c r="R365" s="70"/>
      <c r="S365" s="70"/>
      <c r="T365" s="70"/>
      <c r="U365" s="70"/>
      <c r="V365" s="70"/>
      <c r="W365" s="70"/>
      <c r="X365" s="70"/>
      <c r="Y365" s="70"/>
      <c r="Z365" s="70"/>
    </row>
    <row r="366" spans="1:26" ht="13">
      <c r="A366" s="70"/>
      <c r="B366" s="70"/>
      <c r="C366" s="70"/>
      <c r="D366" s="70"/>
      <c r="E366" s="70"/>
      <c r="F366" s="70"/>
      <c r="G366" s="70"/>
      <c r="H366" s="70"/>
      <c r="I366" s="70"/>
      <c r="J366" s="70"/>
      <c r="K366" s="70"/>
      <c r="L366" s="70"/>
      <c r="M366" s="70"/>
      <c r="N366" s="70"/>
      <c r="O366" s="70"/>
      <c r="P366" s="70"/>
      <c r="Q366" s="70"/>
      <c r="R366" s="70"/>
      <c r="S366" s="70"/>
      <c r="T366" s="70"/>
      <c r="U366" s="70"/>
      <c r="V366" s="70"/>
      <c r="W366" s="70"/>
      <c r="X366" s="70"/>
      <c r="Y366" s="70"/>
      <c r="Z366" s="70"/>
    </row>
    <row r="367" spans="1:26" ht="13">
      <c r="A367" s="70"/>
      <c r="B367" s="70"/>
      <c r="C367" s="70"/>
      <c r="D367" s="70"/>
      <c r="E367" s="70"/>
      <c r="F367" s="70"/>
      <c r="G367" s="70"/>
      <c r="H367" s="70"/>
      <c r="I367" s="70"/>
      <c r="J367" s="70"/>
      <c r="K367" s="70"/>
      <c r="L367" s="70"/>
      <c r="M367" s="70"/>
      <c r="N367" s="70"/>
      <c r="O367" s="70"/>
      <c r="P367" s="70"/>
      <c r="Q367" s="70"/>
      <c r="R367" s="70"/>
      <c r="S367" s="70"/>
      <c r="T367" s="70"/>
      <c r="U367" s="70"/>
      <c r="V367" s="70"/>
      <c r="W367" s="70"/>
      <c r="X367" s="70"/>
      <c r="Y367" s="70"/>
      <c r="Z367" s="70"/>
    </row>
    <row r="368" spans="1:26" ht="13">
      <c r="A368" s="70"/>
      <c r="B368" s="70"/>
      <c r="C368" s="70"/>
      <c r="D368" s="70"/>
      <c r="E368" s="70"/>
      <c r="F368" s="70"/>
      <c r="G368" s="70"/>
      <c r="H368" s="70"/>
      <c r="I368" s="70"/>
      <c r="J368" s="70"/>
      <c r="K368" s="70"/>
      <c r="L368" s="70"/>
      <c r="M368" s="70"/>
      <c r="N368" s="70"/>
      <c r="O368" s="70"/>
      <c r="P368" s="70"/>
      <c r="Q368" s="70"/>
      <c r="R368" s="70"/>
      <c r="S368" s="70"/>
      <c r="T368" s="70"/>
      <c r="U368" s="70"/>
      <c r="V368" s="70"/>
      <c r="W368" s="70"/>
      <c r="X368" s="70"/>
      <c r="Y368" s="70"/>
      <c r="Z368" s="70"/>
    </row>
    <row r="369" spans="1:26" ht="13">
      <c r="A369" s="70"/>
      <c r="B369" s="70"/>
      <c r="C369" s="70"/>
      <c r="D369" s="70"/>
      <c r="E369" s="70"/>
      <c r="F369" s="70"/>
      <c r="G369" s="70"/>
      <c r="H369" s="70"/>
      <c r="I369" s="70"/>
      <c r="J369" s="70"/>
      <c r="K369" s="70"/>
      <c r="L369" s="70"/>
      <c r="M369" s="70"/>
      <c r="N369" s="70"/>
      <c r="O369" s="70"/>
      <c r="P369" s="70"/>
      <c r="Q369" s="70"/>
      <c r="R369" s="70"/>
      <c r="S369" s="70"/>
      <c r="T369" s="70"/>
      <c r="U369" s="70"/>
      <c r="V369" s="70"/>
      <c r="W369" s="70"/>
      <c r="X369" s="70"/>
      <c r="Y369" s="70"/>
      <c r="Z369" s="70"/>
    </row>
    <row r="370" spans="1:26" ht="13">
      <c r="A370" s="70"/>
      <c r="B370" s="70"/>
      <c r="C370" s="70"/>
      <c r="D370" s="70"/>
      <c r="E370" s="70"/>
      <c r="F370" s="70"/>
      <c r="G370" s="70"/>
      <c r="H370" s="70"/>
      <c r="I370" s="70"/>
      <c r="J370" s="70"/>
      <c r="K370" s="70"/>
      <c r="L370" s="70"/>
      <c r="M370" s="70"/>
      <c r="N370" s="70"/>
      <c r="O370" s="70"/>
      <c r="P370" s="70"/>
      <c r="Q370" s="70"/>
      <c r="R370" s="70"/>
      <c r="S370" s="70"/>
      <c r="T370" s="70"/>
      <c r="U370" s="70"/>
      <c r="V370" s="70"/>
      <c r="W370" s="70"/>
      <c r="X370" s="70"/>
      <c r="Y370" s="70"/>
      <c r="Z370" s="70"/>
    </row>
    <row r="371" spans="1:26" ht="13">
      <c r="A371" s="70"/>
      <c r="B371" s="70"/>
      <c r="C371" s="70"/>
      <c r="D371" s="70"/>
      <c r="E371" s="70"/>
      <c r="F371" s="70"/>
      <c r="G371" s="70"/>
      <c r="H371" s="70"/>
      <c r="I371" s="70"/>
      <c r="J371" s="70"/>
      <c r="K371" s="70"/>
      <c r="L371" s="70"/>
      <c r="M371" s="70"/>
      <c r="N371" s="70"/>
      <c r="O371" s="70"/>
      <c r="P371" s="70"/>
      <c r="Q371" s="70"/>
      <c r="R371" s="70"/>
      <c r="S371" s="70"/>
      <c r="T371" s="70"/>
      <c r="U371" s="70"/>
      <c r="V371" s="70"/>
      <c r="W371" s="70"/>
      <c r="X371" s="70"/>
      <c r="Y371" s="70"/>
      <c r="Z371" s="70"/>
    </row>
    <row r="372" spans="1:26" ht="13">
      <c r="A372" s="70"/>
      <c r="B372" s="70"/>
      <c r="C372" s="70"/>
      <c r="D372" s="70"/>
      <c r="E372" s="70"/>
      <c r="F372" s="70"/>
      <c r="G372" s="70"/>
      <c r="H372" s="70"/>
      <c r="I372" s="70"/>
      <c r="J372" s="70"/>
      <c r="K372" s="70"/>
      <c r="L372" s="70"/>
      <c r="M372" s="70"/>
      <c r="N372" s="70"/>
      <c r="O372" s="70"/>
      <c r="P372" s="70"/>
      <c r="Q372" s="70"/>
      <c r="R372" s="70"/>
      <c r="S372" s="70"/>
      <c r="T372" s="70"/>
      <c r="U372" s="70"/>
      <c r="V372" s="70"/>
      <c r="W372" s="70"/>
      <c r="X372" s="70"/>
      <c r="Y372" s="70"/>
      <c r="Z372" s="70"/>
    </row>
    <row r="373" spans="1:26" ht="13">
      <c r="A373" s="70"/>
      <c r="B373" s="70"/>
      <c r="C373" s="70"/>
      <c r="D373" s="70"/>
      <c r="E373" s="70"/>
      <c r="F373" s="70"/>
      <c r="G373" s="70"/>
      <c r="H373" s="70"/>
      <c r="I373" s="70"/>
      <c r="J373" s="70"/>
      <c r="K373" s="70"/>
      <c r="L373" s="70"/>
      <c r="M373" s="70"/>
      <c r="N373" s="70"/>
      <c r="O373" s="70"/>
      <c r="P373" s="70"/>
      <c r="Q373" s="70"/>
      <c r="R373" s="70"/>
      <c r="S373" s="70"/>
      <c r="T373" s="70"/>
      <c r="U373" s="70"/>
      <c r="V373" s="70"/>
      <c r="W373" s="70"/>
      <c r="X373" s="70"/>
      <c r="Y373" s="70"/>
      <c r="Z373" s="70"/>
    </row>
    <row r="374" spans="1:26" ht="13">
      <c r="A374" s="70"/>
      <c r="B374" s="70"/>
      <c r="C374" s="70"/>
      <c r="D374" s="70"/>
      <c r="E374" s="70"/>
      <c r="F374" s="70"/>
      <c r="G374" s="70"/>
      <c r="H374" s="70"/>
      <c r="I374" s="70"/>
      <c r="J374" s="70"/>
      <c r="K374" s="70"/>
      <c r="L374" s="70"/>
      <c r="M374" s="70"/>
      <c r="N374" s="70"/>
      <c r="O374" s="70"/>
      <c r="P374" s="70"/>
      <c r="Q374" s="70"/>
      <c r="R374" s="70"/>
      <c r="S374" s="70"/>
      <c r="T374" s="70"/>
      <c r="U374" s="70"/>
      <c r="V374" s="70"/>
      <c r="W374" s="70"/>
      <c r="X374" s="70"/>
      <c r="Y374" s="70"/>
      <c r="Z374" s="70"/>
    </row>
    <row r="375" spans="1:26" ht="13">
      <c r="A375" s="70"/>
      <c r="B375" s="70"/>
      <c r="C375" s="70"/>
      <c r="D375" s="70"/>
      <c r="E375" s="70"/>
      <c r="F375" s="70"/>
      <c r="G375" s="70"/>
      <c r="H375" s="70"/>
      <c r="I375" s="70"/>
      <c r="J375" s="70"/>
      <c r="K375" s="70"/>
      <c r="L375" s="70"/>
      <c r="M375" s="70"/>
      <c r="N375" s="70"/>
      <c r="O375" s="70"/>
      <c r="P375" s="70"/>
      <c r="Q375" s="70"/>
      <c r="R375" s="70"/>
      <c r="S375" s="70"/>
      <c r="T375" s="70"/>
      <c r="U375" s="70"/>
      <c r="V375" s="70"/>
      <c r="W375" s="70"/>
      <c r="X375" s="70"/>
      <c r="Y375" s="70"/>
      <c r="Z375" s="70"/>
    </row>
    <row r="376" spans="1:26" ht="13">
      <c r="A376" s="70"/>
      <c r="B376" s="70"/>
      <c r="C376" s="70"/>
      <c r="D376" s="70"/>
      <c r="E376" s="70"/>
      <c r="F376" s="70"/>
      <c r="G376" s="70"/>
      <c r="H376" s="70"/>
      <c r="I376" s="70"/>
      <c r="J376" s="70"/>
      <c r="K376" s="70"/>
      <c r="L376" s="70"/>
      <c r="M376" s="70"/>
      <c r="N376" s="70"/>
      <c r="O376" s="70"/>
      <c r="P376" s="70"/>
      <c r="Q376" s="70"/>
      <c r="R376" s="70"/>
      <c r="S376" s="70"/>
      <c r="T376" s="70"/>
      <c r="U376" s="70"/>
      <c r="V376" s="70"/>
      <c r="W376" s="70"/>
      <c r="X376" s="70"/>
      <c r="Y376" s="70"/>
      <c r="Z376" s="70"/>
    </row>
    <row r="377" spans="1:26" ht="13">
      <c r="A377" s="70"/>
      <c r="B377" s="70"/>
      <c r="C377" s="70"/>
      <c r="D377" s="70"/>
      <c r="E377" s="70"/>
      <c r="F377" s="70"/>
      <c r="G377" s="70"/>
      <c r="H377" s="70"/>
      <c r="I377" s="70"/>
      <c r="J377" s="70"/>
      <c r="K377" s="70"/>
      <c r="L377" s="70"/>
      <c r="M377" s="70"/>
      <c r="N377" s="70"/>
      <c r="O377" s="70"/>
      <c r="P377" s="70"/>
      <c r="Q377" s="70"/>
      <c r="R377" s="70"/>
      <c r="S377" s="70"/>
      <c r="T377" s="70"/>
      <c r="U377" s="70"/>
      <c r="V377" s="70"/>
      <c r="W377" s="70"/>
      <c r="X377" s="70"/>
      <c r="Y377" s="70"/>
      <c r="Z377" s="70"/>
    </row>
    <row r="378" spans="1:26" ht="13">
      <c r="A378" s="70"/>
      <c r="B378" s="70"/>
      <c r="C378" s="70"/>
      <c r="D378" s="70"/>
      <c r="E378" s="70"/>
      <c r="F378" s="70"/>
      <c r="G378" s="70"/>
      <c r="H378" s="70"/>
      <c r="I378" s="70"/>
      <c r="J378" s="70"/>
      <c r="K378" s="70"/>
      <c r="L378" s="70"/>
      <c r="M378" s="70"/>
      <c r="N378" s="70"/>
      <c r="O378" s="70"/>
      <c r="P378" s="70"/>
      <c r="Q378" s="70"/>
      <c r="R378" s="70"/>
      <c r="S378" s="70"/>
      <c r="T378" s="70"/>
      <c r="U378" s="70"/>
      <c r="V378" s="70"/>
      <c r="W378" s="70"/>
      <c r="X378" s="70"/>
      <c r="Y378" s="70"/>
      <c r="Z378" s="70"/>
    </row>
    <row r="379" spans="1:26" ht="13">
      <c r="A379" s="70"/>
      <c r="B379" s="70"/>
      <c r="C379" s="70"/>
      <c r="D379" s="70"/>
      <c r="E379" s="70"/>
      <c r="F379" s="70"/>
      <c r="G379" s="70"/>
      <c r="H379" s="70"/>
      <c r="I379" s="70"/>
      <c r="J379" s="70"/>
      <c r="K379" s="70"/>
      <c r="L379" s="70"/>
      <c r="M379" s="70"/>
      <c r="N379" s="70"/>
      <c r="O379" s="70"/>
      <c r="P379" s="70"/>
      <c r="Q379" s="70"/>
      <c r="R379" s="70"/>
      <c r="S379" s="70"/>
      <c r="T379" s="70"/>
      <c r="U379" s="70"/>
      <c r="V379" s="70"/>
      <c r="W379" s="70"/>
      <c r="X379" s="70"/>
      <c r="Y379" s="70"/>
      <c r="Z379" s="70"/>
    </row>
    <row r="380" spans="1:26" ht="13">
      <c r="A380" s="70"/>
      <c r="B380" s="70"/>
      <c r="C380" s="70"/>
      <c r="D380" s="70"/>
      <c r="E380" s="70"/>
      <c r="F380" s="70"/>
      <c r="G380" s="70"/>
      <c r="H380" s="70"/>
      <c r="I380" s="70"/>
      <c r="J380" s="70"/>
      <c r="K380" s="70"/>
      <c r="L380" s="70"/>
      <c r="M380" s="70"/>
      <c r="N380" s="70"/>
      <c r="O380" s="70"/>
      <c r="P380" s="70"/>
      <c r="Q380" s="70"/>
      <c r="R380" s="70"/>
      <c r="S380" s="70"/>
      <c r="T380" s="70"/>
      <c r="U380" s="70"/>
      <c r="V380" s="70"/>
      <c r="W380" s="70"/>
      <c r="X380" s="70"/>
      <c r="Y380" s="70"/>
      <c r="Z380" s="70"/>
    </row>
    <row r="381" spans="1:26" ht="13">
      <c r="A381" s="70"/>
      <c r="B381" s="70"/>
      <c r="C381" s="70"/>
      <c r="D381" s="70"/>
      <c r="E381" s="70"/>
      <c r="F381" s="70"/>
      <c r="G381" s="70"/>
      <c r="H381" s="70"/>
      <c r="I381" s="70"/>
      <c r="J381" s="70"/>
      <c r="K381" s="70"/>
      <c r="L381" s="70"/>
      <c r="M381" s="70"/>
      <c r="N381" s="70"/>
      <c r="O381" s="70"/>
      <c r="P381" s="70"/>
      <c r="Q381" s="70"/>
      <c r="R381" s="70"/>
      <c r="S381" s="70"/>
      <c r="T381" s="70"/>
      <c r="U381" s="70"/>
      <c r="V381" s="70"/>
      <c r="W381" s="70"/>
      <c r="X381" s="70"/>
      <c r="Y381" s="70"/>
      <c r="Z381" s="70"/>
    </row>
    <row r="382" spans="1:26" ht="13">
      <c r="A382" s="70"/>
      <c r="B382" s="70"/>
      <c r="C382" s="70"/>
      <c r="D382" s="70"/>
      <c r="E382" s="70"/>
      <c r="F382" s="70"/>
      <c r="G382" s="70"/>
      <c r="H382" s="70"/>
      <c r="I382" s="70"/>
      <c r="J382" s="70"/>
      <c r="K382" s="70"/>
      <c r="L382" s="70"/>
      <c r="M382" s="70"/>
      <c r="N382" s="70"/>
      <c r="O382" s="70"/>
      <c r="P382" s="70"/>
      <c r="Q382" s="70"/>
      <c r="R382" s="70"/>
      <c r="S382" s="70"/>
      <c r="T382" s="70"/>
      <c r="U382" s="70"/>
      <c r="V382" s="70"/>
      <c r="W382" s="70"/>
      <c r="X382" s="70"/>
      <c r="Y382" s="70"/>
      <c r="Z382" s="70"/>
    </row>
    <row r="383" spans="1:26" ht="13">
      <c r="A383" s="70"/>
      <c r="B383" s="70"/>
      <c r="C383" s="70"/>
      <c r="D383" s="70"/>
      <c r="E383" s="70"/>
      <c r="F383" s="70"/>
      <c r="G383" s="70"/>
      <c r="H383" s="70"/>
      <c r="I383" s="70"/>
      <c r="J383" s="70"/>
      <c r="K383" s="70"/>
      <c r="L383" s="70"/>
      <c r="M383" s="70"/>
      <c r="N383" s="70"/>
      <c r="O383" s="70"/>
      <c r="P383" s="70"/>
      <c r="Q383" s="70"/>
      <c r="R383" s="70"/>
      <c r="S383" s="70"/>
      <c r="T383" s="70"/>
      <c r="U383" s="70"/>
      <c r="V383" s="70"/>
      <c r="W383" s="70"/>
      <c r="X383" s="70"/>
      <c r="Y383" s="70"/>
      <c r="Z383" s="70"/>
    </row>
    <row r="384" spans="1:26" ht="13">
      <c r="A384" s="70"/>
      <c r="B384" s="70"/>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row>
    <row r="385" spans="1:26" ht="13">
      <c r="A385" s="70"/>
      <c r="B385" s="70"/>
      <c r="C385" s="70"/>
      <c r="D385" s="70"/>
      <c r="E385" s="70"/>
      <c r="F385" s="70"/>
      <c r="G385" s="70"/>
      <c r="H385" s="70"/>
      <c r="I385" s="70"/>
      <c r="J385" s="70"/>
      <c r="K385" s="70"/>
      <c r="L385" s="70"/>
      <c r="M385" s="70"/>
      <c r="N385" s="70"/>
      <c r="O385" s="70"/>
      <c r="P385" s="70"/>
      <c r="Q385" s="70"/>
      <c r="R385" s="70"/>
      <c r="S385" s="70"/>
      <c r="T385" s="70"/>
      <c r="U385" s="70"/>
      <c r="V385" s="70"/>
      <c r="W385" s="70"/>
      <c r="X385" s="70"/>
      <c r="Y385" s="70"/>
      <c r="Z385" s="70"/>
    </row>
    <row r="386" spans="1:26" ht="13">
      <c r="A386" s="70"/>
      <c r="B386" s="70"/>
      <c r="C386" s="70"/>
      <c r="D386" s="70"/>
      <c r="E386" s="70"/>
      <c r="F386" s="70"/>
      <c r="G386" s="70"/>
      <c r="H386" s="70"/>
      <c r="I386" s="70"/>
      <c r="J386" s="70"/>
      <c r="K386" s="70"/>
      <c r="L386" s="70"/>
      <c r="M386" s="70"/>
      <c r="N386" s="70"/>
      <c r="O386" s="70"/>
      <c r="P386" s="70"/>
      <c r="Q386" s="70"/>
      <c r="R386" s="70"/>
      <c r="S386" s="70"/>
      <c r="T386" s="70"/>
      <c r="U386" s="70"/>
      <c r="V386" s="70"/>
      <c r="W386" s="70"/>
      <c r="X386" s="70"/>
      <c r="Y386" s="70"/>
      <c r="Z386" s="70"/>
    </row>
    <row r="387" spans="1:26" ht="13">
      <c r="A387" s="70"/>
      <c r="B387" s="70"/>
      <c r="C387" s="70"/>
      <c r="D387" s="70"/>
      <c r="E387" s="70"/>
      <c r="F387" s="70"/>
      <c r="G387" s="70"/>
      <c r="H387" s="70"/>
      <c r="I387" s="70"/>
      <c r="J387" s="70"/>
      <c r="K387" s="70"/>
      <c r="L387" s="70"/>
      <c r="M387" s="70"/>
      <c r="N387" s="70"/>
      <c r="O387" s="70"/>
      <c r="P387" s="70"/>
      <c r="Q387" s="70"/>
      <c r="R387" s="70"/>
      <c r="S387" s="70"/>
      <c r="T387" s="70"/>
      <c r="U387" s="70"/>
      <c r="V387" s="70"/>
      <c r="W387" s="70"/>
      <c r="X387" s="70"/>
      <c r="Y387" s="70"/>
      <c r="Z387" s="70"/>
    </row>
    <row r="388" spans="1:26" ht="13">
      <c r="A388" s="70"/>
      <c r="B388" s="70"/>
      <c r="C388" s="70"/>
      <c r="D388" s="70"/>
      <c r="E388" s="70"/>
      <c r="F388" s="70"/>
      <c r="G388" s="70"/>
      <c r="H388" s="70"/>
      <c r="I388" s="70"/>
      <c r="J388" s="70"/>
      <c r="K388" s="70"/>
      <c r="L388" s="70"/>
      <c r="M388" s="70"/>
      <c r="N388" s="70"/>
      <c r="O388" s="70"/>
      <c r="P388" s="70"/>
      <c r="Q388" s="70"/>
      <c r="R388" s="70"/>
      <c r="S388" s="70"/>
      <c r="T388" s="70"/>
      <c r="U388" s="70"/>
      <c r="V388" s="70"/>
      <c r="W388" s="70"/>
      <c r="X388" s="70"/>
      <c r="Y388" s="70"/>
      <c r="Z388" s="70"/>
    </row>
    <row r="389" spans="1:26" ht="13">
      <c r="A389" s="70"/>
      <c r="B389" s="70"/>
      <c r="C389" s="70"/>
      <c r="D389" s="70"/>
      <c r="E389" s="70"/>
      <c r="F389" s="70"/>
      <c r="G389" s="70"/>
      <c r="H389" s="70"/>
      <c r="I389" s="70"/>
      <c r="J389" s="70"/>
      <c r="K389" s="70"/>
      <c r="L389" s="70"/>
      <c r="M389" s="70"/>
      <c r="N389" s="70"/>
      <c r="O389" s="70"/>
      <c r="P389" s="70"/>
      <c r="Q389" s="70"/>
      <c r="R389" s="70"/>
      <c r="S389" s="70"/>
      <c r="T389" s="70"/>
      <c r="U389" s="70"/>
      <c r="V389" s="70"/>
      <c r="W389" s="70"/>
      <c r="X389" s="70"/>
      <c r="Y389" s="70"/>
      <c r="Z389" s="70"/>
    </row>
    <row r="390" spans="1:26" ht="13">
      <c r="A390" s="70"/>
      <c r="B390" s="70"/>
      <c r="C390" s="70"/>
      <c r="D390" s="70"/>
      <c r="E390" s="70"/>
      <c r="F390" s="70"/>
      <c r="G390" s="70"/>
      <c r="H390" s="70"/>
      <c r="I390" s="70"/>
      <c r="J390" s="70"/>
      <c r="K390" s="70"/>
      <c r="L390" s="70"/>
      <c r="M390" s="70"/>
      <c r="N390" s="70"/>
      <c r="O390" s="70"/>
      <c r="P390" s="70"/>
      <c r="Q390" s="70"/>
      <c r="R390" s="70"/>
      <c r="S390" s="70"/>
      <c r="T390" s="70"/>
      <c r="U390" s="70"/>
      <c r="V390" s="70"/>
      <c r="W390" s="70"/>
      <c r="X390" s="70"/>
      <c r="Y390" s="70"/>
      <c r="Z390" s="70"/>
    </row>
    <row r="391" spans="1:26" ht="13">
      <c r="A391" s="70"/>
      <c r="B391" s="70"/>
      <c r="C391" s="70"/>
      <c r="D391" s="70"/>
      <c r="E391" s="70"/>
      <c r="F391" s="70"/>
      <c r="G391" s="70"/>
      <c r="H391" s="70"/>
      <c r="I391" s="70"/>
      <c r="J391" s="70"/>
      <c r="K391" s="70"/>
      <c r="L391" s="70"/>
      <c r="M391" s="70"/>
      <c r="N391" s="70"/>
      <c r="O391" s="70"/>
      <c r="P391" s="70"/>
      <c r="Q391" s="70"/>
      <c r="R391" s="70"/>
      <c r="S391" s="70"/>
      <c r="T391" s="70"/>
      <c r="U391" s="70"/>
      <c r="V391" s="70"/>
      <c r="W391" s="70"/>
      <c r="X391" s="70"/>
      <c r="Y391" s="70"/>
      <c r="Z391" s="70"/>
    </row>
    <row r="392" spans="1:26" ht="13">
      <c r="A392" s="70"/>
      <c r="B392" s="70"/>
      <c r="C392" s="70"/>
      <c r="D392" s="70"/>
      <c r="E392" s="70"/>
      <c r="F392" s="70"/>
      <c r="G392" s="70"/>
      <c r="H392" s="70"/>
      <c r="I392" s="70"/>
      <c r="J392" s="70"/>
      <c r="K392" s="70"/>
      <c r="L392" s="70"/>
      <c r="M392" s="70"/>
      <c r="N392" s="70"/>
      <c r="O392" s="70"/>
      <c r="P392" s="70"/>
      <c r="Q392" s="70"/>
      <c r="R392" s="70"/>
      <c r="S392" s="70"/>
      <c r="T392" s="70"/>
      <c r="U392" s="70"/>
      <c r="V392" s="70"/>
      <c r="W392" s="70"/>
      <c r="X392" s="70"/>
      <c r="Y392" s="70"/>
      <c r="Z392" s="70"/>
    </row>
    <row r="393" spans="1:26" ht="13">
      <c r="A393" s="70"/>
      <c r="B393" s="70"/>
      <c r="C393" s="70"/>
      <c r="D393" s="70"/>
      <c r="E393" s="70"/>
      <c r="F393" s="70"/>
      <c r="G393" s="70"/>
      <c r="H393" s="70"/>
      <c r="I393" s="70"/>
      <c r="J393" s="70"/>
      <c r="K393" s="70"/>
      <c r="L393" s="70"/>
      <c r="M393" s="70"/>
      <c r="N393" s="70"/>
      <c r="O393" s="70"/>
      <c r="P393" s="70"/>
      <c r="Q393" s="70"/>
      <c r="R393" s="70"/>
      <c r="S393" s="70"/>
      <c r="T393" s="70"/>
      <c r="U393" s="70"/>
      <c r="V393" s="70"/>
      <c r="W393" s="70"/>
      <c r="X393" s="70"/>
      <c r="Y393" s="70"/>
      <c r="Z393" s="70"/>
    </row>
    <row r="394" spans="1:26" ht="13">
      <c r="A394" s="70"/>
      <c r="B394" s="70"/>
      <c r="C394" s="70"/>
      <c r="D394" s="70"/>
      <c r="E394" s="70"/>
      <c r="F394" s="70"/>
      <c r="G394" s="70"/>
      <c r="H394" s="70"/>
      <c r="I394" s="70"/>
      <c r="J394" s="70"/>
      <c r="K394" s="70"/>
      <c r="L394" s="70"/>
      <c r="M394" s="70"/>
      <c r="N394" s="70"/>
      <c r="O394" s="70"/>
      <c r="P394" s="70"/>
      <c r="Q394" s="70"/>
      <c r="R394" s="70"/>
      <c r="S394" s="70"/>
      <c r="T394" s="70"/>
      <c r="U394" s="70"/>
      <c r="V394" s="70"/>
      <c r="W394" s="70"/>
      <c r="X394" s="70"/>
      <c r="Y394" s="70"/>
      <c r="Z394" s="70"/>
    </row>
    <row r="395" spans="1:26" ht="13">
      <c r="A395" s="70"/>
      <c r="B395" s="70"/>
      <c r="C395" s="70"/>
      <c r="D395" s="70"/>
      <c r="E395" s="70"/>
      <c r="F395" s="70"/>
      <c r="G395" s="70"/>
      <c r="H395" s="70"/>
      <c r="I395" s="70"/>
      <c r="J395" s="70"/>
      <c r="K395" s="70"/>
      <c r="L395" s="70"/>
      <c r="M395" s="70"/>
      <c r="N395" s="70"/>
      <c r="O395" s="70"/>
      <c r="P395" s="70"/>
      <c r="Q395" s="70"/>
      <c r="R395" s="70"/>
      <c r="S395" s="70"/>
      <c r="T395" s="70"/>
      <c r="U395" s="70"/>
      <c r="V395" s="70"/>
      <c r="W395" s="70"/>
      <c r="X395" s="70"/>
      <c r="Y395" s="70"/>
      <c r="Z395" s="70"/>
    </row>
    <row r="396" spans="1:26" ht="13">
      <c r="A396" s="70"/>
      <c r="B396" s="70"/>
      <c r="C396" s="70"/>
      <c r="D396" s="70"/>
      <c r="E396" s="70"/>
      <c r="F396" s="70"/>
      <c r="G396" s="70"/>
      <c r="H396" s="70"/>
      <c r="I396" s="70"/>
      <c r="J396" s="70"/>
      <c r="K396" s="70"/>
      <c r="L396" s="70"/>
      <c r="M396" s="70"/>
      <c r="N396" s="70"/>
      <c r="O396" s="70"/>
      <c r="P396" s="70"/>
      <c r="Q396" s="70"/>
      <c r="R396" s="70"/>
      <c r="S396" s="70"/>
      <c r="T396" s="70"/>
      <c r="U396" s="70"/>
      <c r="V396" s="70"/>
      <c r="W396" s="70"/>
      <c r="X396" s="70"/>
      <c r="Y396" s="70"/>
      <c r="Z396" s="70"/>
    </row>
    <row r="397" spans="1:26" ht="13">
      <c r="A397" s="70"/>
      <c r="B397" s="70"/>
      <c r="C397" s="70"/>
      <c r="D397" s="70"/>
      <c r="E397" s="70"/>
      <c r="F397" s="70"/>
      <c r="G397" s="70"/>
      <c r="H397" s="70"/>
      <c r="I397" s="70"/>
      <c r="J397" s="70"/>
      <c r="K397" s="70"/>
      <c r="L397" s="70"/>
      <c r="M397" s="70"/>
      <c r="N397" s="70"/>
      <c r="O397" s="70"/>
      <c r="P397" s="70"/>
      <c r="Q397" s="70"/>
      <c r="R397" s="70"/>
      <c r="S397" s="70"/>
      <c r="T397" s="70"/>
      <c r="U397" s="70"/>
      <c r="V397" s="70"/>
      <c r="W397" s="70"/>
      <c r="X397" s="70"/>
      <c r="Y397" s="70"/>
      <c r="Z397" s="70"/>
    </row>
    <row r="398" spans="1:26" ht="13">
      <c r="A398" s="70"/>
      <c r="B398" s="70"/>
      <c r="C398" s="70"/>
      <c r="D398" s="70"/>
      <c r="E398" s="70"/>
      <c r="F398" s="70"/>
      <c r="G398" s="70"/>
      <c r="H398" s="70"/>
      <c r="I398" s="70"/>
      <c r="J398" s="70"/>
      <c r="K398" s="70"/>
      <c r="L398" s="70"/>
      <c r="M398" s="70"/>
      <c r="N398" s="70"/>
      <c r="O398" s="70"/>
      <c r="P398" s="70"/>
      <c r="Q398" s="70"/>
      <c r="R398" s="70"/>
      <c r="S398" s="70"/>
      <c r="T398" s="70"/>
      <c r="U398" s="70"/>
      <c r="V398" s="70"/>
      <c r="W398" s="70"/>
      <c r="X398" s="70"/>
      <c r="Y398" s="70"/>
      <c r="Z398" s="70"/>
    </row>
    <row r="399" spans="1:26" ht="13">
      <c r="A399" s="70"/>
      <c r="B399" s="70"/>
      <c r="C399" s="70"/>
      <c r="D399" s="70"/>
      <c r="E399" s="70"/>
      <c r="F399" s="70"/>
      <c r="G399" s="70"/>
      <c r="H399" s="70"/>
      <c r="I399" s="70"/>
      <c r="J399" s="70"/>
      <c r="K399" s="70"/>
      <c r="L399" s="70"/>
      <c r="M399" s="70"/>
      <c r="N399" s="70"/>
      <c r="O399" s="70"/>
      <c r="P399" s="70"/>
      <c r="Q399" s="70"/>
      <c r="R399" s="70"/>
      <c r="S399" s="70"/>
      <c r="T399" s="70"/>
      <c r="U399" s="70"/>
      <c r="V399" s="70"/>
      <c r="W399" s="70"/>
      <c r="X399" s="70"/>
      <c r="Y399" s="70"/>
      <c r="Z399" s="70"/>
    </row>
    <row r="400" spans="1:26" ht="13">
      <c r="A400" s="70"/>
      <c r="B400" s="70"/>
      <c r="C400" s="70"/>
      <c r="D400" s="70"/>
      <c r="E400" s="70"/>
      <c r="F400" s="70"/>
      <c r="G400" s="70"/>
      <c r="H400" s="70"/>
      <c r="I400" s="70"/>
      <c r="J400" s="70"/>
      <c r="K400" s="70"/>
      <c r="L400" s="70"/>
      <c r="M400" s="70"/>
      <c r="N400" s="70"/>
      <c r="O400" s="70"/>
      <c r="P400" s="70"/>
      <c r="Q400" s="70"/>
      <c r="R400" s="70"/>
      <c r="S400" s="70"/>
      <c r="T400" s="70"/>
      <c r="U400" s="70"/>
      <c r="V400" s="70"/>
      <c r="W400" s="70"/>
      <c r="X400" s="70"/>
      <c r="Y400" s="70"/>
      <c r="Z400" s="70"/>
    </row>
    <row r="401" spans="1:26" ht="13">
      <c r="A401" s="70"/>
      <c r="B401" s="70"/>
      <c r="C401" s="70"/>
      <c r="D401" s="70"/>
      <c r="E401" s="70"/>
      <c r="F401" s="70"/>
      <c r="G401" s="70"/>
      <c r="H401" s="70"/>
      <c r="I401" s="70"/>
      <c r="J401" s="70"/>
      <c r="K401" s="70"/>
      <c r="L401" s="70"/>
      <c r="M401" s="70"/>
      <c r="N401" s="70"/>
      <c r="O401" s="70"/>
      <c r="P401" s="70"/>
      <c r="Q401" s="70"/>
      <c r="R401" s="70"/>
      <c r="S401" s="70"/>
      <c r="T401" s="70"/>
      <c r="U401" s="70"/>
      <c r="V401" s="70"/>
      <c r="W401" s="70"/>
      <c r="X401" s="70"/>
      <c r="Y401" s="70"/>
      <c r="Z401" s="70"/>
    </row>
    <row r="402" spans="1:26" ht="13">
      <c r="A402" s="70"/>
      <c r="B402" s="70"/>
      <c r="C402" s="70"/>
      <c r="D402" s="70"/>
      <c r="E402" s="70"/>
      <c r="F402" s="70"/>
      <c r="G402" s="70"/>
      <c r="H402" s="70"/>
      <c r="I402" s="70"/>
      <c r="J402" s="70"/>
      <c r="K402" s="70"/>
      <c r="L402" s="70"/>
      <c r="M402" s="70"/>
      <c r="N402" s="70"/>
      <c r="O402" s="70"/>
      <c r="P402" s="70"/>
      <c r="Q402" s="70"/>
      <c r="R402" s="70"/>
      <c r="S402" s="70"/>
      <c r="T402" s="70"/>
      <c r="U402" s="70"/>
      <c r="V402" s="70"/>
      <c r="W402" s="70"/>
      <c r="X402" s="70"/>
      <c r="Y402" s="70"/>
      <c r="Z402" s="70"/>
    </row>
    <row r="403" spans="1:26" ht="13">
      <c r="A403" s="70"/>
      <c r="B403" s="70"/>
      <c r="C403" s="70"/>
      <c r="D403" s="70"/>
      <c r="E403" s="70"/>
      <c r="F403" s="70"/>
      <c r="G403" s="70"/>
      <c r="H403" s="70"/>
      <c r="I403" s="70"/>
      <c r="J403" s="70"/>
      <c r="K403" s="70"/>
      <c r="L403" s="70"/>
      <c r="M403" s="70"/>
      <c r="N403" s="70"/>
      <c r="O403" s="70"/>
      <c r="P403" s="70"/>
      <c r="Q403" s="70"/>
      <c r="R403" s="70"/>
      <c r="S403" s="70"/>
      <c r="T403" s="70"/>
      <c r="U403" s="70"/>
      <c r="V403" s="70"/>
      <c r="W403" s="70"/>
      <c r="X403" s="70"/>
      <c r="Y403" s="70"/>
      <c r="Z403" s="70"/>
    </row>
    <row r="404" spans="1:26" ht="13">
      <c r="A404" s="70"/>
      <c r="B404" s="70"/>
      <c r="C404" s="70"/>
      <c r="D404" s="70"/>
      <c r="E404" s="70"/>
      <c r="F404" s="70"/>
      <c r="G404" s="70"/>
      <c r="H404" s="70"/>
      <c r="I404" s="70"/>
      <c r="J404" s="70"/>
      <c r="K404" s="70"/>
      <c r="L404" s="70"/>
      <c r="M404" s="70"/>
      <c r="N404" s="70"/>
      <c r="O404" s="70"/>
      <c r="P404" s="70"/>
      <c r="Q404" s="70"/>
      <c r="R404" s="70"/>
      <c r="S404" s="70"/>
      <c r="T404" s="70"/>
      <c r="U404" s="70"/>
      <c r="V404" s="70"/>
      <c r="W404" s="70"/>
      <c r="X404" s="70"/>
      <c r="Y404" s="70"/>
      <c r="Z404" s="70"/>
    </row>
    <row r="405" spans="1:26" ht="13">
      <c r="A405" s="70"/>
      <c r="B405" s="70"/>
      <c r="C405" s="70"/>
      <c r="D405" s="70"/>
      <c r="E405" s="70"/>
      <c r="F405" s="70"/>
      <c r="G405" s="70"/>
      <c r="H405" s="70"/>
      <c r="I405" s="70"/>
      <c r="J405" s="70"/>
      <c r="K405" s="70"/>
      <c r="L405" s="70"/>
      <c r="M405" s="70"/>
      <c r="N405" s="70"/>
      <c r="O405" s="70"/>
      <c r="P405" s="70"/>
      <c r="Q405" s="70"/>
      <c r="R405" s="70"/>
      <c r="S405" s="70"/>
      <c r="T405" s="70"/>
      <c r="U405" s="70"/>
      <c r="V405" s="70"/>
      <c r="W405" s="70"/>
      <c r="X405" s="70"/>
      <c r="Y405" s="70"/>
      <c r="Z405" s="70"/>
    </row>
    <row r="406" spans="1:26" ht="13">
      <c r="A406" s="70"/>
      <c r="B406" s="70"/>
      <c r="C406" s="70"/>
      <c r="D406" s="70"/>
      <c r="E406" s="70"/>
      <c r="F406" s="70"/>
      <c r="G406" s="70"/>
      <c r="H406" s="70"/>
      <c r="I406" s="70"/>
      <c r="J406" s="70"/>
      <c r="K406" s="70"/>
      <c r="L406" s="70"/>
      <c r="M406" s="70"/>
      <c r="N406" s="70"/>
      <c r="O406" s="70"/>
      <c r="P406" s="70"/>
      <c r="Q406" s="70"/>
      <c r="R406" s="70"/>
      <c r="S406" s="70"/>
      <c r="T406" s="70"/>
      <c r="U406" s="70"/>
      <c r="V406" s="70"/>
      <c r="W406" s="70"/>
      <c r="X406" s="70"/>
      <c r="Y406" s="70"/>
      <c r="Z406" s="70"/>
    </row>
    <row r="407" spans="1:26" ht="13">
      <c r="A407" s="70"/>
      <c r="B407" s="70"/>
      <c r="C407" s="70"/>
      <c r="D407" s="70"/>
      <c r="E407" s="70"/>
      <c r="F407" s="70"/>
      <c r="G407" s="70"/>
      <c r="H407" s="70"/>
      <c r="I407" s="70"/>
      <c r="J407" s="70"/>
      <c r="K407" s="70"/>
      <c r="L407" s="70"/>
      <c r="M407" s="70"/>
      <c r="N407" s="70"/>
      <c r="O407" s="70"/>
      <c r="P407" s="70"/>
      <c r="Q407" s="70"/>
      <c r="R407" s="70"/>
      <c r="S407" s="70"/>
      <c r="T407" s="70"/>
      <c r="U407" s="70"/>
      <c r="V407" s="70"/>
      <c r="W407" s="70"/>
      <c r="X407" s="70"/>
      <c r="Y407" s="70"/>
      <c r="Z407" s="70"/>
    </row>
    <row r="408" spans="1:26" ht="13">
      <c r="A408" s="70"/>
      <c r="B408" s="70"/>
      <c r="C408" s="70"/>
      <c r="D408" s="70"/>
      <c r="E408" s="70"/>
      <c r="F408" s="70"/>
      <c r="G408" s="70"/>
      <c r="H408" s="70"/>
      <c r="I408" s="70"/>
      <c r="J408" s="70"/>
      <c r="K408" s="70"/>
      <c r="L408" s="70"/>
      <c r="M408" s="70"/>
      <c r="N408" s="70"/>
      <c r="O408" s="70"/>
      <c r="P408" s="70"/>
      <c r="Q408" s="70"/>
      <c r="R408" s="70"/>
      <c r="S408" s="70"/>
      <c r="T408" s="70"/>
      <c r="U408" s="70"/>
      <c r="V408" s="70"/>
      <c r="W408" s="70"/>
      <c r="X408" s="70"/>
      <c r="Y408" s="70"/>
      <c r="Z408" s="70"/>
    </row>
    <row r="409" spans="1:26" ht="13">
      <c r="A409" s="70"/>
      <c r="B409" s="70"/>
      <c r="C409" s="70"/>
      <c r="D409" s="70"/>
      <c r="E409" s="70"/>
      <c r="F409" s="70"/>
      <c r="G409" s="70"/>
      <c r="H409" s="70"/>
      <c r="I409" s="70"/>
      <c r="J409" s="70"/>
      <c r="K409" s="70"/>
      <c r="L409" s="70"/>
      <c r="M409" s="70"/>
      <c r="N409" s="70"/>
      <c r="O409" s="70"/>
      <c r="P409" s="70"/>
      <c r="Q409" s="70"/>
      <c r="R409" s="70"/>
      <c r="S409" s="70"/>
      <c r="T409" s="70"/>
      <c r="U409" s="70"/>
      <c r="V409" s="70"/>
      <c r="W409" s="70"/>
      <c r="X409" s="70"/>
      <c r="Y409" s="70"/>
      <c r="Z409" s="70"/>
    </row>
    <row r="410" spans="1:26" ht="13">
      <c r="A410" s="70"/>
      <c r="B410" s="70"/>
      <c r="C410" s="70"/>
      <c r="D410" s="70"/>
      <c r="E410" s="70"/>
      <c r="F410" s="70"/>
      <c r="G410" s="70"/>
      <c r="H410" s="70"/>
      <c r="I410" s="70"/>
      <c r="J410" s="70"/>
      <c r="K410" s="70"/>
      <c r="L410" s="70"/>
      <c r="M410" s="70"/>
      <c r="N410" s="70"/>
      <c r="O410" s="70"/>
      <c r="P410" s="70"/>
      <c r="Q410" s="70"/>
      <c r="R410" s="70"/>
      <c r="S410" s="70"/>
      <c r="T410" s="70"/>
      <c r="U410" s="70"/>
      <c r="V410" s="70"/>
      <c r="W410" s="70"/>
      <c r="X410" s="70"/>
      <c r="Y410" s="70"/>
      <c r="Z410" s="70"/>
    </row>
    <row r="411" spans="1:26" ht="13">
      <c r="A411" s="70"/>
      <c r="B411" s="70"/>
      <c r="C411" s="70"/>
      <c r="D411" s="70"/>
      <c r="E411" s="70"/>
      <c r="F411" s="70"/>
      <c r="G411" s="70"/>
      <c r="H411" s="70"/>
      <c r="I411" s="70"/>
      <c r="J411" s="70"/>
      <c r="K411" s="70"/>
      <c r="L411" s="70"/>
      <c r="M411" s="70"/>
      <c r="N411" s="70"/>
      <c r="O411" s="70"/>
      <c r="P411" s="70"/>
      <c r="Q411" s="70"/>
      <c r="R411" s="70"/>
      <c r="S411" s="70"/>
      <c r="T411" s="70"/>
      <c r="U411" s="70"/>
      <c r="V411" s="70"/>
      <c r="W411" s="70"/>
      <c r="X411" s="70"/>
      <c r="Y411" s="70"/>
      <c r="Z411" s="70"/>
    </row>
    <row r="412" spans="1:26" ht="13">
      <c r="A412" s="70"/>
      <c r="B412" s="70"/>
      <c r="C412" s="70"/>
      <c r="D412" s="70"/>
      <c r="E412" s="70"/>
      <c r="F412" s="70"/>
      <c r="G412" s="70"/>
      <c r="H412" s="70"/>
      <c r="I412" s="70"/>
      <c r="J412" s="70"/>
      <c r="K412" s="70"/>
      <c r="L412" s="70"/>
      <c r="M412" s="70"/>
      <c r="N412" s="70"/>
      <c r="O412" s="70"/>
      <c r="P412" s="70"/>
      <c r="Q412" s="70"/>
      <c r="R412" s="70"/>
      <c r="S412" s="70"/>
      <c r="T412" s="70"/>
      <c r="U412" s="70"/>
      <c r="V412" s="70"/>
      <c r="W412" s="70"/>
      <c r="X412" s="70"/>
      <c r="Y412" s="70"/>
      <c r="Z412" s="70"/>
    </row>
    <row r="413" spans="1:26" ht="13">
      <c r="A413" s="70"/>
      <c r="B413" s="70"/>
      <c r="C413" s="70"/>
      <c r="D413" s="70"/>
      <c r="E413" s="70"/>
      <c r="F413" s="70"/>
      <c r="G413" s="70"/>
      <c r="H413" s="70"/>
      <c r="I413" s="70"/>
      <c r="J413" s="70"/>
      <c r="K413" s="70"/>
      <c r="L413" s="70"/>
      <c r="M413" s="70"/>
      <c r="N413" s="70"/>
      <c r="O413" s="70"/>
      <c r="P413" s="70"/>
      <c r="Q413" s="70"/>
      <c r="R413" s="70"/>
      <c r="S413" s="70"/>
      <c r="T413" s="70"/>
      <c r="U413" s="70"/>
      <c r="V413" s="70"/>
      <c r="W413" s="70"/>
      <c r="X413" s="70"/>
      <c r="Y413" s="70"/>
      <c r="Z413" s="70"/>
    </row>
    <row r="414" spans="1:26" ht="13">
      <c r="A414" s="70"/>
      <c r="B414" s="70"/>
      <c r="C414" s="70"/>
      <c r="D414" s="70"/>
      <c r="E414" s="70"/>
      <c r="F414" s="70"/>
      <c r="G414" s="70"/>
      <c r="H414" s="70"/>
      <c r="I414" s="70"/>
      <c r="J414" s="70"/>
      <c r="K414" s="70"/>
      <c r="L414" s="70"/>
      <c r="M414" s="70"/>
      <c r="N414" s="70"/>
      <c r="O414" s="70"/>
      <c r="P414" s="70"/>
      <c r="Q414" s="70"/>
      <c r="R414" s="70"/>
      <c r="S414" s="70"/>
      <c r="T414" s="70"/>
      <c r="U414" s="70"/>
      <c r="V414" s="70"/>
      <c r="W414" s="70"/>
      <c r="X414" s="70"/>
      <c r="Y414" s="70"/>
      <c r="Z414" s="70"/>
    </row>
    <row r="415" spans="1:26" ht="13">
      <c r="A415" s="70"/>
      <c r="B415" s="70"/>
      <c r="C415" s="70"/>
      <c r="D415" s="70"/>
      <c r="E415" s="70"/>
      <c r="F415" s="70"/>
      <c r="G415" s="70"/>
      <c r="H415" s="70"/>
      <c r="I415" s="70"/>
      <c r="J415" s="70"/>
      <c r="K415" s="70"/>
      <c r="L415" s="70"/>
      <c r="M415" s="70"/>
      <c r="N415" s="70"/>
      <c r="O415" s="70"/>
      <c r="P415" s="70"/>
      <c r="Q415" s="70"/>
      <c r="R415" s="70"/>
      <c r="S415" s="70"/>
      <c r="T415" s="70"/>
      <c r="U415" s="70"/>
      <c r="V415" s="70"/>
      <c r="W415" s="70"/>
      <c r="X415" s="70"/>
      <c r="Y415" s="70"/>
      <c r="Z415" s="70"/>
    </row>
    <row r="416" spans="1:26" ht="13">
      <c r="A416" s="70"/>
      <c r="B416" s="70"/>
      <c r="C416" s="70"/>
      <c r="D416" s="70"/>
      <c r="E416" s="70"/>
      <c r="F416" s="70"/>
      <c r="G416" s="70"/>
      <c r="H416" s="70"/>
      <c r="I416" s="70"/>
      <c r="J416" s="70"/>
      <c r="K416" s="70"/>
      <c r="L416" s="70"/>
      <c r="M416" s="70"/>
      <c r="N416" s="70"/>
      <c r="O416" s="70"/>
      <c r="P416" s="70"/>
      <c r="Q416" s="70"/>
      <c r="R416" s="70"/>
      <c r="S416" s="70"/>
      <c r="T416" s="70"/>
      <c r="U416" s="70"/>
      <c r="V416" s="70"/>
      <c r="W416" s="70"/>
      <c r="X416" s="70"/>
      <c r="Y416" s="70"/>
      <c r="Z416" s="70"/>
    </row>
    <row r="417" spans="1:26" ht="13">
      <c r="A417" s="70"/>
      <c r="B417" s="70"/>
      <c r="C417" s="70"/>
      <c r="D417" s="70"/>
      <c r="E417" s="70"/>
      <c r="F417" s="70"/>
      <c r="G417" s="70"/>
      <c r="H417" s="70"/>
      <c r="I417" s="70"/>
      <c r="J417" s="70"/>
      <c r="K417" s="70"/>
      <c r="L417" s="70"/>
      <c r="M417" s="70"/>
      <c r="N417" s="70"/>
      <c r="O417" s="70"/>
      <c r="P417" s="70"/>
      <c r="Q417" s="70"/>
      <c r="R417" s="70"/>
      <c r="S417" s="70"/>
      <c r="T417" s="70"/>
      <c r="U417" s="70"/>
      <c r="V417" s="70"/>
      <c r="W417" s="70"/>
      <c r="X417" s="70"/>
      <c r="Y417" s="70"/>
      <c r="Z417" s="70"/>
    </row>
    <row r="418" spans="1:26" ht="13">
      <c r="A418" s="70"/>
      <c r="B418" s="70"/>
      <c r="C418" s="70"/>
      <c r="D418" s="70"/>
      <c r="E418" s="70"/>
      <c r="F418" s="70"/>
      <c r="G418" s="70"/>
      <c r="H418" s="70"/>
      <c r="I418" s="70"/>
      <c r="J418" s="70"/>
      <c r="K418" s="70"/>
      <c r="L418" s="70"/>
      <c r="M418" s="70"/>
      <c r="N418" s="70"/>
      <c r="O418" s="70"/>
      <c r="P418" s="70"/>
      <c r="Q418" s="70"/>
      <c r="R418" s="70"/>
      <c r="S418" s="70"/>
      <c r="T418" s="70"/>
      <c r="U418" s="70"/>
      <c r="V418" s="70"/>
      <c r="W418" s="70"/>
      <c r="X418" s="70"/>
      <c r="Y418" s="70"/>
      <c r="Z418" s="70"/>
    </row>
    <row r="419" spans="1:26" ht="13">
      <c r="A419" s="70"/>
      <c r="B419" s="70"/>
      <c r="C419" s="70"/>
      <c r="D419" s="70"/>
      <c r="E419" s="70"/>
      <c r="F419" s="70"/>
      <c r="G419" s="70"/>
      <c r="H419" s="70"/>
      <c r="I419" s="70"/>
      <c r="J419" s="70"/>
      <c r="K419" s="70"/>
      <c r="L419" s="70"/>
      <c r="M419" s="70"/>
      <c r="N419" s="70"/>
      <c r="O419" s="70"/>
      <c r="P419" s="70"/>
      <c r="Q419" s="70"/>
      <c r="R419" s="70"/>
      <c r="S419" s="70"/>
      <c r="T419" s="70"/>
      <c r="U419" s="70"/>
      <c r="V419" s="70"/>
      <c r="W419" s="70"/>
      <c r="X419" s="70"/>
      <c r="Y419" s="70"/>
      <c r="Z419" s="70"/>
    </row>
    <row r="420" spans="1:26" ht="13">
      <c r="A420" s="70"/>
      <c r="B420" s="70"/>
      <c r="C420" s="70"/>
      <c r="D420" s="70"/>
      <c r="E420" s="70"/>
      <c r="F420" s="70"/>
      <c r="G420" s="70"/>
      <c r="H420" s="70"/>
      <c r="I420" s="70"/>
      <c r="J420" s="70"/>
      <c r="K420" s="70"/>
      <c r="L420" s="70"/>
      <c r="M420" s="70"/>
      <c r="N420" s="70"/>
      <c r="O420" s="70"/>
      <c r="P420" s="70"/>
      <c r="Q420" s="70"/>
      <c r="R420" s="70"/>
      <c r="S420" s="70"/>
      <c r="T420" s="70"/>
      <c r="U420" s="70"/>
      <c r="V420" s="70"/>
      <c r="W420" s="70"/>
      <c r="X420" s="70"/>
      <c r="Y420" s="70"/>
      <c r="Z420" s="70"/>
    </row>
    <row r="421" spans="1:26" ht="13">
      <c r="A421" s="70"/>
      <c r="B421" s="70"/>
      <c r="C421" s="70"/>
      <c r="D421" s="70"/>
      <c r="E421" s="70"/>
      <c r="F421" s="70"/>
      <c r="G421" s="70"/>
      <c r="H421" s="70"/>
      <c r="I421" s="70"/>
      <c r="J421" s="70"/>
      <c r="K421" s="70"/>
      <c r="L421" s="70"/>
      <c r="M421" s="70"/>
      <c r="N421" s="70"/>
      <c r="O421" s="70"/>
      <c r="P421" s="70"/>
      <c r="Q421" s="70"/>
      <c r="R421" s="70"/>
      <c r="S421" s="70"/>
      <c r="T421" s="70"/>
      <c r="U421" s="70"/>
      <c r="V421" s="70"/>
      <c r="W421" s="70"/>
      <c r="X421" s="70"/>
      <c r="Y421" s="70"/>
      <c r="Z421" s="70"/>
    </row>
    <row r="422" spans="1:26" ht="13">
      <c r="A422" s="70"/>
      <c r="B422" s="70"/>
      <c r="C422" s="70"/>
      <c r="D422" s="70"/>
      <c r="E422" s="70"/>
      <c r="F422" s="70"/>
      <c r="G422" s="70"/>
      <c r="H422" s="70"/>
      <c r="I422" s="70"/>
      <c r="J422" s="70"/>
      <c r="K422" s="70"/>
      <c r="L422" s="70"/>
      <c r="M422" s="70"/>
      <c r="N422" s="70"/>
      <c r="O422" s="70"/>
      <c r="P422" s="70"/>
      <c r="Q422" s="70"/>
      <c r="R422" s="70"/>
      <c r="S422" s="70"/>
      <c r="T422" s="70"/>
      <c r="U422" s="70"/>
      <c r="V422" s="70"/>
      <c r="W422" s="70"/>
      <c r="X422" s="70"/>
      <c r="Y422" s="70"/>
      <c r="Z422" s="70"/>
    </row>
    <row r="423" spans="1:26" ht="13">
      <c r="A423" s="70"/>
      <c r="B423" s="70"/>
      <c r="C423" s="70"/>
      <c r="D423" s="70"/>
      <c r="E423" s="70"/>
      <c r="F423" s="70"/>
      <c r="G423" s="70"/>
      <c r="H423" s="70"/>
      <c r="I423" s="70"/>
      <c r="J423" s="70"/>
      <c r="K423" s="70"/>
      <c r="L423" s="70"/>
      <c r="M423" s="70"/>
      <c r="N423" s="70"/>
      <c r="O423" s="70"/>
      <c r="P423" s="70"/>
      <c r="Q423" s="70"/>
      <c r="R423" s="70"/>
      <c r="S423" s="70"/>
      <c r="T423" s="70"/>
      <c r="U423" s="70"/>
      <c r="V423" s="70"/>
      <c r="W423" s="70"/>
      <c r="X423" s="70"/>
      <c r="Y423" s="70"/>
      <c r="Z423" s="70"/>
    </row>
    <row r="424" spans="1:26" ht="13">
      <c r="A424" s="70"/>
      <c r="B424" s="70"/>
      <c r="C424" s="70"/>
      <c r="D424" s="70"/>
      <c r="E424" s="70"/>
      <c r="F424" s="70"/>
      <c r="G424" s="70"/>
      <c r="H424" s="70"/>
      <c r="I424" s="70"/>
      <c r="J424" s="70"/>
      <c r="K424" s="70"/>
      <c r="L424" s="70"/>
      <c r="M424" s="70"/>
      <c r="N424" s="70"/>
      <c r="O424" s="70"/>
      <c r="P424" s="70"/>
      <c r="Q424" s="70"/>
      <c r="R424" s="70"/>
      <c r="S424" s="70"/>
      <c r="T424" s="70"/>
      <c r="U424" s="70"/>
      <c r="V424" s="70"/>
      <c r="W424" s="70"/>
      <c r="X424" s="70"/>
      <c r="Y424" s="70"/>
      <c r="Z424" s="70"/>
    </row>
    <row r="425" spans="1:26" ht="13">
      <c r="A425" s="70"/>
      <c r="B425" s="70"/>
      <c r="C425" s="70"/>
      <c r="D425" s="70"/>
      <c r="E425" s="70"/>
      <c r="F425" s="70"/>
      <c r="G425" s="70"/>
      <c r="H425" s="70"/>
      <c r="I425" s="70"/>
      <c r="J425" s="70"/>
      <c r="K425" s="70"/>
      <c r="L425" s="70"/>
      <c r="M425" s="70"/>
      <c r="N425" s="70"/>
      <c r="O425" s="70"/>
      <c r="P425" s="70"/>
      <c r="Q425" s="70"/>
      <c r="R425" s="70"/>
      <c r="S425" s="70"/>
      <c r="T425" s="70"/>
      <c r="U425" s="70"/>
      <c r="V425" s="70"/>
      <c r="W425" s="70"/>
      <c r="X425" s="70"/>
      <c r="Y425" s="70"/>
      <c r="Z425" s="70"/>
    </row>
    <row r="426" spans="1:26" ht="13">
      <c r="A426" s="70"/>
      <c r="B426" s="70"/>
      <c r="C426" s="70"/>
      <c r="D426" s="70"/>
      <c r="E426" s="70"/>
      <c r="F426" s="70"/>
      <c r="G426" s="70"/>
      <c r="H426" s="70"/>
      <c r="I426" s="70"/>
      <c r="J426" s="70"/>
      <c r="K426" s="70"/>
      <c r="L426" s="70"/>
      <c r="M426" s="70"/>
      <c r="N426" s="70"/>
      <c r="O426" s="70"/>
      <c r="P426" s="70"/>
      <c r="Q426" s="70"/>
      <c r="R426" s="70"/>
      <c r="S426" s="70"/>
      <c r="T426" s="70"/>
      <c r="U426" s="70"/>
      <c r="V426" s="70"/>
      <c r="W426" s="70"/>
      <c r="X426" s="70"/>
      <c r="Y426" s="70"/>
      <c r="Z426" s="70"/>
    </row>
    <row r="427" spans="1:26" ht="13">
      <c r="A427" s="70"/>
      <c r="B427" s="70"/>
      <c r="C427" s="70"/>
      <c r="D427" s="70"/>
      <c r="E427" s="70"/>
      <c r="F427" s="70"/>
      <c r="G427" s="70"/>
      <c r="H427" s="70"/>
      <c r="I427" s="70"/>
      <c r="J427" s="70"/>
      <c r="K427" s="70"/>
      <c r="L427" s="70"/>
      <c r="M427" s="70"/>
      <c r="N427" s="70"/>
      <c r="O427" s="70"/>
      <c r="P427" s="70"/>
      <c r="Q427" s="70"/>
      <c r="R427" s="70"/>
      <c r="S427" s="70"/>
      <c r="T427" s="70"/>
      <c r="U427" s="70"/>
      <c r="V427" s="70"/>
      <c r="W427" s="70"/>
      <c r="X427" s="70"/>
      <c r="Y427" s="70"/>
      <c r="Z427" s="70"/>
    </row>
    <row r="428" spans="1:26" ht="13">
      <c r="A428" s="70"/>
      <c r="B428" s="70"/>
      <c r="C428" s="70"/>
      <c r="D428" s="70"/>
      <c r="E428" s="70"/>
      <c r="F428" s="70"/>
      <c r="G428" s="70"/>
      <c r="H428" s="70"/>
      <c r="I428" s="70"/>
      <c r="J428" s="70"/>
      <c r="K428" s="70"/>
      <c r="L428" s="70"/>
      <c r="M428" s="70"/>
      <c r="N428" s="70"/>
      <c r="O428" s="70"/>
      <c r="P428" s="70"/>
      <c r="Q428" s="70"/>
      <c r="R428" s="70"/>
      <c r="S428" s="70"/>
      <c r="T428" s="70"/>
      <c r="U428" s="70"/>
      <c r="V428" s="70"/>
      <c r="W428" s="70"/>
      <c r="X428" s="70"/>
      <c r="Y428" s="70"/>
      <c r="Z428" s="70"/>
    </row>
    <row r="429" spans="1:26" ht="13">
      <c r="A429" s="70"/>
      <c r="B429" s="70"/>
      <c r="C429" s="70"/>
      <c r="D429" s="70"/>
      <c r="E429" s="70"/>
      <c r="F429" s="70"/>
      <c r="G429" s="70"/>
      <c r="H429" s="70"/>
      <c r="I429" s="70"/>
      <c r="J429" s="70"/>
      <c r="K429" s="70"/>
      <c r="L429" s="70"/>
      <c r="M429" s="70"/>
      <c r="N429" s="70"/>
      <c r="O429" s="70"/>
      <c r="P429" s="70"/>
      <c r="Q429" s="70"/>
      <c r="R429" s="70"/>
      <c r="S429" s="70"/>
      <c r="T429" s="70"/>
      <c r="U429" s="70"/>
      <c r="V429" s="70"/>
      <c r="W429" s="70"/>
      <c r="X429" s="70"/>
      <c r="Y429" s="70"/>
      <c r="Z429" s="70"/>
    </row>
    <row r="430" spans="1:26" ht="13">
      <c r="A430" s="70"/>
      <c r="B430" s="70"/>
      <c r="C430" s="70"/>
      <c r="D430" s="70"/>
      <c r="E430" s="70"/>
      <c r="F430" s="70"/>
      <c r="G430" s="70"/>
      <c r="H430" s="70"/>
      <c r="I430" s="70"/>
      <c r="J430" s="70"/>
      <c r="K430" s="70"/>
      <c r="L430" s="70"/>
      <c r="M430" s="70"/>
      <c r="N430" s="70"/>
      <c r="O430" s="70"/>
      <c r="P430" s="70"/>
      <c r="Q430" s="70"/>
      <c r="R430" s="70"/>
      <c r="S430" s="70"/>
      <c r="T430" s="70"/>
      <c r="U430" s="70"/>
      <c r="V430" s="70"/>
      <c r="W430" s="70"/>
      <c r="X430" s="70"/>
      <c r="Y430" s="70"/>
      <c r="Z430" s="70"/>
    </row>
    <row r="431" spans="1:26" ht="13">
      <c r="A431" s="70"/>
      <c r="B431" s="70"/>
      <c r="C431" s="70"/>
      <c r="D431" s="70"/>
      <c r="E431" s="70"/>
      <c r="F431" s="70"/>
      <c r="G431" s="70"/>
      <c r="H431" s="70"/>
      <c r="I431" s="70"/>
      <c r="J431" s="70"/>
      <c r="K431" s="70"/>
      <c r="L431" s="70"/>
      <c r="M431" s="70"/>
      <c r="N431" s="70"/>
      <c r="O431" s="70"/>
      <c r="P431" s="70"/>
      <c r="Q431" s="70"/>
      <c r="R431" s="70"/>
      <c r="S431" s="70"/>
      <c r="T431" s="70"/>
      <c r="U431" s="70"/>
      <c r="V431" s="70"/>
      <c r="W431" s="70"/>
      <c r="X431" s="70"/>
      <c r="Y431" s="70"/>
      <c r="Z431" s="70"/>
    </row>
    <row r="432" spans="1:26" ht="13">
      <c r="A432" s="70"/>
      <c r="B432" s="70"/>
      <c r="C432" s="70"/>
      <c r="D432" s="70"/>
      <c r="E432" s="70"/>
      <c r="F432" s="70"/>
      <c r="G432" s="70"/>
      <c r="H432" s="70"/>
      <c r="I432" s="70"/>
      <c r="J432" s="70"/>
      <c r="K432" s="70"/>
      <c r="L432" s="70"/>
      <c r="M432" s="70"/>
      <c r="N432" s="70"/>
      <c r="O432" s="70"/>
      <c r="P432" s="70"/>
      <c r="Q432" s="70"/>
      <c r="R432" s="70"/>
      <c r="S432" s="70"/>
      <c r="T432" s="70"/>
      <c r="U432" s="70"/>
      <c r="V432" s="70"/>
      <c r="W432" s="70"/>
      <c r="X432" s="70"/>
      <c r="Y432" s="70"/>
      <c r="Z432" s="70"/>
    </row>
    <row r="433" spans="1:26" ht="13">
      <c r="A433" s="70"/>
      <c r="B433" s="70"/>
      <c r="C433" s="70"/>
      <c r="D433" s="70"/>
      <c r="E433" s="70"/>
      <c r="F433" s="70"/>
      <c r="G433" s="70"/>
      <c r="H433" s="70"/>
      <c r="I433" s="70"/>
      <c r="J433" s="70"/>
      <c r="K433" s="70"/>
      <c r="L433" s="70"/>
      <c r="M433" s="70"/>
      <c r="N433" s="70"/>
      <c r="O433" s="70"/>
      <c r="P433" s="70"/>
      <c r="Q433" s="70"/>
      <c r="R433" s="70"/>
      <c r="S433" s="70"/>
      <c r="T433" s="70"/>
      <c r="U433" s="70"/>
      <c r="V433" s="70"/>
      <c r="W433" s="70"/>
      <c r="X433" s="70"/>
      <c r="Y433" s="70"/>
      <c r="Z433" s="70"/>
    </row>
    <row r="434" spans="1:26" ht="13">
      <c r="A434" s="70"/>
      <c r="B434" s="70"/>
      <c r="C434" s="70"/>
      <c r="D434" s="70"/>
      <c r="E434" s="70"/>
      <c r="F434" s="70"/>
      <c r="G434" s="70"/>
      <c r="H434" s="70"/>
      <c r="I434" s="70"/>
      <c r="J434" s="70"/>
      <c r="K434" s="70"/>
      <c r="L434" s="70"/>
      <c r="M434" s="70"/>
      <c r="N434" s="70"/>
      <c r="O434" s="70"/>
      <c r="P434" s="70"/>
      <c r="Q434" s="70"/>
      <c r="R434" s="70"/>
      <c r="S434" s="70"/>
      <c r="T434" s="70"/>
      <c r="U434" s="70"/>
      <c r="V434" s="70"/>
      <c r="W434" s="70"/>
      <c r="X434" s="70"/>
      <c r="Y434" s="70"/>
      <c r="Z434" s="70"/>
    </row>
    <row r="435" spans="1:26" ht="13">
      <c r="A435" s="70"/>
      <c r="B435" s="70"/>
      <c r="C435" s="70"/>
      <c r="D435" s="70"/>
      <c r="E435" s="70"/>
      <c r="F435" s="70"/>
      <c r="G435" s="70"/>
      <c r="H435" s="70"/>
      <c r="I435" s="70"/>
      <c r="J435" s="70"/>
      <c r="K435" s="70"/>
      <c r="L435" s="70"/>
      <c r="M435" s="70"/>
      <c r="N435" s="70"/>
      <c r="O435" s="70"/>
      <c r="P435" s="70"/>
      <c r="Q435" s="70"/>
      <c r="R435" s="70"/>
      <c r="S435" s="70"/>
      <c r="T435" s="70"/>
      <c r="U435" s="70"/>
      <c r="V435" s="70"/>
      <c r="W435" s="70"/>
      <c r="X435" s="70"/>
      <c r="Y435" s="70"/>
      <c r="Z435" s="70"/>
    </row>
    <row r="436" spans="1:26" ht="13">
      <c r="A436" s="70"/>
      <c r="B436" s="70"/>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row>
    <row r="437" spans="1:26" ht="13">
      <c r="A437" s="70"/>
      <c r="B437" s="70"/>
      <c r="C437" s="70"/>
      <c r="D437" s="70"/>
      <c r="E437" s="70"/>
      <c r="F437" s="70"/>
      <c r="G437" s="70"/>
      <c r="H437" s="70"/>
      <c r="I437" s="70"/>
      <c r="J437" s="70"/>
      <c r="K437" s="70"/>
      <c r="L437" s="70"/>
      <c r="M437" s="70"/>
      <c r="N437" s="70"/>
      <c r="O437" s="70"/>
      <c r="P437" s="70"/>
      <c r="Q437" s="70"/>
      <c r="R437" s="70"/>
      <c r="S437" s="70"/>
      <c r="T437" s="70"/>
      <c r="U437" s="70"/>
      <c r="V437" s="70"/>
      <c r="W437" s="70"/>
      <c r="X437" s="70"/>
      <c r="Y437" s="70"/>
      <c r="Z437" s="70"/>
    </row>
    <row r="438" spans="1:26" ht="13">
      <c r="A438" s="70"/>
      <c r="B438" s="70"/>
      <c r="C438" s="70"/>
      <c r="D438" s="70"/>
      <c r="E438" s="70"/>
      <c r="F438" s="70"/>
      <c r="G438" s="70"/>
      <c r="H438" s="70"/>
      <c r="I438" s="70"/>
      <c r="J438" s="70"/>
      <c r="K438" s="70"/>
      <c r="L438" s="70"/>
      <c r="M438" s="70"/>
      <c r="N438" s="70"/>
      <c r="O438" s="70"/>
      <c r="P438" s="70"/>
      <c r="Q438" s="70"/>
      <c r="R438" s="70"/>
      <c r="S438" s="70"/>
      <c r="T438" s="70"/>
      <c r="U438" s="70"/>
      <c r="V438" s="70"/>
      <c r="W438" s="70"/>
      <c r="X438" s="70"/>
      <c r="Y438" s="70"/>
      <c r="Z438" s="70"/>
    </row>
    <row r="439" spans="1:26" ht="13">
      <c r="A439" s="70"/>
      <c r="B439" s="70"/>
      <c r="C439" s="70"/>
      <c r="D439" s="70"/>
      <c r="E439" s="70"/>
      <c r="F439" s="70"/>
      <c r="G439" s="70"/>
      <c r="H439" s="70"/>
      <c r="I439" s="70"/>
      <c r="J439" s="70"/>
      <c r="K439" s="70"/>
      <c r="L439" s="70"/>
      <c r="M439" s="70"/>
      <c r="N439" s="70"/>
      <c r="O439" s="70"/>
      <c r="P439" s="70"/>
      <c r="Q439" s="70"/>
      <c r="R439" s="70"/>
      <c r="S439" s="70"/>
      <c r="T439" s="70"/>
      <c r="U439" s="70"/>
      <c r="V439" s="70"/>
      <c r="W439" s="70"/>
      <c r="X439" s="70"/>
      <c r="Y439" s="70"/>
      <c r="Z439" s="70"/>
    </row>
    <row r="440" spans="1:26" ht="13">
      <c r="A440" s="70"/>
      <c r="B440" s="70"/>
      <c r="C440" s="70"/>
      <c r="D440" s="70"/>
      <c r="E440" s="70"/>
      <c r="F440" s="70"/>
      <c r="G440" s="70"/>
      <c r="H440" s="70"/>
      <c r="I440" s="70"/>
      <c r="J440" s="70"/>
      <c r="K440" s="70"/>
      <c r="L440" s="70"/>
      <c r="M440" s="70"/>
      <c r="N440" s="70"/>
      <c r="O440" s="70"/>
      <c r="P440" s="70"/>
      <c r="Q440" s="70"/>
      <c r="R440" s="70"/>
      <c r="S440" s="70"/>
      <c r="T440" s="70"/>
      <c r="U440" s="70"/>
      <c r="V440" s="70"/>
      <c r="W440" s="70"/>
      <c r="X440" s="70"/>
      <c r="Y440" s="70"/>
      <c r="Z440" s="70"/>
    </row>
    <row r="441" spans="1:26" ht="13">
      <c r="A441" s="70"/>
      <c r="B441" s="70"/>
      <c r="C441" s="70"/>
      <c r="D441" s="70"/>
      <c r="E441" s="70"/>
      <c r="F441" s="70"/>
      <c r="G441" s="70"/>
      <c r="H441" s="70"/>
      <c r="I441" s="70"/>
      <c r="J441" s="70"/>
      <c r="K441" s="70"/>
      <c r="L441" s="70"/>
      <c r="M441" s="70"/>
      <c r="N441" s="70"/>
      <c r="O441" s="70"/>
      <c r="P441" s="70"/>
      <c r="Q441" s="70"/>
      <c r="R441" s="70"/>
      <c r="S441" s="70"/>
      <c r="T441" s="70"/>
      <c r="U441" s="70"/>
      <c r="V441" s="70"/>
      <c r="W441" s="70"/>
      <c r="X441" s="70"/>
      <c r="Y441" s="70"/>
      <c r="Z441" s="70"/>
    </row>
    <row r="442" spans="1:26" ht="13">
      <c r="A442" s="70"/>
      <c r="B442" s="70"/>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row>
    <row r="443" spans="1:26" ht="13">
      <c r="A443" s="70"/>
      <c r="B443" s="70"/>
      <c r="C443" s="70"/>
      <c r="D443" s="70"/>
      <c r="E443" s="70"/>
      <c r="F443" s="70"/>
      <c r="G443" s="70"/>
      <c r="H443" s="70"/>
      <c r="I443" s="70"/>
      <c r="J443" s="70"/>
      <c r="K443" s="70"/>
      <c r="L443" s="70"/>
      <c r="M443" s="70"/>
      <c r="N443" s="70"/>
      <c r="O443" s="70"/>
      <c r="P443" s="70"/>
      <c r="Q443" s="70"/>
      <c r="R443" s="70"/>
      <c r="S443" s="70"/>
      <c r="T443" s="70"/>
      <c r="U443" s="70"/>
      <c r="V443" s="70"/>
      <c r="W443" s="70"/>
      <c r="X443" s="70"/>
      <c r="Y443" s="70"/>
      <c r="Z443" s="70"/>
    </row>
    <row r="444" spans="1:26" ht="13">
      <c r="A444" s="70"/>
      <c r="B444" s="70"/>
      <c r="C444" s="70"/>
      <c r="D444" s="70"/>
      <c r="E444" s="70"/>
      <c r="F444" s="70"/>
      <c r="G444" s="70"/>
      <c r="H444" s="70"/>
      <c r="I444" s="70"/>
      <c r="J444" s="70"/>
      <c r="K444" s="70"/>
      <c r="L444" s="70"/>
      <c r="M444" s="70"/>
      <c r="N444" s="70"/>
      <c r="O444" s="70"/>
      <c r="P444" s="70"/>
      <c r="Q444" s="70"/>
      <c r="R444" s="70"/>
      <c r="S444" s="70"/>
      <c r="T444" s="70"/>
      <c r="U444" s="70"/>
      <c r="V444" s="70"/>
      <c r="W444" s="70"/>
      <c r="X444" s="70"/>
      <c r="Y444" s="70"/>
      <c r="Z444" s="70"/>
    </row>
    <row r="445" spans="1:26" ht="13">
      <c r="A445" s="70"/>
      <c r="B445" s="70"/>
      <c r="C445" s="70"/>
      <c r="D445" s="70"/>
      <c r="E445" s="70"/>
      <c r="F445" s="70"/>
      <c r="G445" s="70"/>
      <c r="H445" s="70"/>
      <c r="I445" s="70"/>
      <c r="J445" s="70"/>
      <c r="K445" s="70"/>
      <c r="L445" s="70"/>
      <c r="M445" s="70"/>
      <c r="N445" s="70"/>
      <c r="O445" s="70"/>
      <c r="P445" s="70"/>
      <c r="Q445" s="70"/>
      <c r="R445" s="70"/>
      <c r="S445" s="70"/>
      <c r="T445" s="70"/>
      <c r="U445" s="70"/>
      <c r="V445" s="70"/>
      <c r="W445" s="70"/>
      <c r="X445" s="70"/>
      <c r="Y445" s="70"/>
      <c r="Z445" s="70"/>
    </row>
    <row r="446" spans="1:26" ht="13">
      <c r="A446" s="70"/>
      <c r="B446" s="70"/>
      <c r="C446" s="70"/>
      <c r="D446" s="70"/>
      <c r="E446" s="70"/>
      <c r="F446" s="70"/>
      <c r="G446" s="70"/>
      <c r="H446" s="70"/>
      <c r="I446" s="70"/>
      <c r="J446" s="70"/>
      <c r="K446" s="70"/>
      <c r="L446" s="70"/>
      <c r="M446" s="70"/>
      <c r="N446" s="70"/>
      <c r="O446" s="70"/>
      <c r="P446" s="70"/>
      <c r="Q446" s="70"/>
      <c r="R446" s="70"/>
      <c r="S446" s="70"/>
      <c r="T446" s="70"/>
      <c r="U446" s="70"/>
      <c r="V446" s="70"/>
      <c r="W446" s="70"/>
      <c r="X446" s="70"/>
      <c r="Y446" s="70"/>
      <c r="Z446" s="70"/>
    </row>
    <row r="447" spans="1:26" ht="13">
      <c r="A447" s="70"/>
      <c r="B447" s="70"/>
      <c r="C447" s="70"/>
      <c r="D447" s="70"/>
      <c r="E447" s="70"/>
      <c r="F447" s="70"/>
      <c r="G447" s="70"/>
      <c r="H447" s="70"/>
      <c r="I447" s="70"/>
      <c r="J447" s="70"/>
      <c r="K447" s="70"/>
      <c r="L447" s="70"/>
      <c r="M447" s="70"/>
      <c r="N447" s="70"/>
      <c r="O447" s="70"/>
      <c r="P447" s="70"/>
      <c r="Q447" s="70"/>
      <c r="R447" s="70"/>
      <c r="S447" s="70"/>
      <c r="T447" s="70"/>
      <c r="U447" s="70"/>
      <c r="V447" s="70"/>
      <c r="W447" s="70"/>
      <c r="X447" s="70"/>
      <c r="Y447" s="70"/>
      <c r="Z447" s="70"/>
    </row>
    <row r="448" spans="1:26" ht="13">
      <c r="A448" s="70"/>
      <c r="B448" s="70"/>
      <c r="C448" s="70"/>
      <c r="D448" s="70"/>
      <c r="E448" s="70"/>
      <c r="F448" s="70"/>
      <c r="G448" s="70"/>
      <c r="H448" s="70"/>
      <c r="I448" s="70"/>
      <c r="J448" s="70"/>
      <c r="K448" s="70"/>
      <c r="L448" s="70"/>
      <c r="M448" s="70"/>
      <c r="N448" s="70"/>
      <c r="O448" s="70"/>
      <c r="P448" s="70"/>
      <c r="Q448" s="70"/>
      <c r="R448" s="70"/>
      <c r="S448" s="70"/>
      <c r="T448" s="70"/>
      <c r="U448" s="70"/>
      <c r="V448" s="70"/>
      <c r="W448" s="70"/>
      <c r="X448" s="70"/>
      <c r="Y448" s="70"/>
      <c r="Z448" s="70"/>
    </row>
    <row r="449" spans="1:26" ht="13">
      <c r="A449" s="70"/>
      <c r="B449" s="70"/>
      <c r="C449" s="70"/>
      <c r="D449" s="70"/>
      <c r="E449" s="70"/>
      <c r="F449" s="70"/>
      <c r="G449" s="70"/>
      <c r="H449" s="70"/>
      <c r="I449" s="70"/>
      <c r="J449" s="70"/>
      <c r="K449" s="70"/>
      <c r="L449" s="70"/>
      <c r="M449" s="70"/>
      <c r="N449" s="70"/>
      <c r="O449" s="70"/>
      <c r="P449" s="70"/>
      <c r="Q449" s="70"/>
      <c r="R449" s="70"/>
      <c r="S449" s="70"/>
      <c r="T449" s="70"/>
      <c r="U449" s="70"/>
      <c r="V449" s="70"/>
      <c r="W449" s="70"/>
      <c r="X449" s="70"/>
      <c r="Y449" s="70"/>
      <c r="Z449" s="70"/>
    </row>
    <row r="450" spans="1:26" ht="13">
      <c r="A450" s="70"/>
      <c r="B450" s="70"/>
      <c r="C450" s="70"/>
      <c r="D450" s="70"/>
      <c r="E450" s="70"/>
      <c r="F450" s="70"/>
      <c r="G450" s="70"/>
      <c r="H450" s="70"/>
      <c r="I450" s="70"/>
      <c r="J450" s="70"/>
      <c r="K450" s="70"/>
      <c r="L450" s="70"/>
      <c r="M450" s="70"/>
      <c r="N450" s="70"/>
      <c r="O450" s="70"/>
      <c r="P450" s="70"/>
      <c r="Q450" s="70"/>
      <c r="R450" s="70"/>
      <c r="S450" s="70"/>
      <c r="T450" s="70"/>
      <c r="U450" s="70"/>
      <c r="V450" s="70"/>
      <c r="W450" s="70"/>
      <c r="X450" s="70"/>
      <c r="Y450" s="70"/>
      <c r="Z450" s="70"/>
    </row>
    <row r="451" spans="1:26" ht="13">
      <c r="A451" s="70"/>
      <c r="B451" s="70"/>
      <c r="C451" s="70"/>
      <c r="D451" s="70"/>
      <c r="E451" s="70"/>
      <c r="F451" s="70"/>
      <c r="G451" s="70"/>
      <c r="H451" s="70"/>
      <c r="I451" s="70"/>
      <c r="J451" s="70"/>
      <c r="K451" s="70"/>
      <c r="L451" s="70"/>
      <c r="M451" s="70"/>
      <c r="N451" s="70"/>
      <c r="O451" s="70"/>
      <c r="P451" s="70"/>
      <c r="Q451" s="70"/>
      <c r="R451" s="70"/>
      <c r="S451" s="70"/>
      <c r="T451" s="70"/>
      <c r="U451" s="70"/>
      <c r="V451" s="70"/>
      <c r="W451" s="70"/>
      <c r="X451" s="70"/>
      <c r="Y451" s="70"/>
      <c r="Z451" s="70"/>
    </row>
    <row r="452" spans="1:26" ht="13">
      <c r="A452" s="70"/>
      <c r="B452" s="70"/>
      <c r="C452" s="70"/>
      <c r="D452" s="70"/>
      <c r="E452" s="70"/>
      <c r="F452" s="70"/>
      <c r="G452" s="70"/>
      <c r="H452" s="70"/>
      <c r="I452" s="70"/>
      <c r="J452" s="70"/>
      <c r="K452" s="70"/>
      <c r="L452" s="70"/>
      <c r="M452" s="70"/>
      <c r="N452" s="70"/>
      <c r="O452" s="70"/>
      <c r="P452" s="70"/>
      <c r="Q452" s="70"/>
      <c r="R452" s="70"/>
      <c r="S452" s="70"/>
      <c r="T452" s="70"/>
      <c r="U452" s="70"/>
      <c r="V452" s="70"/>
      <c r="W452" s="70"/>
      <c r="X452" s="70"/>
      <c r="Y452" s="70"/>
      <c r="Z452" s="70"/>
    </row>
    <row r="453" spans="1:26" ht="13">
      <c r="A453" s="70"/>
      <c r="B453" s="70"/>
      <c r="C453" s="70"/>
      <c r="D453" s="70"/>
      <c r="E453" s="70"/>
      <c r="F453" s="70"/>
      <c r="G453" s="70"/>
      <c r="H453" s="70"/>
      <c r="I453" s="70"/>
      <c r="J453" s="70"/>
      <c r="K453" s="70"/>
      <c r="L453" s="70"/>
      <c r="M453" s="70"/>
      <c r="N453" s="70"/>
      <c r="O453" s="70"/>
      <c r="P453" s="70"/>
      <c r="Q453" s="70"/>
      <c r="R453" s="70"/>
      <c r="S453" s="70"/>
      <c r="T453" s="70"/>
      <c r="U453" s="70"/>
      <c r="V453" s="70"/>
      <c r="W453" s="70"/>
      <c r="X453" s="70"/>
      <c r="Y453" s="70"/>
      <c r="Z453" s="70"/>
    </row>
    <row r="454" spans="1:26" ht="13">
      <c r="A454" s="70"/>
      <c r="B454" s="70"/>
      <c r="C454" s="70"/>
      <c r="D454" s="70"/>
      <c r="E454" s="70"/>
      <c r="F454" s="70"/>
      <c r="G454" s="70"/>
      <c r="H454" s="70"/>
      <c r="I454" s="70"/>
      <c r="J454" s="70"/>
      <c r="K454" s="70"/>
      <c r="L454" s="70"/>
      <c r="M454" s="70"/>
      <c r="N454" s="70"/>
      <c r="O454" s="70"/>
      <c r="P454" s="70"/>
      <c r="Q454" s="70"/>
      <c r="R454" s="70"/>
      <c r="S454" s="70"/>
      <c r="T454" s="70"/>
      <c r="U454" s="70"/>
      <c r="V454" s="70"/>
      <c r="W454" s="70"/>
      <c r="X454" s="70"/>
      <c r="Y454" s="70"/>
      <c r="Z454" s="70"/>
    </row>
    <row r="455" spans="1:26" ht="13">
      <c r="A455" s="70"/>
      <c r="B455" s="70"/>
      <c r="C455" s="70"/>
      <c r="D455" s="70"/>
      <c r="E455" s="70"/>
      <c r="F455" s="70"/>
      <c r="G455" s="70"/>
      <c r="H455" s="70"/>
      <c r="I455" s="70"/>
      <c r="J455" s="70"/>
      <c r="K455" s="70"/>
      <c r="L455" s="70"/>
      <c r="M455" s="70"/>
      <c r="N455" s="70"/>
      <c r="O455" s="70"/>
      <c r="P455" s="70"/>
      <c r="Q455" s="70"/>
      <c r="R455" s="70"/>
      <c r="S455" s="70"/>
      <c r="T455" s="70"/>
      <c r="U455" s="70"/>
      <c r="V455" s="70"/>
      <c r="W455" s="70"/>
      <c r="X455" s="70"/>
      <c r="Y455" s="70"/>
      <c r="Z455" s="70"/>
    </row>
    <row r="456" spans="1:26" ht="13">
      <c r="A456" s="70"/>
      <c r="B456" s="70"/>
      <c r="C456" s="70"/>
      <c r="D456" s="70"/>
      <c r="E456" s="70"/>
      <c r="F456" s="70"/>
      <c r="G456" s="70"/>
      <c r="H456" s="70"/>
      <c r="I456" s="70"/>
      <c r="J456" s="70"/>
      <c r="K456" s="70"/>
      <c r="L456" s="70"/>
      <c r="M456" s="70"/>
      <c r="N456" s="70"/>
      <c r="O456" s="70"/>
      <c r="P456" s="70"/>
      <c r="Q456" s="70"/>
      <c r="R456" s="70"/>
      <c r="S456" s="70"/>
      <c r="T456" s="70"/>
      <c r="U456" s="70"/>
      <c r="V456" s="70"/>
      <c r="W456" s="70"/>
      <c r="X456" s="70"/>
      <c r="Y456" s="70"/>
      <c r="Z456" s="70"/>
    </row>
    <row r="457" spans="1:26" ht="13">
      <c r="A457" s="70"/>
      <c r="B457" s="70"/>
      <c r="C457" s="70"/>
      <c r="D457" s="70"/>
      <c r="E457" s="70"/>
      <c r="F457" s="70"/>
      <c r="G457" s="70"/>
      <c r="H457" s="70"/>
      <c r="I457" s="70"/>
      <c r="J457" s="70"/>
      <c r="K457" s="70"/>
      <c r="L457" s="70"/>
      <c r="M457" s="70"/>
      <c r="N457" s="70"/>
      <c r="O457" s="70"/>
      <c r="P457" s="70"/>
      <c r="Q457" s="70"/>
      <c r="R457" s="70"/>
      <c r="S457" s="70"/>
      <c r="T457" s="70"/>
      <c r="U457" s="70"/>
      <c r="V457" s="70"/>
      <c r="W457" s="70"/>
      <c r="X457" s="70"/>
      <c r="Y457" s="70"/>
      <c r="Z457" s="70"/>
    </row>
    <row r="458" spans="1:26" ht="13">
      <c r="A458" s="70"/>
      <c r="B458" s="70"/>
      <c r="C458" s="70"/>
      <c r="D458" s="70"/>
      <c r="E458" s="70"/>
      <c r="F458" s="70"/>
      <c r="G458" s="70"/>
      <c r="H458" s="70"/>
      <c r="I458" s="70"/>
      <c r="J458" s="70"/>
      <c r="K458" s="70"/>
      <c r="L458" s="70"/>
      <c r="M458" s="70"/>
      <c r="N458" s="70"/>
      <c r="O458" s="70"/>
      <c r="P458" s="70"/>
      <c r="Q458" s="70"/>
      <c r="R458" s="70"/>
      <c r="S458" s="70"/>
      <c r="T458" s="70"/>
      <c r="U458" s="70"/>
      <c r="V458" s="70"/>
      <c r="W458" s="70"/>
      <c r="X458" s="70"/>
      <c r="Y458" s="70"/>
      <c r="Z458" s="70"/>
    </row>
    <row r="459" spans="1:26" ht="13">
      <c r="A459" s="70"/>
      <c r="B459" s="70"/>
      <c r="C459" s="70"/>
      <c r="D459" s="70"/>
      <c r="E459" s="70"/>
      <c r="F459" s="70"/>
      <c r="G459" s="70"/>
      <c r="H459" s="70"/>
      <c r="I459" s="70"/>
      <c r="J459" s="70"/>
      <c r="K459" s="70"/>
      <c r="L459" s="70"/>
      <c r="M459" s="70"/>
      <c r="N459" s="70"/>
      <c r="O459" s="70"/>
      <c r="P459" s="70"/>
      <c r="Q459" s="70"/>
      <c r="R459" s="70"/>
      <c r="S459" s="70"/>
      <c r="T459" s="70"/>
      <c r="U459" s="70"/>
      <c r="V459" s="70"/>
      <c r="W459" s="70"/>
      <c r="X459" s="70"/>
      <c r="Y459" s="70"/>
      <c r="Z459" s="70"/>
    </row>
    <row r="460" spans="1:26" ht="13">
      <c r="A460" s="70"/>
      <c r="B460" s="70"/>
      <c r="C460" s="70"/>
      <c r="D460" s="70"/>
      <c r="E460" s="70"/>
      <c r="F460" s="70"/>
      <c r="G460" s="70"/>
      <c r="H460" s="70"/>
      <c r="I460" s="70"/>
      <c r="J460" s="70"/>
      <c r="K460" s="70"/>
      <c r="L460" s="70"/>
      <c r="M460" s="70"/>
      <c r="N460" s="70"/>
      <c r="O460" s="70"/>
      <c r="P460" s="70"/>
      <c r="Q460" s="70"/>
      <c r="R460" s="70"/>
      <c r="S460" s="70"/>
      <c r="T460" s="70"/>
      <c r="U460" s="70"/>
      <c r="V460" s="70"/>
      <c r="W460" s="70"/>
      <c r="X460" s="70"/>
      <c r="Y460" s="70"/>
      <c r="Z460" s="70"/>
    </row>
    <row r="461" spans="1:26" ht="13">
      <c r="A461" s="70"/>
      <c r="B461" s="70"/>
      <c r="C461" s="70"/>
      <c r="D461" s="70"/>
      <c r="E461" s="70"/>
      <c r="F461" s="70"/>
      <c r="G461" s="70"/>
      <c r="H461" s="70"/>
      <c r="I461" s="70"/>
      <c r="J461" s="70"/>
      <c r="K461" s="70"/>
      <c r="L461" s="70"/>
      <c r="M461" s="70"/>
      <c r="N461" s="70"/>
      <c r="O461" s="70"/>
      <c r="P461" s="70"/>
      <c r="Q461" s="70"/>
      <c r="R461" s="70"/>
      <c r="S461" s="70"/>
      <c r="T461" s="70"/>
      <c r="U461" s="70"/>
      <c r="V461" s="70"/>
      <c r="W461" s="70"/>
      <c r="X461" s="70"/>
      <c r="Y461" s="70"/>
      <c r="Z461" s="70"/>
    </row>
    <row r="462" spans="1:26" ht="13">
      <c r="A462" s="70"/>
      <c r="B462" s="70"/>
      <c r="C462" s="70"/>
      <c r="D462" s="70"/>
      <c r="E462" s="70"/>
      <c r="F462" s="70"/>
      <c r="G462" s="70"/>
      <c r="H462" s="70"/>
      <c r="I462" s="70"/>
      <c r="J462" s="70"/>
      <c r="K462" s="70"/>
      <c r="L462" s="70"/>
      <c r="M462" s="70"/>
      <c r="N462" s="70"/>
      <c r="O462" s="70"/>
      <c r="P462" s="70"/>
      <c r="Q462" s="70"/>
      <c r="R462" s="70"/>
      <c r="S462" s="70"/>
      <c r="T462" s="70"/>
      <c r="U462" s="70"/>
      <c r="V462" s="70"/>
      <c r="W462" s="70"/>
      <c r="X462" s="70"/>
      <c r="Y462" s="70"/>
      <c r="Z462" s="70"/>
    </row>
    <row r="463" spans="1:26" ht="13">
      <c r="A463" s="70"/>
      <c r="B463" s="70"/>
      <c r="C463" s="70"/>
      <c r="D463" s="70"/>
      <c r="E463" s="70"/>
      <c r="F463" s="70"/>
      <c r="G463" s="70"/>
      <c r="H463" s="70"/>
      <c r="I463" s="70"/>
      <c r="J463" s="70"/>
      <c r="K463" s="70"/>
      <c r="L463" s="70"/>
      <c r="M463" s="70"/>
      <c r="N463" s="70"/>
      <c r="O463" s="70"/>
      <c r="P463" s="70"/>
      <c r="Q463" s="70"/>
      <c r="R463" s="70"/>
      <c r="S463" s="70"/>
      <c r="T463" s="70"/>
      <c r="U463" s="70"/>
      <c r="V463" s="70"/>
      <c r="W463" s="70"/>
      <c r="X463" s="70"/>
      <c r="Y463" s="70"/>
      <c r="Z463" s="70"/>
    </row>
    <row r="464" spans="1:26" ht="13">
      <c r="A464" s="70"/>
      <c r="B464" s="70"/>
      <c r="C464" s="70"/>
      <c r="D464" s="70"/>
      <c r="E464" s="70"/>
      <c r="F464" s="70"/>
      <c r="G464" s="70"/>
      <c r="H464" s="70"/>
      <c r="I464" s="70"/>
      <c r="J464" s="70"/>
      <c r="K464" s="70"/>
      <c r="L464" s="70"/>
      <c r="M464" s="70"/>
      <c r="N464" s="70"/>
      <c r="O464" s="70"/>
      <c r="P464" s="70"/>
      <c r="Q464" s="70"/>
      <c r="R464" s="70"/>
      <c r="S464" s="70"/>
      <c r="T464" s="70"/>
      <c r="U464" s="70"/>
      <c r="V464" s="70"/>
      <c r="W464" s="70"/>
      <c r="X464" s="70"/>
      <c r="Y464" s="70"/>
      <c r="Z464" s="70"/>
    </row>
    <row r="465" spans="1:26" ht="13">
      <c r="A465" s="70"/>
      <c r="B465" s="70"/>
      <c r="C465" s="70"/>
      <c r="D465" s="70"/>
      <c r="E465" s="70"/>
      <c r="F465" s="70"/>
      <c r="G465" s="70"/>
      <c r="H465" s="70"/>
      <c r="I465" s="70"/>
      <c r="J465" s="70"/>
      <c r="K465" s="70"/>
      <c r="L465" s="70"/>
      <c r="M465" s="70"/>
      <c r="N465" s="70"/>
      <c r="O465" s="70"/>
      <c r="P465" s="70"/>
      <c r="Q465" s="70"/>
      <c r="R465" s="70"/>
      <c r="S465" s="70"/>
      <c r="T465" s="70"/>
      <c r="U465" s="70"/>
      <c r="V465" s="70"/>
      <c r="W465" s="70"/>
      <c r="X465" s="70"/>
      <c r="Y465" s="70"/>
      <c r="Z465" s="70"/>
    </row>
    <row r="466" spans="1:26" ht="13">
      <c r="A466" s="70"/>
      <c r="B466" s="70"/>
      <c r="C466" s="70"/>
      <c r="D466" s="70"/>
      <c r="E466" s="70"/>
      <c r="F466" s="70"/>
      <c r="G466" s="70"/>
      <c r="H466" s="70"/>
      <c r="I466" s="70"/>
      <c r="J466" s="70"/>
      <c r="K466" s="70"/>
      <c r="L466" s="70"/>
      <c r="M466" s="70"/>
      <c r="N466" s="70"/>
      <c r="O466" s="70"/>
      <c r="P466" s="70"/>
      <c r="Q466" s="70"/>
      <c r="R466" s="70"/>
      <c r="S466" s="70"/>
      <c r="T466" s="70"/>
      <c r="U466" s="70"/>
      <c r="V466" s="70"/>
      <c r="W466" s="70"/>
      <c r="X466" s="70"/>
      <c r="Y466" s="70"/>
      <c r="Z466" s="70"/>
    </row>
    <row r="467" spans="1:26" ht="13">
      <c r="A467" s="70"/>
      <c r="B467" s="70"/>
      <c r="C467" s="70"/>
      <c r="D467" s="70"/>
      <c r="E467" s="70"/>
      <c r="F467" s="70"/>
      <c r="G467" s="70"/>
      <c r="H467" s="70"/>
      <c r="I467" s="70"/>
      <c r="J467" s="70"/>
      <c r="K467" s="70"/>
      <c r="L467" s="70"/>
      <c r="M467" s="70"/>
      <c r="N467" s="70"/>
      <c r="O467" s="70"/>
      <c r="P467" s="70"/>
      <c r="Q467" s="70"/>
      <c r="R467" s="70"/>
      <c r="S467" s="70"/>
      <c r="T467" s="70"/>
      <c r="U467" s="70"/>
      <c r="V467" s="70"/>
      <c r="W467" s="70"/>
      <c r="X467" s="70"/>
      <c r="Y467" s="70"/>
      <c r="Z467" s="70"/>
    </row>
    <row r="468" spans="1:26" ht="13">
      <c r="A468" s="70"/>
      <c r="B468" s="70"/>
      <c r="C468" s="70"/>
      <c r="D468" s="70"/>
      <c r="E468" s="70"/>
      <c r="F468" s="70"/>
      <c r="G468" s="70"/>
      <c r="H468" s="70"/>
      <c r="I468" s="70"/>
      <c r="J468" s="70"/>
      <c r="K468" s="70"/>
      <c r="L468" s="70"/>
      <c r="M468" s="70"/>
      <c r="N468" s="70"/>
      <c r="O468" s="70"/>
      <c r="P468" s="70"/>
      <c r="Q468" s="70"/>
      <c r="R468" s="70"/>
      <c r="S468" s="70"/>
      <c r="T468" s="70"/>
      <c r="U468" s="70"/>
      <c r="V468" s="70"/>
      <c r="W468" s="70"/>
      <c r="X468" s="70"/>
      <c r="Y468" s="70"/>
      <c r="Z468" s="70"/>
    </row>
    <row r="469" spans="1:26" ht="13">
      <c r="A469" s="70"/>
      <c r="B469" s="70"/>
      <c r="C469" s="70"/>
      <c r="D469" s="70"/>
      <c r="E469" s="70"/>
      <c r="F469" s="70"/>
      <c r="G469" s="70"/>
      <c r="H469" s="70"/>
      <c r="I469" s="70"/>
      <c r="J469" s="70"/>
      <c r="K469" s="70"/>
      <c r="L469" s="70"/>
      <c r="M469" s="70"/>
      <c r="N469" s="70"/>
      <c r="O469" s="70"/>
      <c r="P469" s="70"/>
      <c r="Q469" s="70"/>
      <c r="R469" s="70"/>
      <c r="S469" s="70"/>
      <c r="T469" s="70"/>
      <c r="U469" s="70"/>
      <c r="V469" s="70"/>
      <c r="W469" s="70"/>
      <c r="X469" s="70"/>
      <c r="Y469" s="70"/>
      <c r="Z469" s="70"/>
    </row>
    <row r="470" spans="1:26" ht="13">
      <c r="A470" s="70"/>
      <c r="B470" s="70"/>
      <c r="C470" s="70"/>
      <c r="D470" s="70"/>
      <c r="E470" s="70"/>
      <c r="F470" s="70"/>
      <c r="G470" s="70"/>
      <c r="H470" s="70"/>
      <c r="I470" s="70"/>
      <c r="J470" s="70"/>
      <c r="K470" s="70"/>
      <c r="L470" s="70"/>
      <c r="M470" s="70"/>
      <c r="N470" s="70"/>
      <c r="O470" s="70"/>
      <c r="P470" s="70"/>
      <c r="Q470" s="70"/>
      <c r="R470" s="70"/>
      <c r="S470" s="70"/>
      <c r="T470" s="70"/>
      <c r="U470" s="70"/>
      <c r="V470" s="70"/>
      <c r="W470" s="70"/>
      <c r="X470" s="70"/>
      <c r="Y470" s="70"/>
      <c r="Z470" s="70"/>
    </row>
    <row r="471" spans="1:26" ht="13">
      <c r="A471" s="70"/>
      <c r="B471" s="70"/>
      <c r="C471" s="70"/>
      <c r="D471" s="70"/>
      <c r="E471" s="70"/>
      <c r="F471" s="70"/>
      <c r="G471" s="70"/>
      <c r="H471" s="70"/>
      <c r="I471" s="70"/>
      <c r="J471" s="70"/>
      <c r="K471" s="70"/>
      <c r="L471" s="70"/>
      <c r="M471" s="70"/>
      <c r="N471" s="70"/>
      <c r="O471" s="70"/>
      <c r="P471" s="70"/>
      <c r="Q471" s="70"/>
      <c r="R471" s="70"/>
      <c r="S471" s="70"/>
      <c r="T471" s="70"/>
      <c r="U471" s="70"/>
      <c r="V471" s="70"/>
      <c r="W471" s="70"/>
      <c r="X471" s="70"/>
      <c r="Y471" s="70"/>
      <c r="Z471" s="70"/>
    </row>
    <row r="472" spans="1:26" ht="13">
      <c r="A472" s="70"/>
      <c r="B472" s="70"/>
      <c r="C472" s="70"/>
      <c r="D472" s="70"/>
      <c r="E472" s="70"/>
      <c r="F472" s="70"/>
      <c r="G472" s="70"/>
      <c r="H472" s="70"/>
      <c r="I472" s="70"/>
      <c r="J472" s="70"/>
      <c r="K472" s="70"/>
      <c r="L472" s="70"/>
      <c r="M472" s="70"/>
      <c r="N472" s="70"/>
      <c r="O472" s="70"/>
      <c r="P472" s="70"/>
      <c r="Q472" s="70"/>
      <c r="R472" s="70"/>
      <c r="S472" s="70"/>
      <c r="T472" s="70"/>
      <c r="U472" s="70"/>
      <c r="V472" s="70"/>
      <c r="W472" s="70"/>
      <c r="X472" s="70"/>
      <c r="Y472" s="70"/>
      <c r="Z472" s="70"/>
    </row>
    <row r="473" spans="1:26" ht="13">
      <c r="A473" s="70"/>
      <c r="B473" s="70"/>
      <c r="C473" s="70"/>
      <c r="D473" s="70"/>
      <c r="E473" s="70"/>
      <c r="F473" s="70"/>
      <c r="G473" s="70"/>
      <c r="H473" s="70"/>
      <c r="I473" s="70"/>
      <c r="J473" s="70"/>
      <c r="K473" s="70"/>
      <c r="L473" s="70"/>
      <c r="M473" s="70"/>
      <c r="N473" s="70"/>
      <c r="O473" s="70"/>
      <c r="P473" s="70"/>
      <c r="Q473" s="70"/>
      <c r="R473" s="70"/>
      <c r="S473" s="70"/>
      <c r="T473" s="70"/>
      <c r="U473" s="70"/>
      <c r="V473" s="70"/>
      <c r="W473" s="70"/>
      <c r="X473" s="70"/>
      <c r="Y473" s="70"/>
      <c r="Z473" s="70"/>
    </row>
    <row r="474" spans="1:26" ht="13">
      <c r="A474" s="70"/>
      <c r="B474" s="70"/>
      <c r="C474" s="70"/>
      <c r="D474" s="70"/>
      <c r="E474" s="70"/>
      <c r="F474" s="70"/>
      <c r="G474" s="70"/>
      <c r="H474" s="70"/>
      <c r="I474" s="70"/>
      <c r="J474" s="70"/>
      <c r="K474" s="70"/>
      <c r="L474" s="70"/>
      <c r="M474" s="70"/>
      <c r="N474" s="70"/>
      <c r="O474" s="70"/>
      <c r="P474" s="70"/>
      <c r="Q474" s="70"/>
      <c r="R474" s="70"/>
      <c r="S474" s="70"/>
      <c r="T474" s="70"/>
      <c r="U474" s="70"/>
      <c r="V474" s="70"/>
      <c r="W474" s="70"/>
      <c r="X474" s="70"/>
      <c r="Y474" s="70"/>
      <c r="Z474" s="70"/>
    </row>
    <row r="475" spans="1:26" ht="13">
      <c r="A475" s="70"/>
      <c r="B475" s="70"/>
      <c r="C475" s="70"/>
      <c r="D475" s="70"/>
      <c r="E475" s="70"/>
      <c r="F475" s="70"/>
      <c r="G475" s="70"/>
      <c r="H475" s="70"/>
      <c r="I475" s="70"/>
      <c r="J475" s="70"/>
      <c r="K475" s="70"/>
      <c r="L475" s="70"/>
      <c r="M475" s="70"/>
      <c r="N475" s="70"/>
      <c r="O475" s="70"/>
      <c r="P475" s="70"/>
      <c r="Q475" s="70"/>
      <c r="R475" s="70"/>
      <c r="S475" s="70"/>
      <c r="T475" s="70"/>
      <c r="U475" s="70"/>
      <c r="V475" s="70"/>
      <c r="W475" s="70"/>
      <c r="X475" s="70"/>
      <c r="Y475" s="70"/>
      <c r="Z475" s="70"/>
    </row>
    <row r="476" spans="1:26" ht="13">
      <c r="A476" s="70"/>
      <c r="B476" s="70"/>
      <c r="C476" s="70"/>
      <c r="D476" s="70"/>
      <c r="E476" s="70"/>
      <c r="F476" s="70"/>
      <c r="G476" s="70"/>
      <c r="H476" s="70"/>
      <c r="I476" s="70"/>
      <c r="J476" s="70"/>
      <c r="K476" s="70"/>
      <c r="L476" s="70"/>
      <c r="M476" s="70"/>
      <c r="N476" s="70"/>
      <c r="O476" s="70"/>
      <c r="P476" s="70"/>
      <c r="Q476" s="70"/>
      <c r="R476" s="70"/>
      <c r="S476" s="70"/>
      <c r="T476" s="70"/>
      <c r="U476" s="70"/>
      <c r="V476" s="70"/>
      <c r="W476" s="70"/>
      <c r="X476" s="70"/>
      <c r="Y476" s="70"/>
      <c r="Z476" s="70"/>
    </row>
    <row r="477" spans="1:26" ht="13">
      <c r="A477" s="70"/>
      <c r="B477" s="70"/>
      <c r="C477" s="70"/>
      <c r="D477" s="70"/>
      <c r="E477" s="70"/>
      <c r="F477" s="70"/>
      <c r="G477" s="70"/>
      <c r="H477" s="70"/>
      <c r="I477" s="70"/>
      <c r="J477" s="70"/>
      <c r="K477" s="70"/>
      <c r="L477" s="70"/>
      <c r="M477" s="70"/>
      <c r="N477" s="70"/>
      <c r="O477" s="70"/>
      <c r="P477" s="70"/>
      <c r="Q477" s="70"/>
      <c r="R477" s="70"/>
      <c r="S477" s="70"/>
      <c r="T477" s="70"/>
      <c r="U477" s="70"/>
      <c r="V477" s="70"/>
      <c r="W477" s="70"/>
      <c r="X477" s="70"/>
      <c r="Y477" s="70"/>
      <c r="Z477" s="70"/>
    </row>
    <row r="478" spans="1:26" ht="13">
      <c r="A478" s="70"/>
      <c r="B478" s="70"/>
      <c r="C478" s="70"/>
      <c r="D478" s="70"/>
      <c r="E478" s="70"/>
      <c r="F478" s="70"/>
      <c r="G478" s="70"/>
      <c r="H478" s="70"/>
      <c r="I478" s="70"/>
      <c r="J478" s="70"/>
      <c r="K478" s="70"/>
      <c r="L478" s="70"/>
      <c r="M478" s="70"/>
      <c r="N478" s="70"/>
      <c r="O478" s="70"/>
      <c r="P478" s="70"/>
      <c r="Q478" s="70"/>
      <c r="R478" s="70"/>
      <c r="S478" s="70"/>
      <c r="T478" s="70"/>
      <c r="U478" s="70"/>
      <c r="V478" s="70"/>
      <c r="W478" s="70"/>
      <c r="X478" s="70"/>
      <c r="Y478" s="70"/>
      <c r="Z478" s="70"/>
    </row>
    <row r="479" spans="1:26" ht="13">
      <c r="A479" s="70"/>
      <c r="B479" s="70"/>
      <c r="C479" s="70"/>
      <c r="D479" s="70"/>
      <c r="E479" s="70"/>
      <c r="F479" s="70"/>
      <c r="G479" s="70"/>
      <c r="H479" s="70"/>
      <c r="I479" s="70"/>
      <c r="J479" s="70"/>
      <c r="K479" s="70"/>
      <c r="L479" s="70"/>
      <c r="M479" s="70"/>
      <c r="N479" s="70"/>
      <c r="O479" s="70"/>
      <c r="P479" s="70"/>
      <c r="Q479" s="70"/>
      <c r="R479" s="70"/>
      <c r="S479" s="70"/>
      <c r="T479" s="70"/>
      <c r="U479" s="70"/>
      <c r="V479" s="70"/>
      <c r="W479" s="70"/>
      <c r="X479" s="70"/>
      <c r="Y479" s="70"/>
      <c r="Z479" s="70"/>
    </row>
    <row r="480" spans="1:26" ht="13">
      <c r="A480" s="70"/>
      <c r="B480" s="70"/>
      <c r="C480" s="70"/>
      <c r="D480" s="70"/>
      <c r="E480" s="70"/>
      <c r="F480" s="70"/>
      <c r="G480" s="70"/>
      <c r="H480" s="70"/>
      <c r="I480" s="70"/>
      <c r="J480" s="70"/>
      <c r="K480" s="70"/>
      <c r="L480" s="70"/>
      <c r="M480" s="70"/>
      <c r="N480" s="70"/>
      <c r="O480" s="70"/>
      <c r="P480" s="70"/>
      <c r="Q480" s="70"/>
      <c r="R480" s="70"/>
      <c r="S480" s="70"/>
      <c r="T480" s="70"/>
      <c r="U480" s="70"/>
      <c r="V480" s="70"/>
      <c r="W480" s="70"/>
      <c r="X480" s="70"/>
      <c r="Y480" s="70"/>
      <c r="Z480" s="70"/>
    </row>
    <row r="481" spans="1:26" ht="13">
      <c r="A481" s="70"/>
      <c r="B481" s="70"/>
      <c r="C481" s="70"/>
      <c r="D481" s="70"/>
      <c r="E481" s="70"/>
      <c r="F481" s="70"/>
      <c r="G481" s="70"/>
      <c r="H481" s="70"/>
      <c r="I481" s="70"/>
      <c r="J481" s="70"/>
      <c r="K481" s="70"/>
      <c r="L481" s="70"/>
      <c r="M481" s="70"/>
      <c r="N481" s="70"/>
      <c r="O481" s="70"/>
      <c r="P481" s="70"/>
      <c r="Q481" s="70"/>
      <c r="R481" s="70"/>
      <c r="S481" s="70"/>
      <c r="T481" s="70"/>
      <c r="U481" s="70"/>
      <c r="V481" s="70"/>
      <c r="W481" s="70"/>
      <c r="X481" s="70"/>
      <c r="Y481" s="70"/>
      <c r="Z481" s="70"/>
    </row>
    <row r="482" spans="1:26" ht="13">
      <c r="A482" s="70"/>
      <c r="B482" s="70"/>
      <c r="C482" s="70"/>
      <c r="D482" s="70"/>
      <c r="E482" s="70"/>
      <c r="F482" s="70"/>
      <c r="G482" s="70"/>
      <c r="H482" s="70"/>
      <c r="I482" s="70"/>
      <c r="J482" s="70"/>
      <c r="K482" s="70"/>
      <c r="L482" s="70"/>
      <c r="M482" s="70"/>
      <c r="N482" s="70"/>
      <c r="O482" s="70"/>
      <c r="P482" s="70"/>
      <c r="Q482" s="70"/>
      <c r="R482" s="70"/>
      <c r="S482" s="70"/>
      <c r="T482" s="70"/>
      <c r="U482" s="70"/>
      <c r="V482" s="70"/>
      <c r="W482" s="70"/>
      <c r="X482" s="70"/>
      <c r="Y482" s="70"/>
      <c r="Z482" s="70"/>
    </row>
    <row r="483" spans="1:26" ht="13">
      <c r="A483" s="70"/>
      <c r="B483" s="70"/>
      <c r="C483" s="70"/>
      <c r="D483" s="70"/>
      <c r="E483" s="70"/>
      <c r="F483" s="70"/>
      <c r="G483" s="70"/>
      <c r="H483" s="70"/>
      <c r="I483" s="70"/>
      <c r="J483" s="70"/>
      <c r="K483" s="70"/>
      <c r="L483" s="70"/>
      <c r="M483" s="70"/>
      <c r="N483" s="70"/>
      <c r="O483" s="70"/>
      <c r="P483" s="70"/>
      <c r="Q483" s="70"/>
      <c r="R483" s="70"/>
      <c r="S483" s="70"/>
      <c r="T483" s="70"/>
      <c r="U483" s="70"/>
      <c r="V483" s="70"/>
      <c r="W483" s="70"/>
      <c r="X483" s="70"/>
      <c r="Y483" s="70"/>
      <c r="Z483" s="70"/>
    </row>
    <row r="484" spans="1:26" ht="13">
      <c r="A484" s="70"/>
      <c r="B484" s="70"/>
      <c r="C484" s="70"/>
      <c r="D484" s="70"/>
      <c r="E484" s="70"/>
      <c r="F484" s="70"/>
      <c r="G484" s="70"/>
      <c r="H484" s="70"/>
      <c r="I484" s="70"/>
      <c r="J484" s="70"/>
      <c r="K484" s="70"/>
      <c r="L484" s="70"/>
      <c r="M484" s="70"/>
      <c r="N484" s="70"/>
      <c r="O484" s="70"/>
      <c r="P484" s="70"/>
      <c r="Q484" s="70"/>
      <c r="R484" s="70"/>
      <c r="S484" s="70"/>
      <c r="T484" s="70"/>
      <c r="U484" s="70"/>
      <c r="V484" s="70"/>
      <c r="W484" s="70"/>
      <c r="X484" s="70"/>
      <c r="Y484" s="70"/>
      <c r="Z484" s="70"/>
    </row>
    <row r="485" spans="1:26" ht="13">
      <c r="A485" s="70"/>
      <c r="B485" s="70"/>
      <c r="C485" s="70"/>
      <c r="D485" s="70"/>
      <c r="E485" s="70"/>
      <c r="F485" s="70"/>
      <c r="G485" s="70"/>
      <c r="H485" s="70"/>
      <c r="I485" s="70"/>
      <c r="J485" s="70"/>
      <c r="K485" s="70"/>
      <c r="L485" s="70"/>
      <c r="M485" s="70"/>
      <c r="N485" s="70"/>
      <c r="O485" s="70"/>
      <c r="P485" s="70"/>
      <c r="Q485" s="70"/>
      <c r="R485" s="70"/>
      <c r="S485" s="70"/>
      <c r="T485" s="70"/>
      <c r="U485" s="70"/>
      <c r="V485" s="70"/>
      <c r="W485" s="70"/>
      <c r="X485" s="70"/>
      <c r="Y485" s="70"/>
      <c r="Z485" s="70"/>
    </row>
    <row r="486" spans="1:26" ht="13">
      <c r="A486" s="70"/>
      <c r="B486" s="70"/>
      <c r="C486" s="70"/>
      <c r="D486" s="70"/>
      <c r="E486" s="70"/>
      <c r="F486" s="70"/>
      <c r="G486" s="70"/>
      <c r="H486" s="70"/>
      <c r="I486" s="70"/>
      <c r="J486" s="70"/>
      <c r="K486" s="70"/>
      <c r="L486" s="70"/>
      <c r="M486" s="70"/>
      <c r="N486" s="70"/>
      <c r="O486" s="70"/>
      <c r="P486" s="70"/>
      <c r="Q486" s="70"/>
      <c r="R486" s="70"/>
      <c r="S486" s="70"/>
      <c r="T486" s="70"/>
      <c r="U486" s="70"/>
      <c r="V486" s="70"/>
      <c r="W486" s="70"/>
      <c r="X486" s="70"/>
      <c r="Y486" s="70"/>
      <c r="Z486" s="70"/>
    </row>
    <row r="487" spans="1:26" ht="13">
      <c r="A487" s="70"/>
      <c r="B487" s="70"/>
      <c r="C487" s="70"/>
      <c r="D487" s="70"/>
      <c r="E487" s="70"/>
      <c r="F487" s="70"/>
      <c r="G487" s="70"/>
      <c r="H487" s="70"/>
      <c r="I487" s="70"/>
      <c r="J487" s="70"/>
      <c r="K487" s="70"/>
      <c r="L487" s="70"/>
      <c r="M487" s="70"/>
      <c r="N487" s="70"/>
      <c r="O487" s="70"/>
      <c r="P487" s="70"/>
      <c r="Q487" s="70"/>
      <c r="R487" s="70"/>
      <c r="S487" s="70"/>
      <c r="T487" s="70"/>
      <c r="U487" s="70"/>
      <c r="V487" s="70"/>
      <c r="W487" s="70"/>
      <c r="X487" s="70"/>
      <c r="Y487" s="70"/>
      <c r="Z487" s="70"/>
    </row>
    <row r="488" spans="1:26" ht="13">
      <c r="A488" s="70"/>
      <c r="B488" s="70"/>
      <c r="C488" s="70"/>
      <c r="D488" s="70"/>
      <c r="E488" s="70"/>
      <c r="F488" s="70"/>
      <c r="G488" s="70"/>
      <c r="H488" s="70"/>
      <c r="I488" s="70"/>
      <c r="J488" s="70"/>
      <c r="K488" s="70"/>
      <c r="L488" s="70"/>
      <c r="M488" s="70"/>
      <c r="N488" s="70"/>
      <c r="O488" s="70"/>
      <c r="P488" s="70"/>
      <c r="Q488" s="70"/>
      <c r="R488" s="70"/>
      <c r="S488" s="70"/>
      <c r="T488" s="70"/>
      <c r="U488" s="70"/>
      <c r="V488" s="70"/>
      <c r="W488" s="70"/>
      <c r="X488" s="70"/>
      <c r="Y488" s="70"/>
      <c r="Z488" s="70"/>
    </row>
    <row r="489" spans="1:26" ht="13">
      <c r="A489" s="70"/>
      <c r="B489" s="70"/>
      <c r="C489" s="70"/>
      <c r="D489" s="70"/>
      <c r="E489" s="70"/>
      <c r="F489" s="70"/>
      <c r="G489" s="70"/>
      <c r="H489" s="70"/>
      <c r="I489" s="70"/>
      <c r="J489" s="70"/>
      <c r="K489" s="70"/>
      <c r="L489" s="70"/>
      <c r="M489" s="70"/>
      <c r="N489" s="70"/>
      <c r="O489" s="70"/>
      <c r="P489" s="70"/>
      <c r="Q489" s="70"/>
      <c r="R489" s="70"/>
      <c r="S489" s="70"/>
      <c r="T489" s="70"/>
      <c r="U489" s="70"/>
      <c r="V489" s="70"/>
      <c r="W489" s="70"/>
      <c r="X489" s="70"/>
      <c r="Y489" s="70"/>
      <c r="Z489" s="70"/>
    </row>
    <row r="490" spans="1:26" ht="13">
      <c r="A490" s="70"/>
      <c r="B490" s="70"/>
      <c r="C490" s="70"/>
      <c r="D490" s="70"/>
      <c r="E490" s="70"/>
      <c r="F490" s="70"/>
      <c r="G490" s="70"/>
      <c r="H490" s="70"/>
      <c r="I490" s="70"/>
      <c r="J490" s="70"/>
      <c r="K490" s="70"/>
      <c r="L490" s="70"/>
      <c r="M490" s="70"/>
      <c r="N490" s="70"/>
      <c r="O490" s="70"/>
      <c r="P490" s="70"/>
      <c r="Q490" s="70"/>
      <c r="R490" s="70"/>
      <c r="S490" s="70"/>
      <c r="T490" s="70"/>
      <c r="U490" s="70"/>
      <c r="V490" s="70"/>
      <c r="W490" s="70"/>
      <c r="X490" s="70"/>
      <c r="Y490" s="70"/>
      <c r="Z490" s="70"/>
    </row>
    <row r="491" spans="1:26" ht="13">
      <c r="A491" s="70"/>
      <c r="B491" s="70"/>
      <c r="C491" s="70"/>
      <c r="D491" s="70"/>
      <c r="E491" s="70"/>
      <c r="F491" s="70"/>
      <c r="G491" s="70"/>
      <c r="H491" s="70"/>
      <c r="I491" s="70"/>
      <c r="J491" s="70"/>
      <c r="K491" s="70"/>
      <c r="L491" s="70"/>
      <c r="M491" s="70"/>
      <c r="N491" s="70"/>
      <c r="O491" s="70"/>
      <c r="P491" s="70"/>
      <c r="Q491" s="70"/>
      <c r="R491" s="70"/>
      <c r="S491" s="70"/>
      <c r="T491" s="70"/>
      <c r="U491" s="70"/>
      <c r="V491" s="70"/>
      <c r="W491" s="70"/>
      <c r="X491" s="70"/>
      <c r="Y491" s="70"/>
      <c r="Z491" s="70"/>
    </row>
    <row r="492" spans="1:26" ht="13">
      <c r="A492" s="70"/>
      <c r="B492" s="70"/>
      <c r="C492" s="70"/>
      <c r="D492" s="70"/>
      <c r="E492" s="70"/>
      <c r="F492" s="70"/>
      <c r="G492" s="70"/>
      <c r="H492" s="70"/>
      <c r="I492" s="70"/>
      <c r="J492" s="70"/>
      <c r="K492" s="70"/>
      <c r="L492" s="70"/>
      <c r="M492" s="70"/>
      <c r="N492" s="70"/>
      <c r="O492" s="70"/>
      <c r="P492" s="70"/>
      <c r="Q492" s="70"/>
      <c r="R492" s="70"/>
      <c r="S492" s="70"/>
      <c r="T492" s="70"/>
      <c r="U492" s="70"/>
      <c r="V492" s="70"/>
      <c r="W492" s="70"/>
      <c r="X492" s="70"/>
      <c r="Y492" s="70"/>
      <c r="Z492" s="70"/>
    </row>
    <row r="493" spans="1:26" ht="13">
      <c r="A493" s="70"/>
      <c r="B493" s="70"/>
      <c r="C493" s="70"/>
      <c r="D493" s="70"/>
      <c r="E493" s="70"/>
      <c r="F493" s="70"/>
      <c r="G493" s="70"/>
      <c r="H493" s="70"/>
      <c r="I493" s="70"/>
      <c r="J493" s="70"/>
      <c r="K493" s="70"/>
      <c r="L493" s="70"/>
      <c r="M493" s="70"/>
      <c r="N493" s="70"/>
      <c r="O493" s="70"/>
      <c r="P493" s="70"/>
      <c r="Q493" s="70"/>
      <c r="R493" s="70"/>
      <c r="S493" s="70"/>
      <c r="T493" s="70"/>
      <c r="U493" s="70"/>
      <c r="V493" s="70"/>
      <c r="W493" s="70"/>
      <c r="X493" s="70"/>
      <c r="Y493" s="70"/>
      <c r="Z493" s="70"/>
    </row>
    <row r="494" spans="1:26" ht="13">
      <c r="A494" s="70"/>
      <c r="B494" s="70"/>
      <c r="C494" s="70"/>
      <c r="D494" s="70"/>
      <c r="E494" s="70"/>
      <c r="F494" s="70"/>
      <c r="G494" s="70"/>
      <c r="H494" s="70"/>
      <c r="I494" s="70"/>
      <c r="J494" s="70"/>
      <c r="K494" s="70"/>
      <c r="L494" s="70"/>
      <c r="M494" s="70"/>
      <c r="N494" s="70"/>
      <c r="O494" s="70"/>
      <c r="P494" s="70"/>
      <c r="Q494" s="70"/>
      <c r="R494" s="70"/>
      <c r="S494" s="70"/>
      <c r="T494" s="70"/>
      <c r="U494" s="70"/>
      <c r="V494" s="70"/>
      <c r="W494" s="70"/>
      <c r="X494" s="70"/>
      <c r="Y494" s="70"/>
      <c r="Z494" s="70"/>
    </row>
    <row r="495" spans="1:26" ht="13">
      <c r="A495" s="70"/>
      <c r="B495" s="70"/>
      <c r="C495" s="70"/>
      <c r="D495" s="70"/>
      <c r="E495" s="70"/>
      <c r="F495" s="70"/>
      <c r="G495" s="70"/>
      <c r="H495" s="70"/>
      <c r="I495" s="70"/>
      <c r="J495" s="70"/>
      <c r="K495" s="70"/>
      <c r="L495" s="70"/>
      <c r="M495" s="70"/>
      <c r="N495" s="70"/>
      <c r="O495" s="70"/>
      <c r="P495" s="70"/>
      <c r="Q495" s="70"/>
      <c r="R495" s="70"/>
      <c r="S495" s="70"/>
      <c r="T495" s="70"/>
      <c r="U495" s="70"/>
      <c r="V495" s="70"/>
      <c r="W495" s="70"/>
      <c r="X495" s="70"/>
      <c r="Y495" s="70"/>
      <c r="Z495" s="70"/>
    </row>
    <row r="496" spans="1:26" ht="13">
      <c r="A496" s="70"/>
      <c r="B496" s="70"/>
      <c r="C496" s="70"/>
      <c r="D496" s="70"/>
      <c r="E496" s="70"/>
      <c r="F496" s="70"/>
      <c r="G496" s="70"/>
      <c r="H496" s="70"/>
      <c r="I496" s="70"/>
      <c r="J496" s="70"/>
      <c r="K496" s="70"/>
      <c r="L496" s="70"/>
      <c r="M496" s="70"/>
      <c r="N496" s="70"/>
      <c r="O496" s="70"/>
      <c r="P496" s="70"/>
      <c r="Q496" s="70"/>
      <c r="R496" s="70"/>
      <c r="S496" s="70"/>
      <c r="T496" s="70"/>
      <c r="U496" s="70"/>
      <c r="V496" s="70"/>
      <c r="W496" s="70"/>
      <c r="X496" s="70"/>
      <c r="Y496" s="70"/>
      <c r="Z496" s="70"/>
    </row>
    <row r="497" spans="1:26" ht="13">
      <c r="A497" s="70"/>
      <c r="B497" s="70"/>
      <c r="C497" s="70"/>
      <c r="D497" s="70"/>
      <c r="E497" s="70"/>
      <c r="F497" s="70"/>
      <c r="G497" s="70"/>
      <c r="H497" s="70"/>
      <c r="I497" s="70"/>
      <c r="J497" s="70"/>
      <c r="K497" s="70"/>
      <c r="L497" s="70"/>
      <c r="M497" s="70"/>
      <c r="N497" s="70"/>
      <c r="O497" s="70"/>
      <c r="P497" s="70"/>
      <c r="Q497" s="70"/>
      <c r="R497" s="70"/>
      <c r="S497" s="70"/>
      <c r="T497" s="70"/>
      <c r="U497" s="70"/>
      <c r="V497" s="70"/>
      <c r="W497" s="70"/>
      <c r="X497" s="70"/>
      <c r="Y497" s="70"/>
      <c r="Z497" s="70"/>
    </row>
    <row r="498" spans="1:26" ht="13">
      <c r="A498" s="70"/>
      <c r="B498" s="70"/>
      <c r="C498" s="70"/>
      <c r="D498" s="70"/>
      <c r="E498" s="70"/>
      <c r="F498" s="70"/>
      <c r="G498" s="70"/>
      <c r="H498" s="70"/>
      <c r="I498" s="70"/>
      <c r="J498" s="70"/>
      <c r="K498" s="70"/>
      <c r="L498" s="70"/>
      <c r="M498" s="70"/>
      <c r="N498" s="70"/>
      <c r="O498" s="70"/>
      <c r="P498" s="70"/>
      <c r="Q498" s="70"/>
      <c r="R498" s="70"/>
      <c r="S498" s="70"/>
      <c r="T498" s="70"/>
      <c r="U498" s="70"/>
      <c r="V498" s="70"/>
      <c r="W498" s="70"/>
      <c r="X498" s="70"/>
      <c r="Y498" s="70"/>
      <c r="Z498" s="70"/>
    </row>
    <row r="499" spans="1:26" ht="13">
      <c r="A499" s="70"/>
      <c r="B499" s="70"/>
      <c r="C499" s="70"/>
      <c r="D499" s="70"/>
      <c r="E499" s="70"/>
      <c r="F499" s="70"/>
      <c r="G499" s="70"/>
      <c r="H499" s="70"/>
      <c r="I499" s="70"/>
      <c r="J499" s="70"/>
      <c r="K499" s="70"/>
      <c r="L499" s="70"/>
      <c r="M499" s="70"/>
      <c r="N499" s="70"/>
      <c r="O499" s="70"/>
      <c r="P499" s="70"/>
      <c r="Q499" s="70"/>
      <c r="R499" s="70"/>
      <c r="S499" s="70"/>
      <c r="T499" s="70"/>
      <c r="U499" s="70"/>
      <c r="V499" s="70"/>
      <c r="W499" s="70"/>
      <c r="X499" s="70"/>
      <c r="Y499" s="70"/>
      <c r="Z499" s="70"/>
    </row>
    <row r="500" spans="1:26" ht="13">
      <c r="A500" s="70"/>
      <c r="B500" s="70"/>
      <c r="C500" s="70"/>
      <c r="D500" s="70"/>
      <c r="E500" s="70"/>
      <c r="F500" s="70"/>
      <c r="G500" s="70"/>
      <c r="H500" s="70"/>
      <c r="I500" s="70"/>
      <c r="J500" s="70"/>
      <c r="K500" s="70"/>
      <c r="L500" s="70"/>
      <c r="M500" s="70"/>
      <c r="N500" s="70"/>
      <c r="O500" s="70"/>
      <c r="P500" s="70"/>
      <c r="Q500" s="70"/>
      <c r="R500" s="70"/>
      <c r="S500" s="70"/>
      <c r="T500" s="70"/>
      <c r="U500" s="70"/>
      <c r="V500" s="70"/>
      <c r="W500" s="70"/>
      <c r="X500" s="70"/>
      <c r="Y500" s="70"/>
      <c r="Z500" s="70"/>
    </row>
    <row r="501" spans="1:26" ht="13">
      <c r="A501" s="70"/>
      <c r="B501" s="70"/>
      <c r="C501" s="70"/>
      <c r="D501" s="70"/>
      <c r="E501" s="70"/>
      <c r="F501" s="70"/>
      <c r="G501" s="70"/>
      <c r="H501" s="70"/>
      <c r="I501" s="70"/>
      <c r="J501" s="70"/>
      <c r="K501" s="70"/>
      <c r="L501" s="70"/>
      <c r="M501" s="70"/>
      <c r="N501" s="70"/>
      <c r="O501" s="70"/>
      <c r="P501" s="70"/>
      <c r="Q501" s="70"/>
      <c r="R501" s="70"/>
      <c r="S501" s="70"/>
      <c r="T501" s="70"/>
      <c r="U501" s="70"/>
      <c r="V501" s="70"/>
      <c r="W501" s="70"/>
      <c r="X501" s="70"/>
      <c r="Y501" s="70"/>
      <c r="Z501" s="70"/>
    </row>
    <row r="502" spans="1:26" ht="13">
      <c r="A502" s="70"/>
      <c r="B502" s="70"/>
      <c r="C502" s="70"/>
      <c r="D502" s="70"/>
      <c r="E502" s="70"/>
      <c r="F502" s="70"/>
      <c r="G502" s="70"/>
      <c r="H502" s="70"/>
      <c r="I502" s="70"/>
      <c r="J502" s="70"/>
      <c r="K502" s="70"/>
      <c r="L502" s="70"/>
      <c r="M502" s="70"/>
      <c r="N502" s="70"/>
      <c r="O502" s="70"/>
      <c r="P502" s="70"/>
      <c r="Q502" s="70"/>
      <c r="R502" s="70"/>
      <c r="S502" s="70"/>
      <c r="T502" s="70"/>
      <c r="U502" s="70"/>
      <c r="V502" s="70"/>
      <c r="W502" s="70"/>
      <c r="X502" s="70"/>
      <c r="Y502" s="70"/>
      <c r="Z502" s="70"/>
    </row>
    <row r="503" spans="1:26" ht="13">
      <c r="A503" s="70"/>
      <c r="B503" s="70"/>
      <c r="C503" s="70"/>
      <c r="D503" s="70"/>
      <c r="E503" s="70"/>
      <c r="F503" s="70"/>
      <c r="G503" s="70"/>
      <c r="H503" s="70"/>
      <c r="I503" s="70"/>
      <c r="J503" s="70"/>
      <c r="K503" s="70"/>
      <c r="L503" s="70"/>
      <c r="M503" s="70"/>
      <c r="N503" s="70"/>
      <c r="O503" s="70"/>
      <c r="P503" s="70"/>
      <c r="Q503" s="70"/>
      <c r="R503" s="70"/>
      <c r="S503" s="70"/>
      <c r="T503" s="70"/>
      <c r="U503" s="70"/>
      <c r="V503" s="70"/>
      <c r="W503" s="70"/>
      <c r="X503" s="70"/>
      <c r="Y503" s="70"/>
      <c r="Z503" s="70"/>
    </row>
    <row r="504" spans="1:26" ht="13">
      <c r="A504" s="70"/>
      <c r="B504" s="70"/>
      <c r="C504" s="70"/>
      <c r="D504" s="70"/>
      <c r="E504" s="70"/>
      <c r="F504" s="70"/>
      <c r="G504" s="70"/>
      <c r="H504" s="70"/>
      <c r="I504" s="70"/>
      <c r="J504" s="70"/>
      <c r="K504" s="70"/>
      <c r="L504" s="70"/>
      <c r="M504" s="70"/>
      <c r="N504" s="70"/>
      <c r="O504" s="70"/>
      <c r="P504" s="70"/>
      <c r="Q504" s="70"/>
      <c r="R504" s="70"/>
      <c r="S504" s="70"/>
      <c r="T504" s="70"/>
      <c r="U504" s="70"/>
      <c r="V504" s="70"/>
      <c r="W504" s="70"/>
      <c r="X504" s="70"/>
      <c r="Y504" s="70"/>
      <c r="Z504" s="70"/>
    </row>
    <row r="505" spans="1:26" ht="13">
      <c r="A505" s="70"/>
      <c r="B505" s="70"/>
      <c r="C505" s="70"/>
      <c r="D505" s="70"/>
      <c r="E505" s="70"/>
      <c r="F505" s="70"/>
      <c r="G505" s="70"/>
      <c r="H505" s="70"/>
      <c r="I505" s="70"/>
      <c r="J505" s="70"/>
      <c r="K505" s="70"/>
      <c r="L505" s="70"/>
      <c r="M505" s="70"/>
      <c r="N505" s="70"/>
      <c r="O505" s="70"/>
      <c r="P505" s="70"/>
      <c r="Q505" s="70"/>
      <c r="R505" s="70"/>
      <c r="S505" s="70"/>
      <c r="T505" s="70"/>
      <c r="U505" s="70"/>
      <c r="V505" s="70"/>
      <c r="W505" s="70"/>
      <c r="X505" s="70"/>
      <c r="Y505" s="70"/>
      <c r="Z505" s="70"/>
    </row>
    <row r="506" spans="1:26" ht="13">
      <c r="A506" s="70"/>
      <c r="B506" s="70"/>
      <c r="C506" s="70"/>
      <c r="D506" s="70"/>
      <c r="E506" s="70"/>
      <c r="F506" s="70"/>
      <c r="G506" s="70"/>
      <c r="H506" s="70"/>
      <c r="I506" s="70"/>
      <c r="J506" s="70"/>
      <c r="K506" s="70"/>
      <c r="L506" s="70"/>
      <c r="M506" s="70"/>
      <c r="N506" s="70"/>
      <c r="O506" s="70"/>
      <c r="P506" s="70"/>
      <c r="Q506" s="70"/>
      <c r="R506" s="70"/>
      <c r="S506" s="70"/>
      <c r="T506" s="70"/>
      <c r="U506" s="70"/>
      <c r="V506" s="70"/>
      <c r="W506" s="70"/>
      <c r="X506" s="70"/>
      <c r="Y506" s="70"/>
      <c r="Z506" s="70"/>
    </row>
    <row r="507" spans="1:26" ht="13">
      <c r="A507" s="70"/>
      <c r="B507" s="70"/>
      <c r="C507" s="70"/>
      <c r="D507" s="70"/>
      <c r="E507" s="70"/>
      <c r="F507" s="70"/>
      <c r="G507" s="70"/>
      <c r="H507" s="70"/>
      <c r="I507" s="70"/>
      <c r="J507" s="70"/>
      <c r="K507" s="70"/>
      <c r="L507" s="70"/>
      <c r="M507" s="70"/>
      <c r="N507" s="70"/>
      <c r="O507" s="70"/>
      <c r="P507" s="70"/>
      <c r="Q507" s="70"/>
      <c r="R507" s="70"/>
      <c r="S507" s="70"/>
      <c r="T507" s="70"/>
      <c r="U507" s="70"/>
      <c r="V507" s="70"/>
      <c r="W507" s="70"/>
      <c r="X507" s="70"/>
      <c r="Y507" s="70"/>
      <c r="Z507" s="70"/>
    </row>
    <row r="508" spans="1:26" ht="13">
      <c r="A508" s="70"/>
      <c r="B508" s="70"/>
      <c r="C508" s="70"/>
      <c r="D508" s="70"/>
      <c r="E508" s="70"/>
      <c r="F508" s="70"/>
      <c r="G508" s="70"/>
      <c r="H508" s="70"/>
      <c r="I508" s="70"/>
      <c r="J508" s="70"/>
      <c r="K508" s="70"/>
      <c r="L508" s="70"/>
      <c r="M508" s="70"/>
      <c r="N508" s="70"/>
      <c r="O508" s="70"/>
      <c r="P508" s="70"/>
      <c r="Q508" s="70"/>
      <c r="R508" s="70"/>
      <c r="S508" s="70"/>
      <c r="T508" s="70"/>
      <c r="U508" s="70"/>
      <c r="V508" s="70"/>
      <c r="W508" s="70"/>
      <c r="X508" s="70"/>
      <c r="Y508" s="70"/>
      <c r="Z508" s="70"/>
    </row>
    <row r="509" spans="1:26" ht="13">
      <c r="A509" s="70"/>
      <c r="B509" s="70"/>
      <c r="C509" s="70"/>
      <c r="D509" s="70"/>
      <c r="E509" s="70"/>
      <c r="F509" s="70"/>
      <c r="G509" s="70"/>
      <c r="H509" s="70"/>
      <c r="I509" s="70"/>
      <c r="J509" s="70"/>
      <c r="K509" s="70"/>
      <c r="L509" s="70"/>
      <c r="M509" s="70"/>
      <c r="N509" s="70"/>
      <c r="O509" s="70"/>
      <c r="P509" s="70"/>
      <c r="Q509" s="70"/>
      <c r="R509" s="70"/>
      <c r="S509" s="70"/>
      <c r="T509" s="70"/>
      <c r="U509" s="70"/>
      <c r="V509" s="70"/>
      <c r="W509" s="70"/>
      <c r="X509" s="70"/>
      <c r="Y509" s="70"/>
      <c r="Z509" s="70"/>
    </row>
    <row r="510" spans="1:26" ht="13">
      <c r="A510" s="70"/>
      <c r="B510" s="70"/>
      <c r="C510" s="70"/>
      <c r="D510" s="70"/>
      <c r="E510" s="70"/>
      <c r="F510" s="70"/>
      <c r="G510" s="70"/>
      <c r="H510" s="70"/>
      <c r="I510" s="70"/>
      <c r="J510" s="70"/>
      <c r="K510" s="70"/>
      <c r="L510" s="70"/>
      <c r="M510" s="70"/>
      <c r="N510" s="70"/>
      <c r="O510" s="70"/>
      <c r="P510" s="70"/>
      <c r="Q510" s="70"/>
      <c r="R510" s="70"/>
      <c r="S510" s="70"/>
      <c r="T510" s="70"/>
      <c r="U510" s="70"/>
      <c r="V510" s="70"/>
      <c r="W510" s="70"/>
      <c r="X510" s="70"/>
      <c r="Y510" s="70"/>
      <c r="Z510" s="70"/>
    </row>
    <row r="511" spans="1:26" ht="13">
      <c r="A511" s="70"/>
      <c r="B511" s="70"/>
      <c r="C511" s="70"/>
      <c r="D511" s="70"/>
      <c r="E511" s="70"/>
      <c r="F511" s="70"/>
      <c r="G511" s="70"/>
      <c r="H511" s="70"/>
      <c r="I511" s="70"/>
      <c r="J511" s="70"/>
      <c r="K511" s="70"/>
      <c r="L511" s="70"/>
      <c r="M511" s="70"/>
      <c r="N511" s="70"/>
      <c r="O511" s="70"/>
      <c r="P511" s="70"/>
      <c r="Q511" s="70"/>
      <c r="R511" s="70"/>
      <c r="S511" s="70"/>
      <c r="T511" s="70"/>
      <c r="U511" s="70"/>
      <c r="V511" s="70"/>
      <c r="W511" s="70"/>
      <c r="X511" s="70"/>
      <c r="Y511" s="70"/>
      <c r="Z511" s="70"/>
    </row>
    <row r="512" spans="1:26" ht="13">
      <c r="A512" s="70"/>
      <c r="B512" s="70"/>
      <c r="C512" s="70"/>
      <c r="D512" s="70"/>
      <c r="E512" s="70"/>
      <c r="F512" s="70"/>
      <c r="G512" s="70"/>
      <c r="H512" s="70"/>
      <c r="I512" s="70"/>
      <c r="J512" s="70"/>
      <c r="K512" s="70"/>
      <c r="L512" s="70"/>
      <c r="M512" s="70"/>
      <c r="N512" s="70"/>
      <c r="O512" s="70"/>
      <c r="P512" s="70"/>
      <c r="Q512" s="70"/>
      <c r="R512" s="70"/>
      <c r="S512" s="70"/>
      <c r="T512" s="70"/>
      <c r="U512" s="70"/>
      <c r="V512" s="70"/>
      <c r="W512" s="70"/>
      <c r="X512" s="70"/>
      <c r="Y512" s="70"/>
      <c r="Z512" s="70"/>
    </row>
    <row r="513" spans="1:26" ht="13">
      <c r="A513" s="70"/>
      <c r="B513" s="70"/>
      <c r="C513" s="70"/>
      <c r="D513" s="70"/>
      <c r="E513" s="70"/>
      <c r="F513" s="70"/>
      <c r="G513" s="70"/>
      <c r="H513" s="70"/>
      <c r="I513" s="70"/>
      <c r="J513" s="70"/>
      <c r="K513" s="70"/>
      <c r="L513" s="70"/>
      <c r="M513" s="70"/>
      <c r="N513" s="70"/>
      <c r="O513" s="70"/>
      <c r="P513" s="70"/>
      <c r="Q513" s="70"/>
      <c r="R513" s="70"/>
      <c r="S513" s="70"/>
      <c r="T513" s="70"/>
      <c r="U513" s="70"/>
      <c r="V513" s="70"/>
      <c r="W513" s="70"/>
      <c r="X513" s="70"/>
      <c r="Y513" s="70"/>
      <c r="Z513" s="70"/>
    </row>
    <row r="514" spans="1:26" ht="13">
      <c r="A514" s="70"/>
      <c r="B514" s="70"/>
      <c r="C514" s="70"/>
      <c r="D514" s="70"/>
      <c r="E514" s="70"/>
      <c r="F514" s="70"/>
      <c r="G514" s="70"/>
      <c r="H514" s="70"/>
      <c r="I514" s="70"/>
      <c r="J514" s="70"/>
      <c r="K514" s="70"/>
      <c r="L514" s="70"/>
      <c r="M514" s="70"/>
      <c r="N514" s="70"/>
      <c r="O514" s="70"/>
      <c r="P514" s="70"/>
      <c r="Q514" s="70"/>
      <c r="R514" s="70"/>
      <c r="S514" s="70"/>
      <c r="T514" s="70"/>
      <c r="U514" s="70"/>
      <c r="V514" s="70"/>
      <c r="W514" s="70"/>
      <c r="X514" s="70"/>
      <c r="Y514" s="70"/>
      <c r="Z514" s="70"/>
    </row>
    <row r="515" spans="1:26" ht="13">
      <c r="A515" s="70"/>
      <c r="B515" s="70"/>
      <c r="C515" s="70"/>
      <c r="D515" s="70"/>
      <c r="E515" s="70"/>
      <c r="F515" s="70"/>
      <c r="G515" s="70"/>
      <c r="H515" s="70"/>
      <c r="I515" s="70"/>
      <c r="J515" s="70"/>
      <c r="K515" s="70"/>
      <c r="L515" s="70"/>
      <c r="M515" s="70"/>
      <c r="N515" s="70"/>
      <c r="O515" s="70"/>
      <c r="P515" s="70"/>
      <c r="Q515" s="70"/>
      <c r="R515" s="70"/>
      <c r="S515" s="70"/>
      <c r="T515" s="70"/>
      <c r="U515" s="70"/>
      <c r="V515" s="70"/>
      <c r="W515" s="70"/>
      <c r="X515" s="70"/>
      <c r="Y515" s="70"/>
      <c r="Z515" s="70"/>
    </row>
    <row r="516" spans="1:26" ht="13">
      <c r="A516" s="70"/>
      <c r="B516" s="70"/>
      <c r="C516" s="70"/>
      <c r="D516" s="70"/>
      <c r="E516" s="70"/>
      <c r="F516" s="70"/>
      <c r="G516" s="70"/>
      <c r="H516" s="70"/>
      <c r="I516" s="70"/>
      <c r="J516" s="70"/>
      <c r="K516" s="70"/>
      <c r="L516" s="70"/>
      <c r="M516" s="70"/>
      <c r="N516" s="70"/>
      <c r="O516" s="70"/>
      <c r="P516" s="70"/>
      <c r="Q516" s="70"/>
      <c r="R516" s="70"/>
      <c r="S516" s="70"/>
      <c r="T516" s="70"/>
      <c r="U516" s="70"/>
      <c r="V516" s="70"/>
      <c r="W516" s="70"/>
      <c r="X516" s="70"/>
      <c r="Y516" s="70"/>
      <c r="Z516" s="70"/>
    </row>
    <row r="517" spans="1:26" ht="13">
      <c r="A517" s="70"/>
      <c r="B517" s="70"/>
      <c r="C517" s="70"/>
      <c r="D517" s="70"/>
      <c r="E517" s="70"/>
      <c r="F517" s="70"/>
      <c r="G517" s="70"/>
      <c r="H517" s="70"/>
      <c r="I517" s="70"/>
      <c r="J517" s="70"/>
      <c r="K517" s="70"/>
      <c r="L517" s="70"/>
      <c r="M517" s="70"/>
      <c r="N517" s="70"/>
      <c r="O517" s="70"/>
      <c r="P517" s="70"/>
      <c r="Q517" s="70"/>
      <c r="R517" s="70"/>
      <c r="S517" s="70"/>
      <c r="T517" s="70"/>
      <c r="U517" s="70"/>
      <c r="V517" s="70"/>
      <c r="W517" s="70"/>
      <c r="X517" s="70"/>
      <c r="Y517" s="70"/>
      <c r="Z517" s="70"/>
    </row>
    <row r="518" spans="1:26" ht="13">
      <c r="A518" s="70"/>
      <c r="B518" s="70"/>
      <c r="C518" s="70"/>
      <c r="D518" s="70"/>
      <c r="E518" s="70"/>
      <c r="F518" s="70"/>
      <c r="G518" s="70"/>
      <c r="H518" s="70"/>
      <c r="I518" s="70"/>
      <c r="J518" s="70"/>
      <c r="K518" s="70"/>
      <c r="L518" s="70"/>
      <c r="M518" s="70"/>
      <c r="N518" s="70"/>
      <c r="O518" s="70"/>
      <c r="P518" s="70"/>
      <c r="Q518" s="70"/>
      <c r="R518" s="70"/>
      <c r="S518" s="70"/>
      <c r="T518" s="70"/>
      <c r="U518" s="70"/>
      <c r="V518" s="70"/>
      <c r="W518" s="70"/>
      <c r="X518" s="70"/>
      <c r="Y518" s="70"/>
      <c r="Z518" s="70"/>
    </row>
    <row r="519" spans="1:26" ht="13">
      <c r="A519" s="70"/>
      <c r="B519" s="70"/>
      <c r="C519" s="70"/>
      <c r="D519" s="70"/>
      <c r="E519" s="70"/>
      <c r="F519" s="70"/>
      <c r="G519" s="70"/>
      <c r="H519" s="70"/>
      <c r="I519" s="70"/>
      <c r="J519" s="70"/>
      <c r="K519" s="70"/>
      <c r="L519" s="70"/>
      <c r="M519" s="70"/>
      <c r="N519" s="70"/>
      <c r="O519" s="70"/>
      <c r="P519" s="70"/>
      <c r="Q519" s="70"/>
      <c r="R519" s="70"/>
      <c r="S519" s="70"/>
      <c r="T519" s="70"/>
      <c r="U519" s="70"/>
      <c r="V519" s="70"/>
      <c r="W519" s="70"/>
      <c r="X519" s="70"/>
      <c r="Y519" s="70"/>
      <c r="Z519" s="70"/>
    </row>
    <row r="520" spans="1:26" ht="13">
      <c r="A520" s="70"/>
      <c r="B520" s="70"/>
      <c r="C520" s="70"/>
      <c r="D520" s="70"/>
      <c r="E520" s="70"/>
      <c r="F520" s="70"/>
      <c r="G520" s="70"/>
      <c r="H520" s="70"/>
      <c r="I520" s="70"/>
      <c r="J520" s="70"/>
      <c r="K520" s="70"/>
      <c r="L520" s="70"/>
      <c r="M520" s="70"/>
      <c r="N520" s="70"/>
      <c r="O520" s="70"/>
      <c r="P520" s="70"/>
      <c r="Q520" s="70"/>
      <c r="R520" s="70"/>
      <c r="S520" s="70"/>
      <c r="T520" s="70"/>
      <c r="U520" s="70"/>
      <c r="V520" s="70"/>
      <c r="W520" s="70"/>
      <c r="X520" s="70"/>
      <c r="Y520" s="70"/>
      <c r="Z520" s="70"/>
    </row>
    <row r="521" spans="1:26" ht="13">
      <c r="A521" s="70"/>
      <c r="B521" s="70"/>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row>
    <row r="522" spans="1:26" ht="13">
      <c r="A522" s="70"/>
      <c r="B522" s="70"/>
      <c r="C522" s="70"/>
      <c r="D522" s="70"/>
      <c r="E522" s="70"/>
      <c r="F522" s="70"/>
      <c r="G522" s="70"/>
      <c r="H522" s="70"/>
      <c r="I522" s="70"/>
      <c r="J522" s="70"/>
      <c r="K522" s="70"/>
      <c r="L522" s="70"/>
      <c r="M522" s="70"/>
      <c r="N522" s="70"/>
      <c r="O522" s="70"/>
      <c r="P522" s="70"/>
      <c r="Q522" s="70"/>
      <c r="R522" s="70"/>
      <c r="S522" s="70"/>
      <c r="T522" s="70"/>
      <c r="U522" s="70"/>
      <c r="V522" s="70"/>
      <c r="W522" s="70"/>
      <c r="X522" s="70"/>
      <c r="Y522" s="70"/>
      <c r="Z522" s="70"/>
    </row>
    <row r="523" spans="1:26" ht="13">
      <c r="A523" s="70"/>
      <c r="B523" s="70"/>
      <c r="C523" s="70"/>
      <c r="D523" s="70"/>
      <c r="E523" s="70"/>
      <c r="F523" s="70"/>
      <c r="G523" s="70"/>
      <c r="H523" s="70"/>
      <c r="I523" s="70"/>
      <c r="J523" s="70"/>
      <c r="K523" s="70"/>
      <c r="L523" s="70"/>
      <c r="M523" s="70"/>
      <c r="N523" s="70"/>
      <c r="O523" s="70"/>
      <c r="P523" s="70"/>
      <c r="Q523" s="70"/>
      <c r="R523" s="70"/>
      <c r="S523" s="70"/>
      <c r="T523" s="70"/>
      <c r="U523" s="70"/>
      <c r="V523" s="70"/>
      <c r="W523" s="70"/>
      <c r="X523" s="70"/>
      <c r="Y523" s="70"/>
      <c r="Z523" s="70"/>
    </row>
    <row r="524" spans="1:26" ht="13">
      <c r="A524" s="70"/>
      <c r="B524" s="70"/>
      <c r="C524" s="70"/>
      <c r="D524" s="70"/>
      <c r="E524" s="70"/>
      <c r="F524" s="70"/>
      <c r="G524" s="70"/>
      <c r="H524" s="70"/>
      <c r="I524" s="70"/>
      <c r="J524" s="70"/>
      <c r="K524" s="70"/>
      <c r="L524" s="70"/>
      <c r="M524" s="70"/>
      <c r="N524" s="70"/>
      <c r="O524" s="70"/>
      <c r="P524" s="70"/>
      <c r="Q524" s="70"/>
      <c r="R524" s="70"/>
      <c r="S524" s="70"/>
      <c r="T524" s="70"/>
      <c r="U524" s="70"/>
      <c r="V524" s="70"/>
      <c r="W524" s="70"/>
      <c r="X524" s="70"/>
      <c r="Y524" s="70"/>
      <c r="Z524" s="70"/>
    </row>
    <row r="525" spans="1:26" ht="13">
      <c r="A525" s="70"/>
      <c r="B525" s="70"/>
      <c r="C525" s="70"/>
      <c r="D525" s="70"/>
      <c r="E525" s="70"/>
      <c r="F525" s="70"/>
      <c r="G525" s="70"/>
      <c r="H525" s="70"/>
      <c r="I525" s="70"/>
      <c r="J525" s="70"/>
      <c r="K525" s="70"/>
      <c r="L525" s="70"/>
      <c r="M525" s="70"/>
      <c r="N525" s="70"/>
      <c r="O525" s="70"/>
      <c r="P525" s="70"/>
      <c r="Q525" s="70"/>
      <c r="R525" s="70"/>
      <c r="S525" s="70"/>
      <c r="T525" s="70"/>
      <c r="U525" s="70"/>
      <c r="V525" s="70"/>
      <c r="W525" s="70"/>
      <c r="X525" s="70"/>
      <c r="Y525" s="70"/>
      <c r="Z525" s="70"/>
    </row>
    <row r="526" spans="1:26" ht="13">
      <c r="A526" s="70"/>
      <c r="B526" s="70"/>
      <c r="C526" s="70"/>
      <c r="D526" s="70"/>
      <c r="E526" s="70"/>
      <c r="F526" s="70"/>
      <c r="G526" s="70"/>
      <c r="H526" s="70"/>
      <c r="I526" s="70"/>
      <c r="J526" s="70"/>
      <c r="K526" s="70"/>
      <c r="L526" s="70"/>
      <c r="M526" s="70"/>
      <c r="N526" s="70"/>
      <c r="O526" s="70"/>
      <c r="P526" s="70"/>
      <c r="Q526" s="70"/>
      <c r="R526" s="70"/>
      <c r="S526" s="70"/>
      <c r="T526" s="70"/>
      <c r="U526" s="70"/>
      <c r="V526" s="70"/>
      <c r="W526" s="70"/>
      <c r="X526" s="70"/>
      <c r="Y526" s="70"/>
      <c r="Z526" s="70"/>
    </row>
    <row r="527" spans="1:26" ht="13">
      <c r="A527" s="70"/>
      <c r="B527" s="70"/>
      <c r="C527" s="70"/>
      <c r="D527" s="70"/>
      <c r="E527" s="70"/>
      <c r="F527" s="70"/>
      <c r="G527" s="70"/>
      <c r="H527" s="70"/>
      <c r="I527" s="70"/>
      <c r="J527" s="70"/>
      <c r="K527" s="70"/>
      <c r="L527" s="70"/>
      <c r="M527" s="70"/>
      <c r="N527" s="70"/>
      <c r="O527" s="70"/>
      <c r="P527" s="70"/>
      <c r="Q527" s="70"/>
      <c r="R527" s="70"/>
      <c r="S527" s="70"/>
      <c r="T527" s="70"/>
      <c r="U527" s="70"/>
      <c r="V527" s="70"/>
      <c r="W527" s="70"/>
      <c r="X527" s="70"/>
      <c r="Y527" s="70"/>
      <c r="Z527" s="70"/>
    </row>
    <row r="528" spans="1:26" ht="13">
      <c r="A528" s="70"/>
      <c r="B528" s="70"/>
      <c r="C528" s="70"/>
      <c r="D528" s="70"/>
      <c r="E528" s="70"/>
      <c r="F528" s="70"/>
      <c r="G528" s="70"/>
      <c r="H528" s="70"/>
      <c r="I528" s="70"/>
      <c r="J528" s="70"/>
      <c r="K528" s="70"/>
      <c r="L528" s="70"/>
      <c r="M528" s="70"/>
      <c r="N528" s="70"/>
      <c r="O528" s="70"/>
      <c r="P528" s="70"/>
      <c r="Q528" s="70"/>
      <c r="R528" s="70"/>
      <c r="S528" s="70"/>
      <c r="T528" s="70"/>
      <c r="U528" s="70"/>
      <c r="V528" s="70"/>
      <c r="W528" s="70"/>
      <c r="X528" s="70"/>
      <c r="Y528" s="70"/>
      <c r="Z528" s="70"/>
    </row>
    <row r="529" spans="1:26" ht="13">
      <c r="A529" s="70"/>
      <c r="B529" s="70"/>
      <c r="C529" s="70"/>
      <c r="D529" s="70"/>
      <c r="E529" s="70"/>
      <c r="F529" s="70"/>
      <c r="G529" s="70"/>
      <c r="H529" s="70"/>
      <c r="I529" s="70"/>
      <c r="J529" s="70"/>
      <c r="K529" s="70"/>
      <c r="L529" s="70"/>
      <c r="M529" s="70"/>
      <c r="N529" s="70"/>
      <c r="O529" s="70"/>
      <c r="P529" s="70"/>
      <c r="Q529" s="70"/>
      <c r="R529" s="70"/>
      <c r="S529" s="70"/>
      <c r="T529" s="70"/>
      <c r="U529" s="70"/>
      <c r="V529" s="70"/>
      <c r="W529" s="70"/>
      <c r="X529" s="70"/>
      <c r="Y529" s="70"/>
      <c r="Z529" s="70"/>
    </row>
    <row r="530" spans="1:26" ht="13">
      <c r="A530" s="70"/>
      <c r="B530" s="70"/>
      <c r="C530" s="70"/>
      <c r="D530" s="70"/>
      <c r="E530" s="70"/>
      <c r="F530" s="70"/>
      <c r="G530" s="70"/>
      <c r="H530" s="70"/>
      <c r="I530" s="70"/>
      <c r="J530" s="70"/>
      <c r="K530" s="70"/>
      <c r="L530" s="70"/>
      <c r="M530" s="70"/>
      <c r="N530" s="70"/>
      <c r="O530" s="70"/>
      <c r="P530" s="70"/>
      <c r="Q530" s="70"/>
      <c r="R530" s="70"/>
      <c r="S530" s="70"/>
      <c r="T530" s="70"/>
      <c r="U530" s="70"/>
      <c r="V530" s="70"/>
      <c r="W530" s="70"/>
      <c r="X530" s="70"/>
      <c r="Y530" s="70"/>
      <c r="Z530" s="70"/>
    </row>
    <row r="531" spans="1:26" ht="13">
      <c r="A531" s="70"/>
      <c r="B531" s="70"/>
      <c r="C531" s="70"/>
      <c r="D531" s="70"/>
      <c r="E531" s="70"/>
      <c r="F531" s="70"/>
      <c r="G531" s="70"/>
      <c r="H531" s="70"/>
      <c r="I531" s="70"/>
      <c r="J531" s="70"/>
      <c r="K531" s="70"/>
      <c r="L531" s="70"/>
      <c r="M531" s="70"/>
      <c r="N531" s="70"/>
      <c r="O531" s="70"/>
      <c r="P531" s="70"/>
      <c r="Q531" s="70"/>
      <c r="R531" s="70"/>
      <c r="S531" s="70"/>
      <c r="T531" s="70"/>
      <c r="U531" s="70"/>
      <c r="V531" s="70"/>
      <c r="W531" s="70"/>
      <c r="X531" s="70"/>
      <c r="Y531" s="70"/>
      <c r="Z531" s="70"/>
    </row>
    <row r="532" spans="1:26" ht="13">
      <c r="A532" s="70"/>
      <c r="B532" s="70"/>
      <c r="C532" s="70"/>
      <c r="D532" s="70"/>
      <c r="E532" s="70"/>
      <c r="F532" s="70"/>
      <c r="G532" s="70"/>
      <c r="H532" s="70"/>
      <c r="I532" s="70"/>
      <c r="J532" s="70"/>
      <c r="K532" s="70"/>
      <c r="L532" s="70"/>
      <c r="M532" s="70"/>
      <c r="N532" s="70"/>
      <c r="O532" s="70"/>
      <c r="P532" s="70"/>
      <c r="Q532" s="70"/>
      <c r="R532" s="70"/>
      <c r="S532" s="70"/>
      <c r="T532" s="70"/>
      <c r="U532" s="70"/>
      <c r="V532" s="70"/>
      <c r="W532" s="70"/>
      <c r="X532" s="70"/>
      <c r="Y532" s="70"/>
      <c r="Z532" s="70"/>
    </row>
    <row r="533" spans="1:26" ht="13">
      <c r="A533" s="70"/>
      <c r="B533" s="70"/>
      <c r="C533" s="70"/>
      <c r="D533" s="70"/>
      <c r="E533" s="70"/>
      <c r="F533" s="70"/>
      <c r="G533" s="70"/>
      <c r="H533" s="70"/>
      <c r="I533" s="70"/>
      <c r="J533" s="70"/>
      <c r="K533" s="70"/>
      <c r="L533" s="70"/>
      <c r="M533" s="70"/>
      <c r="N533" s="70"/>
      <c r="O533" s="70"/>
      <c r="P533" s="70"/>
      <c r="Q533" s="70"/>
      <c r="R533" s="70"/>
      <c r="S533" s="70"/>
      <c r="T533" s="70"/>
      <c r="U533" s="70"/>
      <c r="V533" s="70"/>
      <c r="W533" s="70"/>
      <c r="X533" s="70"/>
      <c r="Y533" s="70"/>
      <c r="Z533" s="70"/>
    </row>
    <row r="534" spans="1:26" ht="13">
      <c r="A534" s="70"/>
      <c r="B534" s="70"/>
      <c r="C534" s="70"/>
      <c r="D534" s="70"/>
      <c r="E534" s="70"/>
      <c r="F534" s="70"/>
      <c r="G534" s="70"/>
      <c r="H534" s="70"/>
      <c r="I534" s="70"/>
      <c r="J534" s="70"/>
      <c r="K534" s="70"/>
      <c r="L534" s="70"/>
      <c r="M534" s="70"/>
      <c r="N534" s="70"/>
      <c r="O534" s="70"/>
      <c r="P534" s="70"/>
      <c r="Q534" s="70"/>
      <c r="R534" s="70"/>
      <c r="S534" s="70"/>
      <c r="T534" s="70"/>
      <c r="U534" s="70"/>
      <c r="V534" s="70"/>
      <c r="W534" s="70"/>
      <c r="X534" s="70"/>
      <c r="Y534" s="70"/>
      <c r="Z534" s="70"/>
    </row>
    <row r="535" spans="1:26" ht="13">
      <c r="A535" s="70"/>
      <c r="B535" s="70"/>
      <c r="C535" s="70"/>
      <c r="D535" s="70"/>
      <c r="E535" s="70"/>
      <c r="F535" s="70"/>
      <c r="G535" s="70"/>
      <c r="H535" s="70"/>
      <c r="I535" s="70"/>
      <c r="J535" s="70"/>
      <c r="K535" s="70"/>
      <c r="L535" s="70"/>
      <c r="M535" s="70"/>
      <c r="N535" s="70"/>
      <c r="O535" s="70"/>
      <c r="P535" s="70"/>
      <c r="Q535" s="70"/>
      <c r="R535" s="70"/>
      <c r="S535" s="70"/>
      <c r="T535" s="70"/>
      <c r="U535" s="70"/>
      <c r="V535" s="70"/>
      <c r="W535" s="70"/>
      <c r="X535" s="70"/>
      <c r="Y535" s="70"/>
      <c r="Z535" s="70"/>
    </row>
    <row r="536" spans="1:26" ht="13">
      <c r="A536" s="70"/>
      <c r="B536" s="70"/>
      <c r="C536" s="70"/>
      <c r="D536" s="70"/>
      <c r="E536" s="70"/>
      <c r="F536" s="70"/>
      <c r="G536" s="70"/>
      <c r="H536" s="70"/>
      <c r="I536" s="70"/>
      <c r="J536" s="70"/>
      <c r="K536" s="70"/>
      <c r="L536" s="70"/>
      <c r="M536" s="70"/>
      <c r="N536" s="70"/>
      <c r="O536" s="70"/>
      <c r="P536" s="70"/>
      <c r="Q536" s="70"/>
      <c r="R536" s="70"/>
      <c r="S536" s="70"/>
      <c r="T536" s="70"/>
      <c r="U536" s="70"/>
      <c r="V536" s="70"/>
      <c r="W536" s="70"/>
      <c r="X536" s="70"/>
      <c r="Y536" s="70"/>
      <c r="Z536" s="70"/>
    </row>
    <row r="537" spans="1:26" ht="13">
      <c r="A537" s="70"/>
      <c r="B537" s="70"/>
      <c r="C537" s="70"/>
      <c r="D537" s="70"/>
      <c r="E537" s="70"/>
      <c r="F537" s="70"/>
      <c r="G537" s="70"/>
      <c r="H537" s="70"/>
      <c r="I537" s="70"/>
      <c r="J537" s="70"/>
      <c r="K537" s="70"/>
      <c r="L537" s="70"/>
      <c r="M537" s="70"/>
      <c r="N537" s="70"/>
      <c r="O537" s="70"/>
      <c r="P537" s="70"/>
      <c r="Q537" s="70"/>
      <c r="R537" s="70"/>
      <c r="S537" s="70"/>
      <c r="T537" s="70"/>
      <c r="U537" s="70"/>
      <c r="V537" s="70"/>
      <c r="W537" s="70"/>
      <c r="X537" s="70"/>
      <c r="Y537" s="70"/>
      <c r="Z537" s="70"/>
    </row>
    <row r="538" spans="1:26" ht="13">
      <c r="A538" s="70"/>
      <c r="B538" s="70"/>
      <c r="C538" s="70"/>
      <c r="D538" s="70"/>
      <c r="E538" s="70"/>
      <c r="F538" s="70"/>
      <c r="G538" s="70"/>
      <c r="H538" s="70"/>
      <c r="I538" s="70"/>
      <c r="J538" s="70"/>
      <c r="K538" s="70"/>
      <c r="L538" s="70"/>
      <c r="M538" s="70"/>
      <c r="N538" s="70"/>
      <c r="O538" s="70"/>
      <c r="P538" s="70"/>
      <c r="Q538" s="70"/>
      <c r="R538" s="70"/>
      <c r="S538" s="70"/>
      <c r="T538" s="70"/>
      <c r="U538" s="70"/>
      <c r="V538" s="70"/>
      <c r="W538" s="70"/>
      <c r="X538" s="70"/>
      <c r="Y538" s="70"/>
      <c r="Z538" s="70"/>
    </row>
    <row r="539" spans="1:26" ht="13">
      <c r="A539" s="70"/>
      <c r="B539" s="70"/>
      <c r="C539" s="70"/>
      <c r="D539" s="70"/>
      <c r="E539" s="70"/>
      <c r="F539" s="70"/>
      <c r="G539" s="70"/>
      <c r="H539" s="70"/>
      <c r="I539" s="70"/>
      <c r="J539" s="70"/>
      <c r="K539" s="70"/>
      <c r="L539" s="70"/>
      <c r="M539" s="70"/>
      <c r="N539" s="70"/>
      <c r="O539" s="70"/>
      <c r="P539" s="70"/>
      <c r="Q539" s="70"/>
      <c r="R539" s="70"/>
      <c r="S539" s="70"/>
      <c r="T539" s="70"/>
      <c r="U539" s="70"/>
      <c r="V539" s="70"/>
      <c r="W539" s="70"/>
      <c r="X539" s="70"/>
      <c r="Y539" s="70"/>
      <c r="Z539" s="70"/>
    </row>
    <row r="540" spans="1:26" ht="13">
      <c r="A540" s="70"/>
      <c r="B540" s="70"/>
      <c r="C540" s="70"/>
      <c r="D540" s="70"/>
      <c r="E540" s="70"/>
      <c r="F540" s="70"/>
      <c r="G540" s="70"/>
      <c r="H540" s="70"/>
      <c r="I540" s="70"/>
      <c r="J540" s="70"/>
      <c r="K540" s="70"/>
      <c r="L540" s="70"/>
      <c r="M540" s="70"/>
      <c r="N540" s="70"/>
      <c r="O540" s="70"/>
      <c r="P540" s="70"/>
      <c r="Q540" s="70"/>
      <c r="R540" s="70"/>
      <c r="S540" s="70"/>
      <c r="T540" s="70"/>
      <c r="U540" s="70"/>
      <c r="V540" s="70"/>
      <c r="W540" s="70"/>
      <c r="X540" s="70"/>
      <c r="Y540" s="70"/>
      <c r="Z540" s="70"/>
    </row>
    <row r="541" spans="1:26" ht="13">
      <c r="A541" s="70"/>
      <c r="B541" s="70"/>
      <c r="C541" s="70"/>
      <c r="D541" s="70"/>
      <c r="E541" s="70"/>
      <c r="F541" s="70"/>
      <c r="G541" s="70"/>
      <c r="H541" s="70"/>
      <c r="I541" s="70"/>
      <c r="J541" s="70"/>
      <c r="K541" s="70"/>
      <c r="L541" s="70"/>
      <c r="M541" s="70"/>
      <c r="N541" s="70"/>
      <c r="O541" s="70"/>
      <c r="P541" s="70"/>
      <c r="Q541" s="70"/>
      <c r="R541" s="70"/>
      <c r="S541" s="70"/>
      <c r="T541" s="70"/>
      <c r="U541" s="70"/>
      <c r="V541" s="70"/>
      <c r="W541" s="70"/>
      <c r="X541" s="70"/>
      <c r="Y541" s="70"/>
      <c r="Z541" s="70"/>
    </row>
    <row r="542" spans="1:26" ht="13">
      <c r="A542" s="70"/>
      <c r="B542" s="70"/>
      <c r="C542" s="70"/>
      <c r="D542" s="70"/>
      <c r="E542" s="70"/>
      <c r="F542" s="70"/>
      <c r="G542" s="70"/>
      <c r="H542" s="70"/>
      <c r="I542" s="70"/>
      <c r="J542" s="70"/>
      <c r="K542" s="70"/>
      <c r="L542" s="70"/>
      <c r="M542" s="70"/>
      <c r="N542" s="70"/>
      <c r="O542" s="70"/>
      <c r="P542" s="70"/>
      <c r="Q542" s="70"/>
      <c r="R542" s="70"/>
      <c r="S542" s="70"/>
      <c r="T542" s="70"/>
      <c r="U542" s="70"/>
      <c r="V542" s="70"/>
      <c r="W542" s="70"/>
      <c r="X542" s="70"/>
      <c r="Y542" s="70"/>
      <c r="Z542" s="70"/>
    </row>
    <row r="543" spans="1:26" ht="13">
      <c r="A543" s="70"/>
      <c r="B543" s="70"/>
      <c r="C543" s="70"/>
      <c r="D543" s="70"/>
      <c r="E543" s="70"/>
      <c r="F543" s="70"/>
      <c r="G543" s="70"/>
      <c r="H543" s="70"/>
      <c r="I543" s="70"/>
      <c r="J543" s="70"/>
      <c r="K543" s="70"/>
      <c r="L543" s="70"/>
      <c r="M543" s="70"/>
      <c r="N543" s="70"/>
      <c r="O543" s="70"/>
      <c r="P543" s="70"/>
      <c r="Q543" s="70"/>
      <c r="R543" s="70"/>
      <c r="S543" s="70"/>
      <c r="T543" s="70"/>
      <c r="U543" s="70"/>
      <c r="V543" s="70"/>
      <c r="W543" s="70"/>
      <c r="X543" s="70"/>
      <c r="Y543" s="70"/>
      <c r="Z543" s="70"/>
    </row>
    <row r="544" spans="1:26" ht="13">
      <c r="A544" s="70"/>
      <c r="B544" s="70"/>
      <c r="C544" s="70"/>
      <c r="D544" s="70"/>
      <c r="E544" s="70"/>
      <c r="F544" s="70"/>
      <c r="G544" s="70"/>
      <c r="H544" s="70"/>
      <c r="I544" s="70"/>
      <c r="J544" s="70"/>
      <c r="K544" s="70"/>
      <c r="L544" s="70"/>
      <c r="M544" s="70"/>
      <c r="N544" s="70"/>
      <c r="O544" s="70"/>
      <c r="P544" s="70"/>
      <c r="Q544" s="70"/>
      <c r="R544" s="70"/>
      <c r="S544" s="70"/>
      <c r="T544" s="70"/>
      <c r="U544" s="70"/>
      <c r="V544" s="70"/>
      <c r="W544" s="70"/>
      <c r="X544" s="70"/>
      <c r="Y544" s="70"/>
      <c r="Z544" s="70"/>
    </row>
    <row r="545" spans="1:26" ht="13">
      <c r="A545" s="70"/>
      <c r="B545" s="70"/>
      <c r="C545" s="70"/>
      <c r="D545" s="70"/>
      <c r="E545" s="70"/>
      <c r="F545" s="70"/>
      <c r="G545" s="70"/>
      <c r="H545" s="70"/>
      <c r="I545" s="70"/>
      <c r="J545" s="70"/>
      <c r="K545" s="70"/>
      <c r="L545" s="70"/>
      <c r="M545" s="70"/>
      <c r="N545" s="70"/>
      <c r="O545" s="70"/>
      <c r="P545" s="70"/>
      <c r="Q545" s="70"/>
      <c r="R545" s="70"/>
      <c r="S545" s="70"/>
      <c r="T545" s="70"/>
      <c r="U545" s="70"/>
      <c r="V545" s="70"/>
      <c r="W545" s="70"/>
      <c r="X545" s="70"/>
      <c r="Y545" s="70"/>
      <c r="Z545" s="70"/>
    </row>
    <row r="546" spans="1:26" ht="13">
      <c r="A546" s="70"/>
      <c r="B546" s="70"/>
      <c r="C546" s="70"/>
      <c r="D546" s="70"/>
      <c r="E546" s="70"/>
      <c r="F546" s="70"/>
      <c r="G546" s="70"/>
      <c r="H546" s="70"/>
      <c r="I546" s="70"/>
      <c r="J546" s="70"/>
      <c r="K546" s="70"/>
      <c r="L546" s="70"/>
      <c r="M546" s="70"/>
      <c r="N546" s="70"/>
      <c r="O546" s="70"/>
      <c r="P546" s="70"/>
      <c r="Q546" s="70"/>
      <c r="R546" s="70"/>
      <c r="S546" s="70"/>
      <c r="T546" s="70"/>
      <c r="U546" s="70"/>
      <c r="V546" s="70"/>
      <c r="W546" s="70"/>
      <c r="X546" s="70"/>
      <c r="Y546" s="70"/>
      <c r="Z546" s="70"/>
    </row>
    <row r="547" spans="1:26" ht="13">
      <c r="A547" s="70"/>
      <c r="B547" s="70"/>
      <c r="C547" s="70"/>
      <c r="D547" s="70"/>
      <c r="E547" s="70"/>
      <c r="F547" s="70"/>
      <c r="G547" s="70"/>
      <c r="H547" s="70"/>
      <c r="I547" s="70"/>
      <c r="J547" s="70"/>
      <c r="K547" s="70"/>
      <c r="L547" s="70"/>
      <c r="M547" s="70"/>
      <c r="N547" s="70"/>
      <c r="O547" s="70"/>
      <c r="P547" s="70"/>
      <c r="Q547" s="70"/>
      <c r="R547" s="70"/>
      <c r="S547" s="70"/>
      <c r="T547" s="70"/>
      <c r="U547" s="70"/>
      <c r="V547" s="70"/>
      <c r="W547" s="70"/>
      <c r="X547" s="70"/>
      <c r="Y547" s="70"/>
      <c r="Z547" s="70"/>
    </row>
    <row r="548" spans="1:26" ht="13">
      <c r="A548" s="70"/>
      <c r="B548" s="70"/>
      <c r="C548" s="70"/>
      <c r="D548" s="70"/>
      <c r="E548" s="70"/>
      <c r="F548" s="70"/>
      <c r="G548" s="70"/>
      <c r="H548" s="70"/>
      <c r="I548" s="70"/>
      <c r="J548" s="70"/>
      <c r="K548" s="70"/>
      <c r="L548" s="70"/>
      <c r="M548" s="70"/>
      <c r="N548" s="70"/>
      <c r="O548" s="70"/>
      <c r="P548" s="70"/>
      <c r="Q548" s="70"/>
      <c r="R548" s="70"/>
      <c r="S548" s="70"/>
      <c r="T548" s="70"/>
      <c r="U548" s="70"/>
      <c r="V548" s="70"/>
      <c r="W548" s="70"/>
      <c r="X548" s="70"/>
      <c r="Y548" s="70"/>
      <c r="Z548" s="70"/>
    </row>
    <row r="549" spans="1:26" ht="13">
      <c r="A549" s="70"/>
      <c r="B549" s="70"/>
      <c r="C549" s="70"/>
      <c r="D549" s="70"/>
      <c r="E549" s="70"/>
      <c r="F549" s="70"/>
      <c r="G549" s="70"/>
      <c r="H549" s="70"/>
      <c r="I549" s="70"/>
      <c r="J549" s="70"/>
      <c r="K549" s="70"/>
      <c r="L549" s="70"/>
      <c r="M549" s="70"/>
      <c r="N549" s="70"/>
      <c r="O549" s="70"/>
      <c r="P549" s="70"/>
      <c r="Q549" s="70"/>
      <c r="R549" s="70"/>
      <c r="S549" s="70"/>
      <c r="T549" s="70"/>
      <c r="U549" s="70"/>
      <c r="V549" s="70"/>
      <c r="W549" s="70"/>
      <c r="X549" s="70"/>
      <c r="Y549" s="70"/>
      <c r="Z549" s="70"/>
    </row>
    <row r="550" spans="1:26" ht="13">
      <c r="A550" s="70"/>
      <c r="B550" s="70"/>
      <c r="C550" s="70"/>
      <c r="D550" s="70"/>
      <c r="E550" s="70"/>
      <c r="F550" s="70"/>
      <c r="G550" s="70"/>
      <c r="H550" s="70"/>
      <c r="I550" s="70"/>
      <c r="J550" s="70"/>
      <c r="K550" s="70"/>
      <c r="L550" s="70"/>
      <c r="M550" s="70"/>
      <c r="N550" s="70"/>
      <c r="O550" s="70"/>
      <c r="P550" s="70"/>
      <c r="Q550" s="70"/>
      <c r="R550" s="70"/>
      <c r="S550" s="70"/>
      <c r="T550" s="70"/>
      <c r="U550" s="70"/>
      <c r="V550" s="70"/>
      <c r="W550" s="70"/>
      <c r="X550" s="70"/>
      <c r="Y550" s="70"/>
      <c r="Z550" s="70"/>
    </row>
    <row r="551" spans="1:26" ht="13">
      <c r="A551" s="70"/>
      <c r="B551" s="70"/>
      <c r="C551" s="70"/>
      <c r="D551" s="70"/>
      <c r="E551" s="70"/>
      <c r="F551" s="70"/>
      <c r="G551" s="70"/>
      <c r="H551" s="70"/>
      <c r="I551" s="70"/>
      <c r="J551" s="70"/>
      <c r="K551" s="70"/>
      <c r="L551" s="70"/>
      <c r="M551" s="70"/>
      <c r="N551" s="70"/>
      <c r="O551" s="70"/>
      <c r="P551" s="70"/>
      <c r="Q551" s="70"/>
      <c r="R551" s="70"/>
      <c r="S551" s="70"/>
      <c r="T551" s="70"/>
      <c r="U551" s="70"/>
      <c r="V551" s="70"/>
      <c r="W551" s="70"/>
      <c r="X551" s="70"/>
      <c r="Y551" s="70"/>
      <c r="Z551" s="70"/>
    </row>
    <row r="552" spans="1:26" ht="13">
      <c r="A552" s="70"/>
      <c r="B552" s="70"/>
      <c r="C552" s="70"/>
      <c r="D552" s="70"/>
      <c r="E552" s="70"/>
      <c r="F552" s="70"/>
      <c r="G552" s="70"/>
      <c r="H552" s="70"/>
      <c r="I552" s="70"/>
      <c r="J552" s="70"/>
      <c r="K552" s="70"/>
      <c r="L552" s="70"/>
      <c r="M552" s="70"/>
      <c r="N552" s="70"/>
      <c r="O552" s="70"/>
      <c r="P552" s="70"/>
      <c r="Q552" s="70"/>
      <c r="R552" s="70"/>
      <c r="S552" s="70"/>
      <c r="T552" s="70"/>
      <c r="U552" s="70"/>
      <c r="V552" s="70"/>
      <c r="W552" s="70"/>
      <c r="X552" s="70"/>
      <c r="Y552" s="70"/>
      <c r="Z552" s="70"/>
    </row>
    <row r="553" spans="1:26" ht="13">
      <c r="A553" s="70"/>
      <c r="B553" s="70"/>
      <c r="C553" s="70"/>
      <c r="D553" s="70"/>
      <c r="E553" s="70"/>
      <c r="F553" s="70"/>
      <c r="G553" s="70"/>
      <c r="H553" s="70"/>
      <c r="I553" s="70"/>
      <c r="J553" s="70"/>
      <c r="K553" s="70"/>
      <c r="L553" s="70"/>
      <c r="M553" s="70"/>
      <c r="N553" s="70"/>
      <c r="O553" s="70"/>
      <c r="P553" s="70"/>
      <c r="Q553" s="70"/>
      <c r="R553" s="70"/>
      <c r="S553" s="70"/>
      <c r="T553" s="70"/>
      <c r="U553" s="70"/>
      <c r="V553" s="70"/>
      <c r="W553" s="70"/>
      <c r="X553" s="70"/>
      <c r="Y553" s="70"/>
      <c r="Z553" s="70"/>
    </row>
    <row r="554" spans="1:26" ht="13">
      <c r="A554" s="70"/>
      <c r="B554" s="70"/>
      <c r="C554" s="70"/>
      <c r="D554" s="70"/>
      <c r="E554" s="70"/>
      <c r="F554" s="70"/>
      <c r="G554" s="70"/>
      <c r="H554" s="70"/>
      <c r="I554" s="70"/>
      <c r="J554" s="70"/>
      <c r="K554" s="70"/>
      <c r="L554" s="70"/>
      <c r="M554" s="70"/>
      <c r="N554" s="70"/>
      <c r="O554" s="70"/>
      <c r="P554" s="70"/>
      <c r="Q554" s="70"/>
      <c r="R554" s="70"/>
      <c r="S554" s="70"/>
      <c r="T554" s="70"/>
      <c r="U554" s="70"/>
      <c r="V554" s="70"/>
      <c r="W554" s="70"/>
      <c r="X554" s="70"/>
      <c r="Y554" s="70"/>
      <c r="Z554" s="70"/>
    </row>
    <row r="555" spans="1:26" ht="13">
      <c r="A555" s="70"/>
      <c r="B555" s="70"/>
      <c r="C555" s="70"/>
      <c r="D555" s="70"/>
      <c r="E555" s="70"/>
      <c r="F555" s="70"/>
      <c r="G555" s="70"/>
      <c r="H555" s="70"/>
      <c r="I555" s="70"/>
      <c r="J555" s="70"/>
      <c r="K555" s="70"/>
      <c r="L555" s="70"/>
      <c r="M555" s="70"/>
      <c r="N555" s="70"/>
      <c r="O555" s="70"/>
      <c r="P555" s="70"/>
      <c r="Q555" s="70"/>
      <c r="R555" s="70"/>
      <c r="S555" s="70"/>
      <c r="T555" s="70"/>
      <c r="U555" s="70"/>
      <c r="V555" s="70"/>
      <c r="W555" s="70"/>
      <c r="X555" s="70"/>
      <c r="Y555" s="70"/>
      <c r="Z555" s="70"/>
    </row>
    <row r="556" spans="1:26" ht="13">
      <c r="A556" s="70"/>
      <c r="B556" s="70"/>
      <c r="C556" s="70"/>
      <c r="D556" s="70"/>
      <c r="E556" s="70"/>
      <c r="F556" s="70"/>
      <c r="G556" s="70"/>
      <c r="H556" s="70"/>
      <c r="I556" s="70"/>
      <c r="J556" s="70"/>
      <c r="K556" s="70"/>
      <c r="L556" s="70"/>
      <c r="M556" s="70"/>
      <c r="N556" s="70"/>
      <c r="O556" s="70"/>
      <c r="P556" s="70"/>
      <c r="Q556" s="70"/>
      <c r="R556" s="70"/>
      <c r="S556" s="70"/>
      <c r="T556" s="70"/>
      <c r="U556" s="70"/>
      <c r="V556" s="70"/>
      <c r="W556" s="70"/>
      <c r="X556" s="70"/>
      <c r="Y556" s="70"/>
      <c r="Z556" s="70"/>
    </row>
    <row r="557" spans="1:26" ht="13">
      <c r="A557" s="70"/>
      <c r="B557" s="70"/>
      <c r="C557" s="70"/>
      <c r="D557" s="70"/>
      <c r="E557" s="70"/>
      <c r="F557" s="70"/>
      <c r="G557" s="70"/>
      <c r="H557" s="70"/>
      <c r="I557" s="70"/>
      <c r="J557" s="70"/>
      <c r="K557" s="70"/>
      <c r="L557" s="70"/>
      <c r="M557" s="70"/>
      <c r="N557" s="70"/>
      <c r="O557" s="70"/>
      <c r="P557" s="70"/>
      <c r="Q557" s="70"/>
      <c r="R557" s="70"/>
      <c r="S557" s="70"/>
      <c r="T557" s="70"/>
      <c r="U557" s="70"/>
      <c r="V557" s="70"/>
      <c r="W557" s="70"/>
      <c r="X557" s="70"/>
      <c r="Y557" s="70"/>
      <c r="Z557" s="70"/>
    </row>
    <row r="558" spans="1:26" ht="13">
      <c r="A558" s="70"/>
      <c r="B558" s="70"/>
      <c r="C558" s="70"/>
      <c r="D558" s="70"/>
      <c r="E558" s="70"/>
      <c r="F558" s="70"/>
      <c r="G558" s="70"/>
      <c r="H558" s="70"/>
      <c r="I558" s="70"/>
      <c r="J558" s="70"/>
      <c r="K558" s="70"/>
      <c r="L558" s="70"/>
      <c r="M558" s="70"/>
      <c r="N558" s="70"/>
      <c r="O558" s="70"/>
      <c r="P558" s="70"/>
      <c r="Q558" s="70"/>
      <c r="R558" s="70"/>
      <c r="S558" s="70"/>
      <c r="T558" s="70"/>
      <c r="U558" s="70"/>
      <c r="V558" s="70"/>
      <c r="W558" s="70"/>
      <c r="X558" s="70"/>
      <c r="Y558" s="70"/>
      <c r="Z558" s="70"/>
    </row>
    <row r="559" spans="1:26" ht="13">
      <c r="A559" s="70"/>
      <c r="B559" s="70"/>
      <c r="C559" s="70"/>
      <c r="D559" s="70"/>
      <c r="E559" s="70"/>
      <c r="F559" s="70"/>
      <c r="G559" s="70"/>
      <c r="H559" s="70"/>
      <c r="I559" s="70"/>
      <c r="J559" s="70"/>
      <c r="K559" s="70"/>
      <c r="L559" s="70"/>
      <c r="M559" s="70"/>
      <c r="N559" s="70"/>
      <c r="O559" s="70"/>
      <c r="P559" s="70"/>
      <c r="Q559" s="70"/>
      <c r="R559" s="70"/>
      <c r="S559" s="70"/>
      <c r="T559" s="70"/>
      <c r="U559" s="70"/>
      <c r="V559" s="70"/>
      <c r="W559" s="70"/>
      <c r="X559" s="70"/>
      <c r="Y559" s="70"/>
      <c r="Z559" s="70"/>
    </row>
    <row r="560" spans="1:26" ht="13">
      <c r="A560" s="70"/>
      <c r="B560" s="70"/>
      <c r="C560" s="70"/>
      <c r="D560" s="70"/>
      <c r="E560" s="70"/>
      <c r="F560" s="70"/>
      <c r="G560" s="70"/>
      <c r="H560" s="70"/>
      <c r="I560" s="70"/>
      <c r="J560" s="70"/>
      <c r="K560" s="70"/>
      <c r="L560" s="70"/>
      <c r="M560" s="70"/>
      <c r="N560" s="70"/>
      <c r="O560" s="70"/>
      <c r="P560" s="70"/>
      <c r="Q560" s="70"/>
      <c r="R560" s="70"/>
      <c r="S560" s="70"/>
      <c r="T560" s="70"/>
      <c r="U560" s="70"/>
      <c r="V560" s="70"/>
      <c r="W560" s="70"/>
      <c r="X560" s="70"/>
      <c r="Y560" s="70"/>
      <c r="Z560" s="70"/>
    </row>
    <row r="561" spans="1:26" ht="13">
      <c r="A561" s="70"/>
      <c r="B561" s="70"/>
      <c r="C561" s="70"/>
      <c r="D561" s="70"/>
      <c r="E561" s="70"/>
      <c r="F561" s="70"/>
      <c r="G561" s="70"/>
      <c r="H561" s="70"/>
      <c r="I561" s="70"/>
      <c r="J561" s="70"/>
      <c r="K561" s="70"/>
      <c r="L561" s="70"/>
      <c r="M561" s="70"/>
      <c r="N561" s="70"/>
      <c r="O561" s="70"/>
      <c r="P561" s="70"/>
      <c r="Q561" s="70"/>
      <c r="R561" s="70"/>
      <c r="S561" s="70"/>
      <c r="T561" s="70"/>
      <c r="U561" s="70"/>
      <c r="V561" s="70"/>
      <c r="W561" s="70"/>
      <c r="X561" s="70"/>
      <c r="Y561" s="70"/>
      <c r="Z561" s="70"/>
    </row>
    <row r="562" spans="1:26" ht="13">
      <c r="A562" s="70"/>
      <c r="B562" s="70"/>
      <c r="C562" s="70"/>
      <c r="D562" s="70"/>
      <c r="E562" s="70"/>
      <c r="F562" s="70"/>
      <c r="G562" s="70"/>
      <c r="H562" s="70"/>
      <c r="I562" s="70"/>
      <c r="J562" s="70"/>
      <c r="K562" s="70"/>
      <c r="L562" s="70"/>
      <c r="M562" s="70"/>
      <c r="N562" s="70"/>
      <c r="O562" s="70"/>
      <c r="P562" s="70"/>
      <c r="Q562" s="70"/>
      <c r="R562" s="70"/>
      <c r="S562" s="70"/>
      <c r="T562" s="70"/>
      <c r="U562" s="70"/>
      <c r="V562" s="70"/>
      <c r="W562" s="70"/>
      <c r="X562" s="70"/>
      <c r="Y562" s="70"/>
      <c r="Z562" s="70"/>
    </row>
    <row r="563" spans="1:26" ht="13">
      <c r="A563" s="70"/>
      <c r="B563" s="70"/>
      <c r="C563" s="70"/>
      <c r="D563" s="70"/>
      <c r="E563" s="70"/>
      <c r="F563" s="70"/>
      <c r="G563" s="70"/>
      <c r="H563" s="70"/>
      <c r="I563" s="70"/>
      <c r="J563" s="70"/>
      <c r="K563" s="70"/>
      <c r="L563" s="70"/>
      <c r="M563" s="70"/>
      <c r="N563" s="70"/>
      <c r="O563" s="70"/>
      <c r="P563" s="70"/>
      <c r="Q563" s="70"/>
      <c r="R563" s="70"/>
      <c r="S563" s="70"/>
      <c r="T563" s="70"/>
      <c r="U563" s="70"/>
      <c r="V563" s="70"/>
      <c r="W563" s="70"/>
      <c r="X563" s="70"/>
      <c r="Y563" s="70"/>
      <c r="Z563" s="70"/>
    </row>
    <row r="564" spans="1:26" ht="13">
      <c r="A564" s="70"/>
      <c r="B564" s="70"/>
      <c r="C564" s="70"/>
      <c r="D564" s="70"/>
      <c r="E564" s="70"/>
      <c r="F564" s="70"/>
      <c r="G564" s="70"/>
      <c r="H564" s="70"/>
      <c r="I564" s="70"/>
      <c r="J564" s="70"/>
      <c r="K564" s="70"/>
      <c r="L564" s="70"/>
      <c r="M564" s="70"/>
      <c r="N564" s="70"/>
      <c r="O564" s="70"/>
      <c r="P564" s="70"/>
      <c r="Q564" s="70"/>
      <c r="R564" s="70"/>
      <c r="S564" s="70"/>
      <c r="T564" s="70"/>
      <c r="U564" s="70"/>
      <c r="V564" s="70"/>
      <c r="W564" s="70"/>
      <c r="X564" s="70"/>
      <c r="Y564" s="70"/>
      <c r="Z564" s="70"/>
    </row>
    <row r="565" spans="1:26" ht="13">
      <c r="A565" s="70"/>
      <c r="B565" s="70"/>
      <c r="C565" s="70"/>
      <c r="D565" s="70"/>
      <c r="E565" s="70"/>
      <c r="F565" s="70"/>
      <c r="G565" s="70"/>
      <c r="H565" s="70"/>
      <c r="I565" s="70"/>
      <c r="J565" s="70"/>
      <c r="K565" s="70"/>
      <c r="L565" s="70"/>
      <c r="M565" s="70"/>
      <c r="N565" s="70"/>
      <c r="O565" s="70"/>
      <c r="P565" s="70"/>
      <c r="Q565" s="70"/>
      <c r="R565" s="70"/>
      <c r="S565" s="70"/>
      <c r="T565" s="70"/>
      <c r="U565" s="70"/>
      <c r="V565" s="70"/>
      <c r="W565" s="70"/>
      <c r="X565" s="70"/>
      <c r="Y565" s="70"/>
      <c r="Z565" s="70"/>
    </row>
    <row r="566" spans="1:26" ht="13">
      <c r="A566" s="70"/>
      <c r="B566" s="70"/>
      <c r="C566" s="70"/>
      <c r="D566" s="70"/>
      <c r="E566" s="70"/>
      <c r="F566" s="70"/>
      <c r="G566" s="70"/>
      <c r="H566" s="70"/>
      <c r="I566" s="70"/>
      <c r="J566" s="70"/>
      <c r="K566" s="70"/>
      <c r="L566" s="70"/>
      <c r="M566" s="70"/>
      <c r="N566" s="70"/>
      <c r="O566" s="70"/>
      <c r="P566" s="70"/>
      <c r="Q566" s="70"/>
      <c r="R566" s="70"/>
      <c r="S566" s="70"/>
      <c r="T566" s="70"/>
      <c r="U566" s="70"/>
      <c r="V566" s="70"/>
      <c r="W566" s="70"/>
      <c r="X566" s="70"/>
      <c r="Y566" s="70"/>
      <c r="Z566" s="70"/>
    </row>
    <row r="567" spans="1:26" ht="13">
      <c r="A567" s="70"/>
      <c r="B567" s="70"/>
      <c r="C567" s="70"/>
      <c r="D567" s="70"/>
      <c r="E567" s="70"/>
      <c r="F567" s="70"/>
      <c r="G567" s="70"/>
      <c r="H567" s="70"/>
      <c r="I567" s="70"/>
      <c r="J567" s="70"/>
      <c r="K567" s="70"/>
      <c r="L567" s="70"/>
      <c r="M567" s="70"/>
      <c r="N567" s="70"/>
      <c r="O567" s="70"/>
      <c r="P567" s="70"/>
      <c r="Q567" s="70"/>
      <c r="R567" s="70"/>
      <c r="S567" s="70"/>
      <c r="T567" s="70"/>
      <c r="U567" s="70"/>
      <c r="V567" s="70"/>
      <c r="W567" s="70"/>
      <c r="X567" s="70"/>
      <c r="Y567" s="70"/>
      <c r="Z567" s="70"/>
    </row>
    <row r="568" spans="1:26" ht="13">
      <c r="A568" s="70"/>
      <c r="B568" s="70"/>
      <c r="C568" s="70"/>
      <c r="D568" s="70"/>
      <c r="E568" s="70"/>
      <c r="F568" s="70"/>
      <c r="G568" s="70"/>
      <c r="H568" s="70"/>
      <c r="I568" s="70"/>
      <c r="J568" s="70"/>
      <c r="K568" s="70"/>
      <c r="L568" s="70"/>
      <c r="M568" s="70"/>
      <c r="N568" s="70"/>
      <c r="O568" s="70"/>
      <c r="P568" s="70"/>
      <c r="Q568" s="70"/>
      <c r="R568" s="70"/>
      <c r="S568" s="70"/>
      <c r="T568" s="70"/>
      <c r="U568" s="70"/>
      <c r="V568" s="70"/>
      <c r="W568" s="70"/>
      <c r="X568" s="70"/>
      <c r="Y568" s="70"/>
      <c r="Z568" s="70"/>
    </row>
    <row r="569" spans="1:26" ht="13">
      <c r="A569" s="70"/>
      <c r="B569" s="70"/>
      <c r="C569" s="70"/>
      <c r="D569" s="70"/>
      <c r="E569" s="70"/>
      <c r="F569" s="70"/>
      <c r="G569" s="70"/>
      <c r="H569" s="70"/>
      <c r="I569" s="70"/>
      <c r="J569" s="70"/>
      <c r="K569" s="70"/>
      <c r="L569" s="70"/>
      <c r="M569" s="70"/>
      <c r="N569" s="70"/>
      <c r="O569" s="70"/>
      <c r="P569" s="70"/>
      <c r="Q569" s="70"/>
      <c r="R569" s="70"/>
      <c r="S569" s="70"/>
      <c r="T569" s="70"/>
      <c r="U569" s="70"/>
      <c r="V569" s="70"/>
      <c r="W569" s="70"/>
      <c r="X569" s="70"/>
      <c r="Y569" s="70"/>
      <c r="Z569" s="70"/>
    </row>
    <row r="570" spans="1:26" ht="13">
      <c r="A570" s="70"/>
      <c r="B570" s="70"/>
      <c r="C570" s="70"/>
      <c r="D570" s="70"/>
      <c r="E570" s="70"/>
      <c r="F570" s="70"/>
      <c r="G570" s="70"/>
      <c r="H570" s="70"/>
      <c r="I570" s="70"/>
      <c r="J570" s="70"/>
      <c r="K570" s="70"/>
      <c r="L570" s="70"/>
      <c r="M570" s="70"/>
      <c r="N570" s="70"/>
      <c r="O570" s="70"/>
      <c r="P570" s="70"/>
      <c r="Q570" s="70"/>
      <c r="R570" s="70"/>
      <c r="S570" s="70"/>
      <c r="T570" s="70"/>
      <c r="U570" s="70"/>
      <c r="V570" s="70"/>
      <c r="W570" s="70"/>
      <c r="X570" s="70"/>
      <c r="Y570" s="70"/>
      <c r="Z570" s="70"/>
    </row>
    <row r="571" spans="1:26" ht="13">
      <c r="A571" s="70"/>
      <c r="B571" s="70"/>
      <c r="C571" s="70"/>
      <c r="D571" s="70"/>
      <c r="E571" s="70"/>
      <c r="F571" s="70"/>
      <c r="G571" s="70"/>
      <c r="H571" s="70"/>
      <c r="I571" s="70"/>
      <c r="J571" s="70"/>
      <c r="K571" s="70"/>
      <c r="L571" s="70"/>
      <c r="M571" s="70"/>
      <c r="N571" s="70"/>
      <c r="O571" s="70"/>
      <c r="P571" s="70"/>
      <c r="Q571" s="70"/>
      <c r="R571" s="70"/>
      <c r="S571" s="70"/>
      <c r="T571" s="70"/>
      <c r="U571" s="70"/>
      <c r="V571" s="70"/>
      <c r="W571" s="70"/>
      <c r="X571" s="70"/>
      <c r="Y571" s="70"/>
      <c r="Z571" s="70"/>
    </row>
    <row r="572" spans="1:26" ht="13">
      <c r="A572" s="70"/>
      <c r="B572" s="70"/>
      <c r="C572" s="70"/>
      <c r="D572" s="70"/>
      <c r="E572" s="70"/>
      <c r="F572" s="70"/>
      <c r="G572" s="70"/>
      <c r="H572" s="70"/>
      <c r="I572" s="70"/>
      <c r="J572" s="70"/>
      <c r="K572" s="70"/>
      <c r="L572" s="70"/>
      <c r="M572" s="70"/>
      <c r="N572" s="70"/>
      <c r="O572" s="70"/>
      <c r="P572" s="70"/>
      <c r="Q572" s="70"/>
      <c r="R572" s="70"/>
      <c r="S572" s="70"/>
      <c r="T572" s="70"/>
      <c r="U572" s="70"/>
      <c r="V572" s="70"/>
      <c r="W572" s="70"/>
      <c r="X572" s="70"/>
      <c r="Y572" s="70"/>
      <c r="Z572" s="70"/>
    </row>
    <row r="573" spans="1:26" ht="13">
      <c r="A573" s="70"/>
      <c r="B573" s="70"/>
      <c r="C573" s="70"/>
      <c r="D573" s="70"/>
      <c r="E573" s="70"/>
      <c r="F573" s="70"/>
      <c r="G573" s="70"/>
      <c r="H573" s="70"/>
      <c r="I573" s="70"/>
      <c r="J573" s="70"/>
      <c r="K573" s="70"/>
      <c r="L573" s="70"/>
      <c r="M573" s="70"/>
      <c r="N573" s="70"/>
      <c r="O573" s="70"/>
      <c r="P573" s="70"/>
      <c r="Q573" s="70"/>
      <c r="R573" s="70"/>
      <c r="S573" s="70"/>
      <c r="T573" s="70"/>
      <c r="U573" s="70"/>
      <c r="V573" s="70"/>
      <c r="W573" s="70"/>
      <c r="X573" s="70"/>
      <c r="Y573" s="70"/>
      <c r="Z573" s="70"/>
    </row>
    <row r="574" spans="1:26" ht="13">
      <c r="A574" s="70"/>
      <c r="B574" s="70"/>
      <c r="C574" s="70"/>
      <c r="D574" s="70"/>
      <c r="E574" s="70"/>
      <c r="F574" s="70"/>
      <c r="G574" s="70"/>
      <c r="H574" s="70"/>
      <c r="I574" s="70"/>
      <c r="J574" s="70"/>
      <c r="K574" s="70"/>
      <c r="L574" s="70"/>
      <c r="M574" s="70"/>
      <c r="N574" s="70"/>
      <c r="O574" s="70"/>
      <c r="P574" s="70"/>
      <c r="Q574" s="70"/>
      <c r="R574" s="70"/>
      <c r="S574" s="70"/>
      <c r="T574" s="70"/>
      <c r="U574" s="70"/>
      <c r="V574" s="70"/>
      <c r="W574" s="70"/>
      <c r="X574" s="70"/>
      <c r="Y574" s="70"/>
      <c r="Z574" s="70"/>
    </row>
    <row r="575" spans="1:26" ht="13">
      <c r="A575" s="70"/>
      <c r="B575" s="70"/>
      <c r="C575" s="70"/>
      <c r="D575" s="70"/>
      <c r="E575" s="70"/>
      <c r="F575" s="70"/>
      <c r="G575" s="70"/>
      <c r="H575" s="70"/>
      <c r="I575" s="70"/>
      <c r="J575" s="70"/>
      <c r="K575" s="70"/>
      <c r="L575" s="70"/>
      <c r="M575" s="70"/>
      <c r="N575" s="70"/>
      <c r="O575" s="70"/>
      <c r="P575" s="70"/>
      <c r="Q575" s="70"/>
      <c r="R575" s="70"/>
      <c r="S575" s="70"/>
      <c r="T575" s="70"/>
      <c r="U575" s="70"/>
      <c r="V575" s="70"/>
      <c r="W575" s="70"/>
      <c r="X575" s="70"/>
      <c r="Y575" s="70"/>
      <c r="Z575" s="70"/>
    </row>
    <row r="576" spans="1:26" ht="13">
      <c r="A576" s="70"/>
      <c r="B576" s="70"/>
      <c r="C576" s="70"/>
      <c r="D576" s="70"/>
      <c r="E576" s="70"/>
      <c r="F576" s="70"/>
      <c r="G576" s="70"/>
      <c r="H576" s="70"/>
      <c r="I576" s="70"/>
      <c r="J576" s="70"/>
      <c r="K576" s="70"/>
      <c r="L576" s="70"/>
      <c r="M576" s="70"/>
      <c r="N576" s="70"/>
      <c r="O576" s="70"/>
      <c r="P576" s="70"/>
      <c r="Q576" s="70"/>
      <c r="R576" s="70"/>
      <c r="S576" s="70"/>
      <c r="T576" s="70"/>
      <c r="U576" s="70"/>
      <c r="V576" s="70"/>
      <c r="W576" s="70"/>
      <c r="X576" s="70"/>
      <c r="Y576" s="70"/>
      <c r="Z576" s="70"/>
    </row>
    <row r="577" spans="1:26" ht="13">
      <c r="A577" s="70"/>
      <c r="B577" s="70"/>
      <c r="C577" s="70"/>
      <c r="D577" s="70"/>
      <c r="E577" s="70"/>
      <c r="F577" s="70"/>
      <c r="G577" s="70"/>
      <c r="H577" s="70"/>
      <c r="I577" s="70"/>
      <c r="J577" s="70"/>
      <c r="K577" s="70"/>
      <c r="L577" s="70"/>
      <c r="M577" s="70"/>
      <c r="N577" s="70"/>
      <c r="O577" s="70"/>
      <c r="P577" s="70"/>
      <c r="Q577" s="70"/>
      <c r="R577" s="70"/>
      <c r="S577" s="70"/>
      <c r="T577" s="70"/>
      <c r="U577" s="70"/>
      <c r="V577" s="70"/>
      <c r="W577" s="70"/>
      <c r="X577" s="70"/>
      <c r="Y577" s="70"/>
      <c r="Z577" s="70"/>
    </row>
    <row r="578" spans="1:26" ht="13">
      <c r="A578" s="70"/>
      <c r="B578" s="70"/>
      <c r="C578" s="70"/>
      <c r="D578" s="70"/>
      <c r="E578" s="70"/>
      <c r="F578" s="70"/>
      <c r="G578" s="70"/>
      <c r="H578" s="70"/>
      <c r="I578" s="70"/>
      <c r="J578" s="70"/>
      <c r="K578" s="70"/>
      <c r="L578" s="70"/>
      <c r="M578" s="70"/>
      <c r="N578" s="70"/>
      <c r="O578" s="70"/>
      <c r="P578" s="70"/>
      <c r="Q578" s="70"/>
      <c r="R578" s="70"/>
      <c r="S578" s="70"/>
      <c r="T578" s="70"/>
      <c r="U578" s="70"/>
      <c r="V578" s="70"/>
      <c r="W578" s="70"/>
      <c r="X578" s="70"/>
      <c r="Y578" s="70"/>
      <c r="Z578" s="70"/>
    </row>
    <row r="579" spans="1:26" ht="13">
      <c r="A579" s="70"/>
      <c r="B579" s="70"/>
      <c r="C579" s="70"/>
      <c r="D579" s="70"/>
      <c r="E579" s="70"/>
      <c r="F579" s="70"/>
      <c r="G579" s="70"/>
      <c r="H579" s="70"/>
      <c r="I579" s="70"/>
      <c r="J579" s="70"/>
      <c r="K579" s="70"/>
      <c r="L579" s="70"/>
      <c r="M579" s="70"/>
      <c r="N579" s="70"/>
      <c r="O579" s="70"/>
      <c r="P579" s="70"/>
      <c r="Q579" s="70"/>
      <c r="R579" s="70"/>
      <c r="S579" s="70"/>
      <c r="T579" s="70"/>
      <c r="U579" s="70"/>
      <c r="V579" s="70"/>
      <c r="W579" s="70"/>
      <c r="X579" s="70"/>
      <c r="Y579" s="70"/>
      <c r="Z579" s="70"/>
    </row>
    <row r="580" spans="1:26" ht="13">
      <c r="A580" s="70"/>
      <c r="B580" s="70"/>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70"/>
    </row>
    <row r="581" spans="1:26" ht="13">
      <c r="A581" s="70"/>
      <c r="B581" s="70"/>
      <c r="C581" s="70"/>
      <c r="D581" s="70"/>
      <c r="E581" s="70"/>
      <c r="F581" s="70"/>
      <c r="G581" s="70"/>
      <c r="H581" s="70"/>
      <c r="I581" s="70"/>
      <c r="J581" s="70"/>
      <c r="K581" s="70"/>
      <c r="L581" s="70"/>
      <c r="M581" s="70"/>
      <c r="N581" s="70"/>
      <c r="O581" s="70"/>
      <c r="P581" s="70"/>
      <c r="Q581" s="70"/>
      <c r="R581" s="70"/>
      <c r="S581" s="70"/>
      <c r="T581" s="70"/>
      <c r="U581" s="70"/>
      <c r="V581" s="70"/>
      <c r="W581" s="70"/>
      <c r="X581" s="70"/>
      <c r="Y581" s="70"/>
      <c r="Z581" s="70"/>
    </row>
    <row r="582" spans="1:26" ht="13">
      <c r="A582" s="70"/>
      <c r="B582" s="70"/>
      <c r="C582" s="70"/>
      <c r="D582" s="70"/>
      <c r="E582" s="70"/>
      <c r="F582" s="70"/>
      <c r="G582" s="70"/>
      <c r="H582" s="70"/>
      <c r="I582" s="70"/>
      <c r="J582" s="70"/>
      <c r="K582" s="70"/>
      <c r="L582" s="70"/>
      <c r="M582" s="70"/>
      <c r="N582" s="70"/>
      <c r="O582" s="70"/>
      <c r="P582" s="70"/>
      <c r="Q582" s="70"/>
      <c r="R582" s="70"/>
      <c r="S582" s="70"/>
      <c r="T582" s="70"/>
      <c r="U582" s="70"/>
      <c r="V582" s="70"/>
      <c r="W582" s="70"/>
      <c r="X582" s="70"/>
      <c r="Y582" s="70"/>
      <c r="Z582" s="70"/>
    </row>
    <row r="583" spans="1:26" ht="13">
      <c r="A583" s="70"/>
      <c r="B583" s="70"/>
      <c r="C583" s="70"/>
      <c r="D583" s="70"/>
      <c r="E583" s="70"/>
      <c r="F583" s="70"/>
      <c r="G583" s="70"/>
      <c r="H583" s="70"/>
      <c r="I583" s="70"/>
      <c r="J583" s="70"/>
      <c r="K583" s="70"/>
      <c r="L583" s="70"/>
      <c r="M583" s="70"/>
      <c r="N583" s="70"/>
      <c r="O583" s="70"/>
      <c r="P583" s="70"/>
      <c r="Q583" s="70"/>
      <c r="R583" s="70"/>
      <c r="S583" s="70"/>
      <c r="T583" s="70"/>
      <c r="U583" s="70"/>
      <c r="V583" s="70"/>
      <c r="W583" s="70"/>
      <c r="X583" s="70"/>
      <c r="Y583" s="70"/>
      <c r="Z583" s="70"/>
    </row>
    <row r="584" spans="1:26" ht="13">
      <c r="A584" s="70"/>
      <c r="B584" s="70"/>
      <c r="C584" s="70"/>
      <c r="D584" s="70"/>
      <c r="E584" s="70"/>
      <c r="F584" s="70"/>
      <c r="G584" s="70"/>
      <c r="H584" s="70"/>
      <c r="I584" s="70"/>
      <c r="J584" s="70"/>
      <c r="K584" s="70"/>
      <c r="L584" s="70"/>
      <c r="M584" s="70"/>
      <c r="N584" s="70"/>
      <c r="O584" s="70"/>
      <c r="P584" s="70"/>
      <c r="Q584" s="70"/>
      <c r="R584" s="70"/>
      <c r="S584" s="70"/>
      <c r="T584" s="70"/>
      <c r="U584" s="70"/>
      <c r="V584" s="70"/>
      <c r="W584" s="70"/>
      <c r="X584" s="70"/>
      <c r="Y584" s="70"/>
      <c r="Z584" s="70"/>
    </row>
    <row r="585" spans="1:26" ht="13">
      <c r="A585" s="70"/>
      <c r="B585" s="70"/>
      <c r="C585" s="70"/>
      <c r="D585" s="70"/>
      <c r="E585" s="70"/>
      <c r="F585" s="70"/>
      <c r="G585" s="70"/>
      <c r="H585" s="70"/>
      <c r="I585" s="70"/>
      <c r="J585" s="70"/>
      <c r="K585" s="70"/>
      <c r="L585" s="70"/>
      <c r="M585" s="70"/>
      <c r="N585" s="70"/>
      <c r="O585" s="70"/>
      <c r="P585" s="70"/>
      <c r="Q585" s="70"/>
      <c r="R585" s="70"/>
      <c r="S585" s="70"/>
      <c r="T585" s="70"/>
      <c r="U585" s="70"/>
      <c r="V585" s="70"/>
      <c r="W585" s="70"/>
      <c r="X585" s="70"/>
      <c r="Y585" s="70"/>
      <c r="Z585" s="70"/>
    </row>
    <row r="586" spans="1:26" ht="13">
      <c r="A586" s="70"/>
      <c r="B586" s="70"/>
      <c r="C586" s="70"/>
      <c r="D586" s="70"/>
      <c r="E586" s="70"/>
      <c r="F586" s="70"/>
      <c r="G586" s="70"/>
      <c r="H586" s="70"/>
      <c r="I586" s="70"/>
      <c r="J586" s="70"/>
      <c r="K586" s="70"/>
      <c r="L586" s="70"/>
      <c r="M586" s="70"/>
      <c r="N586" s="70"/>
      <c r="O586" s="70"/>
      <c r="P586" s="70"/>
      <c r="Q586" s="70"/>
      <c r="R586" s="70"/>
      <c r="S586" s="70"/>
      <c r="T586" s="70"/>
      <c r="U586" s="70"/>
      <c r="V586" s="70"/>
      <c r="W586" s="70"/>
      <c r="X586" s="70"/>
      <c r="Y586" s="70"/>
      <c r="Z586" s="70"/>
    </row>
    <row r="587" spans="1:26" ht="13">
      <c r="A587" s="70"/>
      <c r="B587" s="70"/>
      <c r="C587" s="70"/>
      <c r="D587" s="70"/>
      <c r="E587" s="70"/>
      <c r="F587" s="70"/>
      <c r="G587" s="70"/>
      <c r="H587" s="70"/>
      <c r="I587" s="70"/>
      <c r="J587" s="70"/>
      <c r="K587" s="70"/>
      <c r="L587" s="70"/>
      <c r="M587" s="70"/>
      <c r="N587" s="70"/>
      <c r="O587" s="70"/>
      <c r="P587" s="70"/>
      <c r="Q587" s="70"/>
      <c r="R587" s="70"/>
      <c r="S587" s="70"/>
      <c r="T587" s="70"/>
      <c r="U587" s="70"/>
      <c r="V587" s="70"/>
      <c r="W587" s="70"/>
      <c r="X587" s="70"/>
      <c r="Y587" s="70"/>
      <c r="Z587" s="70"/>
    </row>
    <row r="588" spans="1:26" ht="13">
      <c r="A588" s="70"/>
      <c r="B588" s="70"/>
      <c r="C588" s="70"/>
      <c r="D588" s="70"/>
      <c r="E588" s="70"/>
      <c r="F588" s="70"/>
      <c r="G588" s="70"/>
      <c r="H588" s="70"/>
      <c r="I588" s="70"/>
      <c r="J588" s="70"/>
      <c r="K588" s="70"/>
      <c r="L588" s="70"/>
      <c r="M588" s="70"/>
      <c r="N588" s="70"/>
      <c r="O588" s="70"/>
      <c r="P588" s="70"/>
      <c r="Q588" s="70"/>
      <c r="R588" s="70"/>
      <c r="S588" s="70"/>
      <c r="T588" s="70"/>
      <c r="U588" s="70"/>
      <c r="V588" s="70"/>
      <c r="W588" s="70"/>
      <c r="X588" s="70"/>
      <c r="Y588" s="70"/>
      <c r="Z588" s="70"/>
    </row>
    <row r="589" spans="1:26" ht="13">
      <c r="A589" s="70"/>
      <c r="B589" s="70"/>
      <c r="C589" s="70"/>
      <c r="D589" s="70"/>
      <c r="E589" s="70"/>
      <c r="F589" s="70"/>
      <c r="G589" s="70"/>
      <c r="H589" s="70"/>
      <c r="I589" s="70"/>
      <c r="J589" s="70"/>
      <c r="K589" s="70"/>
      <c r="L589" s="70"/>
      <c r="M589" s="70"/>
      <c r="N589" s="70"/>
      <c r="O589" s="70"/>
      <c r="P589" s="70"/>
      <c r="Q589" s="70"/>
      <c r="R589" s="70"/>
      <c r="S589" s="70"/>
      <c r="T589" s="70"/>
      <c r="U589" s="70"/>
      <c r="V589" s="70"/>
      <c r="W589" s="70"/>
      <c r="X589" s="70"/>
      <c r="Y589" s="70"/>
      <c r="Z589" s="70"/>
    </row>
    <row r="590" spans="1:26" ht="13">
      <c r="A590" s="70"/>
      <c r="B590" s="70"/>
      <c r="C590" s="70"/>
      <c r="D590" s="70"/>
      <c r="E590" s="70"/>
      <c r="F590" s="70"/>
      <c r="G590" s="70"/>
      <c r="H590" s="70"/>
      <c r="I590" s="70"/>
      <c r="J590" s="70"/>
      <c r="K590" s="70"/>
      <c r="L590" s="70"/>
      <c r="M590" s="70"/>
      <c r="N590" s="70"/>
      <c r="O590" s="70"/>
      <c r="P590" s="70"/>
      <c r="Q590" s="70"/>
      <c r="R590" s="70"/>
      <c r="S590" s="70"/>
      <c r="T590" s="70"/>
      <c r="U590" s="70"/>
      <c r="V590" s="70"/>
      <c r="W590" s="70"/>
      <c r="X590" s="70"/>
      <c r="Y590" s="70"/>
      <c r="Z590" s="70"/>
    </row>
    <row r="591" spans="1:26" ht="13">
      <c r="A591" s="70"/>
      <c r="B591" s="70"/>
      <c r="C591" s="70"/>
      <c r="D591" s="70"/>
      <c r="E591" s="70"/>
      <c r="F591" s="70"/>
      <c r="G591" s="70"/>
      <c r="H591" s="70"/>
      <c r="I591" s="70"/>
      <c r="J591" s="70"/>
      <c r="K591" s="70"/>
      <c r="L591" s="70"/>
      <c r="M591" s="70"/>
      <c r="N591" s="70"/>
      <c r="O591" s="70"/>
      <c r="P591" s="70"/>
      <c r="Q591" s="70"/>
      <c r="R591" s="70"/>
      <c r="S591" s="70"/>
      <c r="T591" s="70"/>
      <c r="U591" s="70"/>
      <c r="V591" s="70"/>
      <c r="W591" s="70"/>
      <c r="X591" s="70"/>
      <c r="Y591" s="70"/>
      <c r="Z591" s="70"/>
    </row>
    <row r="592" spans="1:26" ht="13">
      <c r="A592" s="70"/>
      <c r="B592" s="70"/>
      <c r="C592" s="70"/>
      <c r="D592" s="70"/>
      <c r="E592" s="70"/>
      <c r="F592" s="70"/>
      <c r="G592" s="70"/>
      <c r="H592" s="70"/>
      <c r="I592" s="70"/>
      <c r="J592" s="70"/>
      <c r="K592" s="70"/>
      <c r="L592" s="70"/>
      <c r="M592" s="70"/>
      <c r="N592" s="70"/>
      <c r="O592" s="70"/>
      <c r="P592" s="70"/>
      <c r="Q592" s="70"/>
      <c r="R592" s="70"/>
      <c r="S592" s="70"/>
      <c r="T592" s="70"/>
      <c r="U592" s="70"/>
      <c r="V592" s="70"/>
      <c r="W592" s="70"/>
      <c r="X592" s="70"/>
      <c r="Y592" s="70"/>
      <c r="Z592" s="70"/>
    </row>
    <row r="593" spans="1:26" ht="13">
      <c r="A593" s="70"/>
      <c r="B593" s="70"/>
      <c r="C593" s="70"/>
      <c r="D593" s="70"/>
      <c r="E593" s="70"/>
      <c r="F593" s="70"/>
      <c r="G593" s="70"/>
      <c r="H593" s="70"/>
      <c r="I593" s="70"/>
      <c r="J593" s="70"/>
      <c r="K593" s="70"/>
      <c r="L593" s="70"/>
      <c r="M593" s="70"/>
      <c r="N593" s="70"/>
      <c r="O593" s="70"/>
      <c r="P593" s="70"/>
      <c r="Q593" s="70"/>
      <c r="R593" s="70"/>
      <c r="S593" s="70"/>
      <c r="T593" s="70"/>
      <c r="U593" s="70"/>
      <c r="V593" s="70"/>
      <c r="W593" s="70"/>
      <c r="X593" s="70"/>
      <c r="Y593" s="70"/>
      <c r="Z593" s="70"/>
    </row>
    <row r="594" spans="1:26" ht="13">
      <c r="A594" s="70"/>
      <c r="B594" s="70"/>
      <c r="C594" s="70"/>
      <c r="D594" s="70"/>
      <c r="E594" s="70"/>
      <c r="F594" s="70"/>
      <c r="G594" s="70"/>
      <c r="H594" s="70"/>
      <c r="I594" s="70"/>
      <c r="J594" s="70"/>
      <c r="K594" s="70"/>
      <c r="L594" s="70"/>
      <c r="M594" s="70"/>
      <c r="N594" s="70"/>
      <c r="O594" s="70"/>
      <c r="P594" s="70"/>
      <c r="Q594" s="70"/>
      <c r="R594" s="70"/>
      <c r="S594" s="70"/>
      <c r="T594" s="70"/>
      <c r="U594" s="70"/>
      <c r="V594" s="70"/>
      <c r="W594" s="70"/>
      <c r="X594" s="70"/>
      <c r="Y594" s="70"/>
      <c r="Z594" s="70"/>
    </row>
    <row r="595" spans="1:26" ht="13">
      <c r="A595" s="70"/>
      <c r="B595" s="70"/>
      <c r="C595" s="70"/>
      <c r="D595" s="70"/>
      <c r="E595" s="70"/>
      <c r="F595" s="70"/>
      <c r="G595" s="70"/>
      <c r="H595" s="70"/>
      <c r="I595" s="70"/>
      <c r="J595" s="70"/>
      <c r="K595" s="70"/>
      <c r="L595" s="70"/>
      <c r="M595" s="70"/>
      <c r="N595" s="70"/>
      <c r="O595" s="70"/>
      <c r="P595" s="70"/>
      <c r="Q595" s="70"/>
      <c r="R595" s="70"/>
      <c r="S595" s="70"/>
      <c r="T595" s="70"/>
      <c r="U595" s="70"/>
      <c r="V595" s="70"/>
      <c r="W595" s="70"/>
      <c r="X595" s="70"/>
      <c r="Y595" s="70"/>
      <c r="Z595" s="70"/>
    </row>
    <row r="596" spans="1:26" ht="13">
      <c r="A596" s="70"/>
      <c r="B596" s="70"/>
      <c r="C596" s="70"/>
      <c r="D596" s="70"/>
      <c r="E596" s="70"/>
      <c r="F596" s="70"/>
      <c r="G596" s="70"/>
      <c r="H596" s="70"/>
      <c r="I596" s="70"/>
      <c r="J596" s="70"/>
      <c r="K596" s="70"/>
      <c r="L596" s="70"/>
      <c r="M596" s="70"/>
      <c r="N596" s="70"/>
      <c r="O596" s="70"/>
      <c r="P596" s="70"/>
      <c r="Q596" s="70"/>
      <c r="R596" s="70"/>
      <c r="S596" s="70"/>
      <c r="T596" s="70"/>
      <c r="U596" s="70"/>
      <c r="V596" s="70"/>
      <c r="W596" s="70"/>
      <c r="X596" s="70"/>
      <c r="Y596" s="70"/>
      <c r="Z596" s="70"/>
    </row>
    <row r="597" spans="1:26" ht="13">
      <c r="A597" s="70"/>
      <c r="B597" s="70"/>
      <c r="C597" s="70"/>
      <c r="D597" s="70"/>
      <c r="E597" s="70"/>
      <c r="F597" s="70"/>
      <c r="G597" s="70"/>
      <c r="H597" s="70"/>
      <c r="I597" s="70"/>
      <c r="J597" s="70"/>
      <c r="K597" s="70"/>
      <c r="L597" s="70"/>
      <c r="M597" s="70"/>
      <c r="N597" s="70"/>
      <c r="O597" s="70"/>
      <c r="P597" s="70"/>
      <c r="Q597" s="70"/>
      <c r="R597" s="70"/>
      <c r="S597" s="70"/>
      <c r="T597" s="70"/>
      <c r="U597" s="70"/>
      <c r="V597" s="70"/>
      <c r="W597" s="70"/>
      <c r="X597" s="70"/>
      <c r="Y597" s="70"/>
      <c r="Z597" s="70"/>
    </row>
    <row r="598" spans="1:26" ht="13">
      <c r="A598" s="70"/>
      <c r="B598" s="70"/>
      <c r="C598" s="70"/>
      <c r="D598" s="70"/>
      <c r="E598" s="70"/>
      <c r="F598" s="70"/>
      <c r="G598" s="70"/>
      <c r="H598" s="70"/>
      <c r="I598" s="70"/>
      <c r="J598" s="70"/>
      <c r="K598" s="70"/>
      <c r="L598" s="70"/>
      <c r="M598" s="70"/>
      <c r="N598" s="70"/>
      <c r="O598" s="70"/>
      <c r="P598" s="70"/>
      <c r="Q598" s="70"/>
      <c r="R598" s="70"/>
      <c r="S598" s="70"/>
      <c r="T598" s="70"/>
      <c r="U598" s="70"/>
      <c r="V598" s="70"/>
      <c r="W598" s="70"/>
      <c r="X598" s="70"/>
      <c r="Y598" s="70"/>
      <c r="Z598" s="70"/>
    </row>
    <row r="599" spans="1:26" ht="13">
      <c r="A599" s="70"/>
      <c r="B599" s="70"/>
      <c r="C599" s="70"/>
      <c r="D599" s="70"/>
      <c r="E599" s="70"/>
      <c r="F599" s="70"/>
      <c r="G599" s="70"/>
      <c r="H599" s="70"/>
      <c r="I599" s="70"/>
      <c r="J599" s="70"/>
      <c r="K599" s="70"/>
      <c r="L599" s="70"/>
      <c r="M599" s="70"/>
      <c r="N599" s="70"/>
      <c r="O599" s="70"/>
      <c r="P599" s="70"/>
      <c r="Q599" s="70"/>
      <c r="R599" s="70"/>
      <c r="S599" s="70"/>
      <c r="T599" s="70"/>
      <c r="U599" s="70"/>
      <c r="V599" s="70"/>
      <c r="W599" s="70"/>
      <c r="X599" s="70"/>
      <c r="Y599" s="70"/>
      <c r="Z599" s="70"/>
    </row>
    <row r="600" spans="1:26" ht="13">
      <c r="A600" s="70"/>
      <c r="B600" s="70"/>
      <c r="C600" s="70"/>
      <c r="D600" s="70"/>
      <c r="E600" s="70"/>
      <c r="F600" s="70"/>
      <c r="G600" s="70"/>
      <c r="H600" s="70"/>
      <c r="I600" s="70"/>
      <c r="J600" s="70"/>
      <c r="K600" s="70"/>
      <c r="L600" s="70"/>
      <c r="M600" s="70"/>
      <c r="N600" s="70"/>
      <c r="O600" s="70"/>
      <c r="P600" s="70"/>
      <c r="Q600" s="70"/>
      <c r="R600" s="70"/>
      <c r="S600" s="70"/>
      <c r="T600" s="70"/>
      <c r="U600" s="70"/>
      <c r="V600" s="70"/>
      <c r="W600" s="70"/>
      <c r="X600" s="70"/>
      <c r="Y600" s="70"/>
      <c r="Z600" s="70"/>
    </row>
    <row r="601" spans="1:26" ht="13">
      <c r="A601" s="70"/>
      <c r="B601" s="70"/>
      <c r="C601" s="70"/>
      <c r="D601" s="70"/>
      <c r="E601" s="70"/>
      <c r="F601" s="70"/>
      <c r="G601" s="70"/>
      <c r="H601" s="70"/>
      <c r="I601" s="70"/>
      <c r="J601" s="70"/>
      <c r="K601" s="70"/>
      <c r="L601" s="70"/>
      <c r="M601" s="70"/>
      <c r="N601" s="70"/>
      <c r="O601" s="70"/>
      <c r="P601" s="70"/>
      <c r="Q601" s="70"/>
      <c r="R601" s="70"/>
      <c r="S601" s="70"/>
      <c r="T601" s="70"/>
      <c r="U601" s="70"/>
      <c r="V601" s="70"/>
      <c r="W601" s="70"/>
      <c r="X601" s="70"/>
      <c r="Y601" s="70"/>
      <c r="Z601" s="70"/>
    </row>
    <row r="602" spans="1:26" ht="13">
      <c r="A602" s="70"/>
      <c r="B602" s="70"/>
      <c r="C602" s="70"/>
      <c r="D602" s="70"/>
      <c r="E602" s="70"/>
      <c r="F602" s="70"/>
      <c r="G602" s="70"/>
      <c r="H602" s="70"/>
      <c r="I602" s="70"/>
      <c r="J602" s="70"/>
      <c r="K602" s="70"/>
      <c r="L602" s="70"/>
      <c r="M602" s="70"/>
      <c r="N602" s="70"/>
      <c r="O602" s="70"/>
      <c r="P602" s="70"/>
      <c r="Q602" s="70"/>
      <c r="R602" s="70"/>
      <c r="S602" s="70"/>
      <c r="T602" s="70"/>
      <c r="U602" s="70"/>
      <c r="V602" s="70"/>
      <c r="W602" s="70"/>
      <c r="X602" s="70"/>
      <c r="Y602" s="70"/>
      <c r="Z602" s="70"/>
    </row>
    <row r="603" spans="1:26" ht="13">
      <c r="A603" s="70"/>
      <c r="B603" s="70"/>
      <c r="C603" s="70"/>
      <c r="D603" s="70"/>
      <c r="E603" s="70"/>
      <c r="F603" s="70"/>
      <c r="G603" s="70"/>
      <c r="H603" s="70"/>
      <c r="I603" s="70"/>
      <c r="J603" s="70"/>
      <c r="K603" s="70"/>
      <c r="L603" s="70"/>
      <c r="M603" s="70"/>
      <c r="N603" s="70"/>
      <c r="O603" s="70"/>
      <c r="P603" s="70"/>
      <c r="Q603" s="70"/>
      <c r="R603" s="70"/>
      <c r="S603" s="70"/>
      <c r="T603" s="70"/>
      <c r="U603" s="70"/>
      <c r="V603" s="70"/>
      <c r="W603" s="70"/>
      <c r="X603" s="70"/>
      <c r="Y603" s="70"/>
      <c r="Z603" s="70"/>
    </row>
    <row r="604" spans="1:26" ht="13">
      <c r="A604" s="70"/>
      <c r="B604" s="70"/>
      <c r="C604" s="70"/>
      <c r="D604" s="70"/>
      <c r="E604" s="70"/>
      <c r="F604" s="70"/>
      <c r="G604" s="70"/>
      <c r="H604" s="70"/>
      <c r="I604" s="70"/>
      <c r="J604" s="70"/>
      <c r="K604" s="70"/>
      <c r="L604" s="70"/>
      <c r="M604" s="70"/>
      <c r="N604" s="70"/>
      <c r="O604" s="70"/>
      <c r="P604" s="70"/>
      <c r="Q604" s="70"/>
      <c r="R604" s="70"/>
      <c r="S604" s="70"/>
      <c r="T604" s="70"/>
      <c r="U604" s="70"/>
      <c r="V604" s="70"/>
      <c r="W604" s="70"/>
      <c r="X604" s="70"/>
      <c r="Y604" s="70"/>
      <c r="Z604" s="70"/>
    </row>
    <row r="605" spans="1:26" ht="13">
      <c r="A605" s="70"/>
      <c r="B605" s="70"/>
      <c r="C605" s="70"/>
      <c r="D605" s="70"/>
      <c r="E605" s="70"/>
      <c r="F605" s="70"/>
      <c r="G605" s="70"/>
      <c r="H605" s="70"/>
      <c r="I605" s="70"/>
      <c r="J605" s="70"/>
      <c r="K605" s="70"/>
      <c r="L605" s="70"/>
      <c r="M605" s="70"/>
      <c r="N605" s="70"/>
      <c r="O605" s="70"/>
      <c r="P605" s="70"/>
      <c r="Q605" s="70"/>
      <c r="R605" s="70"/>
      <c r="S605" s="70"/>
      <c r="T605" s="70"/>
      <c r="U605" s="70"/>
      <c r="V605" s="70"/>
      <c r="W605" s="70"/>
      <c r="X605" s="70"/>
      <c r="Y605" s="70"/>
      <c r="Z605" s="70"/>
    </row>
    <row r="606" spans="1:26" ht="13">
      <c r="A606" s="70"/>
      <c r="B606" s="70"/>
      <c r="C606" s="70"/>
      <c r="D606" s="70"/>
      <c r="E606" s="70"/>
      <c r="F606" s="70"/>
      <c r="G606" s="70"/>
      <c r="H606" s="70"/>
      <c r="I606" s="70"/>
      <c r="J606" s="70"/>
      <c r="K606" s="70"/>
      <c r="L606" s="70"/>
      <c r="M606" s="70"/>
      <c r="N606" s="70"/>
      <c r="O606" s="70"/>
      <c r="P606" s="70"/>
      <c r="Q606" s="70"/>
      <c r="R606" s="70"/>
      <c r="S606" s="70"/>
      <c r="T606" s="70"/>
      <c r="U606" s="70"/>
      <c r="V606" s="70"/>
      <c r="W606" s="70"/>
      <c r="X606" s="70"/>
      <c r="Y606" s="70"/>
      <c r="Z606" s="70"/>
    </row>
    <row r="607" spans="1:26" ht="13">
      <c r="A607" s="70"/>
      <c r="B607" s="70"/>
      <c r="C607" s="70"/>
      <c r="D607" s="70"/>
      <c r="E607" s="70"/>
      <c r="F607" s="70"/>
      <c r="G607" s="70"/>
      <c r="H607" s="70"/>
      <c r="I607" s="70"/>
      <c r="J607" s="70"/>
      <c r="K607" s="70"/>
      <c r="L607" s="70"/>
      <c r="M607" s="70"/>
      <c r="N607" s="70"/>
      <c r="O607" s="70"/>
      <c r="P607" s="70"/>
      <c r="Q607" s="70"/>
      <c r="R607" s="70"/>
      <c r="S607" s="70"/>
      <c r="T607" s="70"/>
      <c r="U607" s="70"/>
      <c r="V607" s="70"/>
      <c r="W607" s="70"/>
      <c r="X607" s="70"/>
      <c r="Y607" s="70"/>
      <c r="Z607" s="70"/>
    </row>
    <row r="608" spans="1:26" ht="13">
      <c r="A608" s="70"/>
      <c r="B608" s="70"/>
      <c r="C608" s="70"/>
      <c r="D608" s="70"/>
      <c r="E608" s="70"/>
      <c r="F608" s="70"/>
      <c r="G608" s="70"/>
      <c r="H608" s="70"/>
      <c r="I608" s="70"/>
      <c r="J608" s="70"/>
      <c r="K608" s="70"/>
      <c r="L608" s="70"/>
      <c r="M608" s="70"/>
      <c r="N608" s="70"/>
      <c r="O608" s="70"/>
      <c r="P608" s="70"/>
      <c r="Q608" s="70"/>
      <c r="R608" s="70"/>
      <c r="S608" s="70"/>
      <c r="T608" s="70"/>
      <c r="U608" s="70"/>
      <c r="V608" s="70"/>
      <c r="W608" s="70"/>
      <c r="X608" s="70"/>
      <c r="Y608" s="70"/>
      <c r="Z608" s="70"/>
    </row>
    <row r="609" spans="1:26" ht="13">
      <c r="A609" s="70"/>
      <c r="B609" s="70"/>
      <c r="C609" s="70"/>
      <c r="D609" s="70"/>
      <c r="E609" s="70"/>
      <c r="F609" s="70"/>
      <c r="G609" s="70"/>
      <c r="H609" s="70"/>
      <c r="I609" s="70"/>
      <c r="J609" s="70"/>
      <c r="K609" s="70"/>
      <c r="L609" s="70"/>
      <c r="M609" s="70"/>
      <c r="N609" s="70"/>
      <c r="O609" s="70"/>
      <c r="P609" s="70"/>
      <c r="Q609" s="70"/>
      <c r="R609" s="70"/>
      <c r="S609" s="70"/>
      <c r="T609" s="70"/>
      <c r="U609" s="70"/>
      <c r="V609" s="70"/>
      <c r="W609" s="70"/>
      <c r="X609" s="70"/>
      <c r="Y609" s="70"/>
      <c r="Z609" s="70"/>
    </row>
    <row r="610" spans="1:26" ht="13">
      <c r="A610" s="70"/>
      <c r="B610" s="70"/>
      <c r="C610" s="70"/>
      <c r="D610" s="70"/>
      <c r="E610" s="70"/>
      <c r="F610" s="70"/>
      <c r="G610" s="70"/>
      <c r="H610" s="70"/>
      <c r="I610" s="70"/>
      <c r="J610" s="70"/>
      <c r="K610" s="70"/>
      <c r="L610" s="70"/>
      <c r="M610" s="70"/>
      <c r="N610" s="70"/>
      <c r="O610" s="70"/>
      <c r="P610" s="70"/>
      <c r="Q610" s="70"/>
      <c r="R610" s="70"/>
      <c r="S610" s="70"/>
      <c r="T610" s="70"/>
      <c r="U610" s="70"/>
      <c r="V610" s="70"/>
      <c r="W610" s="70"/>
      <c r="X610" s="70"/>
      <c r="Y610" s="70"/>
      <c r="Z610" s="70"/>
    </row>
    <row r="611" spans="1:26" ht="13">
      <c r="A611" s="70"/>
      <c r="B611" s="70"/>
      <c r="C611" s="70"/>
      <c r="D611" s="70"/>
      <c r="E611" s="70"/>
      <c r="F611" s="70"/>
      <c r="G611" s="70"/>
      <c r="H611" s="70"/>
      <c r="I611" s="70"/>
      <c r="J611" s="70"/>
      <c r="K611" s="70"/>
      <c r="L611" s="70"/>
      <c r="M611" s="70"/>
      <c r="N611" s="70"/>
      <c r="O611" s="70"/>
      <c r="P611" s="70"/>
      <c r="Q611" s="70"/>
      <c r="R611" s="70"/>
      <c r="S611" s="70"/>
      <c r="T611" s="70"/>
      <c r="U611" s="70"/>
      <c r="V611" s="70"/>
      <c r="W611" s="70"/>
      <c r="X611" s="70"/>
      <c r="Y611" s="70"/>
      <c r="Z611" s="70"/>
    </row>
    <row r="612" spans="1:26" ht="13">
      <c r="A612" s="70"/>
      <c r="B612" s="70"/>
      <c r="C612" s="70"/>
      <c r="D612" s="70"/>
      <c r="E612" s="70"/>
      <c r="F612" s="70"/>
      <c r="G612" s="70"/>
      <c r="H612" s="70"/>
      <c r="I612" s="70"/>
      <c r="J612" s="70"/>
      <c r="K612" s="70"/>
      <c r="L612" s="70"/>
      <c r="M612" s="70"/>
      <c r="N612" s="70"/>
      <c r="O612" s="70"/>
      <c r="P612" s="70"/>
      <c r="Q612" s="70"/>
      <c r="R612" s="70"/>
      <c r="S612" s="70"/>
      <c r="T612" s="70"/>
      <c r="U612" s="70"/>
      <c r="V612" s="70"/>
      <c r="W612" s="70"/>
      <c r="X612" s="70"/>
      <c r="Y612" s="70"/>
      <c r="Z612" s="70"/>
    </row>
    <row r="613" spans="1:26" ht="13">
      <c r="A613" s="70"/>
      <c r="B613" s="70"/>
      <c r="C613" s="70"/>
      <c r="D613" s="70"/>
      <c r="E613" s="70"/>
      <c r="F613" s="70"/>
      <c r="G613" s="70"/>
      <c r="H613" s="70"/>
      <c r="I613" s="70"/>
      <c r="J613" s="70"/>
      <c r="K613" s="70"/>
      <c r="L613" s="70"/>
      <c r="M613" s="70"/>
      <c r="N613" s="70"/>
      <c r="O613" s="70"/>
      <c r="P613" s="70"/>
      <c r="Q613" s="70"/>
      <c r="R613" s="70"/>
      <c r="S613" s="70"/>
      <c r="T613" s="70"/>
      <c r="U613" s="70"/>
      <c r="V613" s="70"/>
      <c r="W613" s="70"/>
      <c r="X613" s="70"/>
      <c r="Y613" s="70"/>
      <c r="Z613" s="70"/>
    </row>
    <row r="614" spans="1:26" ht="13">
      <c r="A614" s="70"/>
      <c r="B614" s="70"/>
      <c r="C614" s="70"/>
      <c r="D614" s="70"/>
      <c r="E614" s="70"/>
      <c r="F614" s="70"/>
      <c r="G614" s="70"/>
      <c r="H614" s="70"/>
      <c r="I614" s="70"/>
      <c r="J614" s="70"/>
      <c r="K614" s="70"/>
      <c r="L614" s="70"/>
      <c r="M614" s="70"/>
      <c r="N614" s="70"/>
      <c r="O614" s="70"/>
      <c r="P614" s="70"/>
      <c r="Q614" s="70"/>
      <c r="R614" s="70"/>
      <c r="S614" s="70"/>
      <c r="T614" s="70"/>
      <c r="U614" s="70"/>
      <c r="V614" s="70"/>
      <c r="W614" s="70"/>
      <c r="X614" s="70"/>
      <c r="Y614" s="70"/>
      <c r="Z614" s="70"/>
    </row>
    <row r="615" spans="1:26" ht="13">
      <c r="A615" s="70"/>
      <c r="B615" s="70"/>
      <c r="C615" s="70"/>
      <c r="D615" s="70"/>
      <c r="E615" s="70"/>
      <c r="F615" s="70"/>
      <c r="G615" s="70"/>
      <c r="H615" s="70"/>
      <c r="I615" s="70"/>
      <c r="J615" s="70"/>
      <c r="K615" s="70"/>
      <c r="L615" s="70"/>
      <c r="M615" s="70"/>
      <c r="N615" s="70"/>
      <c r="O615" s="70"/>
      <c r="P615" s="70"/>
      <c r="Q615" s="70"/>
      <c r="R615" s="70"/>
      <c r="S615" s="70"/>
      <c r="T615" s="70"/>
      <c r="U615" s="70"/>
      <c r="V615" s="70"/>
      <c r="W615" s="70"/>
      <c r="X615" s="70"/>
      <c r="Y615" s="70"/>
      <c r="Z615" s="70"/>
    </row>
    <row r="616" spans="1:26" ht="13">
      <c r="A616" s="70"/>
      <c r="B616" s="70"/>
      <c r="C616" s="70"/>
      <c r="D616" s="70"/>
      <c r="E616" s="70"/>
      <c r="F616" s="70"/>
      <c r="G616" s="70"/>
      <c r="H616" s="70"/>
      <c r="I616" s="70"/>
      <c r="J616" s="70"/>
      <c r="K616" s="70"/>
      <c r="L616" s="70"/>
      <c r="M616" s="70"/>
      <c r="N616" s="70"/>
      <c r="O616" s="70"/>
      <c r="P616" s="70"/>
      <c r="Q616" s="70"/>
      <c r="R616" s="70"/>
      <c r="S616" s="70"/>
      <c r="T616" s="70"/>
      <c r="U616" s="70"/>
      <c r="V616" s="70"/>
      <c r="W616" s="70"/>
      <c r="X616" s="70"/>
      <c r="Y616" s="70"/>
      <c r="Z616" s="70"/>
    </row>
    <row r="617" spans="1:26" ht="13">
      <c r="A617" s="70"/>
      <c r="B617" s="70"/>
      <c r="C617" s="70"/>
      <c r="D617" s="70"/>
      <c r="E617" s="70"/>
      <c r="F617" s="70"/>
      <c r="G617" s="70"/>
      <c r="H617" s="70"/>
      <c r="I617" s="70"/>
      <c r="J617" s="70"/>
      <c r="K617" s="70"/>
      <c r="L617" s="70"/>
      <c r="M617" s="70"/>
      <c r="N617" s="70"/>
      <c r="O617" s="70"/>
      <c r="P617" s="70"/>
      <c r="Q617" s="70"/>
      <c r="R617" s="70"/>
      <c r="S617" s="70"/>
      <c r="T617" s="70"/>
      <c r="U617" s="70"/>
      <c r="V617" s="70"/>
      <c r="W617" s="70"/>
      <c r="X617" s="70"/>
      <c r="Y617" s="70"/>
      <c r="Z617" s="70"/>
    </row>
    <row r="618" spans="1:26" ht="13">
      <c r="A618" s="70"/>
      <c r="B618" s="70"/>
      <c r="C618" s="70"/>
      <c r="D618" s="70"/>
      <c r="E618" s="70"/>
      <c r="F618" s="70"/>
      <c r="G618" s="70"/>
      <c r="H618" s="70"/>
      <c r="I618" s="70"/>
      <c r="J618" s="70"/>
      <c r="K618" s="70"/>
      <c r="L618" s="70"/>
      <c r="M618" s="70"/>
      <c r="N618" s="70"/>
      <c r="O618" s="70"/>
      <c r="P618" s="70"/>
      <c r="Q618" s="70"/>
      <c r="R618" s="70"/>
      <c r="S618" s="70"/>
      <c r="T618" s="70"/>
      <c r="U618" s="70"/>
      <c r="V618" s="70"/>
      <c r="W618" s="70"/>
      <c r="X618" s="70"/>
      <c r="Y618" s="70"/>
      <c r="Z618" s="70"/>
    </row>
    <row r="619" spans="1:26" ht="13">
      <c r="A619" s="70"/>
      <c r="B619" s="70"/>
      <c r="C619" s="70"/>
      <c r="D619" s="70"/>
      <c r="E619" s="70"/>
      <c r="F619" s="70"/>
      <c r="G619" s="70"/>
      <c r="H619" s="70"/>
      <c r="I619" s="70"/>
      <c r="J619" s="70"/>
      <c r="K619" s="70"/>
      <c r="L619" s="70"/>
      <c r="M619" s="70"/>
      <c r="N619" s="70"/>
      <c r="O619" s="70"/>
      <c r="P619" s="70"/>
      <c r="Q619" s="70"/>
      <c r="R619" s="70"/>
      <c r="S619" s="70"/>
      <c r="T619" s="70"/>
      <c r="U619" s="70"/>
      <c r="V619" s="70"/>
      <c r="W619" s="70"/>
      <c r="X619" s="70"/>
      <c r="Y619" s="70"/>
      <c r="Z619" s="70"/>
    </row>
    <row r="620" spans="1:26" ht="13">
      <c r="A620" s="70"/>
      <c r="B620" s="70"/>
      <c r="C620" s="70"/>
      <c r="D620" s="70"/>
      <c r="E620" s="70"/>
      <c r="F620" s="70"/>
      <c r="G620" s="70"/>
      <c r="H620" s="70"/>
      <c r="I620" s="70"/>
      <c r="J620" s="70"/>
      <c r="K620" s="70"/>
      <c r="L620" s="70"/>
      <c r="M620" s="70"/>
      <c r="N620" s="70"/>
      <c r="O620" s="70"/>
      <c r="P620" s="70"/>
      <c r="Q620" s="70"/>
      <c r="R620" s="70"/>
      <c r="S620" s="70"/>
      <c r="T620" s="70"/>
      <c r="U620" s="70"/>
      <c r="V620" s="70"/>
      <c r="W620" s="70"/>
      <c r="X620" s="70"/>
      <c r="Y620" s="70"/>
      <c r="Z620" s="70"/>
    </row>
    <row r="621" spans="1:26" ht="13">
      <c r="A621" s="70"/>
      <c r="B621" s="70"/>
      <c r="C621" s="70"/>
      <c r="D621" s="70"/>
      <c r="E621" s="70"/>
      <c r="F621" s="70"/>
      <c r="G621" s="70"/>
      <c r="H621" s="70"/>
      <c r="I621" s="70"/>
      <c r="J621" s="70"/>
      <c r="K621" s="70"/>
      <c r="L621" s="70"/>
      <c r="M621" s="70"/>
      <c r="N621" s="70"/>
      <c r="O621" s="70"/>
      <c r="P621" s="70"/>
      <c r="Q621" s="70"/>
      <c r="R621" s="70"/>
      <c r="S621" s="70"/>
      <c r="T621" s="70"/>
      <c r="U621" s="70"/>
      <c r="V621" s="70"/>
      <c r="W621" s="70"/>
      <c r="X621" s="70"/>
      <c r="Y621" s="70"/>
      <c r="Z621" s="70"/>
    </row>
    <row r="622" spans="1:26" ht="13">
      <c r="A622" s="70"/>
      <c r="B622" s="70"/>
      <c r="C622" s="70"/>
      <c r="D622" s="70"/>
      <c r="E622" s="70"/>
      <c r="F622" s="70"/>
      <c r="G622" s="70"/>
      <c r="H622" s="70"/>
      <c r="I622" s="70"/>
      <c r="J622" s="70"/>
      <c r="K622" s="70"/>
      <c r="L622" s="70"/>
      <c r="M622" s="70"/>
      <c r="N622" s="70"/>
      <c r="O622" s="70"/>
      <c r="P622" s="70"/>
      <c r="Q622" s="70"/>
      <c r="R622" s="70"/>
      <c r="S622" s="70"/>
      <c r="T622" s="70"/>
      <c r="U622" s="70"/>
      <c r="V622" s="70"/>
      <c r="W622" s="70"/>
      <c r="X622" s="70"/>
      <c r="Y622" s="70"/>
      <c r="Z622" s="70"/>
    </row>
    <row r="623" spans="1:26" ht="13">
      <c r="A623" s="70"/>
      <c r="B623" s="70"/>
      <c r="C623" s="70"/>
      <c r="D623" s="70"/>
      <c r="E623" s="70"/>
      <c r="F623" s="70"/>
      <c r="G623" s="70"/>
      <c r="H623" s="70"/>
      <c r="I623" s="70"/>
      <c r="J623" s="70"/>
      <c r="K623" s="70"/>
      <c r="L623" s="70"/>
      <c r="M623" s="70"/>
      <c r="N623" s="70"/>
      <c r="O623" s="70"/>
      <c r="P623" s="70"/>
      <c r="Q623" s="70"/>
      <c r="R623" s="70"/>
      <c r="S623" s="70"/>
      <c r="T623" s="70"/>
      <c r="U623" s="70"/>
      <c r="V623" s="70"/>
      <c r="W623" s="70"/>
      <c r="X623" s="70"/>
      <c r="Y623" s="70"/>
      <c r="Z623" s="70"/>
    </row>
    <row r="624" spans="1:26" ht="13">
      <c r="A624" s="70"/>
      <c r="B624" s="70"/>
      <c r="C624" s="70"/>
      <c r="D624" s="70"/>
      <c r="E624" s="70"/>
      <c r="F624" s="70"/>
      <c r="G624" s="70"/>
      <c r="H624" s="70"/>
      <c r="I624" s="70"/>
      <c r="J624" s="70"/>
      <c r="K624" s="70"/>
      <c r="L624" s="70"/>
      <c r="M624" s="70"/>
      <c r="N624" s="70"/>
      <c r="O624" s="70"/>
      <c r="P624" s="70"/>
      <c r="Q624" s="70"/>
      <c r="R624" s="70"/>
      <c r="S624" s="70"/>
      <c r="T624" s="70"/>
      <c r="U624" s="70"/>
      <c r="V624" s="70"/>
      <c r="W624" s="70"/>
      <c r="X624" s="70"/>
      <c r="Y624" s="70"/>
      <c r="Z624" s="70"/>
    </row>
    <row r="625" spans="1:26" ht="13">
      <c r="A625" s="70"/>
      <c r="B625" s="70"/>
      <c r="C625" s="70"/>
      <c r="D625" s="70"/>
      <c r="E625" s="70"/>
      <c r="F625" s="70"/>
      <c r="G625" s="70"/>
      <c r="H625" s="70"/>
      <c r="I625" s="70"/>
      <c r="J625" s="70"/>
      <c r="K625" s="70"/>
      <c r="L625" s="70"/>
      <c r="M625" s="70"/>
      <c r="N625" s="70"/>
      <c r="O625" s="70"/>
      <c r="P625" s="70"/>
      <c r="Q625" s="70"/>
      <c r="R625" s="70"/>
      <c r="S625" s="70"/>
      <c r="T625" s="70"/>
      <c r="U625" s="70"/>
      <c r="V625" s="70"/>
      <c r="W625" s="70"/>
      <c r="X625" s="70"/>
      <c r="Y625" s="70"/>
      <c r="Z625" s="70"/>
    </row>
    <row r="626" spans="1:26" ht="13">
      <c r="A626" s="70"/>
      <c r="B626" s="70"/>
      <c r="C626" s="70"/>
      <c r="D626" s="70"/>
      <c r="E626" s="70"/>
      <c r="F626" s="70"/>
      <c r="G626" s="70"/>
      <c r="H626" s="70"/>
      <c r="I626" s="70"/>
      <c r="J626" s="70"/>
      <c r="K626" s="70"/>
      <c r="L626" s="70"/>
      <c r="M626" s="70"/>
      <c r="N626" s="70"/>
      <c r="O626" s="70"/>
      <c r="P626" s="70"/>
      <c r="Q626" s="70"/>
      <c r="R626" s="70"/>
      <c r="S626" s="70"/>
      <c r="T626" s="70"/>
      <c r="U626" s="70"/>
      <c r="V626" s="70"/>
      <c r="W626" s="70"/>
      <c r="X626" s="70"/>
      <c r="Y626" s="70"/>
      <c r="Z626" s="70"/>
    </row>
    <row r="627" spans="1:26" ht="13">
      <c r="A627" s="70"/>
      <c r="B627" s="70"/>
      <c r="C627" s="70"/>
      <c r="D627" s="70"/>
      <c r="E627" s="70"/>
      <c r="F627" s="70"/>
      <c r="G627" s="70"/>
      <c r="H627" s="70"/>
      <c r="I627" s="70"/>
      <c r="J627" s="70"/>
      <c r="K627" s="70"/>
      <c r="L627" s="70"/>
      <c r="M627" s="70"/>
      <c r="N627" s="70"/>
      <c r="O627" s="70"/>
      <c r="P627" s="70"/>
      <c r="Q627" s="70"/>
      <c r="R627" s="70"/>
      <c r="S627" s="70"/>
      <c r="T627" s="70"/>
      <c r="U627" s="70"/>
      <c r="V627" s="70"/>
      <c r="W627" s="70"/>
      <c r="X627" s="70"/>
      <c r="Y627" s="70"/>
      <c r="Z627" s="70"/>
    </row>
    <row r="628" spans="1:26" ht="13">
      <c r="A628" s="70"/>
      <c r="B628" s="70"/>
      <c r="C628" s="70"/>
      <c r="D628" s="70"/>
      <c r="E628" s="70"/>
      <c r="F628" s="70"/>
      <c r="G628" s="70"/>
      <c r="H628" s="70"/>
      <c r="I628" s="70"/>
      <c r="J628" s="70"/>
      <c r="K628" s="70"/>
      <c r="L628" s="70"/>
      <c r="M628" s="70"/>
      <c r="N628" s="70"/>
      <c r="O628" s="70"/>
      <c r="P628" s="70"/>
      <c r="Q628" s="70"/>
      <c r="R628" s="70"/>
      <c r="S628" s="70"/>
      <c r="T628" s="70"/>
      <c r="U628" s="70"/>
      <c r="V628" s="70"/>
      <c r="W628" s="70"/>
      <c r="X628" s="70"/>
      <c r="Y628" s="70"/>
      <c r="Z628" s="70"/>
    </row>
    <row r="629" spans="1:26" ht="13">
      <c r="A629" s="70"/>
      <c r="B629" s="70"/>
      <c r="C629" s="70"/>
      <c r="D629" s="70"/>
      <c r="E629" s="70"/>
      <c r="F629" s="70"/>
      <c r="G629" s="70"/>
      <c r="H629" s="70"/>
      <c r="I629" s="70"/>
      <c r="J629" s="70"/>
      <c r="K629" s="70"/>
      <c r="L629" s="70"/>
      <c r="M629" s="70"/>
      <c r="N629" s="70"/>
      <c r="O629" s="70"/>
      <c r="P629" s="70"/>
      <c r="Q629" s="70"/>
      <c r="R629" s="70"/>
      <c r="S629" s="70"/>
      <c r="T629" s="70"/>
      <c r="U629" s="70"/>
      <c r="V629" s="70"/>
      <c r="W629" s="70"/>
      <c r="X629" s="70"/>
      <c r="Y629" s="70"/>
      <c r="Z629" s="70"/>
    </row>
    <row r="630" spans="1:26" ht="13">
      <c r="A630" s="70"/>
      <c r="B630" s="70"/>
      <c r="C630" s="70"/>
      <c r="D630" s="70"/>
      <c r="E630" s="70"/>
      <c r="F630" s="70"/>
      <c r="G630" s="70"/>
      <c r="H630" s="70"/>
      <c r="I630" s="70"/>
      <c r="J630" s="70"/>
      <c r="K630" s="70"/>
      <c r="L630" s="70"/>
      <c r="M630" s="70"/>
      <c r="N630" s="70"/>
      <c r="O630" s="70"/>
      <c r="P630" s="70"/>
      <c r="Q630" s="70"/>
      <c r="R630" s="70"/>
      <c r="S630" s="70"/>
      <c r="T630" s="70"/>
      <c r="U630" s="70"/>
      <c r="V630" s="70"/>
      <c r="W630" s="70"/>
      <c r="X630" s="70"/>
      <c r="Y630" s="70"/>
      <c r="Z630" s="70"/>
    </row>
    <row r="631" spans="1:26" ht="13">
      <c r="A631" s="70"/>
      <c r="B631" s="70"/>
      <c r="C631" s="70"/>
      <c r="D631" s="70"/>
      <c r="E631" s="70"/>
      <c r="F631" s="70"/>
      <c r="G631" s="70"/>
      <c r="H631" s="70"/>
      <c r="I631" s="70"/>
      <c r="J631" s="70"/>
      <c r="K631" s="70"/>
      <c r="L631" s="70"/>
      <c r="M631" s="70"/>
      <c r="N631" s="70"/>
      <c r="O631" s="70"/>
      <c r="P631" s="70"/>
      <c r="Q631" s="70"/>
      <c r="R631" s="70"/>
      <c r="S631" s="70"/>
      <c r="T631" s="70"/>
      <c r="U631" s="70"/>
      <c r="V631" s="70"/>
      <c r="W631" s="70"/>
      <c r="X631" s="70"/>
      <c r="Y631" s="70"/>
      <c r="Z631" s="70"/>
    </row>
    <row r="632" spans="1:26" ht="13">
      <c r="A632" s="70"/>
      <c r="B632" s="70"/>
      <c r="C632" s="70"/>
      <c r="D632" s="70"/>
      <c r="E632" s="70"/>
      <c r="F632" s="70"/>
      <c r="G632" s="70"/>
      <c r="H632" s="70"/>
      <c r="I632" s="70"/>
      <c r="J632" s="70"/>
      <c r="K632" s="70"/>
      <c r="L632" s="70"/>
      <c r="M632" s="70"/>
      <c r="N632" s="70"/>
      <c r="O632" s="70"/>
      <c r="P632" s="70"/>
      <c r="Q632" s="70"/>
      <c r="R632" s="70"/>
      <c r="S632" s="70"/>
      <c r="T632" s="70"/>
      <c r="U632" s="70"/>
      <c r="V632" s="70"/>
      <c r="W632" s="70"/>
      <c r="X632" s="70"/>
      <c r="Y632" s="70"/>
      <c r="Z632" s="70"/>
    </row>
    <row r="633" spans="1:26" ht="13">
      <c r="A633" s="70"/>
      <c r="B633" s="70"/>
      <c r="C633" s="70"/>
      <c r="D633" s="70"/>
      <c r="E633" s="70"/>
      <c r="F633" s="70"/>
      <c r="G633" s="70"/>
      <c r="H633" s="70"/>
      <c r="I633" s="70"/>
      <c r="J633" s="70"/>
      <c r="K633" s="70"/>
      <c r="L633" s="70"/>
      <c r="M633" s="70"/>
      <c r="N633" s="70"/>
      <c r="O633" s="70"/>
      <c r="P633" s="70"/>
      <c r="Q633" s="70"/>
      <c r="R633" s="70"/>
      <c r="S633" s="70"/>
      <c r="T633" s="70"/>
      <c r="U633" s="70"/>
      <c r="V633" s="70"/>
      <c r="W633" s="70"/>
      <c r="X633" s="70"/>
      <c r="Y633" s="70"/>
      <c r="Z633" s="70"/>
    </row>
    <row r="634" spans="1:26" ht="13">
      <c r="A634" s="70"/>
      <c r="B634" s="70"/>
      <c r="C634" s="70"/>
      <c r="D634" s="70"/>
      <c r="E634" s="70"/>
      <c r="F634" s="70"/>
      <c r="G634" s="70"/>
      <c r="H634" s="70"/>
      <c r="I634" s="70"/>
      <c r="J634" s="70"/>
      <c r="K634" s="70"/>
      <c r="L634" s="70"/>
      <c r="M634" s="70"/>
      <c r="N634" s="70"/>
      <c r="O634" s="70"/>
      <c r="P634" s="70"/>
      <c r="Q634" s="70"/>
      <c r="R634" s="70"/>
      <c r="S634" s="70"/>
      <c r="T634" s="70"/>
      <c r="U634" s="70"/>
      <c r="V634" s="70"/>
      <c r="W634" s="70"/>
      <c r="X634" s="70"/>
      <c r="Y634" s="70"/>
      <c r="Z634" s="70"/>
    </row>
    <row r="635" spans="1:26" ht="13">
      <c r="A635" s="70"/>
      <c r="B635" s="70"/>
      <c r="C635" s="70"/>
      <c r="D635" s="70"/>
      <c r="E635" s="70"/>
      <c r="F635" s="70"/>
      <c r="G635" s="70"/>
      <c r="H635" s="70"/>
      <c r="I635" s="70"/>
      <c r="J635" s="70"/>
      <c r="K635" s="70"/>
      <c r="L635" s="70"/>
      <c r="M635" s="70"/>
      <c r="N635" s="70"/>
      <c r="O635" s="70"/>
      <c r="P635" s="70"/>
      <c r="Q635" s="70"/>
      <c r="R635" s="70"/>
      <c r="S635" s="70"/>
      <c r="T635" s="70"/>
      <c r="U635" s="70"/>
      <c r="V635" s="70"/>
      <c r="W635" s="70"/>
      <c r="X635" s="70"/>
      <c r="Y635" s="70"/>
      <c r="Z635" s="70"/>
    </row>
    <row r="636" spans="1:26" ht="13">
      <c r="A636" s="70"/>
      <c r="B636" s="70"/>
      <c r="C636" s="70"/>
      <c r="D636" s="70"/>
      <c r="E636" s="70"/>
      <c r="F636" s="70"/>
      <c r="G636" s="70"/>
      <c r="H636" s="70"/>
      <c r="I636" s="70"/>
      <c r="J636" s="70"/>
      <c r="K636" s="70"/>
      <c r="L636" s="70"/>
      <c r="M636" s="70"/>
      <c r="N636" s="70"/>
      <c r="O636" s="70"/>
      <c r="P636" s="70"/>
      <c r="Q636" s="70"/>
      <c r="R636" s="70"/>
      <c r="S636" s="70"/>
      <c r="T636" s="70"/>
      <c r="U636" s="70"/>
      <c r="V636" s="70"/>
      <c r="W636" s="70"/>
      <c r="X636" s="70"/>
      <c r="Y636" s="70"/>
      <c r="Z636" s="70"/>
    </row>
    <row r="637" spans="1:26" ht="13">
      <c r="A637" s="70"/>
      <c r="B637" s="70"/>
      <c r="C637" s="70"/>
      <c r="D637" s="70"/>
      <c r="E637" s="70"/>
      <c r="F637" s="70"/>
      <c r="G637" s="70"/>
      <c r="H637" s="70"/>
      <c r="I637" s="70"/>
      <c r="J637" s="70"/>
      <c r="K637" s="70"/>
      <c r="L637" s="70"/>
      <c r="M637" s="70"/>
      <c r="N637" s="70"/>
      <c r="O637" s="70"/>
      <c r="P637" s="70"/>
      <c r="Q637" s="70"/>
      <c r="R637" s="70"/>
      <c r="S637" s="70"/>
      <c r="T637" s="70"/>
      <c r="U637" s="70"/>
      <c r="V637" s="70"/>
      <c r="W637" s="70"/>
      <c r="X637" s="70"/>
      <c r="Y637" s="70"/>
      <c r="Z637" s="70"/>
    </row>
    <row r="638" spans="1:26" ht="13">
      <c r="A638" s="70"/>
      <c r="B638" s="70"/>
      <c r="C638" s="70"/>
      <c r="D638" s="70"/>
      <c r="E638" s="70"/>
      <c r="F638" s="70"/>
      <c r="G638" s="70"/>
      <c r="H638" s="70"/>
      <c r="I638" s="70"/>
      <c r="J638" s="70"/>
      <c r="K638" s="70"/>
      <c r="L638" s="70"/>
      <c r="M638" s="70"/>
      <c r="N638" s="70"/>
      <c r="O638" s="70"/>
      <c r="P638" s="70"/>
      <c r="Q638" s="70"/>
      <c r="R638" s="70"/>
      <c r="S638" s="70"/>
      <c r="T638" s="70"/>
      <c r="U638" s="70"/>
      <c r="V638" s="70"/>
      <c r="W638" s="70"/>
      <c r="X638" s="70"/>
      <c r="Y638" s="70"/>
      <c r="Z638" s="70"/>
    </row>
    <row r="639" spans="1:26" ht="13">
      <c r="A639" s="70"/>
      <c r="B639" s="70"/>
      <c r="C639" s="70"/>
      <c r="D639" s="70"/>
      <c r="E639" s="70"/>
      <c r="F639" s="70"/>
      <c r="G639" s="70"/>
      <c r="H639" s="70"/>
      <c r="I639" s="70"/>
      <c r="J639" s="70"/>
      <c r="K639" s="70"/>
      <c r="L639" s="70"/>
      <c r="M639" s="70"/>
      <c r="N639" s="70"/>
      <c r="O639" s="70"/>
      <c r="P639" s="70"/>
      <c r="Q639" s="70"/>
      <c r="R639" s="70"/>
      <c r="S639" s="70"/>
      <c r="T639" s="70"/>
      <c r="U639" s="70"/>
      <c r="V639" s="70"/>
      <c r="W639" s="70"/>
      <c r="X639" s="70"/>
      <c r="Y639" s="70"/>
      <c r="Z639" s="70"/>
    </row>
    <row r="640" spans="1:26" ht="13">
      <c r="A640" s="70"/>
      <c r="B640" s="70"/>
      <c r="C640" s="70"/>
      <c r="D640" s="70"/>
      <c r="E640" s="70"/>
      <c r="F640" s="70"/>
      <c r="G640" s="70"/>
      <c r="H640" s="70"/>
      <c r="I640" s="70"/>
      <c r="J640" s="70"/>
      <c r="K640" s="70"/>
      <c r="L640" s="70"/>
      <c r="M640" s="70"/>
      <c r="N640" s="70"/>
      <c r="O640" s="70"/>
      <c r="P640" s="70"/>
      <c r="Q640" s="70"/>
      <c r="R640" s="70"/>
      <c r="S640" s="70"/>
      <c r="T640" s="70"/>
      <c r="U640" s="70"/>
      <c r="V640" s="70"/>
      <c r="W640" s="70"/>
      <c r="X640" s="70"/>
      <c r="Y640" s="70"/>
      <c r="Z640" s="70"/>
    </row>
    <row r="641" spans="1:26" ht="13">
      <c r="A641" s="70"/>
      <c r="B641" s="70"/>
      <c r="C641" s="70"/>
      <c r="D641" s="70"/>
      <c r="E641" s="70"/>
      <c r="F641" s="70"/>
      <c r="G641" s="70"/>
      <c r="H641" s="70"/>
      <c r="I641" s="70"/>
      <c r="J641" s="70"/>
      <c r="K641" s="70"/>
      <c r="L641" s="70"/>
      <c r="M641" s="70"/>
      <c r="N641" s="70"/>
      <c r="O641" s="70"/>
      <c r="P641" s="70"/>
      <c r="Q641" s="70"/>
      <c r="R641" s="70"/>
      <c r="S641" s="70"/>
      <c r="T641" s="70"/>
      <c r="U641" s="70"/>
      <c r="V641" s="70"/>
      <c r="W641" s="70"/>
      <c r="X641" s="70"/>
      <c r="Y641" s="70"/>
      <c r="Z641" s="70"/>
    </row>
    <row r="642" spans="1:26" ht="13">
      <c r="A642" s="70"/>
      <c r="B642" s="70"/>
      <c r="C642" s="70"/>
      <c r="D642" s="70"/>
      <c r="E642" s="70"/>
      <c r="F642" s="70"/>
      <c r="G642" s="70"/>
      <c r="H642" s="70"/>
      <c r="I642" s="70"/>
      <c r="J642" s="70"/>
      <c r="K642" s="70"/>
      <c r="L642" s="70"/>
      <c r="M642" s="70"/>
      <c r="N642" s="70"/>
      <c r="O642" s="70"/>
      <c r="P642" s="70"/>
      <c r="Q642" s="70"/>
      <c r="R642" s="70"/>
      <c r="S642" s="70"/>
      <c r="T642" s="70"/>
      <c r="U642" s="70"/>
      <c r="V642" s="70"/>
      <c r="W642" s="70"/>
      <c r="X642" s="70"/>
      <c r="Y642" s="70"/>
      <c r="Z642" s="70"/>
    </row>
    <row r="643" spans="1:26" ht="13">
      <c r="A643" s="70"/>
      <c r="B643" s="70"/>
      <c r="C643" s="70"/>
      <c r="D643" s="70"/>
      <c r="E643" s="70"/>
      <c r="F643" s="70"/>
      <c r="G643" s="70"/>
      <c r="H643" s="70"/>
      <c r="I643" s="70"/>
      <c r="J643" s="70"/>
      <c r="K643" s="70"/>
      <c r="L643" s="70"/>
      <c r="M643" s="70"/>
      <c r="N643" s="70"/>
      <c r="O643" s="70"/>
      <c r="P643" s="70"/>
      <c r="Q643" s="70"/>
      <c r="R643" s="70"/>
      <c r="S643" s="70"/>
      <c r="T643" s="70"/>
      <c r="U643" s="70"/>
      <c r="V643" s="70"/>
      <c r="W643" s="70"/>
      <c r="X643" s="70"/>
      <c r="Y643" s="70"/>
      <c r="Z643" s="70"/>
    </row>
    <row r="644" spans="1:26" ht="13">
      <c r="A644" s="70"/>
      <c r="B644" s="70"/>
      <c r="C644" s="70"/>
      <c r="D644" s="70"/>
      <c r="E644" s="70"/>
      <c r="F644" s="70"/>
      <c r="G644" s="70"/>
      <c r="H644" s="70"/>
      <c r="I644" s="70"/>
      <c r="J644" s="70"/>
      <c r="K644" s="70"/>
      <c r="L644" s="70"/>
      <c r="M644" s="70"/>
      <c r="N644" s="70"/>
      <c r="O644" s="70"/>
      <c r="P644" s="70"/>
      <c r="Q644" s="70"/>
      <c r="R644" s="70"/>
      <c r="S644" s="70"/>
      <c r="T644" s="70"/>
      <c r="U644" s="70"/>
      <c r="V644" s="70"/>
      <c r="W644" s="70"/>
      <c r="X644" s="70"/>
      <c r="Y644" s="70"/>
      <c r="Z644" s="70"/>
    </row>
    <row r="645" spans="1:26" ht="13">
      <c r="A645" s="70"/>
      <c r="B645" s="70"/>
      <c r="C645" s="70"/>
      <c r="D645" s="70"/>
      <c r="E645" s="70"/>
      <c r="F645" s="70"/>
      <c r="G645" s="70"/>
      <c r="H645" s="70"/>
      <c r="I645" s="70"/>
      <c r="J645" s="70"/>
      <c r="K645" s="70"/>
      <c r="L645" s="70"/>
      <c r="M645" s="70"/>
      <c r="N645" s="70"/>
      <c r="O645" s="70"/>
      <c r="P645" s="70"/>
      <c r="Q645" s="70"/>
      <c r="R645" s="70"/>
      <c r="S645" s="70"/>
      <c r="T645" s="70"/>
      <c r="U645" s="70"/>
      <c r="V645" s="70"/>
      <c r="W645" s="70"/>
      <c r="X645" s="70"/>
      <c r="Y645" s="70"/>
      <c r="Z645" s="70"/>
    </row>
    <row r="646" spans="1:26" ht="13">
      <c r="A646" s="70"/>
      <c r="B646" s="70"/>
      <c r="C646" s="70"/>
      <c r="D646" s="70"/>
      <c r="E646" s="70"/>
      <c r="F646" s="70"/>
      <c r="G646" s="70"/>
      <c r="H646" s="70"/>
      <c r="I646" s="70"/>
      <c r="J646" s="70"/>
      <c r="K646" s="70"/>
      <c r="L646" s="70"/>
      <c r="M646" s="70"/>
      <c r="N646" s="70"/>
      <c r="O646" s="70"/>
      <c r="P646" s="70"/>
      <c r="Q646" s="70"/>
      <c r="R646" s="70"/>
      <c r="S646" s="70"/>
      <c r="T646" s="70"/>
      <c r="U646" s="70"/>
      <c r="V646" s="70"/>
      <c r="W646" s="70"/>
      <c r="X646" s="70"/>
      <c r="Y646" s="70"/>
      <c r="Z646" s="70"/>
    </row>
    <row r="647" spans="1:26" ht="13">
      <c r="A647" s="70"/>
      <c r="B647" s="70"/>
      <c r="C647" s="70"/>
      <c r="D647" s="70"/>
      <c r="E647" s="70"/>
      <c r="F647" s="70"/>
      <c r="G647" s="70"/>
      <c r="H647" s="70"/>
      <c r="I647" s="70"/>
      <c r="J647" s="70"/>
      <c r="K647" s="70"/>
      <c r="L647" s="70"/>
      <c r="M647" s="70"/>
      <c r="N647" s="70"/>
      <c r="O647" s="70"/>
      <c r="P647" s="70"/>
      <c r="Q647" s="70"/>
      <c r="R647" s="70"/>
      <c r="S647" s="70"/>
      <c r="T647" s="70"/>
      <c r="U647" s="70"/>
      <c r="V647" s="70"/>
      <c r="W647" s="70"/>
      <c r="X647" s="70"/>
      <c r="Y647" s="70"/>
      <c r="Z647" s="70"/>
    </row>
    <row r="648" spans="1:26" ht="13">
      <c r="A648" s="70"/>
      <c r="B648" s="70"/>
      <c r="C648" s="70"/>
      <c r="D648" s="70"/>
      <c r="E648" s="70"/>
      <c r="F648" s="70"/>
      <c r="G648" s="70"/>
      <c r="H648" s="70"/>
      <c r="I648" s="70"/>
      <c r="J648" s="70"/>
      <c r="K648" s="70"/>
      <c r="L648" s="70"/>
      <c r="M648" s="70"/>
      <c r="N648" s="70"/>
      <c r="O648" s="70"/>
      <c r="P648" s="70"/>
      <c r="Q648" s="70"/>
      <c r="R648" s="70"/>
      <c r="S648" s="70"/>
      <c r="T648" s="70"/>
      <c r="U648" s="70"/>
      <c r="V648" s="70"/>
      <c r="W648" s="70"/>
      <c r="X648" s="70"/>
      <c r="Y648" s="70"/>
      <c r="Z648" s="70"/>
    </row>
    <row r="649" spans="1:26" ht="13">
      <c r="A649" s="70"/>
      <c r="B649" s="70"/>
      <c r="C649" s="70"/>
      <c r="D649" s="70"/>
      <c r="E649" s="70"/>
      <c r="F649" s="70"/>
      <c r="G649" s="70"/>
      <c r="H649" s="70"/>
      <c r="I649" s="70"/>
      <c r="J649" s="70"/>
      <c r="K649" s="70"/>
      <c r="L649" s="70"/>
      <c r="M649" s="70"/>
      <c r="N649" s="70"/>
      <c r="O649" s="70"/>
      <c r="P649" s="70"/>
      <c r="Q649" s="70"/>
      <c r="R649" s="70"/>
      <c r="S649" s="70"/>
      <c r="T649" s="70"/>
      <c r="U649" s="70"/>
      <c r="V649" s="70"/>
      <c r="W649" s="70"/>
      <c r="X649" s="70"/>
      <c r="Y649" s="70"/>
      <c r="Z649" s="70"/>
    </row>
    <row r="650" spans="1:26" ht="13">
      <c r="A650" s="70"/>
      <c r="B650" s="70"/>
      <c r="C650" s="70"/>
      <c r="D650" s="70"/>
      <c r="E650" s="70"/>
      <c r="F650" s="70"/>
      <c r="G650" s="70"/>
      <c r="H650" s="70"/>
      <c r="I650" s="70"/>
      <c r="J650" s="70"/>
      <c r="K650" s="70"/>
      <c r="L650" s="70"/>
      <c r="M650" s="70"/>
      <c r="N650" s="70"/>
      <c r="O650" s="70"/>
      <c r="P650" s="70"/>
      <c r="Q650" s="70"/>
      <c r="R650" s="70"/>
      <c r="S650" s="70"/>
      <c r="T650" s="70"/>
      <c r="U650" s="70"/>
      <c r="V650" s="70"/>
      <c r="W650" s="70"/>
      <c r="X650" s="70"/>
      <c r="Y650" s="70"/>
      <c r="Z650" s="70"/>
    </row>
    <row r="651" spans="1:26" ht="13">
      <c r="A651" s="70"/>
      <c r="B651" s="70"/>
      <c r="C651" s="70"/>
      <c r="D651" s="70"/>
      <c r="E651" s="70"/>
      <c r="F651" s="70"/>
      <c r="G651" s="70"/>
      <c r="H651" s="70"/>
      <c r="I651" s="70"/>
      <c r="J651" s="70"/>
      <c r="K651" s="70"/>
      <c r="L651" s="70"/>
      <c r="M651" s="70"/>
      <c r="N651" s="70"/>
      <c r="O651" s="70"/>
      <c r="P651" s="70"/>
      <c r="Q651" s="70"/>
      <c r="R651" s="70"/>
      <c r="S651" s="70"/>
      <c r="T651" s="70"/>
      <c r="U651" s="70"/>
      <c r="V651" s="70"/>
      <c r="W651" s="70"/>
      <c r="X651" s="70"/>
      <c r="Y651" s="70"/>
      <c r="Z651" s="70"/>
    </row>
    <row r="652" spans="1:26" ht="13">
      <c r="A652" s="70"/>
      <c r="B652" s="70"/>
      <c r="C652" s="70"/>
      <c r="D652" s="70"/>
      <c r="E652" s="70"/>
      <c r="F652" s="70"/>
      <c r="G652" s="70"/>
      <c r="H652" s="70"/>
      <c r="I652" s="70"/>
      <c r="J652" s="70"/>
      <c r="K652" s="70"/>
      <c r="L652" s="70"/>
      <c r="M652" s="70"/>
      <c r="N652" s="70"/>
      <c r="O652" s="70"/>
      <c r="P652" s="70"/>
      <c r="Q652" s="70"/>
      <c r="R652" s="70"/>
      <c r="S652" s="70"/>
      <c r="T652" s="70"/>
      <c r="U652" s="70"/>
      <c r="V652" s="70"/>
      <c r="W652" s="70"/>
      <c r="X652" s="70"/>
      <c r="Y652" s="70"/>
      <c r="Z652" s="70"/>
    </row>
    <row r="653" spans="1:26" ht="13">
      <c r="A653" s="70"/>
      <c r="B653" s="70"/>
      <c r="C653" s="70"/>
      <c r="D653" s="70"/>
      <c r="E653" s="70"/>
      <c r="F653" s="70"/>
      <c r="G653" s="70"/>
      <c r="H653" s="70"/>
      <c r="I653" s="70"/>
      <c r="J653" s="70"/>
      <c r="K653" s="70"/>
      <c r="L653" s="70"/>
      <c r="M653" s="70"/>
      <c r="N653" s="70"/>
      <c r="O653" s="70"/>
      <c r="P653" s="70"/>
      <c r="Q653" s="70"/>
      <c r="R653" s="70"/>
      <c r="S653" s="70"/>
      <c r="T653" s="70"/>
      <c r="U653" s="70"/>
      <c r="V653" s="70"/>
      <c r="W653" s="70"/>
      <c r="X653" s="70"/>
      <c r="Y653" s="70"/>
      <c r="Z653" s="70"/>
    </row>
    <row r="654" spans="1:26" ht="13">
      <c r="A654" s="70"/>
      <c r="B654" s="70"/>
      <c r="C654" s="70"/>
      <c r="D654" s="70"/>
      <c r="E654" s="70"/>
      <c r="F654" s="70"/>
      <c r="G654" s="70"/>
      <c r="H654" s="70"/>
      <c r="I654" s="70"/>
      <c r="J654" s="70"/>
      <c r="K654" s="70"/>
      <c r="L654" s="70"/>
      <c r="M654" s="70"/>
      <c r="N654" s="70"/>
      <c r="O654" s="70"/>
      <c r="P654" s="70"/>
      <c r="Q654" s="70"/>
      <c r="R654" s="70"/>
      <c r="S654" s="70"/>
      <c r="T654" s="70"/>
      <c r="U654" s="70"/>
      <c r="V654" s="70"/>
      <c r="W654" s="70"/>
      <c r="X654" s="70"/>
      <c r="Y654" s="70"/>
      <c r="Z654" s="70"/>
    </row>
    <row r="655" spans="1:26" ht="13">
      <c r="A655" s="70"/>
      <c r="B655" s="70"/>
      <c r="C655" s="70"/>
      <c r="D655" s="70"/>
      <c r="E655" s="70"/>
      <c r="F655" s="70"/>
      <c r="G655" s="70"/>
      <c r="H655" s="70"/>
      <c r="I655" s="70"/>
      <c r="J655" s="70"/>
      <c r="K655" s="70"/>
      <c r="L655" s="70"/>
      <c r="M655" s="70"/>
      <c r="N655" s="70"/>
      <c r="O655" s="70"/>
      <c r="P655" s="70"/>
      <c r="Q655" s="70"/>
      <c r="R655" s="70"/>
      <c r="S655" s="70"/>
      <c r="T655" s="70"/>
      <c r="U655" s="70"/>
      <c r="V655" s="70"/>
      <c r="W655" s="70"/>
      <c r="X655" s="70"/>
      <c r="Y655" s="70"/>
      <c r="Z655" s="70"/>
    </row>
    <row r="656" spans="1:26" ht="13">
      <c r="A656" s="70"/>
      <c r="B656" s="70"/>
      <c r="C656" s="70"/>
      <c r="D656" s="70"/>
      <c r="E656" s="70"/>
      <c r="F656" s="70"/>
      <c r="G656" s="70"/>
      <c r="H656" s="70"/>
      <c r="I656" s="70"/>
      <c r="J656" s="70"/>
      <c r="K656" s="70"/>
      <c r="L656" s="70"/>
      <c r="M656" s="70"/>
      <c r="N656" s="70"/>
      <c r="O656" s="70"/>
      <c r="P656" s="70"/>
      <c r="Q656" s="70"/>
      <c r="R656" s="70"/>
      <c r="S656" s="70"/>
      <c r="T656" s="70"/>
      <c r="U656" s="70"/>
      <c r="V656" s="70"/>
      <c r="W656" s="70"/>
      <c r="X656" s="70"/>
      <c r="Y656" s="70"/>
      <c r="Z656" s="70"/>
    </row>
    <row r="657" spans="1:26" ht="13">
      <c r="A657" s="70"/>
      <c r="B657" s="70"/>
      <c r="C657" s="70"/>
      <c r="D657" s="70"/>
      <c r="E657" s="70"/>
      <c r="F657" s="70"/>
      <c r="G657" s="70"/>
      <c r="H657" s="70"/>
      <c r="I657" s="70"/>
      <c r="J657" s="70"/>
      <c r="K657" s="70"/>
      <c r="L657" s="70"/>
      <c r="M657" s="70"/>
      <c r="N657" s="70"/>
      <c r="O657" s="70"/>
      <c r="P657" s="70"/>
      <c r="Q657" s="70"/>
      <c r="R657" s="70"/>
      <c r="S657" s="70"/>
      <c r="T657" s="70"/>
      <c r="U657" s="70"/>
      <c r="V657" s="70"/>
      <c r="W657" s="70"/>
      <c r="X657" s="70"/>
      <c r="Y657" s="70"/>
      <c r="Z657" s="70"/>
    </row>
    <row r="658" spans="1:26" ht="13">
      <c r="A658" s="70"/>
      <c r="B658" s="70"/>
      <c r="C658" s="70"/>
      <c r="D658" s="70"/>
      <c r="E658" s="70"/>
      <c r="F658" s="70"/>
      <c r="G658" s="70"/>
      <c r="H658" s="70"/>
      <c r="I658" s="70"/>
      <c r="J658" s="70"/>
      <c r="K658" s="70"/>
      <c r="L658" s="70"/>
      <c r="M658" s="70"/>
      <c r="N658" s="70"/>
      <c r="O658" s="70"/>
      <c r="P658" s="70"/>
      <c r="Q658" s="70"/>
      <c r="R658" s="70"/>
      <c r="S658" s="70"/>
      <c r="T658" s="70"/>
      <c r="U658" s="70"/>
      <c r="V658" s="70"/>
      <c r="W658" s="70"/>
      <c r="X658" s="70"/>
      <c r="Y658" s="70"/>
      <c r="Z658" s="70"/>
    </row>
    <row r="659" spans="1:26" ht="13">
      <c r="A659" s="70"/>
      <c r="B659" s="70"/>
      <c r="C659" s="70"/>
      <c r="D659" s="70"/>
      <c r="E659" s="70"/>
      <c r="F659" s="70"/>
      <c r="G659" s="70"/>
      <c r="H659" s="70"/>
      <c r="I659" s="70"/>
      <c r="J659" s="70"/>
      <c r="K659" s="70"/>
      <c r="L659" s="70"/>
      <c r="M659" s="70"/>
      <c r="N659" s="70"/>
      <c r="O659" s="70"/>
      <c r="P659" s="70"/>
      <c r="Q659" s="70"/>
      <c r="R659" s="70"/>
      <c r="S659" s="70"/>
      <c r="T659" s="70"/>
      <c r="U659" s="70"/>
      <c r="V659" s="70"/>
      <c r="W659" s="70"/>
      <c r="X659" s="70"/>
      <c r="Y659" s="70"/>
      <c r="Z659" s="70"/>
    </row>
    <row r="660" spans="1:26" ht="13">
      <c r="A660" s="70"/>
      <c r="B660" s="70"/>
      <c r="C660" s="70"/>
      <c r="D660" s="70"/>
      <c r="E660" s="70"/>
      <c r="F660" s="70"/>
      <c r="G660" s="70"/>
      <c r="H660" s="70"/>
      <c r="I660" s="70"/>
      <c r="J660" s="70"/>
      <c r="K660" s="70"/>
      <c r="L660" s="70"/>
      <c r="M660" s="70"/>
      <c r="N660" s="70"/>
      <c r="O660" s="70"/>
      <c r="P660" s="70"/>
      <c r="Q660" s="70"/>
      <c r="R660" s="70"/>
      <c r="S660" s="70"/>
      <c r="T660" s="70"/>
      <c r="U660" s="70"/>
      <c r="V660" s="70"/>
      <c r="W660" s="70"/>
      <c r="X660" s="70"/>
      <c r="Y660" s="70"/>
      <c r="Z660" s="70"/>
    </row>
    <row r="661" spans="1:26" ht="13">
      <c r="A661" s="70"/>
      <c r="B661" s="70"/>
      <c r="C661" s="70"/>
      <c r="D661" s="70"/>
      <c r="E661" s="70"/>
      <c r="F661" s="70"/>
      <c r="G661" s="70"/>
      <c r="H661" s="70"/>
      <c r="I661" s="70"/>
      <c r="J661" s="70"/>
      <c r="K661" s="70"/>
      <c r="L661" s="70"/>
      <c r="M661" s="70"/>
      <c r="N661" s="70"/>
      <c r="O661" s="70"/>
      <c r="P661" s="70"/>
      <c r="Q661" s="70"/>
      <c r="R661" s="70"/>
      <c r="S661" s="70"/>
      <c r="T661" s="70"/>
      <c r="U661" s="70"/>
      <c r="V661" s="70"/>
      <c r="W661" s="70"/>
      <c r="X661" s="70"/>
      <c r="Y661" s="70"/>
      <c r="Z661" s="70"/>
    </row>
    <row r="662" spans="1:26" ht="13">
      <c r="A662" s="70"/>
      <c r="B662" s="70"/>
      <c r="C662" s="70"/>
      <c r="D662" s="70"/>
      <c r="E662" s="70"/>
      <c r="F662" s="70"/>
      <c r="G662" s="70"/>
      <c r="H662" s="70"/>
      <c r="I662" s="70"/>
      <c r="J662" s="70"/>
      <c r="K662" s="70"/>
      <c r="L662" s="70"/>
      <c r="M662" s="70"/>
      <c r="N662" s="70"/>
      <c r="O662" s="70"/>
      <c r="P662" s="70"/>
      <c r="Q662" s="70"/>
      <c r="R662" s="70"/>
      <c r="S662" s="70"/>
      <c r="T662" s="70"/>
      <c r="U662" s="70"/>
      <c r="V662" s="70"/>
      <c r="W662" s="70"/>
      <c r="X662" s="70"/>
      <c r="Y662" s="70"/>
      <c r="Z662" s="70"/>
    </row>
    <row r="663" spans="1:26" ht="13">
      <c r="A663" s="70"/>
      <c r="B663" s="70"/>
      <c r="C663" s="70"/>
      <c r="D663" s="70"/>
      <c r="E663" s="70"/>
      <c r="F663" s="70"/>
      <c r="G663" s="70"/>
      <c r="H663" s="70"/>
      <c r="I663" s="70"/>
      <c r="J663" s="70"/>
      <c r="K663" s="70"/>
      <c r="L663" s="70"/>
      <c r="M663" s="70"/>
      <c r="N663" s="70"/>
      <c r="O663" s="70"/>
      <c r="P663" s="70"/>
      <c r="Q663" s="70"/>
      <c r="R663" s="70"/>
      <c r="S663" s="70"/>
      <c r="T663" s="70"/>
      <c r="U663" s="70"/>
      <c r="V663" s="70"/>
      <c r="W663" s="70"/>
      <c r="X663" s="70"/>
      <c r="Y663" s="70"/>
      <c r="Z663" s="70"/>
    </row>
    <row r="664" spans="1:26" ht="13">
      <c r="A664" s="70"/>
      <c r="B664" s="70"/>
      <c r="C664" s="70"/>
      <c r="D664" s="70"/>
      <c r="E664" s="70"/>
      <c r="F664" s="70"/>
      <c r="G664" s="70"/>
      <c r="H664" s="70"/>
      <c r="I664" s="70"/>
      <c r="J664" s="70"/>
      <c r="K664" s="70"/>
      <c r="L664" s="70"/>
      <c r="M664" s="70"/>
      <c r="N664" s="70"/>
      <c r="O664" s="70"/>
      <c r="P664" s="70"/>
      <c r="Q664" s="70"/>
      <c r="R664" s="70"/>
      <c r="S664" s="70"/>
      <c r="T664" s="70"/>
      <c r="U664" s="70"/>
      <c r="V664" s="70"/>
      <c r="W664" s="70"/>
      <c r="X664" s="70"/>
      <c r="Y664" s="70"/>
      <c r="Z664" s="70"/>
    </row>
    <row r="665" spans="1:26" ht="13">
      <c r="A665" s="70"/>
      <c r="B665" s="70"/>
      <c r="C665" s="70"/>
      <c r="D665" s="70"/>
      <c r="E665" s="70"/>
      <c r="F665" s="70"/>
      <c r="G665" s="70"/>
      <c r="H665" s="70"/>
      <c r="I665" s="70"/>
      <c r="J665" s="70"/>
      <c r="K665" s="70"/>
      <c r="L665" s="70"/>
      <c r="M665" s="70"/>
      <c r="N665" s="70"/>
      <c r="O665" s="70"/>
      <c r="P665" s="70"/>
      <c r="Q665" s="70"/>
      <c r="R665" s="70"/>
      <c r="S665" s="70"/>
      <c r="T665" s="70"/>
      <c r="U665" s="70"/>
      <c r="V665" s="70"/>
      <c r="W665" s="70"/>
      <c r="X665" s="70"/>
      <c r="Y665" s="70"/>
      <c r="Z665" s="70"/>
    </row>
    <row r="666" spans="1:26" ht="13">
      <c r="A666" s="70"/>
      <c r="B666" s="70"/>
      <c r="C666" s="70"/>
      <c r="D666" s="70"/>
      <c r="E666" s="70"/>
      <c r="F666" s="70"/>
      <c r="G666" s="70"/>
      <c r="H666" s="70"/>
      <c r="I666" s="70"/>
      <c r="J666" s="70"/>
      <c r="K666" s="70"/>
      <c r="L666" s="70"/>
      <c r="M666" s="70"/>
      <c r="N666" s="70"/>
      <c r="O666" s="70"/>
      <c r="P666" s="70"/>
      <c r="Q666" s="70"/>
      <c r="R666" s="70"/>
      <c r="S666" s="70"/>
      <c r="T666" s="70"/>
      <c r="U666" s="70"/>
      <c r="V666" s="70"/>
      <c r="W666" s="70"/>
      <c r="X666" s="70"/>
      <c r="Y666" s="70"/>
      <c r="Z666" s="70"/>
    </row>
    <row r="667" spans="1:26" ht="13">
      <c r="A667" s="70"/>
      <c r="B667" s="70"/>
      <c r="C667" s="70"/>
      <c r="D667" s="70"/>
      <c r="E667" s="70"/>
      <c r="F667" s="70"/>
      <c r="G667" s="70"/>
      <c r="H667" s="70"/>
      <c r="I667" s="70"/>
      <c r="J667" s="70"/>
      <c r="K667" s="70"/>
      <c r="L667" s="70"/>
      <c r="M667" s="70"/>
      <c r="N667" s="70"/>
      <c r="O667" s="70"/>
      <c r="P667" s="70"/>
      <c r="Q667" s="70"/>
      <c r="R667" s="70"/>
      <c r="S667" s="70"/>
      <c r="T667" s="70"/>
      <c r="U667" s="70"/>
      <c r="V667" s="70"/>
      <c r="W667" s="70"/>
      <c r="X667" s="70"/>
      <c r="Y667" s="70"/>
      <c r="Z667" s="70"/>
    </row>
    <row r="668" spans="1:26" ht="13">
      <c r="A668" s="70"/>
      <c r="B668" s="70"/>
      <c r="C668" s="70"/>
      <c r="D668" s="70"/>
      <c r="E668" s="70"/>
      <c r="F668" s="70"/>
      <c r="G668" s="70"/>
      <c r="H668" s="70"/>
      <c r="I668" s="70"/>
      <c r="J668" s="70"/>
      <c r="K668" s="70"/>
      <c r="L668" s="70"/>
      <c r="M668" s="70"/>
      <c r="N668" s="70"/>
      <c r="O668" s="70"/>
      <c r="P668" s="70"/>
      <c r="Q668" s="70"/>
      <c r="R668" s="70"/>
      <c r="S668" s="70"/>
      <c r="T668" s="70"/>
      <c r="U668" s="70"/>
      <c r="V668" s="70"/>
      <c r="W668" s="70"/>
      <c r="X668" s="70"/>
      <c r="Y668" s="70"/>
      <c r="Z668" s="70"/>
    </row>
    <row r="669" spans="1:26" ht="13">
      <c r="A669" s="70"/>
      <c r="B669" s="70"/>
      <c r="C669" s="70"/>
      <c r="D669" s="70"/>
      <c r="E669" s="70"/>
      <c r="F669" s="70"/>
      <c r="G669" s="70"/>
      <c r="H669" s="70"/>
      <c r="I669" s="70"/>
      <c r="J669" s="70"/>
      <c r="K669" s="70"/>
      <c r="L669" s="70"/>
      <c r="M669" s="70"/>
      <c r="N669" s="70"/>
      <c r="O669" s="70"/>
      <c r="P669" s="70"/>
      <c r="Q669" s="70"/>
      <c r="R669" s="70"/>
      <c r="S669" s="70"/>
      <c r="T669" s="70"/>
      <c r="U669" s="70"/>
      <c r="V669" s="70"/>
      <c r="W669" s="70"/>
      <c r="X669" s="70"/>
      <c r="Y669" s="70"/>
      <c r="Z669" s="70"/>
    </row>
    <row r="670" spans="1:26" ht="13">
      <c r="A670" s="70"/>
      <c r="B670" s="70"/>
      <c r="C670" s="70"/>
      <c r="D670" s="70"/>
      <c r="E670" s="70"/>
      <c r="F670" s="70"/>
      <c r="G670" s="70"/>
      <c r="H670" s="70"/>
      <c r="I670" s="70"/>
      <c r="J670" s="70"/>
      <c r="K670" s="70"/>
      <c r="L670" s="70"/>
      <c r="M670" s="70"/>
      <c r="N670" s="70"/>
      <c r="O670" s="70"/>
      <c r="P670" s="70"/>
      <c r="Q670" s="70"/>
      <c r="R670" s="70"/>
      <c r="S670" s="70"/>
      <c r="T670" s="70"/>
      <c r="U670" s="70"/>
      <c r="V670" s="70"/>
      <c r="W670" s="70"/>
      <c r="X670" s="70"/>
      <c r="Y670" s="70"/>
      <c r="Z670" s="70"/>
    </row>
    <row r="671" spans="1:26" ht="13">
      <c r="A671" s="70"/>
      <c r="B671" s="70"/>
      <c r="C671" s="70"/>
      <c r="D671" s="70"/>
      <c r="E671" s="70"/>
      <c r="F671" s="70"/>
      <c r="G671" s="70"/>
      <c r="H671" s="70"/>
      <c r="I671" s="70"/>
      <c r="J671" s="70"/>
      <c r="K671" s="70"/>
      <c r="L671" s="70"/>
      <c r="M671" s="70"/>
      <c r="N671" s="70"/>
      <c r="O671" s="70"/>
      <c r="P671" s="70"/>
      <c r="Q671" s="70"/>
      <c r="R671" s="70"/>
      <c r="S671" s="70"/>
      <c r="T671" s="70"/>
      <c r="U671" s="70"/>
      <c r="V671" s="70"/>
      <c r="W671" s="70"/>
      <c r="X671" s="70"/>
      <c r="Y671" s="70"/>
      <c r="Z671" s="70"/>
    </row>
    <row r="672" spans="1:26" ht="13">
      <c r="A672" s="70"/>
      <c r="B672" s="70"/>
      <c r="C672" s="70"/>
      <c r="D672" s="70"/>
      <c r="E672" s="70"/>
      <c r="F672" s="70"/>
      <c r="G672" s="70"/>
      <c r="H672" s="70"/>
      <c r="I672" s="70"/>
      <c r="J672" s="70"/>
      <c r="K672" s="70"/>
      <c r="L672" s="70"/>
      <c r="M672" s="70"/>
      <c r="N672" s="70"/>
      <c r="O672" s="70"/>
      <c r="P672" s="70"/>
      <c r="Q672" s="70"/>
      <c r="R672" s="70"/>
      <c r="S672" s="70"/>
      <c r="T672" s="70"/>
      <c r="U672" s="70"/>
      <c r="V672" s="70"/>
      <c r="W672" s="70"/>
      <c r="X672" s="70"/>
      <c r="Y672" s="70"/>
      <c r="Z672" s="70"/>
    </row>
    <row r="673" spans="1:26" ht="13">
      <c r="A673" s="70"/>
      <c r="B673" s="70"/>
      <c r="C673" s="70"/>
      <c r="D673" s="70"/>
      <c r="E673" s="70"/>
      <c r="F673" s="70"/>
      <c r="G673" s="70"/>
      <c r="H673" s="70"/>
      <c r="I673" s="70"/>
      <c r="J673" s="70"/>
      <c r="K673" s="70"/>
      <c r="L673" s="70"/>
      <c r="M673" s="70"/>
      <c r="N673" s="70"/>
      <c r="O673" s="70"/>
      <c r="P673" s="70"/>
      <c r="Q673" s="70"/>
      <c r="R673" s="70"/>
      <c r="S673" s="70"/>
      <c r="T673" s="70"/>
      <c r="U673" s="70"/>
      <c r="V673" s="70"/>
      <c r="W673" s="70"/>
      <c r="X673" s="70"/>
      <c r="Y673" s="70"/>
      <c r="Z673" s="70"/>
    </row>
    <row r="674" spans="1:26" ht="13">
      <c r="A674" s="70"/>
      <c r="B674" s="70"/>
      <c r="C674" s="70"/>
      <c r="D674" s="70"/>
      <c r="E674" s="70"/>
      <c r="F674" s="70"/>
      <c r="G674" s="70"/>
      <c r="H674" s="70"/>
      <c r="I674" s="70"/>
      <c r="J674" s="70"/>
      <c r="K674" s="70"/>
      <c r="L674" s="70"/>
      <c r="M674" s="70"/>
      <c r="N674" s="70"/>
      <c r="O674" s="70"/>
      <c r="P674" s="70"/>
      <c r="Q674" s="70"/>
      <c r="R674" s="70"/>
      <c r="S674" s="70"/>
      <c r="T674" s="70"/>
      <c r="U674" s="70"/>
      <c r="V674" s="70"/>
      <c r="W674" s="70"/>
      <c r="X674" s="70"/>
      <c r="Y674" s="70"/>
      <c r="Z674" s="70"/>
    </row>
    <row r="675" spans="1:26" ht="13">
      <c r="A675" s="70"/>
      <c r="B675" s="70"/>
      <c r="C675" s="70"/>
      <c r="D675" s="70"/>
      <c r="E675" s="70"/>
      <c r="F675" s="70"/>
      <c r="G675" s="70"/>
      <c r="H675" s="70"/>
      <c r="I675" s="70"/>
      <c r="J675" s="70"/>
      <c r="K675" s="70"/>
      <c r="L675" s="70"/>
      <c r="M675" s="70"/>
      <c r="N675" s="70"/>
      <c r="O675" s="70"/>
      <c r="P675" s="70"/>
      <c r="Q675" s="70"/>
      <c r="R675" s="70"/>
      <c r="S675" s="70"/>
      <c r="T675" s="70"/>
      <c r="U675" s="70"/>
      <c r="V675" s="70"/>
      <c r="W675" s="70"/>
      <c r="X675" s="70"/>
      <c r="Y675" s="70"/>
      <c r="Z675" s="70"/>
    </row>
    <row r="676" spans="1:26" ht="13">
      <c r="A676" s="70"/>
      <c r="B676" s="70"/>
      <c r="C676" s="70"/>
      <c r="D676" s="70"/>
      <c r="E676" s="70"/>
      <c r="F676" s="70"/>
      <c r="G676" s="70"/>
      <c r="H676" s="70"/>
      <c r="I676" s="70"/>
      <c r="J676" s="70"/>
      <c r="K676" s="70"/>
      <c r="L676" s="70"/>
      <c r="M676" s="70"/>
      <c r="N676" s="70"/>
      <c r="O676" s="70"/>
      <c r="P676" s="70"/>
      <c r="Q676" s="70"/>
      <c r="R676" s="70"/>
      <c r="S676" s="70"/>
      <c r="T676" s="70"/>
      <c r="U676" s="70"/>
      <c r="V676" s="70"/>
      <c r="W676" s="70"/>
      <c r="X676" s="70"/>
      <c r="Y676" s="70"/>
      <c r="Z676" s="70"/>
    </row>
    <row r="677" spans="1:26" ht="13">
      <c r="A677" s="70"/>
      <c r="B677" s="70"/>
      <c r="C677" s="70"/>
      <c r="D677" s="70"/>
      <c r="E677" s="70"/>
      <c r="F677" s="70"/>
      <c r="G677" s="70"/>
      <c r="H677" s="70"/>
      <c r="I677" s="70"/>
      <c r="J677" s="70"/>
      <c r="K677" s="70"/>
      <c r="L677" s="70"/>
      <c r="M677" s="70"/>
      <c r="N677" s="70"/>
      <c r="O677" s="70"/>
      <c r="P677" s="70"/>
      <c r="Q677" s="70"/>
      <c r="R677" s="70"/>
      <c r="S677" s="70"/>
      <c r="T677" s="70"/>
      <c r="U677" s="70"/>
      <c r="V677" s="70"/>
      <c r="W677" s="70"/>
      <c r="X677" s="70"/>
      <c r="Y677" s="70"/>
      <c r="Z677" s="70"/>
    </row>
    <row r="678" spans="1:26" ht="13">
      <c r="A678" s="70"/>
      <c r="B678" s="70"/>
      <c r="C678" s="70"/>
      <c r="D678" s="70"/>
      <c r="E678" s="70"/>
      <c r="F678" s="70"/>
      <c r="G678" s="70"/>
      <c r="H678" s="70"/>
      <c r="I678" s="70"/>
      <c r="J678" s="70"/>
      <c r="K678" s="70"/>
      <c r="L678" s="70"/>
      <c r="M678" s="70"/>
      <c r="N678" s="70"/>
      <c r="O678" s="70"/>
      <c r="P678" s="70"/>
      <c r="Q678" s="70"/>
      <c r="R678" s="70"/>
      <c r="S678" s="70"/>
      <c r="T678" s="70"/>
      <c r="U678" s="70"/>
      <c r="V678" s="70"/>
      <c r="W678" s="70"/>
      <c r="X678" s="70"/>
      <c r="Y678" s="70"/>
      <c r="Z678" s="70"/>
    </row>
    <row r="679" spans="1:26" ht="13">
      <c r="A679" s="70"/>
      <c r="B679" s="70"/>
      <c r="C679" s="70"/>
      <c r="D679" s="70"/>
      <c r="E679" s="70"/>
      <c r="F679" s="70"/>
      <c r="G679" s="70"/>
      <c r="H679" s="70"/>
      <c r="I679" s="70"/>
      <c r="J679" s="70"/>
      <c r="K679" s="70"/>
      <c r="L679" s="70"/>
      <c r="M679" s="70"/>
      <c r="N679" s="70"/>
      <c r="O679" s="70"/>
      <c r="P679" s="70"/>
      <c r="Q679" s="70"/>
      <c r="R679" s="70"/>
      <c r="S679" s="70"/>
      <c r="T679" s="70"/>
      <c r="U679" s="70"/>
      <c r="V679" s="70"/>
      <c r="W679" s="70"/>
      <c r="X679" s="70"/>
      <c r="Y679" s="70"/>
      <c r="Z679" s="70"/>
    </row>
    <row r="680" spans="1:26" ht="13">
      <c r="A680" s="70"/>
      <c r="B680" s="70"/>
      <c r="C680" s="70"/>
      <c r="D680" s="70"/>
      <c r="E680" s="70"/>
      <c r="F680" s="70"/>
      <c r="G680" s="70"/>
      <c r="H680" s="70"/>
      <c r="I680" s="70"/>
      <c r="J680" s="70"/>
      <c r="K680" s="70"/>
      <c r="L680" s="70"/>
      <c r="M680" s="70"/>
      <c r="N680" s="70"/>
      <c r="O680" s="70"/>
      <c r="P680" s="70"/>
      <c r="Q680" s="70"/>
      <c r="R680" s="70"/>
      <c r="S680" s="70"/>
      <c r="T680" s="70"/>
      <c r="U680" s="70"/>
      <c r="V680" s="70"/>
      <c r="W680" s="70"/>
      <c r="X680" s="70"/>
      <c r="Y680" s="70"/>
      <c r="Z680" s="70"/>
    </row>
    <row r="681" spans="1:26" ht="13">
      <c r="A681" s="70"/>
      <c r="B681" s="70"/>
      <c r="C681" s="70"/>
      <c r="D681" s="70"/>
      <c r="E681" s="70"/>
      <c r="F681" s="70"/>
      <c r="G681" s="70"/>
      <c r="H681" s="70"/>
      <c r="I681" s="70"/>
      <c r="J681" s="70"/>
      <c r="K681" s="70"/>
      <c r="L681" s="70"/>
      <c r="M681" s="70"/>
      <c r="N681" s="70"/>
      <c r="O681" s="70"/>
      <c r="P681" s="70"/>
      <c r="Q681" s="70"/>
      <c r="R681" s="70"/>
      <c r="S681" s="70"/>
      <c r="T681" s="70"/>
      <c r="U681" s="70"/>
      <c r="V681" s="70"/>
      <c r="W681" s="70"/>
      <c r="X681" s="70"/>
      <c r="Y681" s="70"/>
      <c r="Z681" s="70"/>
    </row>
    <row r="682" spans="1:26" ht="13">
      <c r="A682" s="70"/>
      <c r="B682" s="70"/>
      <c r="C682" s="70"/>
      <c r="D682" s="70"/>
      <c r="E682" s="70"/>
      <c r="F682" s="70"/>
      <c r="G682" s="70"/>
      <c r="H682" s="70"/>
      <c r="I682" s="70"/>
      <c r="J682" s="70"/>
      <c r="K682" s="70"/>
      <c r="L682" s="70"/>
      <c r="M682" s="70"/>
      <c r="N682" s="70"/>
      <c r="O682" s="70"/>
      <c r="P682" s="70"/>
      <c r="Q682" s="70"/>
      <c r="R682" s="70"/>
      <c r="S682" s="70"/>
      <c r="T682" s="70"/>
      <c r="U682" s="70"/>
      <c r="V682" s="70"/>
      <c r="W682" s="70"/>
      <c r="X682" s="70"/>
      <c r="Y682" s="70"/>
      <c r="Z682" s="70"/>
    </row>
    <row r="683" spans="1:26" ht="13">
      <c r="A683" s="70"/>
      <c r="B683" s="70"/>
      <c r="C683" s="70"/>
      <c r="D683" s="70"/>
      <c r="E683" s="70"/>
      <c r="F683" s="70"/>
      <c r="G683" s="70"/>
      <c r="H683" s="70"/>
      <c r="I683" s="70"/>
      <c r="J683" s="70"/>
      <c r="K683" s="70"/>
      <c r="L683" s="70"/>
      <c r="M683" s="70"/>
      <c r="N683" s="70"/>
      <c r="O683" s="70"/>
      <c r="P683" s="70"/>
      <c r="Q683" s="70"/>
      <c r="R683" s="70"/>
      <c r="S683" s="70"/>
      <c r="T683" s="70"/>
      <c r="U683" s="70"/>
      <c r="V683" s="70"/>
      <c r="W683" s="70"/>
      <c r="X683" s="70"/>
      <c r="Y683" s="70"/>
      <c r="Z683" s="70"/>
    </row>
    <row r="684" spans="1:26" ht="13">
      <c r="A684" s="70"/>
      <c r="B684" s="70"/>
      <c r="C684" s="70"/>
      <c r="D684" s="70"/>
      <c r="E684" s="70"/>
      <c r="F684" s="70"/>
      <c r="G684" s="70"/>
      <c r="H684" s="70"/>
      <c r="I684" s="70"/>
      <c r="J684" s="70"/>
      <c r="K684" s="70"/>
      <c r="L684" s="70"/>
      <c r="M684" s="70"/>
      <c r="N684" s="70"/>
      <c r="O684" s="70"/>
      <c r="P684" s="70"/>
      <c r="Q684" s="70"/>
      <c r="R684" s="70"/>
      <c r="S684" s="70"/>
      <c r="T684" s="70"/>
      <c r="U684" s="70"/>
      <c r="V684" s="70"/>
      <c r="W684" s="70"/>
      <c r="X684" s="70"/>
      <c r="Y684" s="70"/>
      <c r="Z684" s="70"/>
    </row>
    <row r="685" spans="1:26" ht="13">
      <c r="A685" s="70"/>
      <c r="B685" s="70"/>
      <c r="C685" s="70"/>
      <c r="D685" s="70"/>
      <c r="E685" s="70"/>
      <c r="F685" s="70"/>
      <c r="G685" s="70"/>
      <c r="H685" s="70"/>
      <c r="I685" s="70"/>
      <c r="J685" s="70"/>
      <c r="K685" s="70"/>
      <c r="L685" s="70"/>
      <c r="M685" s="70"/>
      <c r="N685" s="70"/>
      <c r="O685" s="70"/>
      <c r="P685" s="70"/>
      <c r="Q685" s="70"/>
      <c r="R685" s="70"/>
      <c r="S685" s="70"/>
      <c r="T685" s="70"/>
      <c r="U685" s="70"/>
      <c r="V685" s="70"/>
      <c r="W685" s="70"/>
      <c r="X685" s="70"/>
      <c r="Y685" s="70"/>
      <c r="Z685" s="70"/>
    </row>
    <row r="686" spans="1:26" ht="13">
      <c r="A686" s="70"/>
      <c r="B686" s="70"/>
      <c r="C686" s="70"/>
      <c r="D686" s="70"/>
      <c r="E686" s="70"/>
      <c r="F686" s="70"/>
      <c r="G686" s="70"/>
      <c r="H686" s="70"/>
      <c r="I686" s="70"/>
      <c r="J686" s="70"/>
      <c r="K686" s="70"/>
      <c r="L686" s="70"/>
      <c r="M686" s="70"/>
      <c r="N686" s="70"/>
      <c r="O686" s="70"/>
      <c r="P686" s="70"/>
      <c r="Q686" s="70"/>
      <c r="R686" s="70"/>
      <c r="S686" s="70"/>
      <c r="T686" s="70"/>
      <c r="U686" s="70"/>
      <c r="V686" s="70"/>
      <c r="W686" s="70"/>
      <c r="X686" s="70"/>
      <c r="Y686" s="70"/>
      <c r="Z686" s="70"/>
    </row>
    <row r="687" spans="1:26" ht="13">
      <c r="A687" s="70"/>
      <c r="B687" s="70"/>
      <c r="C687" s="70"/>
      <c r="D687" s="70"/>
      <c r="E687" s="70"/>
      <c r="F687" s="70"/>
      <c r="G687" s="70"/>
      <c r="H687" s="70"/>
      <c r="I687" s="70"/>
      <c r="J687" s="70"/>
      <c r="K687" s="70"/>
      <c r="L687" s="70"/>
      <c r="M687" s="70"/>
      <c r="N687" s="70"/>
      <c r="O687" s="70"/>
      <c r="P687" s="70"/>
      <c r="Q687" s="70"/>
      <c r="R687" s="70"/>
      <c r="S687" s="70"/>
      <c r="T687" s="70"/>
      <c r="U687" s="70"/>
      <c r="V687" s="70"/>
      <c r="W687" s="70"/>
      <c r="X687" s="70"/>
      <c r="Y687" s="70"/>
      <c r="Z687" s="70"/>
    </row>
    <row r="688" spans="1:26" ht="13">
      <c r="A688" s="70"/>
      <c r="B688" s="70"/>
      <c r="C688" s="70"/>
      <c r="D688" s="70"/>
      <c r="E688" s="70"/>
      <c r="F688" s="70"/>
      <c r="G688" s="70"/>
      <c r="H688" s="70"/>
      <c r="I688" s="70"/>
      <c r="J688" s="70"/>
      <c r="K688" s="70"/>
      <c r="L688" s="70"/>
      <c r="M688" s="70"/>
      <c r="N688" s="70"/>
      <c r="O688" s="70"/>
      <c r="P688" s="70"/>
      <c r="Q688" s="70"/>
      <c r="R688" s="70"/>
      <c r="S688" s="70"/>
      <c r="T688" s="70"/>
      <c r="U688" s="70"/>
      <c r="V688" s="70"/>
      <c r="W688" s="70"/>
      <c r="X688" s="70"/>
      <c r="Y688" s="70"/>
      <c r="Z688" s="70"/>
    </row>
    <row r="689" spans="1:26" ht="13">
      <c r="A689" s="70"/>
      <c r="B689" s="70"/>
      <c r="C689" s="70"/>
      <c r="D689" s="70"/>
      <c r="E689" s="70"/>
      <c r="F689" s="70"/>
      <c r="G689" s="70"/>
      <c r="H689" s="70"/>
      <c r="I689" s="70"/>
      <c r="J689" s="70"/>
      <c r="K689" s="70"/>
      <c r="L689" s="70"/>
      <c r="M689" s="70"/>
      <c r="N689" s="70"/>
      <c r="O689" s="70"/>
      <c r="P689" s="70"/>
      <c r="Q689" s="70"/>
      <c r="R689" s="70"/>
      <c r="S689" s="70"/>
      <c r="T689" s="70"/>
      <c r="U689" s="70"/>
      <c r="V689" s="70"/>
      <c r="W689" s="70"/>
      <c r="X689" s="70"/>
      <c r="Y689" s="70"/>
      <c r="Z689" s="70"/>
    </row>
    <row r="690" spans="1:26" ht="13">
      <c r="A690" s="70"/>
      <c r="B690" s="70"/>
      <c r="C690" s="70"/>
      <c r="D690" s="70"/>
      <c r="E690" s="70"/>
      <c r="F690" s="70"/>
      <c r="G690" s="70"/>
      <c r="H690" s="70"/>
      <c r="I690" s="70"/>
      <c r="J690" s="70"/>
      <c r="K690" s="70"/>
      <c r="L690" s="70"/>
      <c r="M690" s="70"/>
      <c r="N690" s="70"/>
      <c r="O690" s="70"/>
      <c r="P690" s="70"/>
      <c r="Q690" s="70"/>
      <c r="R690" s="70"/>
      <c r="S690" s="70"/>
      <c r="T690" s="70"/>
      <c r="U690" s="70"/>
      <c r="V690" s="70"/>
      <c r="W690" s="70"/>
      <c r="X690" s="70"/>
      <c r="Y690" s="70"/>
      <c r="Z690" s="70"/>
    </row>
    <row r="691" spans="1:26" ht="13">
      <c r="A691" s="70"/>
      <c r="B691" s="70"/>
      <c r="C691" s="70"/>
      <c r="D691" s="70"/>
      <c r="E691" s="70"/>
      <c r="F691" s="70"/>
      <c r="G691" s="70"/>
      <c r="H691" s="70"/>
      <c r="I691" s="70"/>
      <c r="J691" s="70"/>
      <c r="K691" s="70"/>
      <c r="L691" s="70"/>
      <c r="M691" s="70"/>
      <c r="N691" s="70"/>
      <c r="O691" s="70"/>
      <c r="P691" s="70"/>
      <c r="Q691" s="70"/>
      <c r="R691" s="70"/>
      <c r="S691" s="70"/>
      <c r="T691" s="70"/>
      <c r="U691" s="70"/>
      <c r="V691" s="70"/>
      <c r="W691" s="70"/>
      <c r="X691" s="70"/>
      <c r="Y691" s="70"/>
      <c r="Z691" s="70"/>
    </row>
    <row r="692" spans="1:26" ht="13">
      <c r="A692" s="70"/>
      <c r="B692" s="70"/>
      <c r="C692" s="70"/>
      <c r="D692" s="70"/>
      <c r="E692" s="70"/>
      <c r="F692" s="70"/>
      <c r="G692" s="70"/>
      <c r="H692" s="70"/>
      <c r="I692" s="70"/>
      <c r="J692" s="70"/>
      <c r="K692" s="70"/>
      <c r="L692" s="70"/>
      <c r="M692" s="70"/>
      <c r="N692" s="70"/>
      <c r="O692" s="70"/>
      <c r="P692" s="70"/>
      <c r="Q692" s="70"/>
      <c r="R692" s="70"/>
      <c r="S692" s="70"/>
      <c r="T692" s="70"/>
      <c r="U692" s="70"/>
      <c r="V692" s="70"/>
      <c r="W692" s="70"/>
      <c r="X692" s="70"/>
      <c r="Y692" s="70"/>
      <c r="Z692" s="70"/>
    </row>
    <row r="693" spans="1:26" ht="13">
      <c r="A693" s="70"/>
      <c r="B693" s="70"/>
      <c r="C693" s="70"/>
      <c r="D693" s="70"/>
      <c r="E693" s="70"/>
      <c r="F693" s="70"/>
      <c r="G693" s="70"/>
      <c r="H693" s="70"/>
      <c r="I693" s="70"/>
      <c r="J693" s="70"/>
      <c r="K693" s="70"/>
      <c r="L693" s="70"/>
      <c r="M693" s="70"/>
      <c r="N693" s="70"/>
      <c r="O693" s="70"/>
      <c r="P693" s="70"/>
      <c r="Q693" s="70"/>
      <c r="R693" s="70"/>
      <c r="S693" s="70"/>
      <c r="T693" s="70"/>
      <c r="U693" s="70"/>
      <c r="V693" s="70"/>
      <c r="W693" s="70"/>
      <c r="X693" s="70"/>
      <c r="Y693" s="70"/>
      <c r="Z693" s="70"/>
    </row>
    <row r="694" spans="1:26" ht="13">
      <c r="A694" s="70"/>
      <c r="B694" s="70"/>
      <c r="C694" s="70"/>
      <c r="D694" s="70"/>
      <c r="E694" s="70"/>
      <c r="F694" s="70"/>
      <c r="G694" s="70"/>
      <c r="H694" s="70"/>
      <c r="I694" s="70"/>
      <c r="J694" s="70"/>
      <c r="K694" s="70"/>
      <c r="L694" s="70"/>
      <c r="M694" s="70"/>
      <c r="N694" s="70"/>
      <c r="O694" s="70"/>
      <c r="P694" s="70"/>
      <c r="Q694" s="70"/>
      <c r="R694" s="70"/>
      <c r="S694" s="70"/>
      <c r="T694" s="70"/>
      <c r="U694" s="70"/>
      <c r="V694" s="70"/>
      <c r="W694" s="70"/>
      <c r="X694" s="70"/>
      <c r="Y694" s="70"/>
      <c r="Z694" s="70"/>
    </row>
    <row r="695" spans="1:26" ht="13">
      <c r="A695" s="70"/>
      <c r="B695" s="70"/>
      <c r="C695" s="70"/>
      <c r="D695" s="70"/>
      <c r="E695" s="70"/>
      <c r="F695" s="70"/>
      <c r="G695" s="70"/>
      <c r="H695" s="70"/>
      <c r="I695" s="70"/>
      <c r="J695" s="70"/>
      <c r="K695" s="70"/>
      <c r="L695" s="70"/>
      <c r="M695" s="70"/>
      <c r="N695" s="70"/>
      <c r="O695" s="70"/>
      <c r="P695" s="70"/>
      <c r="Q695" s="70"/>
      <c r="R695" s="70"/>
      <c r="S695" s="70"/>
      <c r="T695" s="70"/>
      <c r="U695" s="70"/>
      <c r="V695" s="70"/>
      <c r="W695" s="70"/>
      <c r="X695" s="70"/>
      <c r="Y695" s="70"/>
      <c r="Z695" s="70"/>
    </row>
    <row r="696" spans="1:26" ht="13">
      <c r="A696" s="70"/>
      <c r="B696" s="70"/>
      <c r="C696" s="70"/>
      <c r="D696" s="70"/>
      <c r="E696" s="70"/>
      <c r="F696" s="70"/>
      <c r="G696" s="70"/>
      <c r="H696" s="70"/>
      <c r="I696" s="70"/>
      <c r="J696" s="70"/>
      <c r="K696" s="70"/>
      <c r="L696" s="70"/>
      <c r="M696" s="70"/>
      <c r="N696" s="70"/>
      <c r="O696" s="70"/>
      <c r="P696" s="70"/>
      <c r="Q696" s="70"/>
      <c r="R696" s="70"/>
      <c r="S696" s="70"/>
      <c r="T696" s="70"/>
      <c r="U696" s="70"/>
      <c r="V696" s="70"/>
      <c r="W696" s="70"/>
      <c r="X696" s="70"/>
      <c r="Y696" s="70"/>
      <c r="Z696" s="70"/>
    </row>
    <row r="697" spans="1:26" ht="13">
      <c r="A697" s="70"/>
      <c r="B697" s="70"/>
      <c r="C697" s="70"/>
      <c r="D697" s="70"/>
      <c r="E697" s="70"/>
      <c r="F697" s="70"/>
      <c r="G697" s="70"/>
      <c r="H697" s="70"/>
      <c r="I697" s="70"/>
      <c r="J697" s="70"/>
      <c r="K697" s="70"/>
      <c r="L697" s="70"/>
      <c r="M697" s="70"/>
      <c r="N697" s="70"/>
      <c r="O697" s="70"/>
      <c r="P697" s="70"/>
      <c r="Q697" s="70"/>
      <c r="R697" s="70"/>
      <c r="S697" s="70"/>
      <c r="T697" s="70"/>
      <c r="U697" s="70"/>
      <c r="V697" s="70"/>
      <c r="W697" s="70"/>
      <c r="X697" s="70"/>
      <c r="Y697" s="70"/>
      <c r="Z697" s="70"/>
    </row>
    <row r="698" spans="1:26" ht="13">
      <c r="A698" s="70"/>
      <c r="B698" s="70"/>
      <c r="C698" s="70"/>
      <c r="D698" s="70"/>
      <c r="E698" s="70"/>
      <c r="F698" s="70"/>
      <c r="G698" s="70"/>
      <c r="H698" s="70"/>
      <c r="I698" s="70"/>
      <c r="J698" s="70"/>
      <c r="K698" s="70"/>
      <c r="L698" s="70"/>
      <c r="M698" s="70"/>
      <c r="N698" s="70"/>
      <c r="O698" s="70"/>
      <c r="P698" s="70"/>
      <c r="Q698" s="70"/>
      <c r="R698" s="70"/>
      <c r="S698" s="70"/>
      <c r="T698" s="70"/>
      <c r="U698" s="70"/>
      <c r="V698" s="70"/>
      <c r="W698" s="70"/>
      <c r="X698" s="70"/>
      <c r="Y698" s="70"/>
      <c r="Z698" s="70"/>
    </row>
    <row r="699" spans="1:26" ht="13">
      <c r="A699" s="70"/>
      <c r="B699" s="70"/>
      <c r="C699" s="70"/>
      <c r="D699" s="70"/>
      <c r="E699" s="70"/>
      <c r="F699" s="70"/>
      <c r="G699" s="70"/>
      <c r="H699" s="70"/>
      <c r="I699" s="70"/>
      <c r="J699" s="70"/>
      <c r="K699" s="70"/>
      <c r="L699" s="70"/>
      <c r="M699" s="70"/>
      <c r="N699" s="70"/>
      <c r="O699" s="70"/>
      <c r="P699" s="70"/>
      <c r="Q699" s="70"/>
      <c r="R699" s="70"/>
      <c r="S699" s="70"/>
      <c r="T699" s="70"/>
      <c r="U699" s="70"/>
      <c r="V699" s="70"/>
      <c r="W699" s="70"/>
      <c r="X699" s="70"/>
      <c r="Y699" s="70"/>
      <c r="Z699" s="70"/>
    </row>
    <row r="700" spans="1:26" ht="13">
      <c r="A700" s="70"/>
      <c r="B700" s="70"/>
      <c r="C700" s="70"/>
      <c r="D700" s="70"/>
      <c r="E700" s="70"/>
      <c r="F700" s="70"/>
      <c r="G700" s="70"/>
      <c r="H700" s="70"/>
      <c r="I700" s="70"/>
      <c r="J700" s="70"/>
      <c r="K700" s="70"/>
      <c r="L700" s="70"/>
      <c r="M700" s="70"/>
      <c r="N700" s="70"/>
      <c r="O700" s="70"/>
      <c r="P700" s="70"/>
      <c r="Q700" s="70"/>
      <c r="R700" s="70"/>
      <c r="S700" s="70"/>
      <c r="T700" s="70"/>
      <c r="U700" s="70"/>
      <c r="V700" s="70"/>
      <c r="W700" s="70"/>
      <c r="X700" s="70"/>
      <c r="Y700" s="70"/>
      <c r="Z700" s="70"/>
    </row>
    <row r="701" spans="1:26" ht="13">
      <c r="A701" s="70"/>
      <c r="B701" s="70"/>
      <c r="C701" s="70"/>
      <c r="D701" s="70"/>
      <c r="E701" s="70"/>
      <c r="F701" s="70"/>
      <c r="G701" s="70"/>
      <c r="H701" s="70"/>
      <c r="I701" s="70"/>
      <c r="J701" s="70"/>
      <c r="K701" s="70"/>
      <c r="L701" s="70"/>
      <c r="M701" s="70"/>
      <c r="N701" s="70"/>
      <c r="O701" s="70"/>
      <c r="P701" s="70"/>
      <c r="Q701" s="70"/>
      <c r="R701" s="70"/>
      <c r="S701" s="70"/>
      <c r="T701" s="70"/>
      <c r="U701" s="70"/>
      <c r="V701" s="70"/>
      <c r="W701" s="70"/>
      <c r="X701" s="70"/>
      <c r="Y701" s="70"/>
      <c r="Z701" s="70"/>
    </row>
    <row r="702" spans="1:26" ht="13">
      <c r="A702" s="70"/>
      <c r="B702" s="70"/>
      <c r="C702" s="70"/>
      <c r="D702" s="70"/>
      <c r="E702" s="70"/>
      <c r="F702" s="70"/>
      <c r="G702" s="70"/>
      <c r="H702" s="70"/>
      <c r="I702" s="70"/>
      <c r="J702" s="70"/>
      <c r="K702" s="70"/>
      <c r="L702" s="70"/>
      <c r="M702" s="70"/>
      <c r="N702" s="70"/>
      <c r="O702" s="70"/>
      <c r="P702" s="70"/>
      <c r="Q702" s="70"/>
      <c r="R702" s="70"/>
      <c r="S702" s="70"/>
      <c r="T702" s="70"/>
      <c r="U702" s="70"/>
      <c r="V702" s="70"/>
      <c r="W702" s="70"/>
      <c r="X702" s="70"/>
      <c r="Y702" s="70"/>
      <c r="Z702" s="70"/>
    </row>
    <row r="703" spans="1:26" ht="13">
      <c r="A703" s="70"/>
      <c r="B703" s="70"/>
      <c r="C703" s="70"/>
      <c r="D703" s="70"/>
      <c r="E703" s="70"/>
      <c r="F703" s="70"/>
      <c r="G703" s="70"/>
      <c r="H703" s="70"/>
      <c r="I703" s="70"/>
      <c r="J703" s="70"/>
      <c r="K703" s="70"/>
      <c r="L703" s="70"/>
      <c r="M703" s="70"/>
      <c r="N703" s="70"/>
      <c r="O703" s="70"/>
      <c r="P703" s="70"/>
      <c r="Q703" s="70"/>
      <c r="R703" s="70"/>
      <c r="S703" s="70"/>
      <c r="T703" s="70"/>
      <c r="U703" s="70"/>
      <c r="V703" s="70"/>
      <c r="W703" s="70"/>
      <c r="X703" s="70"/>
      <c r="Y703" s="70"/>
      <c r="Z703" s="70"/>
    </row>
    <row r="704" spans="1:26" ht="13">
      <c r="A704" s="70"/>
      <c r="B704" s="70"/>
      <c r="C704" s="70"/>
      <c r="D704" s="70"/>
      <c r="E704" s="70"/>
      <c r="F704" s="70"/>
      <c r="G704" s="70"/>
      <c r="H704" s="70"/>
      <c r="I704" s="70"/>
      <c r="J704" s="70"/>
      <c r="K704" s="70"/>
      <c r="L704" s="70"/>
      <c r="M704" s="70"/>
      <c r="N704" s="70"/>
      <c r="O704" s="70"/>
      <c r="P704" s="70"/>
      <c r="Q704" s="70"/>
      <c r="R704" s="70"/>
      <c r="S704" s="70"/>
      <c r="T704" s="70"/>
      <c r="U704" s="70"/>
      <c r="V704" s="70"/>
      <c r="W704" s="70"/>
      <c r="X704" s="70"/>
      <c r="Y704" s="70"/>
      <c r="Z704" s="70"/>
    </row>
    <row r="705" spans="1:26" ht="13">
      <c r="A705" s="70"/>
      <c r="B705" s="70"/>
      <c r="C705" s="70"/>
      <c r="D705" s="70"/>
      <c r="E705" s="70"/>
      <c r="F705" s="70"/>
      <c r="G705" s="70"/>
      <c r="H705" s="70"/>
      <c r="I705" s="70"/>
      <c r="J705" s="70"/>
      <c r="K705" s="70"/>
      <c r="L705" s="70"/>
      <c r="M705" s="70"/>
      <c r="N705" s="70"/>
      <c r="O705" s="70"/>
      <c r="P705" s="70"/>
      <c r="Q705" s="70"/>
      <c r="R705" s="70"/>
      <c r="S705" s="70"/>
      <c r="T705" s="70"/>
      <c r="U705" s="70"/>
      <c r="V705" s="70"/>
      <c r="W705" s="70"/>
      <c r="X705" s="70"/>
      <c r="Y705" s="70"/>
      <c r="Z705" s="70"/>
    </row>
    <row r="706" spans="1:26" ht="13">
      <c r="A706" s="70"/>
      <c r="B706" s="70"/>
      <c r="C706" s="70"/>
      <c r="D706" s="70"/>
      <c r="E706" s="70"/>
      <c r="F706" s="70"/>
      <c r="G706" s="70"/>
      <c r="H706" s="70"/>
      <c r="I706" s="70"/>
      <c r="J706" s="70"/>
      <c r="K706" s="70"/>
      <c r="L706" s="70"/>
      <c r="M706" s="70"/>
      <c r="N706" s="70"/>
      <c r="O706" s="70"/>
      <c r="P706" s="70"/>
      <c r="Q706" s="70"/>
      <c r="R706" s="70"/>
      <c r="S706" s="70"/>
      <c r="T706" s="70"/>
      <c r="U706" s="70"/>
      <c r="V706" s="70"/>
      <c r="W706" s="70"/>
      <c r="X706" s="70"/>
      <c r="Y706" s="70"/>
      <c r="Z706" s="70"/>
    </row>
    <row r="707" spans="1:26" ht="13">
      <c r="A707" s="70"/>
      <c r="B707" s="70"/>
      <c r="C707" s="70"/>
      <c r="D707" s="70"/>
      <c r="E707" s="70"/>
      <c r="F707" s="70"/>
      <c r="G707" s="70"/>
      <c r="H707" s="70"/>
      <c r="I707" s="70"/>
      <c r="J707" s="70"/>
      <c r="K707" s="70"/>
      <c r="L707" s="70"/>
      <c r="M707" s="70"/>
      <c r="N707" s="70"/>
      <c r="O707" s="70"/>
      <c r="P707" s="70"/>
      <c r="Q707" s="70"/>
      <c r="R707" s="70"/>
      <c r="S707" s="70"/>
      <c r="T707" s="70"/>
      <c r="U707" s="70"/>
      <c r="V707" s="70"/>
      <c r="W707" s="70"/>
      <c r="X707" s="70"/>
      <c r="Y707" s="70"/>
      <c r="Z707" s="70"/>
    </row>
    <row r="708" spans="1:26" ht="13">
      <c r="A708" s="70"/>
      <c r="B708" s="70"/>
      <c r="C708" s="70"/>
      <c r="D708" s="70"/>
      <c r="E708" s="70"/>
      <c r="F708" s="70"/>
      <c r="G708" s="70"/>
      <c r="H708" s="70"/>
      <c r="I708" s="70"/>
      <c r="J708" s="70"/>
      <c r="K708" s="70"/>
      <c r="L708" s="70"/>
      <c r="M708" s="70"/>
      <c r="N708" s="70"/>
      <c r="O708" s="70"/>
      <c r="P708" s="70"/>
      <c r="Q708" s="70"/>
      <c r="R708" s="70"/>
      <c r="S708" s="70"/>
      <c r="T708" s="70"/>
      <c r="U708" s="70"/>
      <c r="V708" s="70"/>
      <c r="W708" s="70"/>
      <c r="X708" s="70"/>
      <c r="Y708" s="70"/>
      <c r="Z708" s="70"/>
    </row>
    <row r="709" spans="1:26" ht="13">
      <c r="A709" s="70"/>
      <c r="B709" s="70"/>
      <c r="C709" s="70"/>
      <c r="D709" s="70"/>
      <c r="E709" s="70"/>
      <c r="F709" s="70"/>
      <c r="G709" s="70"/>
      <c r="H709" s="70"/>
      <c r="I709" s="70"/>
      <c r="J709" s="70"/>
      <c r="K709" s="70"/>
      <c r="L709" s="70"/>
      <c r="M709" s="70"/>
      <c r="N709" s="70"/>
      <c r="O709" s="70"/>
      <c r="P709" s="70"/>
      <c r="Q709" s="70"/>
      <c r="R709" s="70"/>
      <c r="S709" s="70"/>
      <c r="T709" s="70"/>
      <c r="U709" s="70"/>
      <c r="V709" s="70"/>
      <c r="W709" s="70"/>
      <c r="X709" s="70"/>
      <c r="Y709" s="70"/>
      <c r="Z709" s="70"/>
    </row>
    <row r="710" spans="1:26" ht="13">
      <c r="A710" s="70"/>
      <c r="B710" s="70"/>
      <c r="C710" s="70"/>
      <c r="D710" s="70"/>
      <c r="E710" s="70"/>
      <c r="F710" s="70"/>
      <c r="G710" s="70"/>
      <c r="H710" s="70"/>
      <c r="I710" s="70"/>
      <c r="J710" s="70"/>
      <c r="K710" s="70"/>
      <c r="L710" s="70"/>
      <c r="M710" s="70"/>
      <c r="N710" s="70"/>
      <c r="O710" s="70"/>
      <c r="P710" s="70"/>
      <c r="Q710" s="70"/>
      <c r="R710" s="70"/>
      <c r="S710" s="70"/>
      <c r="T710" s="70"/>
      <c r="U710" s="70"/>
      <c r="V710" s="70"/>
      <c r="W710" s="70"/>
      <c r="X710" s="70"/>
      <c r="Y710" s="70"/>
      <c r="Z710" s="70"/>
    </row>
    <row r="711" spans="1:26" ht="13">
      <c r="A711" s="70"/>
      <c r="B711" s="70"/>
      <c r="C711" s="70"/>
      <c r="D711" s="70"/>
      <c r="E711" s="70"/>
      <c r="F711" s="70"/>
      <c r="G711" s="70"/>
      <c r="H711" s="70"/>
      <c r="I711" s="70"/>
      <c r="J711" s="70"/>
      <c r="K711" s="70"/>
      <c r="L711" s="70"/>
      <c r="M711" s="70"/>
      <c r="N711" s="70"/>
      <c r="O711" s="70"/>
      <c r="P711" s="70"/>
      <c r="Q711" s="70"/>
      <c r="R711" s="70"/>
      <c r="S711" s="70"/>
      <c r="T711" s="70"/>
      <c r="U711" s="70"/>
      <c r="V711" s="70"/>
      <c r="W711" s="70"/>
      <c r="X711" s="70"/>
      <c r="Y711" s="70"/>
      <c r="Z711" s="70"/>
    </row>
    <row r="712" spans="1:26" ht="13">
      <c r="A712" s="70"/>
      <c r="B712" s="70"/>
      <c r="C712" s="70"/>
      <c r="D712" s="70"/>
      <c r="E712" s="70"/>
      <c r="F712" s="70"/>
      <c r="G712" s="70"/>
      <c r="H712" s="70"/>
      <c r="I712" s="70"/>
      <c r="J712" s="70"/>
      <c r="K712" s="70"/>
      <c r="L712" s="70"/>
      <c r="M712" s="70"/>
      <c r="N712" s="70"/>
      <c r="O712" s="70"/>
      <c r="P712" s="70"/>
      <c r="Q712" s="70"/>
      <c r="R712" s="70"/>
      <c r="S712" s="70"/>
      <c r="T712" s="70"/>
      <c r="U712" s="70"/>
      <c r="V712" s="70"/>
      <c r="W712" s="70"/>
      <c r="X712" s="70"/>
      <c r="Y712" s="70"/>
      <c r="Z712" s="70"/>
    </row>
    <row r="713" spans="1:26" ht="13">
      <c r="A713" s="70"/>
      <c r="B713" s="70"/>
      <c r="C713" s="70"/>
      <c r="D713" s="70"/>
      <c r="E713" s="70"/>
      <c r="F713" s="70"/>
      <c r="G713" s="70"/>
      <c r="H713" s="70"/>
      <c r="I713" s="70"/>
      <c r="J713" s="70"/>
      <c r="K713" s="70"/>
      <c r="L713" s="70"/>
      <c r="M713" s="70"/>
      <c r="N713" s="70"/>
      <c r="O713" s="70"/>
      <c r="P713" s="70"/>
      <c r="Q713" s="70"/>
      <c r="R713" s="70"/>
      <c r="S713" s="70"/>
      <c r="T713" s="70"/>
      <c r="U713" s="70"/>
      <c r="V713" s="70"/>
      <c r="W713" s="70"/>
      <c r="X713" s="70"/>
      <c r="Y713" s="70"/>
      <c r="Z713" s="70"/>
    </row>
    <row r="714" spans="1:26" ht="13">
      <c r="A714" s="70"/>
      <c r="B714" s="70"/>
      <c r="C714" s="70"/>
      <c r="D714" s="70"/>
      <c r="E714" s="70"/>
      <c r="F714" s="70"/>
      <c r="G714" s="70"/>
      <c r="H714" s="70"/>
      <c r="I714" s="70"/>
      <c r="J714" s="70"/>
      <c r="K714" s="70"/>
      <c r="L714" s="70"/>
      <c r="M714" s="70"/>
      <c r="N714" s="70"/>
      <c r="O714" s="70"/>
      <c r="P714" s="70"/>
      <c r="Q714" s="70"/>
      <c r="R714" s="70"/>
      <c r="S714" s="70"/>
      <c r="T714" s="70"/>
      <c r="U714" s="70"/>
      <c r="V714" s="70"/>
      <c r="W714" s="70"/>
      <c r="X714" s="70"/>
      <c r="Y714" s="70"/>
      <c r="Z714" s="70"/>
    </row>
    <row r="715" spans="1:26" ht="13">
      <c r="A715" s="70"/>
      <c r="B715" s="70"/>
      <c r="C715" s="70"/>
      <c r="D715" s="70"/>
      <c r="E715" s="70"/>
      <c r="F715" s="70"/>
      <c r="G715" s="70"/>
      <c r="H715" s="70"/>
      <c r="I715" s="70"/>
      <c r="J715" s="70"/>
      <c r="K715" s="70"/>
      <c r="L715" s="70"/>
      <c r="M715" s="70"/>
      <c r="N715" s="70"/>
      <c r="O715" s="70"/>
      <c r="P715" s="70"/>
      <c r="Q715" s="70"/>
      <c r="R715" s="70"/>
      <c r="S715" s="70"/>
      <c r="T715" s="70"/>
      <c r="U715" s="70"/>
      <c r="V715" s="70"/>
      <c r="W715" s="70"/>
      <c r="X715" s="70"/>
      <c r="Y715" s="70"/>
      <c r="Z715" s="70"/>
    </row>
    <row r="716" spans="1:26" ht="13">
      <c r="A716" s="70"/>
      <c r="B716" s="70"/>
      <c r="C716" s="70"/>
      <c r="D716" s="70"/>
      <c r="E716" s="70"/>
      <c r="F716" s="70"/>
      <c r="G716" s="70"/>
      <c r="H716" s="70"/>
      <c r="I716" s="70"/>
      <c r="J716" s="70"/>
      <c r="K716" s="70"/>
      <c r="L716" s="70"/>
      <c r="M716" s="70"/>
      <c r="N716" s="70"/>
      <c r="O716" s="70"/>
      <c r="P716" s="70"/>
      <c r="Q716" s="70"/>
      <c r="R716" s="70"/>
      <c r="S716" s="70"/>
      <c r="T716" s="70"/>
      <c r="U716" s="70"/>
      <c r="V716" s="70"/>
      <c r="W716" s="70"/>
      <c r="X716" s="70"/>
      <c r="Y716" s="70"/>
      <c r="Z716" s="70"/>
    </row>
    <row r="717" spans="1:26" ht="13">
      <c r="A717" s="70"/>
      <c r="B717" s="70"/>
      <c r="C717" s="70"/>
      <c r="D717" s="70"/>
      <c r="E717" s="70"/>
      <c r="F717" s="70"/>
      <c r="G717" s="70"/>
      <c r="H717" s="70"/>
      <c r="I717" s="70"/>
      <c r="J717" s="70"/>
      <c r="K717" s="70"/>
      <c r="L717" s="70"/>
      <c r="M717" s="70"/>
      <c r="N717" s="70"/>
      <c r="O717" s="70"/>
      <c r="P717" s="70"/>
      <c r="Q717" s="70"/>
      <c r="R717" s="70"/>
      <c r="S717" s="70"/>
      <c r="T717" s="70"/>
      <c r="U717" s="70"/>
      <c r="V717" s="70"/>
      <c r="W717" s="70"/>
      <c r="X717" s="70"/>
      <c r="Y717" s="70"/>
      <c r="Z717" s="70"/>
    </row>
    <row r="718" spans="1:26" ht="13">
      <c r="A718" s="70"/>
      <c r="B718" s="70"/>
      <c r="C718" s="70"/>
      <c r="D718" s="70"/>
      <c r="E718" s="70"/>
      <c r="F718" s="70"/>
      <c r="G718" s="70"/>
      <c r="H718" s="70"/>
      <c r="I718" s="70"/>
      <c r="J718" s="70"/>
      <c r="K718" s="70"/>
      <c r="L718" s="70"/>
      <c r="M718" s="70"/>
      <c r="N718" s="70"/>
      <c r="O718" s="70"/>
      <c r="P718" s="70"/>
      <c r="Q718" s="70"/>
      <c r="R718" s="70"/>
      <c r="S718" s="70"/>
      <c r="T718" s="70"/>
      <c r="U718" s="70"/>
      <c r="V718" s="70"/>
      <c r="W718" s="70"/>
      <c r="X718" s="70"/>
      <c r="Y718" s="70"/>
      <c r="Z718" s="70"/>
    </row>
    <row r="719" spans="1:26" ht="13">
      <c r="A719" s="70"/>
      <c r="B719" s="70"/>
      <c r="C719" s="70"/>
      <c r="D719" s="70"/>
      <c r="E719" s="70"/>
      <c r="F719" s="70"/>
      <c r="G719" s="70"/>
      <c r="H719" s="70"/>
      <c r="I719" s="70"/>
      <c r="J719" s="70"/>
      <c r="K719" s="70"/>
      <c r="L719" s="70"/>
      <c r="M719" s="70"/>
      <c r="N719" s="70"/>
      <c r="O719" s="70"/>
      <c r="P719" s="70"/>
      <c r="Q719" s="70"/>
      <c r="R719" s="70"/>
      <c r="S719" s="70"/>
      <c r="T719" s="70"/>
      <c r="U719" s="70"/>
      <c r="V719" s="70"/>
      <c r="W719" s="70"/>
      <c r="X719" s="70"/>
      <c r="Y719" s="70"/>
      <c r="Z719" s="70"/>
    </row>
    <row r="720" spans="1:26" ht="13">
      <c r="A720" s="70"/>
      <c r="B720" s="70"/>
      <c r="C720" s="70"/>
      <c r="D720" s="70"/>
      <c r="E720" s="70"/>
      <c r="F720" s="70"/>
      <c r="G720" s="70"/>
      <c r="H720" s="70"/>
      <c r="I720" s="70"/>
      <c r="J720" s="70"/>
      <c r="K720" s="70"/>
      <c r="L720" s="70"/>
      <c r="M720" s="70"/>
      <c r="N720" s="70"/>
      <c r="O720" s="70"/>
      <c r="P720" s="70"/>
      <c r="Q720" s="70"/>
      <c r="R720" s="70"/>
      <c r="S720" s="70"/>
      <c r="T720" s="70"/>
      <c r="U720" s="70"/>
      <c r="V720" s="70"/>
      <c r="W720" s="70"/>
      <c r="X720" s="70"/>
      <c r="Y720" s="70"/>
      <c r="Z720" s="70"/>
    </row>
    <row r="721" spans="1:26" ht="13">
      <c r="A721" s="70"/>
      <c r="B721" s="70"/>
      <c r="C721" s="70"/>
      <c r="D721" s="70"/>
      <c r="E721" s="70"/>
      <c r="F721" s="70"/>
      <c r="G721" s="70"/>
      <c r="H721" s="70"/>
      <c r="I721" s="70"/>
      <c r="J721" s="70"/>
      <c r="K721" s="70"/>
      <c r="L721" s="70"/>
      <c r="M721" s="70"/>
      <c r="N721" s="70"/>
      <c r="O721" s="70"/>
      <c r="P721" s="70"/>
      <c r="Q721" s="70"/>
      <c r="R721" s="70"/>
      <c r="S721" s="70"/>
      <c r="T721" s="70"/>
      <c r="U721" s="70"/>
      <c r="V721" s="70"/>
      <c r="W721" s="70"/>
      <c r="X721" s="70"/>
      <c r="Y721" s="70"/>
      <c r="Z721" s="70"/>
    </row>
    <row r="722" spans="1:26" ht="13">
      <c r="A722" s="70"/>
      <c r="B722" s="70"/>
      <c r="C722" s="70"/>
      <c r="D722" s="70"/>
      <c r="E722" s="70"/>
      <c r="F722" s="70"/>
      <c r="G722" s="70"/>
      <c r="H722" s="70"/>
      <c r="I722" s="70"/>
      <c r="J722" s="70"/>
      <c r="K722" s="70"/>
      <c r="L722" s="70"/>
      <c r="M722" s="70"/>
      <c r="N722" s="70"/>
      <c r="O722" s="70"/>
      <c r="P722" s="70"/>
      <c r="Q722" s="70"/>
      <c r="R722" s="70"/>
      <c r="S722" s="70"/>
      <c r="T722" s="70"/>
      <c r="U722" s="70"/>
      <c r="V722" s="70"/>
      <c r="W722" s="70"/>
      <c r="X722" s="70"/>
      <c r="Y722" s="70"/>
      <c r="Z722" s="70"/>
    </row>
    <row r="723" spans="1:26" ht="13">
      <c r="A723" s="70"/>
      <c r="B723" s="70"/>
      <c r="C723" s="70"/>
      <c r="D723" s="70"/>
      <c r="E723" s="70"/>
      <c r="F723" s="70"/>
      <c r="G723" s="70"/>
      <c r="H723" s="70"/>
      <c r="I723" s="70"/>
      <c r="J723" s="70"/>
      <c r="K723" s="70"/>
      <c r="L723" s="70"/>
      <c r="M723" s="70"/>
      <c r="N723" s="70"/>
      <c r="O723" s="70"/>
      <c r="P723" s="70"/>
      <c r="Q723" s="70"/>
      <c r="R723" s="70"/>
      <c r="S723" s="70"/>
      <c r="T723" s="70"/>
      <c r="U723" s="70"/>
      <c r="V723" s="70"/>
      <c r="W723" s="70"/>
      <c r="X723" s="70"/>
      <c r="Y723" s="70"/>
      <c r="Z723" s="70"/>
    </row>
    <row r="724" spans="1:26" ht="13">
      <c r="A724" s="70"/>
      <c r="B724" s="70"/>
      <c r="C724" s="70"/>
      <c r="D724" s="70"/>
      <c r="E724" s="70"/>
      <c r="F724" s="70"/>
      <c r="G724" s="70"/>
      <c r="H724" s="70"/>
      <c r="I724" s="70"/>
      <c r="J724" s="70"/>
      <c r="K724" s="70"/>
      <c r="L724" s="70"/>
      <c r="M724" s="70"/>
      <c r="N724" s="70"/>
      <c r="O724" s="70"/>
      <c r="P724" s="70"/>
      <c r="Q724" s="70"/>
      <c r="R724" s="70"/>
      <c r="S724" s="70"/>
      <c r="T724" s="70"/>
      <c r="U724" s="70"/>
      <c r="V724" s="70"/>
      <c r="W724" s="70"/>
      <c r="X724" s="70"/>
      <c r="Y724" s="70"/>
      <c r="Z724" s="70"/>
    </row>
    <row r="725" spans="1:26" ht="13">
      <c r="A725" s="70"/>
      <c r="B725" s="70"/>
      <c r="C725" s="70"/>
      <c r="D725" s="70"/>
      <c r="E725" s="70"/>
      <c r="F725" s="70"/>
      <c r="G725" s="70"/>
      <c r="H725" s="70"/>
      <c r="I725" s="70"/>
      <c r="J725" s="70"/>
      <c r="K725" s="70"/>
      <c r="L725" s="70"/>
      <c r="M725" s="70"/>
      <c r="N725" s="70"/>
      <c r="O725" s="70"/>
      <c r="P725" s="70"/>
      <c r="Q725" s="70"/>
      <c r="R725" s="70"/>
      <c r="S725" s="70"/>
      <c r="T725" s="70"/>
      <c r="U725" s="70"/>
      <c r="V725" s="70"/>
      <c r="W725" s="70"/>
      <c r="X725" s="70"/>
      <c r="Y725" s="70"/>
      <c r="Z725" s="70"/>
    </row>
    <row r="726" spans="1:26" ht="13">
      <c r="A726" s="70"/>
      <c r="B726" s="70"/>
      <c r="C726" s="70"/>
      <c r="D726" s="70"/>
      <c r="E726" s="70"/>
      <c r="F726" s="70"/>
      <c r="G726" s="70"/>
      <c r="H726" s="70"/>
      <c r="I726" s="70"/>
      <c r="J726" s="70"/>
      <c r="K726" s="70"/>
      <c r="L726" s="70"/>
      <c r="M726" s="70"/>
      <c r="N726" s="70"/>
      <c r="O726" s="70"/>
      <c r="P726" s="70"/>
      <c r="Q726" s="70"/>
      <c r="R726" s="70"/>
      <c r="S726" s="70"/>
      <c r="T726" s="70"/>
      <c r="U726" s="70"/>
      <c r="V726" s="70"/>
      <c r="W726" s="70"/>
      <c r="X726" s="70"/>
      <c r="Y726" s="70"/>
      <c r="Z726" s="70"/>
    </row>
    <row r="727" spans="1:26" ht="13">
      <c r="A727" s="70"/>
      <c r="B727" s="70"/>
      <c r="C727" s="70"/>
      <c r="D727" s="70"/>
      <c r="E727" s="70"/>
      <c r="F727" s="70"/>
      <c r="G727" s="70"/>
      <c r="H727" s="70"/>
      <c r="I727" s="70"/>
      <c r="J727" s="70"/>
      <c r="K727" s="70"/>
      <c r="L727" s="70"/>
      <c r="M727" s="70"/>
      <c r="N727" s="70"/>
      <c r="O727" s="70"/>
      <c r="P727" s="70"/>
      <c r="Q727" s="70"/>
      <c r="R727" s="70"/>
      <c r="S727" s="70"/>
      <c r="T727" s="70"/>
      <c r="U727" s="70"/>
      <c r="V727" s="70"/>
      <c r="W727" s="70"/>
      <c r="X727" s="70"/>
      <c r="Y727" s="70"/>
      <c r="Z727" s="70"/>
    </row>
    <row r="728" spans="1:26" ht="13">
      <c r="A728" s="70"/>
      <c r="B728" s="70"/>
      <c r="C728" s="70"/>
      <c r="D728" s="70"/>
      <c r="E728" s="70"/>
      <c r="F728" s="70"/>
      <c r="G728" s="70"/>
      <c r="H728" s="70"/>
      <c r="I728" s="70"/>
      <c r="J728" s="70"/>
      <c r="K728" s="70"/>
      <c r="L728" s="70"/>
      <c r="M728" s="70"/>
      <c r="N728" s="70"/>
      <c r="O728" s="70"/>
      <c r="P728" s="70"/>
      <c r="Q728" s="70"/>
      <c r="R728" s="70"/>
      <c r="S728" s="70"/>
      <c r="T728" s="70"/>
      <c r="U728" s="70"/>
      <c r="V728" s="70"/>
      <c r="W728" s="70"/>
      <c r="X728" s="70"/>
      <c r="Y728" s="70"/>
      <c r="Z728" s="70"/>
    </row>
    <row r="729" spans="1:26" ht="13">
      <c r="A729" s="70"/>
      <c r="B729" s="70"/>
      <c r="C729" s="70"/>
      <c r="D729" s="70"/>
      <c r="E729" s="70"/>
      <c r="F729" s="70"/>
      <c r="G729" s="70"/>
      <c r="H729" s="70"/>
      <c r="I729" s="70"/>
      <c r="J729" s="70"/>
      <c r="K729" s="70"/>
      <c r="L729" s="70"/>
      <c r="M729" s="70"/>
      <c r="N729" s="70"/>
      <c r="O729" s="70"/>
      <c r="P729" s="70"/>
      <c r="Q729" s="70"/>
      <c r="R729" s="70"/>
      <c r="S729" s="70"/>
      <c r="T729" s="70"/>
      <c r="U729" s="70"/>
      <c r="V729" s="70"/>
      <c r="W729" s="70"/>
      <c r="X729" s="70"/>
      <c r="Y729" s="70"/>
      <c r="Z729" s="70"/>
    </row>
    <row r="730" spans="1:26" ht="13">
      <c r="A730" s="70"/>
      <c r="B730" s="70"/>
      <c r="C730" s="70"/>
      <c r="D730" s="70"/>
      <c r="E730" s="70"/>
      <c r="F730" s="70"/>
      <c r="G730" s="70"/>
      <c r="H730" s="70"/>
      <c r="I730" s="70"/>
      <c r="J730" s="70"/>
      <c r="K730" s="70"/>
      <c r="L730" s="70"/>
      <c r="M730" s="70"/>
      <c r="N730" s="70"/>
      <c r="O730" s="70"/>
      <c r="P730" s="70"/>
      <c r="Q730" s="70"/>
      <c r="R730" s="70"/>
      <c r="S730" s="70"/>
      <c r="T730" s="70"/>
      <c r="U730" s="70"/>
      <c r="V730" s="70"/>
      <c r="W730" s="70"/>
      <c r="X730" s="70"/>
      <c r="Y730" s="70"/>
      <c r="Z730" s="70"/>
    </row>
    <row r="731" spans="1:26" ht="13">
      <c r="A731" s="70"/>
      <c r="B731" s="70"/>
      <c r="C731" s="70"/>
      <c r="D731" s="70"/>
      <c r="E731" s="70"/>
      <c r="F731" s="70"/>
      <c r="G731" s="70"/>
      <c r="H731" s="70"/>
      <c r="I731" s="70"/>
      <c r="J731" s="70"/>
      <c r="K731" s="70"/>
      <c r="L731" s="70"/>
      <c r="M731" s="70"/>
      <c r="N731" s="70"/>
      <c r="O731" s="70"/>
      <c r="P731" s="70"/>
      <c r="Q731" s="70"/>
      <c r="R731" s="70"/>
      <c r="S731" s="70"/>
      <c r="T731" s="70"/>
      <c r="U731" s="70"/>
      <c r="V731" s="70"/>
      <c r="W731" s="70"/>
      <c r="X731" s="70"/>
      <c r="Y731" s="70"/>
      <c r="Z731" s="70"/>
    </row>
    <row r="732" spans="1:26" ht="13">
      <c r="A732" s="70"/>
      <c r="B732" s="70"/>
      <c r="C732" s="70"/>
      <c r="D732" s="70"/>
      <c r="E732" s="70"/>
      <c r="F732" s="70"/>
      <c r="G732" s="70"/>
      <c r="H732" s="70"/>
      <c r="I732" s="70"/>
      <c r="J732" s="70"/>
      <c r="K732" s="70"/>
      <c r="L732" s="70"/>
      <c r="M732" s="70"/>
      <c r="N732" s="70"/>
      <c r="O732" s="70"/>
      <c r="P732" s="70"/>
      <c r="Q732" s="70"/>
      <c r="R732" s="70"/>
      <c r="S732" s="70"/>
      <c r="T732" s="70"/>
      <c r="U732" s="70"/>
      <c r="V732" s="70"/>
      <c r="W732" s="70"/>
      <c r="X732" s="70"/>
      <c r="Y732" s="70"/>
      <c r="Z732" s="70"/>
    </row>
    <row r="733" spans="1:26" ht="13">
      <c r="A733" s="70"/>
      <c r="B733" s="70"/>
      <c r="C733" s="70"/>
      <c r="D733" s="70"/>
      <c r="E733" s="70"/>
      <c r="F733" s="70"/>
      <c r="G733" s="70"/>
      <c r="H733" s="70"/>
      <c r="I733" s="70"/>
      <c r="J733" s="70"/>
      <c r="K733" s="70"/>
      <c r="L733" s="70"/>
      <c r="M733" s="70"/>
      <c r="N733" s="70"/>
      <c r="O733" s="70"/>
      <c r="P733" s="70"/>
      <c r="Q733" s="70"/>
      <c r="R733" s="70"/>
      <c r="S733" s="70"/>
      <c r="T733" s="70"/>
      <c r="U733" s="70"/>
      <c r="V733" s="70"/>
      <c r="W733" s="70"/>
      <c r="X733" s="70"/>
      <c r="Y733" s="70"/>
      <c r="Z733" s="70"/>
    </row>
    <row r="734" spans="1:26" ht="13">
      <c r="A734" s="70"/>
      <c r="B734" s="70"/>
      <c r="C734" s="70"/>
      <c r="D734" s="70"/>
      <c r="E734" s="70"/>
      <c r="F734" s="70"/>
      <c r="G734" s="70"/>
      <c r="H734" s="70"/>
      <c r="I734" s="70"/>
      <c r="J734" s="70"/>
      <c r="K734" s="70"/>
      <c r="L734" s="70"/>
      <c r="M734" s="70"/>
      <c r="N734" s="70"/>
      <c r="O734" s="70"/>
      <c r="P734" s="70"/>
      <c r="Q734" s="70"/>
      <c r="R734" s="70"/>
      <c r="S734" s="70"/>
      <c r="T734" s="70"/>
      <c r="U734" s="70"/>
      <c r="V734" s="70"/>
      <c r="W734" s="70"/>
      <c r="X734" s="70"/>
      <c r="Y734" s="70"/>
      <c r="Z734" s="70"/>
    </row>
    <row r="735" spans="1:26" ht="13">
      <c r="A735" s="70"/>
      <c r="B735" s="70"/>
      <c r="C735" s="70"/>
      <c r="D735" s="70"/>
      <c r="E735" s="70"/>
      <c r="F735" s="70"/>
      <c r="G735" s="70"/>
      <c r="H735" s="70"/>
      <c r="I735" s="70"/>
      <c r="J735" s="70"/>
      <c r="K735" s="70"/>
      <c r="L735" s="70"/>
      <c r="M735" s="70"/>
      <c r="N735" s="70"/>
      <c r="O735" s="70"/>
      <c r="P735" s="70"/>
      <c r="Q735" s="70"/>
      <c r="R735" s="70"/>
      <c r="S735" s="70"/>
      <c r="T735" s="70"/>
      <c r="U735" s="70"/>
      <c r="V735" s="70"/>
      <c r="W735" s="70"/>
      <c r="X735" s="70"/>
      <c r="Y735" s="70"/>
      <c r="Z735" s="70"/>
    </row>
    <row r="736" spans="1:26" ht="13">
      <c r="A736" s="70"/>
      <c r="B736" s="70"/>
      <c r="C736" s="70"/>
      <c r="D736" s="70"/>
      <c r="E736" s="70"/>
      <c r="F736" s="70"/>
      <c r="G736" s="70"/>
      <c r="H736" s="70"/>
      <c r="I736" s="70"/>
      <c r="J736" s="70"/>
      <c r="K736" s="70"/>
      <c r="L736" s="70"/>
      <c r="M736" s="70"/>
      <c r="N736" s="70"/>
      <c r="O736" s="70"/>
      <c r="P736" s="70"/>
      <c r="Q736" s="70"/>
      <c r="R736" s="70"/>
      <c r="S736" s="70"/>
      <c r="T736" s="70"/>
      <c r="U736" s="70"/>
      <c r="V736" s="70"/>
      <c r="W736" s="70"/>
      <c r="X736" s="70"/>
      <c r="Y736" s="70"/>
      <c r="Z736" s="70"/>
    </row>
    <row r="737" spans="1:26" ht="13">
      <c r="A737" s="70"/>
      <c r="B737" s="70"/>
      <c r="C737" s="70"/>
      <c r="D737" s="70"/>
      <c r="E737" s="70"/>
      <c r="F737" s="70"/>
      <c r="G737" s="70"/>
      <c r="H737" s="70"/>
      <c r="I737" s="70"/>
      <c r="J737" s="70"/>
      <c r="K737" s="70"/>
      <c r="L737" s="70"/>
      <c r="M737" s="70"/>
      <c r="N737" s="70"/>
      <c r="O737" s="70"/>
      <c r="P737" s="70"/>
      <c r="Q737" s="70"/>
      <c r="R737" s="70"/>
      <c r="S737" s="70"/>
      <c r="T737" s="70"/>
      <c r="U737" s="70"/>
      <c r="V737" s="70"/>
      <c r="W737" s="70"/>
      <c r="X737" s="70"/>
      <c r="Y737" s="70"/>
      <c r="Z737" s="70"/>
    </row>
    <row r="738" spans="1:26" ht="13">
      <c r="A738" s="70"/>
      <c r="B738" s="70"/>
      <c r="C738" s="70"/>
      <c r="D738" s="70"/>
      <c r="E738" s="70"/>
      <c r="F738" s="70"/>
      <c r="G738" s="70"/>
      <c r="H738" s="70"/>
      <c r="I738" s="70"/>
      <c r="J738" s="70"/>
      <c r="K738" s="70"/>
      <c r="L738" s="70"/>
      <c r="M738" s="70"/>
      <c r="N738" s="70"/>
      <c r="O738" s="70"/>
      <c r="P738" s="70"/>
      <c r="Q738" s="70"/>
      <c r="R738" s="70"/>
      <c r="S738" s="70"/>
      <c r="T738" s="70"/>
      <c r="U738" s="70"/>
      <c r="V738" s="70"/>
      <c r="W738" s="70"/>
      <c r="X738" s="70"/>
      <c r="Y738" s="70"/>
      <c r="Z738" s="70"/>
    </row>
    <row r="739" spans="1:26" ht="13">
      <c r="A739" s="70"/>
      <c r="B739" s="70"/>
      <c r="C739" s="70"/>
      <c r="D739" s="70"/>
      <c r="E739" s="70"/>
      <c r="F739" s="70"/>
      <c r="G739" s="70"/>
      <c r="H739" s="70"/>
      <c r="I739" s="70"/>
      <c r="J739" s="70"/>
      <c r="K739" s="70"/>
      <c r="L739" s="70"/>
      <c r="M739" s="70"/>
      <c r="N739" s="70"/>
      <c r="O739" s="70"/>
      <c r="P739" s="70"/>
      <c r="Q739" s="70"/>
      <c r="R739" s="70"/>
      <c r="S739" s="70"/>
      <c r="T739" s="70"/>
      <c r="U739" s="70"/>
      <c r="V739" s="70"/>
      <c r="W739" s="70"/>
      <c r="X739" s="70"/>
      <c r="Y739" s="70"/>
      <c r="Z739" s="70"/>
    </row>
    <row r="740" spans="1:26" ht="13">
      <c r="A740" s="70"/>
      <c r="B740" s="70"/>
      <c r="C740" s="70"/>
      <c r="D740" s="70"/>
      <c r="E740" s="70"/>
      <c r="F740" s="70"/>
      <c r="G740" s="70"/>
      <c r="H740" s="70"/>
      <c r="I740" s="70"/>
      <c r="J740" s="70"/>
      <c r="K740" s="70"/>
      <c r="L740" s="70"/>
      <c r="M740" s="70"/>
      <c r="N740" s="70"/>
      <c r="O740" s="70"/>
      <c r="P740" s="70"/>
      <c r="Q740" s="70"/>
      <c r="R740" s="70"/>
      <c r="S740" s="70"/>
      <c r="T740" s="70"/>
      <c r="U740" s="70"/>
      <c r="V740" s="70"/>
      <c r="W740" s="70"/>
      <c r="X740" s="70"/>
      <c r="Y740" s="70"/>
      <c r="Z740" s="70"/>
    </row>
    <row r="741" spans="1:26" ht="13">
      <c r="A741" s="70"/>
      <c r="B741" s="70"/>
      <c r="C741" s="70"/>
      <c r="D741" s="70"/>
      <c r="E741" s="70"/>
      <c r="F741" s="70"/>
      <c r="G741" s="70"/>
      <c r="H741" s="70"/>
      <c r="I741" s="70"/>
      <c r="J741" s="70"/>
      <c r="K741" s="70"/>
      <c r="L741" s="70"/>
      <c r="M741" s="70"/>
      <c r="N741" s="70"/>
      <c r="O741" s="70"/>
      <c r="P741" s="70"/>
      <c r="Q741" s="70"/>
      <c r="R741" s="70"/>
      <c r="S741" s="70"/>
      <c r="T741" s="70"/>
      <c r="U741" s="70"/>
      <c r="V741" s="70"/>
      <c r="W741" s="70"/>
      <c r="X741" s="70"/>
      <c r="Y741" s="70"/>
      <c r="Z741" s="70"/>
    </row>
    <row r="742" spans="1:26" ht="13">
      <c r="A742" s="70"/>
      <c r="B742" s="70"/>
      <c r="C742" s="70"/>
      <c r="D742" s="70"/>
      <c r="E742" s="70"/>
      <c r="F742" s="70"/>
      <c r="G742" s="70"/>
      <c r="H742" s="70"/>
      <c r="I742" s="70"/>
      <c r="J742" s="70"/>
      <c r="K742" s="70"/>
      <c r="L742" s="70"/>
      <c r="M742" s="70"/>
      <c r="N742" s="70"/>
      <c r="O742" s="70"/>
      <c r="P742" s="70"/>
      <c r="Q742" s="70"/>
      <c r="R742" s="70"/>
      <c r="S742" s="70"/>
      <c r="T742" s="70"/>
      <c r="U742" s="70"/>
      <c r="V742" s="70"/>
      <c r="W742" s="70"/>
      <c r="X742" s="70"/>
      <c r="Y742" s="70"/>
      <c r="Z742" s="70"/>
    </row>
    <row r="743" spans="1:26" ht="13">
      <c r="A743" s="70"/>
      <c r="B743" s="70"/>
      <c r="C743" s="70"/>
      <c r="D743" s="70"/>
      <c r="E743" s="70"/>
      <c r="F743" s="70"/>
      <c r="G743" s="70"/>
      <c r="H743" s="70"/>
      <c r="I743" s="70"/>
      <c r="J743" s="70"/>
      <c r="K743" s="70"/>
      <c r="L743" s="70"/>
      <c r="M743" s="70"/>
      <c r="N743" s="70"/>
      <c r="O743" s="70"/>
      <c r="P743" s="70"/>
      <c r="Q743" s="70"/>
      <c r="R743" s="70"/>
      <c r="S743" s="70"/>
      <c r="T743" s="70"/>
      <c r="U743" s="70"/>
      <c r="V743" s="70"/>
      <c r="W743" s="70"/>
      <c r="X743" s="70"/>
      <c r="Y743" s="70"/>
      <c r="Z743" s="70"/>
    </row>
    <row r="744" spans="1:26" ht="13">
      <c r="A744" s="70"/>
      <c r="B744" s="70"/>
      <c r="C744" s="70"/>
      <c r="D744" s="70"/>
      <c r="E744" s="70"/>
      <c r="F744" s="70"/>
      <c r="G744" s="70"/>
      <c r="H744" s="70"/>
      <c r="I744" s="70"/>
      <c r="J744" s="70"/>
      <c r="K744" s="70"/>
      <c r="L744" s="70"/>
      <c r="M744" s="70"/>
      <c r="N744" s="70"/>
      <c r="O744" s="70"/>
      <c r="P744" s="70"/>
      <c r="Q744" s="70"/>
      <c r="R744" s="70"/>
      <c r="S744" s="70"/>
      <c r="T744" s="70"/>
      <c r="U744" s="70"/>
      <c r="V744" s="70"/>
      <c r="W744" s="70"/>
      <c r="X744" s="70"/>
      <c r="Y744" s="70"/>
      <c r="Z744" s="70"/>
    </row>
    <row r="745" spans="1:26" ht="13">
      <c r="A745" s="70"/>
      <c r="B745" s="70"/>
      <c r="C745" s="70"/>
      <c r="D745" s="70"/>
      <c r="E745" s="70"/>
      <c r="F745" s="70"/>
      <c r="G745" s="70"/>
      <c r="H745" s="70"/>
      <c r="I745" s="70"/>
      <c r="J745" s="70"/>
      <c r="K745" s="70"/>
      <c r="L745" s="70"/>
      <c r="M745" s="70"/>
      <c r="N745" s="70"/>
      <c r="O745" s="70"/>
      <c r="P745" s="70"/>
      <c r="Q745" s="70"/>
      <c r="R745" s="70"/>
      <c r="S745" s="70"/>
      <c r="T745" s="70"/>
      <c r="U745" s="70"/>
      <c r="V745" s="70"/>
      <c r="W745" s="70"/>
      <c r="X745" s="70"/>
      <c r="Y745" s="70"/>
      <c r="Z745" s="70"/>
    </row>
    <row r="746" spans="1:26" ht="13">
      <c r="A746" s="70"/>
      <c r="B746" s="70"/>
      <c r="C746" s="70"/>
      <c r="D746" s="70"/>
      <c r="E746" s="70"/>
      <c r="F746" s="70"/>
      <c r="G746" s="70"/>
      <c r="H746" s="70"/>
      <c r="I746" s="70"/>
      <c r="J746" s="70"/>
      <c r="K746" s="70"/>
      <c r="L746" s="70"/>
      <c r="M746" s="70"/>
      <c r="N746" s="70"/>
      <c r="O746" s="70"/>
      <c r="P746" s="70"/>
      <c r="Q746" s="70"/>
      <c r="R746" s="70"/>
      <c r="S746" s="70"/>
      <c r="T746" s="70"/>
      <c r="U746" s="70"/>
      <c r="V746" s="70"/>
      <c r="W746" s="70"/>
      <c r="X746" s="70"/>
      <c r="Y746" s="70"/>
      <c r="Z746" s="70"/>
    </row>
    <row r="747" spans="1:26" ht="13">
      <c r="A747" s="70"/>
      <c r="B747" s="70"/>
      <c r="C747" s="70"/>
      <c r="D747" s="70"/>
      <c r="E747" s="70"/>
      <c r="F747" s="70"/>
      <c r="G747" s="70"/>
      <c r="H747" s="70"/>
      <c r="I747" s="70"/>
      <c r="J747" s="70"/>
      <c r="K747" s="70"/>
      <c r="L747" s="70"/>
      <c r="M747" s="70"/>
      <c r="N747" s="70"/>
      <c r="O747" s="70"/>
      <c r="P747" s="70"/>
      <c r="Q747" s="70"/>
      <c r="R747" s="70"/>
      <c r="S747" s="70"/>
      <c r="T747" s="70"/>
      <c r="U747" s="70"/>
      <c r="V747" s="70"/>
      <c r="W747" s="70"/>
      <c r="X747" s="70"/>
      <c r="Y747" s="70"/>
      <c r="Z747" s="70"/>
    </row>
    <row r="748" spans="1:26" ht="13">
      <c r="A748" s="70"/>
      <c r="B748" s="70"/>
      <c r="C748" s="70"/>
      <c r="D748" s="70"/>
      <c r="E748" s="70"/>
      <c r="F748" s="70"/>
      <c r="G748" s="70"/>
      <c r="H748" s="70"/>
      <c r="I748" s="70"/>
      <c r="J748" s="70"/>
      <c r="K748" s="70"/>
      <c r="L748" s="70"/>
      <c r="M748" s="70"/>
      <c r="N748" s="70"/>
      <c r="O748" s="70"/>
      <c r="P748" s="70"/>
      <c r="Q748" s="70"/>
      <c r="R748" s="70"/>
      <c r="S748" s="70"/>
      <c r="T748" s="70"/>
      <c r="U748" s="70"/>
      <c r="V748" s="70"/>
      <c r="W748" s="70"/>
      <c r="X748" s="70"/>
      <c r="Y748" s="70"/>
      <c r="Z748" s="70"/>
    </row>
    <row r="749" spans="1:26" ht="13">
      <c r="A749" s="70"/>
      <c r="B749" s="70"/>
      <c r="C749" s="70"/>
      <c r="D749" s="70"/>
      <c r="E749" s="70"/>
      <c r="F749" s="70"/>
      <c r="G749" s="70"/>
      <c r="H749" s="70"/>
      <c r="I749" s="70"/>
      <c r="J749" s="70"/>
      <c r="K749" s="70"/>
      <c r="L749" s="70"/>
      <c r="M749" s="70"/>
      <c r="N749" s="70"/>
      <c r="O749" s="70"/>
      <c r="P749" s="70"/>
      <c r="Q749" s="70"/>
      <c r="R749" s="70"/>
      <c r="S749" s="70"/>
      <c r="T749" s="70"/>
      <c r="U749" s="70"/>
      <c r="V749" s="70"/>
      <c r="W749" s="70"/>
      <c r="X749" s="70"/>
      <c r="Y749" s="70"/>
      <c r="Z749" s="70"/>
    </row>
    <row r="750" spans="1:26" ht="13">
      <c r="A750" s="70"/>
      <c r="B750" s="70"/>
      <c r="C750" s="70"/>
      <c r="D750" s="70"/>
      <c r="E750" s="70"/>
      <c r="F750" s="70"/>
      <c r="G750" s="70"/>
      <c r="H750" s="70"/>
      <c r="I750" s="70"/>
      <c r="J750" s="70"/>
      <c r="K750" s="70"/>
      <c r="L750" s="70"/>
      <c r="M750" s="70"/>
      <c r="N750" s="70"/>
      <c r="O750" s="70"/>
      <c r="P750" s="70"/>
      <c r="Q750" s="70"/>
      <c r="R750" s="70"/>
      <c r="S750" s="70"/>
      <c r="T750" s="70"/>
      <c r="U750" s="70"/>
      <c r="V750" s="70"/>
      <c r="W750" s="70"/>
      <c r="X750" s="70"/>
      <c r="Y750" s="70"/>
      <c r="Z750" s="70"/>
    </row>
    <row r="751" spans="1:26" ht="13">
      <c r="A751" s="70"/>
      <c r="B751" s="70"/>
      <c r="C751" s="70"/>
      <c r="D751" s="70"/>
      <c r="E751" s="70"/>
      <c r="F751" s="70"/>
      <c r="G751" s="70"/>
      <c r="H751" s="70"/>
      <c r="I751" s="70"/>
      <c r="J751" s="70"/>
      <c r="K751" s="70"/>
      <c r="L751" s="70"/>
      <c r="M751" s="70"/>
      <c r="N751" s="70"/>
      <c r="O751" s="70"/>
      <c r="P751" s="70"/>
      <c r="Q751" s="70"/>
      <c r="R751" s="70"/>
      <c r="S751" s="70"/>
      <c r="T751" s="70"/>
      <c r="U751" s="70"/>
      <c r="V751" s="70"/>
      <c r="W751" s="70"/>
      <c r="X751" s="70"/>
      <c r="Y751" s="70"/>
      <c r="Z751" s="70"/>
    </row>
    <row r="752" spans="1:26" ht="13">
      <c r="A752" s="70"/>
      <c r="B752" s="70"/>
      <c r="C752" s="70"/>
      <c r="D752" s="70"/>
      <c r="E752" s="70"/>
      <c r="F752" s="70"/>
      <c r="G752" s="70"/>
      <c r="H752" s="70"/>
      <c r="I752" s="70"/>
      <c r="J752" s="70"/>
      <c r="K752" s="70"/>
      <c r="L752" s="70"/>
      <c r="M752" s="70"/>
      <c r="N752" s="70"/>
      <c r="O752" s="70"/>
      <c r="P752" s="70"/>
      <c r="Q752" s="70"/>
      <c r="R752" s="70"/>
      <c r="S752" s="70"/>
      <c r="T752" s="70"/>
      <c r="U752" s="70"/>
      <c r="V752" s="70"/>
      <c r="W752" s="70"/>
      <c r="X752" s="70"/>
      <c r="Y752" s="70"/>
      <c r="Z752" s="70"/>
    </row>
    <row r="753" spans="1:26" ht="13">
      <c r="A753" s="70"/>
      <c r="B753" s="70"/>
      <c r="C753" s="70"/>
      <c r="D753" s="70"/>
      <c r="E753" s="70"/>
      <c r="F753" s="70"/>
      <c r="G753" s="70"/>
      <c r="H753" s="70"/>
      <c r="I753" s="70"/>
      <c r="J753" s="70"/>
      <c r="K753" s="70"/>
      <c r="L753" s="70"/>
      <c r="M753" s="70"/>
      <c r="N753" s="70"/>
      <c r="O753" s="70"/>
      <c r="P753" s="70"/>
      <c r="Q753" s="70"/>
      <c r="R753" s="70"/>
      <c r="S753" s="70"/>
      <c r="T753" s="70"/>
      <c r="U753" s="70"/>
      <c r="V753" s="70"/>
      <c r="W753" s="70"/>
      <c r="X753" s="70"/>
      <c r="Y753" s="70"/>
      <c r="Z753" s="70"/>
    </row>
    <row r="754" spans="1:26" ht="13">
      <c r="A754" s="70"/>
      <c r="B754" s="70"/>
      <c r="C754" s="70"/>
      <c r="D754" s="70"/>
      <c r="E754" s="70"/>
      <c r="F754" s="70"/>
      <c r="G754" s="70"/>
      <c r="H754" s="70"/>
      <c r="I754" s="70"/>
      <c r="J754" s="70"/>
      <c r="K754" s="70"/>
      <c r="L754" s="70"/>
      <c r="M754" s="70"/>
      <c r="N754" s="70"/>
      <c r="O754" s="70"/>
      <c r="P754" s="70"/>
      <c r="Q754" s="70"/>
      <c r="R754" s="70"/>
      <c r="S754" s="70"/>
      <c r="T754" s="70"/>
      <c r="U754" s="70"/>
      <c r="V754" s="70"/>
      <c r="W754" s="70"/>
      <c r="X754" s="70"/>
      <c r="Y754" s="70"/>
      <c r="Z754" s="70"/>
    </row>
    <row r="755" spans="1:26" ht="13">
      <c r="A755" s="70"/>
      <c r="B755" s="70"/>
      <c r="C755" s="70"/>
      <c r="D755" s="70"/>
      <c r="E755" s="70"/>
      <c r="F755" s="70"/>
      <c r="G755" s="70"/>
      <c r="H755" s="70"/>
      <c r="I755" s="70"/>
      <c r="J755" s="70"/>
      <c r="K755" s="70"/>
      <c r="L755" s="70"/>
      <c r="M755" s="70"/>
      <c r="N755" s="70"/>
      <c r="O755" s="70"/>
      <c r="P755" s="70"/>
      <c r="Q755" s="70"/>
      <c r="R755" s="70"/>
      <c r="S755" s="70"/>
      <c r="T755" s="70"/>
      <c r="U755" s="70"/>
      <c r="V755" s="70"/>
      <c r="W755" s="70"/>
      <c r="X755" s="70"/>
      <c r="Y755" s="70"/>
      <c r="Z755" s="70"/>
    </row>
    <row r="756" spans="1:26" ht="13">
      <c r="A756" s="70"/>
      <c r="B756" s="70"/>
      <c r="C756" s="70"/>
      <c r="D756" s="70"/>
      <c r="E756" s="70"/>
      <c r="F756" s="70"/>
      <c r="G756" s="70"/>
      <c r="H756" s="70"/>
      <c r="I756" s="70"/>
      <c r="J756" s="70"/>
      <c r="K756" s="70"/>
      <c r="L756" s="70"/>
      <c r="M756" s="70"/>
      <c r="N756" s="70"/>
      <c r="O756" s="70"/>
      <c r="P756" s="70"/>
      <c r="Q756" s="70"/>
      <c r="R756" s="70"/>
      <c r="S756" s="70"/>
      <c r="T756" s="70"/>
      <c r="U756" s="70"/>
      <c r="V756" s="70"/>
      <c r="W756" s="70"/>
      <c r="X756" s="70"/>
      <c r="Y756" s="70"/>
      <c r="Z756" s="70"/>
    </row>
    <row r="757" spans="1:26" ht="13">
      <c r="A757" s="70"/>
      <c r="B757" s="70"/>
      <c r="C757" s="70"/>
      <c r="D757" s="70"/>
      <c r="E757" s="70"/>
      <c r="F757" s="70"/>
      <c r="G757" s="70"/>
      <c r="H757" s="70"/>
      <c r="I757" s="70"/>
      <c r="J757" s="70"/>
      <c r="K757" s="70"/>
      <c r="L757" s="70"/>
      <c r="M757" s="70"/>
      <c r="N757" s="70"/>
      <c r="O757" s="70"/>
      <c r="P757" s="70"/>
      <c r="Q757" s="70"/>
      <c r="R757" s="70"/>
      <c r="S757" s="70"/>
      <c r="T757" s="70"/>
      <c r="U757" s="70"/>
      <c r="V757" s="70"/>
      <c r="W757" s="70"/>
      <c r="X757" s="70"/>
      <c r="Y757" s="70"/>
      <c r="Z757" s="70"/>
    </row>
    <row r="758" spans="1:26" ht="13">
      <c r="A758" s="70"/>
      <c r="B758" s="70"/>
      <c r="C758" s="70"/>
      <c r="D758" s="70"/>
      <c r="E758" s="70"/>
      <c r="F758" s="70"/>
      <c r="G758" s="70"/>
      <c r="H758" s="70"/>
      <c r="I758" s="70"/>
      <c r="J758" s="70"/>
      <c r="K758" s="70"/>
      <c r="L758" s="70"/>
      <c r="M758" s="70"/>
      <c r="N758" s="70"/>
      <c r="O758" s="70"/>
      <c r="P758" s="70"/>
      <c r="Q758" s="70"/>
      <c r="R758" s="70"/>
      <c r="S758" s="70"/>
      <c r="T758" s="70"/>
      <c r="U758" s="70"/>
      <c r="V758" s="70"/>
      <c r="W758" s="70"/>
      <c r="X758" s="70"/>
      <c r="Y758" s="70"/>
      <c r="Z758" s="70"/>
    </row>
    <row r="759" spans="1:26" ht="13">
      <c r="A759" s="70"/>
      <c r="B759" s="70"/>
      <c r="C759" s="70"/>
      <c r="D759" s="70"/>
      <c r="E759" s="70"/>
      <c r="F759" s="70"/>
      <c r="G759" s="70"/>
      <c r="H759" s="70"/>
      <c r="I759" s="70"/>
      <c r="J759" s="70"/>
      <c r="K759" s="70"/>
      <c r="L759" s="70"/>
      <c r="M759" s="70"/>
      <c r="N759" s="70"/>
      <c r="O759" s="70"/>
      <c r="P759" s="70"/>
      <c r="Q759" s="70"/>
      <c r="R759" s="70"/>
      <c r="S759" s="70"/>
      <c r="T759" s="70"/>
      <c r="U759" s="70"/>
      <c r="V759" s="70"/>
      <c r="W759" s="70"/>
      <c r="X759" s="70"/>
      <c r="Y759" s="70"/>
      <c r="Z759" s="70"/>
    </row>
    <row r="760" spans="1:26" ht="13">
      <c r="A760" s="70"/>
      <c r="B760" s="70"/>
      <c r="C760" s="70"/>
      <c r="D760" s="70"/>
      <c r="E760" s="70"/>
      <c r="F760" s="70"/>
      <c r="G760" s="70"/>
      <c r="H760" s="70"/>
      <c r="I760" s="70"/>
      <c r="J760" s="70"/>
      <c r="K760" s="70"/>
      <c r="L760" s="70"/>
      <c r="M760" s="70"/>
      <c r="N760" s="70"/>
      <c r="O760" s="70"/>
      <c r="P760" s="70"/>
      <c r="Q760" s="70"/>
      <c r="R760" s="70"/>
      <c r="S760" s="70"/>
      <c r="T760" s="70"/>
      <c r="U760" s="70"/>
      <c r="V760" s="70"/>
      <c r="W760" s="70"/>
      <c r="X760" s="70"/>
      <c r="Y760" s="70"/>
      <c r="Z760" s="70"/>
    </row>
    <row r="761" spans="1:26" ht="13">
      <c r="A761" s="70"/>
      <c r="B761" s="70"/>
      <c r="C761" s="70"/>
      <c r="D761" s="70"/>
      <c r="E761" s="70"/>
      <c r="F761" s="70"/>
      <c r="G761" s="70"/>
      <c r="H761" s="70"/>
      <c r="I761" s="70"/>
      <c r="J761" s="70"/>
      <c r="K761" s="70"/>
      <c r="L761" s="70"/>
      <c r="M761" s="70"/>
      <c r="N761" s="70"/>
      <c r="O761" s="70"/>
      <c r="P761" s="70"/>
      <c r="Q761" s="70"/>
      <c r="R761" s="70"/>
      <c r="S761" s="70"/>
      <c r="T761" s="70"/>
      <c r="U761" s="70"/>
      <c r="V761" s="70"/>
      <c r="W761" s="70"/>
      <c r="X761" s="70"/>
      <c r="Y761" s="70"/>
      <c r="Z761" s="70"/>
    </row>
    <row r="762" spans="1:26" ht="13">
      <c r="A762" s="70"/>
      <c r="B762" s="70"/>
      <c r="C762" s="70"/>
      <c r="D762" s="70"/>
      <c r="E762" s="70"/>
      <c r="F762" s="70"/>
      <c r="G762" s="70"/>
      <c r="H762" s="70"/>
      <c r="I762" s="70"/>
      <c r="J762" s="70"/>
      <c r="K762" s="70"/>
      <c r="L762" s="70"/>
      <c r="M762" s="70"/>
      <c r="N762" s="70"/>
      <c r="O762" s="70"/>
      <c r="P762" s="70"/>
      <c r="Q762" s="70"/>
      <c r="R762" s="70"/>
      <c r="S762" s="70"/>
      <c r="T762" s="70"/>
      <c r="U762" s="70"/>
      <c r="V762" s="70"/>
      <c r="W762" s="70"/>
      <c r="X762" s="70"/>
      <c r="Y762" s="70"/>
      <c r="Z762" s="70"/>
    </row>
    <row r="763" spans="1:26" ht="13">
      <c r="A763" s="70"/>
      <c r="B763" s="70"/>
      <c r="C763" s="70"/>
      <c r="D763" s="70"/>
      <c r="E763" s="70"/>
      <c r="F763" s="70"/>
      <c r="G763" s="70"/>
      <c r="H763" s="70"/>
      <c r="I763" s="70"/>
      <c r="J763" s="70"/>
      <c r="K763" s="70"/>
      <c r="L763" s="70"/>
      <c r="M763" s="70"/>
      <c r="N763" s="70"/>
      <c r="O763" s="70"/>
      <c r="P763" s="70"/>
      <c r="Q763" s="70"/>
      <c r="R763" s="70"/>
      <c r="S763" s="70"/>
      <c r="T763" s="70"/>
      <c r="U763" s="70"/>
      <c r="V763" s="70"/>
      <c r="W763" s="70"/>
      <c r="X763" s="70"/>
      <c r="Y763" s="70"/>
      <c r="Z763" s="70"/>
    </row>
    <row r="764" spans="1:26" ht="13">
      <c r="A764" s="70"/>
      <c r="B764" s="70"/>
      <c r="C764" s="70"/>
      <c r="D764" s="70"/>
      <c r="E764" s="70"/>
      <c r="F764" s="70"/>
      <c r="G764" s="70"/>
      <c r="H764" s="70"/>
      <c r="I764" s="70"/>
      <c r="J764" s="70"/>
      <c r="K764" s="70"/>
      <c r="L764" s="70"/>
      <c r="M764" s="70"/>
      <c r="N764" s="70"/>
      <c r="O764" s="70"/>
      <c r="P764" s="70"/>
      <c r="Q764" s="70"/>
      <c r="R764" s="70"/>
      <c r="S764" s="70"/>
      <c r="T764" s="70"/>
      <c r="U764" s="70"/>
      <c r="V764" s="70"/>
      <c r="W764" s="70"/>
      <c r="X764" s="70"/>
      <c r="Y764" s="70"/>
      <c r="Z764" s="70"/>
    </row>
    <row r="765" spans="1:26" ht="13">
      <c r="A765" s="70"/>
      <c r="B765" s="70"/>
      <c r="C765" s="70"/>
      <c r="D765" s="70"/>
      <c r="E765" s="70"/>
      <c r="F765" s="70"/>
      <c r="G765" s="70"/>
      <c r="H765" s="70"/>
      <c r="I765" s="70"/>
      <c r="J765" s="70"/>
      <c r="K765" s="70"/>
      <c r="L765" s="70"/>
      <c r="M765" s="70"/>
      <c r="N765" s="70"/>
      <c r="O765" s="70"/>
      <c r="P765" s="70"/>
      <c r="Q765" s="70"/>
      <c r="R765" s="70"/>
      <c r="S765" s="70"/>
      <c r="T765" s="70"/>
      <c r="U765" s="70"/>
      <c r="V765" s="70"/>
      <c r="W765" s="70"/>
      <c r="X765" s="70"/>
      <c r="Y765" s="70"/>
      <c r="Z765" s="70"/>
    </row>
    <row r="766" spans="1:26" ht="13">
      <c r="A766" s="70"/>
      <c r="B766" s="70"/>
      <c r="C766" s="70"/>
      <c r="D766" s="70"/>
      <c r="E766" s="70"/>
      <c r="F766" s="70"/>
      <c r="G766" s="70"/>
      <c r="H766" s="70"/>
      <c r="I766" s="70"/>
      <c r="J766" s="70"/>
      <c r="K766" s="70"/>
      <c r="L766" s="70"/>
      <c r="M766" s="70"/>
      <c r="N766" s="70"/>
      <c r="O766" s="70"/>
      <c r="P766" s="70"/>
      <c r="Q766" s="70"/>
      <c r="R766" s="70"/>
      <c r="S766" s="70"/>
      <c r="T766" s="70"/>
      <c r="U766" s="70"/>
      <c r="V766" s="70"/>
      <c r="W766" s="70"/>
      <c r="X766" s="70"/>
      <c r="Y766" s="70"/>
      <c r="Z766" s="70"/>
    </row>
    <row r="767" spans="1:26" ht="13">
      <c r="A767" s="70"/>
      <c r="B767" s="70"/>
      <c r="C767" s="70"/>
      <c r="D767" s="70"/>
      <c r="E767" s="70"/>
      <c r="F767" s="70"/>
      <c r="G767" s="70"/>
      <c r="H767" s="70"/>
      <c r="I767" s="70"/>
      <c r="J767" s="70"/>
      <c r="K767" s="70"/>
      <c r="L767" s="70"/>
      <c r="M767" s="70"/>
      <c r="N767" s="70"/>
      <c r="O767" s="70"/>
      <c r="P767" s="70"/>
      <c r="Q767" s="70"/>
      <c r="R767" s="70"/>
      <c r="S767" s="70"/>
      <c r="T767" s="70"/>
      <c r="U767" s="70"/>
      <c r="V767" s="70"/>
      <c r="W767" s="70"/>
      <c r="X767" s="70"/>
      <c r="Y767" s="70"/>
      <c r="Z767" s="70"/>
    </row>
    <row r="768" spans="1:26" ht="13">
      <c r="A768" s="70"/>
      <c r="B768" s="70"/>
      <c r="C768" s="70"/>
      <c r="D768" s="70"/>
      <c r="E768" s="70"/>
      <c r="F768" s="70"/>
      <c r="G768" s="70"/>
      <c r="H768" s="70"/>
      <c r="I768" s="70"/>
      <c r="J768" s="70"/>
      <c r="K768" s="70"/>
      <c r="L768" s="70"/>
      <c r="M768" s="70"/>
      <c r="N768" s="70"/>
      <c r="O768" s="70"/>
      <c r="P768" s="70"/>
      <c r="Q768" s="70"/>
      <c r="R768" s="70"/>
      <c r="S768" s="70"/>
      <c r="T768" s="70"/>
      <c r="U768" s="70"/>
      <c r="V768" s="70"/>
      <c r="W768" s="70"/>
      <c r="X768" s="70"/>
      <c r="Y768" s="70"/>
      <c r="Z768" s="70"/>
    </row>
    <row r="769" spans="1:26" ht="13">
      <c r="A769" s="70"/>
      <c r="B769" s="70"/>
      <c r="C769" s="70"/>
      <c r="D769" s="70"/>
      <c r="E769" s="70"/>
      <c r="F769" s="70"/>
      <c r="G769" s="70"/>
      <c r="H769" s="70"/>
      <c r="I769" s="70"/>
      <c r="J769" s="70"/>
      <c r="K769" s="70"/>
      <c r="L769" s="70"/>
      <c r="M769" s="70"/>
      <c r="N769" s="70"/>
      <c r="O769" s="70"/>
      <c r="P769" s="70"/>
      <c r="Q769" s="70"/>
      <c r="R769" s="70"/>
      <c r="S769" s="70"/>
      <c r="T769" s="70"/>
      <c r="U769" s="70"/>
      <c r="V769" s="70"/>
      <c r="W769" s="70"/>
      <c r="X769" s="70"/>
      <c r="Y769" s="70"/>
      <c r="Z769" s="70"/>
    </row>
    <row r="770" spans="1:26" ht="13">
      <c r="A770" s="70"/>
      <c r="B770" s="70"/>
      <c r="C770" s="70"/>
      <c r="D770" s="70"/>
      <c r="E770" s="70"/>
      <c r="F770" s="70"/>
      <c r="G770" s="70"/>
      <c r="H770" s="70"/>
      <c r="I770" s="70"/>
      <c r="J770" s="70"/>
      <c r="K770" s="70"/>
      <c r="L770" s="70"/>
      <c r="M770" s="70"/>
      <c r="N770" s="70"/>
      <c r="O770" s="70"/>
      <c r="P770" s="70"/>
      <c r="Q770" s="70"/>
      <c r="R770" s="70"/>
      <c r="S770" s="70"/>
      <c r="T770" s="70"/>
      <c r="U770" s="70"/>
      <c r="V770" s="70"/>
      <c r="W770" s="70"/>
      <c r="X770" s="70"/>
      <c r="Y770" s="70"/>
      <c r="Z770" s="70"/>
    </row>
    <row r="771" spans="1:26" ht="13">
      <c r="A771" s="70"/>
      <c r="B771" s="70"/>
      <c r="C771" s="70"/>
      <c r="D771" s="70"/>
      <c r="E771" s="70"/>
      <c r="F771" s="70"/>
      <c r="G771" s="70"/>
      <c r="H771" s="70"/>
      <c r="I771" s="70"/>
      <c r="J771" s="70"/>
      <c r="K771" s="70"/>
      <c r="L771" s="70"/>
      <c r="M771" s="70"/>
      <c r="N771" s="70"/>
      <c r="O771" s="70"/>
      <c r="P771" s="70"/>
      <c r="Q771" s="70"/>
      <c r="R771" s="70"/>
      <c r="S771" s="70"/>
      <c r="T771" s="70"/>
      <c r="U771" s="70"/>
      <c r="V771" s="70"/>
      <c r="W771" s="70"/>
      <c r="X771" s="70"/>
      <c r="Y771" s="70"/>
      <c r="Z771" s="70"/>
    </row>
    <row r="772" spans="1:26" ht="13">
      <c r="A772" s="70"/>
      <c r="B772" s="70"/>
      <c r="C772" s="70"/>
      <c r="D772" s="70"/>
      <c r="E772" s="70"/>
      <c r="F772" s="70"/>
      <c r="G772" s="70"/>
      <c r="H772" s="70"/>
      <c r="I772" s="70"/>
      <c r="J772" s="70"/>
      <c r="K772" s="70"/>
      <c r="L772" s="70"/>
      <c r="M772" s="70"/>
      <c r="N772" s="70"/>
      <c r="O772" s="70"/>
      <c r="P772" s="70"/>
      <c r="Q772" s="70"/>
      <c r="R772" s="70"/>
      <c r="S772" s="70"/>
      <c r="T772" s="70"/>
      <c r="U772" s="70"/>
      <c r="V772" s="70"/>
      <c r="W772" s="70"/>
      <c r="X772" s="70"/>
      <c r="Y772" s="70"/>
      <c r="Z772" s="70"/>
    </row>
    <row r="773" spans="1:26" ht="13">
      <c r="A773" s="70"/>
      <c r="B773" s="70"/>
      <c r="C773" s="70"/>
      <c r="D773" s="70"/>
      <c r="E773" s="70"/>
      <c r="F773" s="70"/>
      <c r="G773" s="70"/>
      <c r="H773" s="70"/>
      <c r="I773" s="70"/>
      <c r="J773" s="70"/>
      <c r="K773" s="70"/>
      <c r="L773" s="70"/>
      <c r="M773" s="70"/>
      <c r="N773" s="70"/>
      <c r="O773" s="70"/>
      <c r="P773" s="70"/>
      <c r="Q773" s="70"/>
      <c r="R773" s="70"/>
      <c r="S773" s="70"/>
      <c r="T773" s="70"/>
      <c r="U773" s="70"/>
      <c r="V773" s="70"/>
      <c r="W773" s="70"/>
      <c r="X773" s="70"/>
      <c r="Y773" s="70"/>
      <c r="Z773" s="70"/>
    </row>
    <row r="774" spans="1:26" ht="13">
      <c r="A774" s="70"/>
      <c r="B774" s="70"/>
      <c r="C774" s="70"/>
      <c r="D774" s="70"/>
      <c r="E774" s="70"/>
      <c r="F774" s="70"/>
      <c r="G774" s="70"/>
      <c r="H774" s="70"/>
      <c r="I774" s="70"/>
      <c r="J774" s="70"/>
      <c r="K774" s="70"/>
      <c r="L774" s="70"/>
      <c r="M774" s="70"/>
      <c r="N774" s="70"/>
      <c r="O774" s="70"/>
      <c r="P774" s="70"/>
      <c r="Q774" s="70"/>
      <c r="R774" s="70"/>
      <c r="S774" s="70"/>
      <c r="T774" s="70"/>
      <c r="U774" s="70"/>
      <c r="V774" s="70"/>
      <c r="W774" s="70"/>
      <c r="X774" s="70"/>
      <c r="Y774" s="70"/>
      <c r="Z774" s="70"/>
    </row>
    <row r="775" spans="1:26" ht="13">
      <c r="A775" s="70"/>
      <c r="B775" s="70"/>
      <c r="C775" s="70"/>
      <c r="D775" s="70"/>
      <c r="E775" s="70"/>
      <c r="F775" s="70"/>
      <c r="G775" s="70"/>
      <c r="H775" s="70"/>
      <c r="I775" s="70"/>
      <c r="J775" s="70"/>
      <c r="K775" s="70"/>
      <c r="L775" s="70"/>
      <c r="M775" s="70"/>
      <c r="N775" s="70"/>
      <c r="O775" s="70"/>
      <c r="P775" s="70"/>
      <c r="Q775" s="70"/>
      <c r="R775" s="70"/>
      <c r="S775" s="70"/>
      <c r="T775" s="70"/>
      <c r="U775" s="70"/>
      <c r="V775" s="70"/>
      <c r="W775" s="70"/>
      <c r="X775" s="70"/>
      <c r="Y775" s="70"/>
      <c r="Z775" s="70"/>
    </row>
    <row r="776" spans="1:26" ht="13">
      <c r="A776" s="70"/>
      <c r="B776" s="70"/>
      <c r="C776" s="70"/>
      <c r="D776" s="70"/>
      <c r="E776" s="70"/>
      <c r="F776" s="70"/>
      <c r="G776" s="70"/>
      <c r="H776" s="70"/>
      <c r="I776" s="70"/>
      <c r="J776" s="70"/>
      <c r="K776" s="70"/>
      <c r="L776" s="70"/>
      <c r="M776" s="70"/>
      <c r="N776" s="70"/>
      <c r="O776" s="70"/>
      <c r="P776" s="70"/>
      <c r="Q776" s="70"/>
      <c r="R776" s="70"/>
      <c r="S776" s="70"/>
      <c r="T776" s="70"/>
      <c r="U776" s="70"/>
      <c r="V776" s="70"/>
      <c r="W776" s="70"/>
      <c r="X776" s="70"/>
      <c r="Y776" s="70"/>
      <c r="Z776" s="70"/>
    </row>
    <row r="777" spans="1:26" ht="13">
      <c r="A777" s="70"/>
      <c r="B777" s="70"/>
      <c r="C777" s="70"/>
      <c r="D777" s="70"/>
      <c r="E777" s="70"/>
      <c r="F777" s="70"/>
      <c r="G777" s="70"/>
      <c r="H777" s="70"/>
      <c r="I777" s="70"/>
      <c r="J777" s="70"/>
      <c r="K777" s="70"/>
      <c r="L777" s="70"/>
      <c r="M777" s="70"/>
      <c r="N777" s="70"/>
      <c r="O777" s="70"/>
      <c r="P777" s="70"/>
      <c r="Q777" s="70"/>
      <c r="R777" s="70"/>
      <c r="S777" s="70"/>
      <c r="T777" s="70"/>
      <c r="U777" s="70"/>
      <c r="V777" s="70"/>
      <c r="W777" s="70"/>
      <c r="X777" s="70"/>
      <c r="Y777" s="70"/>
      <c r="Z777" s="70"/>
    </row>
    <row r="778" spans="1:26" ht="13">
      <c r="A778" s="70"/>
      <c r="B778" s="70"/>
      <c r="C778" s="70"/>
      <c r="D778" s="70"/>
      <c r="E778" s="70"/>
      <c r="F778" s="70"/>
      <c r="G778" s="70"/>
      <c r="H778" s="70"/>
      <c r="I778" s="70"/>
      <c r="J778" s="70"/>
      <c r="K778" s="70"/>
      <c r="L778" s="70"/>
      <c r="M778" s="70"/>
      <c r="N778" s="70"/>
      <c r="O778" s="70"/>
      <c r="P778" s="70"/>
      <c r="Q778" s="70"/>
      <c r="R778" s="70"/>
      <c r="S778" s="70"/>
      <c r="T778" s="70"/>
      <c r="U778" s="70"/>
      <c r="V778" s="70"/>
      <c r="W778" s="70"/>
      <c r="X778" s="70"/>
      <c r="Y778" s="70"/>
      <c r="Z778" s="70"/>
    </row>
    <row r="779" spans="1:26" ht="13">
      <c r="A779" s="70"/>
      <c r="B779" s="70"/>
      <c r="C779" s="70"/>
      <c r="D779" s="70"/>
      <c r="E779" s="70"/>
      <c r="F779" s="70"/>
      <c r="G779" s="70"/>
      <c r="H779" s="70"/>
      <c r="I779" s="70"/>
      <c r="J779" s="70"/>
      <c r="K779" s="70"/>
      <c r="L779" s="70"/>
      <c r="M779" s="70"/>
      <c r="N779" s="70"/>
      <c r="O779" s="70"/>
      <c r="P779" s="70"/>
      <c r="Q779" s="70"/>
      <c r="R779" s="70"/>
      <c r="S779" s="70"/>
      <c r="T779" s="70"/>
      <c r="U779" s="70"/>
      <c r="V779" s="70"/>
      <c r="W779" s="70"/>
      <c r="X779" s="70"/>
      <c r="Y779" s="70"/>
      <c r="Z779" s="70"/>
    </row>
    <row r="780" spans="1:26" ht="13">
      <c r="A780" s="70"/>
      <c r="B780" s="70"/>
      <c r="C780" s="70"/>
      <c r="D780" s="70"/>
      <c r="E780" s="70"/>
      <c r="F780" s="70"/>
      <c r="G780" s="70"/>
      <c r="H780" s="70"/>
      <c r="I780" s="70"/>
      <c r="J780" s="70"/>
      <c r="K780" s="70"/>
      <c r="L780" s="70"/>
      <c r="M780" s="70"/>
      <c r="N780" s="70"/>
      <c r="O780" s="70"/>
      <c r="P780" s="70"/>
      <c r="Q780" s="70"/>
      <c r="R780" s="70"/>
      <c r="S780" s="70"/>
      <c r="T780" s="70"/>
      <c r="U780" s="70"/>
      <c r="V780" s="70"/>
      <c r="W780" s="70"/>
      <c r="X780" s="70"/>
      <c r="Y780" s="70"/>
      <c r="Z780" s="70"/>
    </row>
    <row r="781" spans="1:26" ht="13">
      <c r="A781" s="70"/>
      <c r="B781" s="70"/>
      <c r="C781" s="70"/>
      <c r="D781" s="70"/>
      <c r="E781" s="70"/>
      <c r="F781" s="70"/>
      <c r="G781" s="70"/>
      <c r="H781" s="70"/>
      <c r="I781" s="70"/>
      <c r="J781" s="70"/>
      <c r="K781" s="70"/>
      <c r="L781" s="70"/>
      <c r="M781" s="70"/>
      <c r="N781" s="70"/>
      <c r="O781" s="70"/>
      <c r="P781" s="70"/>
      <c r="Q781" s="70"/>
      <c r="R781" s="70"/>
      <c r="S781" s="70"/>
      <c r="T781" s="70"/>
      <c r="U781" s="70"/>
      <c r="V781" s="70"/>
      <c r="W781" s="70"/>
      <c r="X781" s="70"/>
      <c r="Y781" s="70"/>
      <c r="Z781" s="70"/>
    </row>
    <row r="782" spans="1:26" ht="13">
      <c r="A782" s="70"/>
      <c r="B782" s="70"/>
      <c r="C782" s="70"/>
      <c r="D782" s="70"/>
      <c r="E782" s="70"/>
      <c r="F782" s="70"/>
      <c r="G782" s="70"/>
      <c r="H782" s="70"/>
      <c r="I782" s="70"/>
      <c r="J782" s="70"/>
      <c r="K782" s="70"/>
      <c r="L782" s="70"/>
      <c r="M782" s="70"/>
      <c r="N782" s="70"/>
      <c r="O782" s="70"/>
      <c r="P782" s="70"/>
      <c r="Q782" s="70"/>
      <c r="R782" s="70"/>
      <c r="S782" s="70"/>
      <c r="T782" s="70"/>
      <c r="U782" s="70"/>
      <c r="V782" s="70"/>
      <c r="W782" s="70"/>
      <c r="X782" s="70"/>
      <c r="Y782" s="70"/>
      <c r="Z782" s="70"/>
    </row>
    <row r="783" spans="1:26" ht="13">
      <c r="A783" s="70"/>
      <c r="B783" s="70"/>
      <c r="C783" s="70"/>
      <c r="D783" s="70"/>
      <c r="E783" s="70"/>
      <c r="F783" s="70"/>
      <c r="G783" s="70"/>
      <c r="H783" s="70"/>
      <c r="I783" s="70"/>
      <c r="J783" s="70"/>
      <c r="K783" s="70"/>
      <c r="L783" s="70"/>
      <c r="M783" s="70"/>
      <c r="N783" s="70"/>
      <c r="O783" s="70"/>
      <c r="P783" s="70"/>
      <c r="Q783" s="70"/>
      <c r="R783" s="70"/>
      <c r="S783" s="70"/>
      <c r="T783" s="70"/>
      <c r="U783" s="70"/>
      <c r="V783" s="70"/>
      <c r="W783" s="70"/>
      <c r="X783" s="70"/>
      <c r="Y783" s="70"/>
      <c r="Z783" s="70"/>
    </row>
    <row r="784" spans="1:26" ht="13">
      <c r="A784" s="70"/>
      <c r="B784" s="70"/>
      <c r="C784" s="70"/>
      <c r="D784" s="70"/>
      <c r="E784" s="70"/>
      <c r="F784" s="70"/>
      <c r="G784" s="70"/>
      <c r="H784" s="70"/>
      <c r="I784" s="70"/>
      <c r="J784" s="70"/>
      <c r="K784" s="70"/>
      <c r="L784" s="70"/>
      <c r="M784" s="70"/>
      <c r="N784" s="70"/>
      <c r="O784" s="70"/>
      <c r="P784" s="70"/>
      <c r="Q784" s="70"/>
      <c r="R784" s="70"/>
      <c r="S784" s="70"/>
      <c r="T784" s="70"/>
      <c r="U784" s="70"/>
      <c r="V784" s="70"/>
      <c r="W784" s="70"/>
      <c r="X784" s="70"/>
      <c r="Y784" s="70"/>
      <c r="Z784" s="70"/>
    </row>
    <row r="785" spans="1:26" ht="13">
      <c r="A785" s="70"/>
      <c r="B785" s="70"/>
      <c r="C785" s="70"/>
      <c r="D785" s="70"/>
      <c r="E785" s="70"/>
      <c r="F785" s="70"/>
      <c r="G785" s="70"/>
      <c r="H785" s="70"/>
      <c r="I785" s="70"/>
      <c r="J785" s="70"/>
      <c r="K785" s="70"/>
      <c r="L785" s="70"/>
      <c r="M785" s="70"/>
      <c r="N785" s="70"/>
      <c r="O785" s="70"/>
      <c r="P785" s="70"/>
      <c r="Q785" s="70"/>
      <c r="R785" s="70"/>
      <c r="S785" s="70"/>
      <c r="T785" s="70"/>
      <c r="U785" s="70"/>
      <c r="V785" s="70"/>
      <c r="W785" s="70"/>
      <c r="X785" s="70"/>
      <c r="Y785" s="70"/>
      <c r="Z785" s="70"/>
    </row>
    <row r="786" spans="1:26" ht="13">
      <c r="A786" s="70"/>
      <c r="B786" s="70"/>
      <c r="C786" s="70"/>
      <c r="D786" s="70"/>
      <c r="E786" s="70"/>
      <c r="F786" s="70"/>
      <c r="G786" s="70"/>
      <c r="H786" s="70"/>
      <c r="I786" s="70"/>
      <c r="J786" s="70"/>
      <c r="K786" s="70"/>
      <c r="L786" s="70"/>
      <c r="M786" s="70"/>
      <c r="N786" s="70"/>
      <c r="O786" s="70"/>
      <c r="P786" s="70"/>
      <c r="Q786" s="70"/>
      <c r="R786" s="70"/>
      <c r="S786" s="70"/>
      <c r="T786" s="70"/>
      <c r="U786" s="70"/>
      <c r="V786" s="70"/>
      <c r="W786" s="70"/>
      <c r="X786" s="70"/>
      <c r="Y786" s="70"/>
      <c r="Z786" s="70"/>
    </row>
    <row r="787" spans="1:26" ht="13">
      <c r="A787" s="70"/>
      <c r="B787" s="70"/>
      <c r="C787" s="70"/>
      <c r="D787" s="70"/>
      <c r="E787" s="70"/>
      <c r="F787" s="70"/>
      <c r="G787" s="70"/>
      <c r="H787" s="70"/>
      <c r="I787" s="70"/>
      <c r="J787" s="70"/>
      <c r="K787" s="70"/>
      <c r="L787" s="70"/>
      <c r="M787" s="70"/>
      <c r="N787" s="70"/>
      <c r="O787" s="70"/>
      <c r="P787" s="70"/>
      <c r="Q787" s="70"/>
      <c r="R787" s="70"/>
      <c r="S787" s="70"/>
      <c r="T787" s="70"/>
      <c r="U787" s="70"/>
      <c r="V787" s="70"/>
      <c r="W787" s="70"/>
      <c r="X787" s="70"/>
      <c r="Y787" s="70"/>
      <c r="Z787" s="70"/>
    </row>
    <row r="788" spans="1:26" ht="13">
      <c r="A788" s="70"/>
      <c r="B788" s="70"/>
      <c r="C788" s="70"/>
      <c r="D788" s="70"/>
      <c r="E788" s="70"/>
      <c r="F788" s="70"/>
      <c r="G788" s="70"/>
      <c r="H788" s="70"/>
      <c r="I788" s="70"/>
      <c r="J788" s="70"/>
      <c r="K788" s="70"/>
      <c r="L788" s="70"/>
      <c r="M788" s="70"/>
      <c r="N788" s="70"/>
      <c r="O788" s="70"/>
      <c r="P788" s="70"/>
      <c r="Q788" s="70"/>
      <c r="R788" s="70"/>
      <c r="S788" s="70"/>
      <c r="T788" s="70"/>
      <c r="U788" s="70"/>
      <c r="V788" s="70"/>
      <c r="W788" s="70"/>
      <c r="X788" s="70"/>
      <c r="Y788" s="70"/>
      <c r="Z788" s="70"/>
    </row>
    <row r="789" spans="1:26" ht="13">
      <c r="A789" s="70"/>
      <c r="B789" s="70"/>
      <c r="C789" s="70"/>
      <c r="D789" s="70"/>
      <c r="E789" s="70"/>
      <c r="F789" s="70"/>
      <c r="G789" s="70"/>
      <c r="H789" s="70"/>
      <c r="I789" s="70"/>
      <c r="J789" s="70"/>
      <c r="K789" s="70"/>
      <c r="L789" s="70"/>
      <c r="M789" s="70"/>
      <c r="N789" s="70"/>
      <c r="O789" s="70"/>
      <c r="P789" s="70"/>
      <c r="Q789" s="70"/>
      <c r="R789" s="70"/>
      <c r="S789" s="70"/>
      <c r="T789" s="70"/>
      <c r="U789" s="70"/>
      <c r="V789" s="70"/>
      <c r="W789" s="70"/>
      <c r="X789" s="70"/>
      <c r="Y789" s="70"/>
      <c r="Z789" s="70"/>
    </row>
    <row r="790" spans="1:26" ht="13">
      <c r="A790" s="70"/>
      <c r="B790" s="70"/>
      <c r="C790" s="70"/>
      <c r="D790" s="70"/>
      <c r="E790" s="70"/>
      <c r="F790" s="70"/>
      <c r="G790" s="70"/>
      <c r="H790" s="70"/>
      <c r="I790" s="70"/>
      <c r="J790" s="70"/>
      <c r="K790" s="70"/>
      <c r="L790" s="70"/>
      <c r="M790" s="70"/>
      <c r="N790" s="70"/>
      <c r="O790" s="70"/>
      <c r="P790" s="70"/>
      <c r="Q790" s="70"/>
      <c r="R790" s="70"/>
      <c r="S790" s="70"/>
      <c r="T790" s="70"/>
      <c r="U790" s="70"/>
      <c r="V790" s="70"/>
      <c r="W790" s="70"/>
      <c r="X790" s="70"/>
      <c r="Y790" s="70"/>
      <c r="Z790" s="70"/>
    </row>
    <row r="791" spans="1:26" ht="13">
      <c r="A791" s="70"/>
      <c r="B791" s="70"/>
      <c r="C791" s="70"/>
      <c r="D791" s="70"/>
      <c r="E791" s="70"/>
      <c r="F791" s="70"/>
      <c r="G791" s="70"/>
      <c r="H791" s="70"/>
      <c r="I791" s="70"/>
      <c r="J791" s="70"/>
      <c r="K791" s="70"/>
      <c r="L791" s="70"/>
      <c r="M791" s="70"/>
      <c r="N791" s="70"/>
      <c r="O791" s="70"/>
      <c r="P791" s="70"/>
      <c r="Q791" s="70"/>
      <c r="R791" s="70"/>
      <c r="S791" s="70"/>
      <c r="T791" s="70"/>
      <c r="U791" s="70"/>
      <c r="V791" s="70"/>
      <c r="W791" s="70"/>
      <c r="X791" s="70"/>
      <c r="Y791" s="70"/>
      <c r="Z791" s="70"/>
    </row>
    <row r="792" spans="1:26" ht="13">
      <c r="A792" s="70"/>
      <c r="B792" s="70"/>
      <c r="C792" s="70"/>
      <c r="D792" s="70"/>
      <c r="E792" s="70"/>
      <c r="F792" s="70"/>
      <c r="G792" s="70"/>
      <c r="H792" s="70"/>
      <c r="I792" s="70"/>
      <c r="J792" s="70"/>
      <c r="K792" s="70"/>
      <c r="L792" s="70"/>
      <c r="M792" s="70"/>
      <c r="N792" s="70"/>
      <c r="O792" s="70"/>
      <c r="P792" s="70"/>
      <c r="Q792" s="70"/>
      <c r="R792" s="70"/>
      <c r="S792" s="70"/>
      <c r="T792" s="70"/>
      <c r="U792" s="70"/>
      <c r="V792" s="70"/>
      <c r="W792" s="70"/>
      <c r="X792" s="70"/>
      <c r="Y792" s="70"/>
      <c r="Z792" s="70"/>
    </row>
    <row r="793" spans="1:26" ht="13">
      <c r="A793" s="70"/>
      <c r="B793" s="70"/>
      <c r="C793" s="70"/>
      <c r="D793" s="70"/>
      <c r="E793" s="70"/>
      <c r="F793" s="70"/>
      <c r="G793" s="70"/>
      <c r="H793" s="70"/>
      <c r="I793" s="70"/>
      <c r="J793" s="70"/>
      <c r="K793" s="70"/>
      <c r="L793" s="70"/>
      <c r="M793" s="70"/>
      <c r="N793" s="70"/>
      <c r="O793" s="70"/>
      <c r="P793" s="70"/>
      <c r="Q793" s="70"/>
      <c r="R793" s="70"/>
      <c r="S793" s="70"/>
      <c r="T793" s="70"/>
      <c r="U793" s="70"/>
      <c r="V793" s="70"/>
      <c r="W793" s="70"/>
      <c r="X793" s="70"/>
      <c r="Y793" s="70"/>
      <c r="Z793" s="70"/>
    </row>
    <row r="794" spans="1:26" ht="13">
      <c r="A794" s="70"/>
      <c r="B794" s="70"/>
      <c r="C794" s="70"/>
      <c r="D794" s="70"/>
      <c r="E794" s="70"/>
      <c r="F794" s="70"/>
      <c r="G794" s="70"/>
      <c r="H794" s="70"/>
      <c r="I794" s="70"/>
      <c r="J794" s="70"/>
      <c r="K794" s="70"/>
      <c r="L794" s="70"/>
      <c r="M794" s="70"/>
      <c r="N794" s="70"/>
      <c r="O794" s="70"/>
      <c r="P794" s="70"/>
      <c r="Q794" s="70"/>
      <c r="R794" s="70"/>
      <c r="S794" s="70"/>
      <c r="T794" s="70"/>
      <c r="U794" s="70"/>
      <c r="V794" s="70"/>
      <c r="W794" s="70"/>
      <c r="X794" s="70"/>
      <c r="Y794" s="70"/>
      <c r="Z794" s="70"/>
    </row>
    <row r="795" spans="1:26" ht="13">
      <c r="A795" s="70"/>
      <c r="B795" s="70"/>
      <c r="C795" s="70"/>
      <c r="D795" s="70"/>
      <c r="E795" s="70"/>
      <c r="F795" s="70"/>
      <c r="G795" s="70"/>
      <c r="H795" s="70"/>
      <c r="I795" s="70"/>
      <c r="J795" s="70"/>
      <c r="K795" s="70"/>
      <c r="L795" s="70"/>
      <c r="M795" s="70"/>
      <c r="N795" s="70"/>
      <c r="O795" s="70"/>
      <c r="P795" s="70"/>
      <c r="Q795" s="70"/>
      <c r="R795" s="70"/>
      <c r="S795" s="70"/>
      <c r="T795" s="70"/>
      <c r="U795" s="70"/>
      <c r="V795" s="70"/>
      <c r="W795" s="70"/>
      <c r="X795" s="70"/>
      <c r="Y795" s="70"/>
      <c r="Z795" s="70"/>
    </row>
    <row r="796" spans="1:26" ht="13">
      <c r="A796" s="70"/>
      <c r="B796" s="70"/>
      <c r="C796" s="70"/>
      <c r="D796" s="70"/>
      <c r="E796" s="70"/>
      <c r="F796" s="70"/>
      <c r="G796" s="70"/>
      <c r="H796" s="70"/>
      <c r="I796" s="70"/>
      <c r="J796" s="70"/>
      <c r="K796" s="70"/>
      <c r="L796" s="70"/>
      <c r="M796" s="70"/>
      <c r="N796" s="70"/>
      <c r="O796" s="70"/>
      <c r="P796" s="70"/>
      <c r="Q796" s="70"/>
      <c r="R796" s="70"/>
      <c r="S796" s="70"/>
      <c r="T796" s="70"/>
      <c r="U796" s="70"/>
      <c r="V796" s="70"/>
      <c r="W796" s="70"/>
      <c r="X796" s="70"/>
      <c r="Y796" s="70"/>
      <c r="Z796" s="70"/>
    </row>
    <row r="797" spans="1:26" ht="13">
      <c r="A797" s="70"/>
      <c r="B797" s="70"/>
      <c r="C797" s="70"/>
      <c r="D797" s="70"/>
      <c r="E797" s="70"/>
      <c r="F797" s="70"/>
      <c r="G797" s="70"/>
      <c r="H797" s="70"/>
      <c r="I797" s="70"/>
      <c r="J797" s="70"/>
      <c r="K797" s="70"/>
      <c r="L797" s="70"/>
      <c r="M797" s="70"/>
      <c r="N797" s="70"/>
      <c r="O797" s="70"/>
      <c r="P797" s="70"/>
      <c r="Q797" s="70"/>
      <c r="R797" s="70"/>
      <c r="S797" s="70"/>
      <c r="T797" s="70"/>
      <c r="U797" s="70"/>
      <c r="V797" s="70"/>
      <c r="W797" s="70"/>
      <c r="X797" s="70"/>
      <c r="Y797" s="70"/>
      <c r="Z797" s="70"/>
    </row>
    <row r="798" spans="1:26" ht="13">
      <c r="A798" s="70"/>
      <c r="B798" s="70"/>
      <c r="C798" s="70"/>
      <c r="D798" s="70"/>
      <c r="E798" s="70"/>
      <c r="F798" s="70"/>
      <c r="G798" s="70"/>
      <c r="H798" s="70"/>
      <c r="I798" s="70"/>
      <c r="J798" s="70"/>
      <c r="K798" s="70"/>
      <c r="L798" s="70"/>
      <c r="M798" s="70"/>
      <c r="N798" s="70"/>
      <c r="O798" s="70"/>
      <c r="P798" s="70"/>
      <c r="Q798" s="70"/>
      <c r="R798" s="70"/>
      <c r="S798" s="70"/>
      <c r="T798" s="70"/>
      <c r="U798" s="70"/>
      <c r="V798" s="70"/>
      <c r="W798" s="70"/>
      <c r="X798" s="70"/>
      <c r="Y798" s="70"/>
      <c r="Z798" s="70"/>
    </row>
    <row r="799" spans="1:26" ht="13">
      <c r="A799" s="70"/>
      <c r="B799" s="70"/>
      <c r="C799" s="70"/>
      <c r="D799" s="70"/>
      <c r="E799" s="70"/>
      <c r="F799" s="70"/>
      <c r="G799" s="70"/>
      <c r="H799" s="70"/>
      <c r="I799" s="70"/>
      <c r="J799" s="70"/>
      <c r="K799" s="70"/>
      <c r="L799" s="70"/>
      <c r="M799" s="70"/>
      <c r="N799" s="70"/>
      <c r="O799" s="70"/>
      <c r="P799" s="70"/>
      <c r="Q799" s="70"/>
      <c r="R799" s="70"/>
      <c r="S799" s="70"/>
      <c r="T799" s="70"/>
      <c r="U799" s="70"/>
      <c r="V799" s="70"/>
      <c r="W799" s="70"/>
      <c r="X799" s="70"/>
      <c r="Y799" s="70"/>
      <c r="Z799" s="70"/>
    </row>
    <row r="800" spans="1:26" ht="13">
      <c r="A800" s="70"/>
      <c r="B800" s="70"/>
      <c r="C800" s="70"/>
      <c r="D800" s="70"/>
      <c r="E800" s="70"/>
      <c r="F800" s="70"/>
      <c r="G800" s="70"/>
      <c r="H800" s="70"/>
      <c r="I800" s="70"/>
      <c r="J800" s="70"/>
      <c r="K800" s="70"/>
      <c r="L800" s="70"/>
      <c r="M800" s="70"/>
      <c r="N800" s="70"/>
      <c r="O800" s="70"/>
      <c r="P800" s="70"/>
      <c r="Q800" s="70"/>
      <c r="R800" s="70"/>
      <c r="S800" s="70"/>
      <c r="T800" s="70"/>
      <c r="U800" s="70"/>
      <c r="V800" s="70"/>
      <c r="W800" s="70"/>
      <c r="X800" s="70"/>
      <c r="Y800" s="70"/>
      <c r="Z800" s="70"/>
    </row>
    <row r="801" spans="1:26" ht="13">
      <c r="A801" s="70"/>
      <c r="B801" s="70"/>
      <c r="C801" s="70"/>
      <c r="D801" s="70"/>
      <c r="E801" s="70"/>
      <c r="F801" s="70"/>
      <c r="G801" s="70"/>
      <c r="H801" s="70"/>
      <c r="I801" s="70"/>
      <c r="J801" s="70"/>
      <c r="K801" s="70"/>
      <c r="L801" s="70"/>
      <c r="M801" s="70"/>
      <c r="N801" s="70"/>
      <c r="O801" s="70"/>
      <c r="P801" s="70"/>
      <c r="Q801" s="70"/>
      <c r="R801" s="70"/>
      <c r="S801" s="70"/>
      <c r="T801" s="70"/>
      <c r="U801" s="70"/>
      <c r="V801" s="70"/>
      <c r="W801" s="70"/>
      <c r="X801" s="70"/>
      <c r="Y801" s="70"/>
      <c r="Z801" s="70"/>
    </row>
    <row r="802" spans="1:26" ht="13">
      <c r="A802" s="70"/>
      <c r="B802" s="70"/>
      <c r="C802" s="70"/>
      <c r="D802" s="70"/>
      <c r="E802" s="70"/>
      <c r="F802" s="70"/>
      <c r="G802" s="70"/>
      <c r="H802" s="70"/>
      <c r="I802" s="70"/>
      <c r="J802" s="70"/>
      <c r="K802" s="70"/>
      <c r="L802" s="70"/>
      <c r="M802" s="70"/>
      <c r="N802" s="70"/>
      <c r="O802" s="70"/>
      <c r="P802" s="70"/>
      <c r="Q802" s="70"/>
      <c r="R802" s="70"/>
      <c r="S802" s="70"/>
      <c r="T802" s="70"/>
      <c r="U802" s="70"/>
      <c r="V802" s="70"/>
      <c r="W802" s="70"/>
      <c r="X802" s="70"/>
      <c r="Y802" s="70"/>
      <c r="Z802" s="70"/>
    </row>
    <row r="803" spans="1:26" ht="13">
      <c r="A803" s="70"/>
      <c r="B803" s="70"/>
      <c r="C803" s="70"/>
      <c r="D803" s="70"/>
      <c r="E803" s="70"/>
      <c r="F803" s="70"/>
      <c r="G803" s="70"/>
      <c r="H803" s="70"/>
      <c r="I803" s="70"/>
      <c r="J803" s="70"/>
      <c r="K803" s="70"/>
      <c r="L803" s="70"/>
      <c r="M803" s="70"/>
      <c r="N803" s="70"/>
      <c r="O803" s="70"/>
      <c r="P803" s="70"/>
      <c r="Q803" s="70"/>
      <c r="R803" s="70"/>
      <c r="S803" s="70"/>
      <c r="T803" s="70"/>
      <c r="U803" s="70"/>
      <c r="V803" s="70"/>
      <c r="W803" s="70"/>
      <c r="X803" s="70"/>
      <c r="Y803" s="70"/>
      <c r="Z803" s="70"/>
    </row>
    <row r="804" spans="1:26" ht="13">
      <c r="A804" s="70"/>
      <c r="B804" s="70"/>
      <c r="C804" s="70"/>
      <c r="D804" s="70"/>
      <c r="E804" s="70"/>
      <c r="F804" s="70"/>
      <c r="G804" s="70"/>
      <c r="H804" s="70"/>
      <c r="I804" s="70"/>
      <c r="J804" s="70"/>
      <c r="K804" s="70"/>
      <c r="L804" s="70"/>
      <c r="M804" s="70"/>
      <c r="N804" s="70"/>
      <c r="O804" s="70"/>
      <c r="P804" s="70"/>
      <c r="Q804" s="70"/>
      <c r="R804" s="70"/>
      <c r="S804" s="70"/>
      <c r="T804" s="70"/>
      <c r="U804" s="70"/>
      <c r="V804" s="70"/>
      <c r="W804" s="70"/>
      <c r="X804" s="70"/>
      <c r="Y804" s="70"/>
      <c r="Z804" s="70"/>
    </row>
    <row r="805" spans="1:26" ht="13">
      <c r="A805" s="70"/>
      <c r="B805" s="70"/>
      <c r="C805" s="70"/>
      <c r="D805" s="70"/>
      <c r="E805" s="70"/>
      <c r="F805" s="70"/>
      <c r="G805" s="70"/>
      <c r="H805" s="70"/>
      <c r="I805" s="70"/>
      <c r="J805" s="70"/>
      <c r="K805" s="70"/>
      <c r="L805" s="70"/>
      <c r="M805" s="70"/>
      <c r="N805" s="70"/>
      <c r="O805" s="70"/>
      <c r="P805" s="70"/>
      <c r="Q805" s="70"/>
      <c r="R805" s="70"/>
      <c r="S805" s="70"/>
      <c r="T805" s="70"/>
      <c r="U805" s="70"/>
      <c r="V805" s="70"/>
      <c r="W805" s="70"/>
      <c r="X805" s="70"/>
      <c r="Y805" s="70"/>
      <c r="Z805" s="70"/>
    </row>
    <row r="806" spans="1:26" ht="13">
      <c r="A806" s="70"/>
      <c r="B806" s="70"/>
      <c r="C806" s="70"/>
      <c r="D806" s="70"/>
      <c r="E806" s="70"/>
      <c r="F806" s="70"/>
      <c r="G806" s="70"/>
      <c r="H806" s="70"/>
      <c r="I806" s="70"/>
      <c r="J806" s="70"/>
      <c r="K806" s="70"/>
      <c r="L806" s="70"/>
      <c r="M806" s="70"/>
      <c r="N806" s="70"/>
      <c r="O806" s="70"/>
      <c r="P806" s="70"/>
      <c r="Q806" s="70"/>
      <c r="R806" s="70"/>
      <c r="S806" s="70"/>
      <c r="T806" s="70"/>
      <c r="U806" s="70"/>
      <c r="V806" s="70"/>
      <c r="W806" s="70"/>
      <c r="X806" s="70"/>
      <c r="Y806" s="70"/>
      <c r="Z806" s="70"/>
    </row>
    <row r="807" spans="1:26" ht="13">
      <c r="A807" s="70"/>
      <c r="B807" s="70"/>
      <c r="C807" s="70"/>
      <c r="D807" s="70"/>
      <c r="E807" s="70"/>
      <c r="F807" s="70"/>
      <c r="G807" s="70"/>
      <c r="H807" s="70"/>
      <c r="I807" s="70"/>
      <c r="J807" s="70"/>
      <c r="K807" s="70"/>
      <c r="L807" s="70"/>
      <c r="M807" s="70"/>
      <c r="N807" s="70"/>
      <c r="O807" s="70"/>
      <c r="P807" s="70"/>
      <c r="Q807" s="70"/>
      <c r="R807" s="70"/>
      <c r="S807" s="70"/>
      <c r="T807" s="70"/>
      <c r="U807" s="70"/>
      <c r="V807" s="70"/>
      <c r="W807" s="70"/>
      <c r="X807" s="70"/>
      <c r="Y807" s="70"/>
      <c r="Z807" s="70"/>
    </row>
    <row r="808" spans="1:26" ht="13">
      <c r="A808" s="70"/>
      <c r="B808" s="70"/>
      <c r="C808" s="70"/>
      <c r="D808" s="70"/>
      <c r="E808" s="70"/>
      <c r="F808" s="70"/>
      <c r="G808" s="70"/>
      <c r="H808" s="70"/>
      <c r="I808" s="70"/>
      <c r="J808" s="70"/>
      <c r="K808" s="70"/>
      <c r="L808" s="70"/>
      <c r="M808" s="70"/>
      <c r="N808" s="70"/>
      <c r="O808" s="70"/>
      <c r="P808" s="70"/>
      <c r="Q808" s="70"/>
      <c r="R808" s="70"/>
      <c r="S808" s="70"/>
      <c r="T808" s="70"/>
      <c r="U808" s="70"/>
      <c r="V808" s="70"/>
      <c r="W808" s="70"/>
      <c r="X808" s="70"/>
      <c r="Y808" s="70"/>
      <c r="Z808" s="70"/>
    </row>
    <row r="809" spans="1:26" ht="13">
      <c r="A809" s="70"/>
      <c r="B809" s="70"/>
      <c r="C809" s="70"/>
      <c r="D809" s="70"/>
      <c r="E809" s="70"/>
      <c r="F809" s="70"/>
      <c r="G809" s="70"/>
      <c r="H809" s="70"/>
      <c r="I809" s="70"/>
      <c r="J809" s="70"/>
      <c r="K809" s="70"/>
      <c r="L809" s="70"/>
      <c r="M809" s="70"/>
      <c r="N809" s="70"/>
      <c r="O809" s="70"/>
      <c r="P809" s="70"/>
      <c r="Q809" s="70"/>
      <c r="R809" s="70"/>
      <c r="S809" s="70"/>
      <c r="T809" s="70"/>
      <c r="U809" s="70"/>
      <c r="V809" s="70"/>
      <c r="W809" s="70"/>
      <c r="X809" s="70"/>
      <c r="Y809" s="70"/>
      <c r="Z809" s="70"/>
    </row>
    <row r="810" spans="1:26" ht="13">
      <c r="A810" s="70"/>
      <c r="B810" s="70"/>
      <c r="C810" s="70"/>
      <c r="D810" s="70"/>
      <c r="E810" s="70"/>
      <c r="F810" s="70"/>
      <c r="G810" s="70"/>
      <c r="H810" s="70"/>
      <c r="I810" s="70"/>
      <c r="J810" s="70"/>
      <c r="K810" s="70"/>
      <c r="L810" s="70"/>
      <c r="M810" s="70"/>
      <c r="N810" s="70"/>
      <c r="O810" s="70"/>
      <c r="P810" s="70"/>
      <c r="Q810" s="70"/>
      <c r="R810" s="70"/>
      <c r="S810" s="70"/>
      <c r="T810" s="70"/>
      <c r="U810" s="70"/>
      <c r="V810" s="70"/>
      <c r="W810" s="70"/>
      <c r="X810" s="70"/>
      <c r="Y810" s="70"/>
      <c r="Z810" s="70"/>
    </row>
    <row r="811" spans="1:26" ht="13">
      <c r="A811" s="70"/>
      <c r="B811" s="70"/>
      <c r="C811" s="70"/>
      <c r="D811" s="70"/>
      <c r="E811" s="70"/>
      <c r="F811" s="70"/>
      <c r="G811" s="70"/>
      <c r="H811" s="70"/>
      <c r="I811" s="70"/>
      <c r="J811" s="70"/>
      <c r="K811" s="70"/>
      <c r="L811" s="70"/>
      <c r="M811" s="70"/>
      <c r="N811" s="70"/>
      <c r="O811" s="70"/>
      <c r="P811" s="70"/>
      <c r="Q811" s="70"/>
      <c r="R811" s="70"/>
      <c r="S811" s="70"/>
      <c r="T811" s="70"/>
      <c r="U811" s="70"/>
      <c r="V811" s="70"/>
      <c r="W811" s="70"/>
      <c r="X811" s="70"/>
      <c r="Y811" s="70"/>
      <c r="Z811" s="70"/>
    </row>
    <row r="812" spans="1:26" ht="13">
      <c r="A812" s="70"/>
      <c r="B812" s="70"/>
      <c r="C812" s="70"/>
      <c r="D812" s="70"/>
      <c r="E812" s="70"/>
      <c r="F812" s="70"/>
      <c r="G812" s="70"/>
      <c r="H812" s="70"/>
      <c r="I812" s="70"/>
      <c r="J812" s="70"/>
      <c r="K812" s="70"/>
      <c r="L812" s="70"/>
      <c r="M812" s="70"/>
      <c r="N812" s="70"/>
      <c r="O812" s="70"/>
      <c r="P812" s="70"/>
      <c r="Q812" s="70"/>
      <c r="R812" s="70"/>
      <c r="S812" s="70"/>
      <c r="T812" s="70"/>
      <c r="U812" s="70"/>
      <c r="V812" s="70"/>
      <c r="W812" s="70"/>
      <c r="X812" s="70"/>
      <c r="Y812" s="70"/>
      <c r="Z812" s="70"/>
    </row>
    <row r="813" spans="1:26" ht="13">
      <c r="A813" s="70"/>
      <c r="B813" s="70"/>
      <c r="C813" s="70"/>
      <c r="D813" s="70"/>
      <c r="E813" s="70"/>
      <c r="F813" s="70"/>
      <c r="G813" s="70"/>
      <c r="H813" s="70"/>
      <c r="I813" s="70"/>
      <c r="J813" s="70"/>
      <c r="K813" s="70"/>
      <c r="L813" s="70"/>
      <c r="M813" s="70"/>
      <c r="N813" s="70"/>
      <c r="O813" s="70"/>
      <c r="P813" s="70"/>
      <c r="Q813" s="70"/>
      <c r="R813" s="70"/>
      <c r="S813" s="70"/>
      <c r="T813" s="70"/>
      <c r="U813" s="70"/>
      <c r="V813" s="70"/>
      <c r="W813" s="70"/>
      <c r="X813" s="70"/>
      <c r="Y813" s="70"/>
      <c r="Z813" s="70"/>
    </row>
    <row r="814" spans="1:26" ht="13">
      <c r="A814" s="70"/>
      <c r="B814" s="70"/>
      <c r="C814" s="70"/>
      <c r="D814" s="70"/>
      <c r="E814" s="70"/>
      <c r="F814" s="70"/>
      <c r="G814" s="70"/>
      <c r="H814" s="70"/>
      <c r="I814" s="70"/>
      <c r="J814" s="70"/>
      <c r="K814" s="70"/>
      <c r="L814" s="70"/>
      <c r="M814" s="70"/>
      <c r="N814" s="70"/>
      <c r="O814" s="70"/>
      <c r="P814" s="70"/>
      <c r="Q814" s="70"/>
      <c r="R814" s="70"/>
      <c r="S814" s="70"/>
      <c r="T814" s="70"/>
      <c r="U814" s="70"/>
      <c r="V814" s="70"/>
      <c r="W814" s="70"/>
      <c r="X814" s="70"/>
      <c r="Y814" s="70"/>
      <c r="Z814" s="70"/>
    </row>
    <row r="815" spans="1:26" ht="13">
      <c r="A815" s="70"/>
      <c r="B815" s="70"/>
      <c r="C815" s="70"/>
      <c r="D815" s="70"/>
      <c r="E815" s="70"/>
      <c r="F815" s="70"/>
      <c r="G815" s="70"/>
      <c r="H815" s="70"/>
      <c r="I815" s="70"/>
      <c r="J815" s="70"/>
      <c r="K815" s="70"/>
      <c r="L815" s="70"/>
      <c r="M815" s="70"/>
      <c r="N815" s="70"/>
      <c r="O815" s="70"/>
      <c r="P815" s="70"/>
      <c r="Q815" s="70"/>
      <c r="R815" s="70"/>
      <c r="S815" s="70"/>
      <c r="T815" s="70"/>
      <c r="U815" s="70"/>
      <c r="V815" s="70"/>
      <c r="W815" s="70"/>
      <c r="X815" s="70"/>
      <c r="Y815" s="70"/>
      <c r="Z815" s="70"/>
    </row>
    <row r="816" spans="1:26" ht="13">
      <c r="A816" s="70"/>
      <c r="B816" s="70"/>
      <c r="C816" s="70"/>
      <c r="D816" s="70"/>
      <c r="E816" s="70"/>
      <c r="F816" s="70"/>
      <c r="G816" s="70"/>
      <c r="H816" s="70"/>
      <c r="I816" s="70"/>
      <c r="J816" s="70"/>
      <c r="K816" s="70"/>
      <c r="L816" s="70"/>
      <c r="M816" s="70"/>
      <c r="N816" s="70"/>
      <c r="O816" s="70"/>
      <c r="P816" s="70"/>
      <c r="Q816" s="70"/>
      <c r="R816" s="70"/>
      <c r="S816" s="70"/>
      <c r="T816" s="70"/>
      <c r="U816" s="70"/>
      <c r="V816" s="70"/>
      <c r="W816" s="70"/>
      <c r="X816" s="70"/>
      <c r="Y816" s="70"/>
      <c r="Z816" s="70"/>
    </row>
    <row r="817" spans="1:26" ht="13">
      <c r="A817" s="70"/>
      <c r="B817" s="70"/>
      <c r="C817" s="70"/>
      <c r="D817" s="70"/>
      <c r="E817" s="70"/>
      <c r="F817" s="70"/>
      <c r="G817" s="70"/>
      <c r="H817" s="70"/>
      <c r="I817" s="70"/>
      <c r="J817" s="70"/>
      <c r="K817" s="70"/>
      <c r="L817" s="70"/>
      <c r="M817" s="70"/>
      <c r="N817" s="70"/>
      <c r="O817" s="70"/>
      <c r="P817" s="70"/>
      <c r="Q817" s="70"/>
      <c r="R817" s="70"/>
      <c r="S817" s="70"/>
      <c r="T817" s="70"/>
      <c r="U817" s="70"/>
      <c r="V817" s="70"/>
      <c r="W817" s="70"/>
      <c r="X817" s="70"/>
      <c r="Y817" s="70"/>
      <c r="Z817" s="70"/>
    </row>
    <row r="818" spans="1:26" ht="13">
      <c r="A818" s="70"/>
      <c r="B818" s="70"/>
      <c r="C818" s="70"/>
      <c r="D818" s="70"/>
      <c r="E818" s="70"/>
      <c r="F818" s="70"/>
      <c r="G818" s="70"/>
      <c r="H818" s="70"/>
      <c r="I818" s="70"/>
      <c r="J818" s="70"/>
      <c r="K818" s="70"/>
      <c r="L818" s="70"/>
      <c r="M818" s="70"/>
      <c r="N818" s="70"/>
      <c r="O818" s="70"/>
      <c r="P818" s="70"/>
      <c r="Q818" s="70"/>
      <c r="R818" s="70"/>
      <c r="S818" s="70"/>
      <c r="T818" s="70"/>
      <c r="U818" s="70"/>
      <c r="V818" s="70"/>
      <c r="W818" s="70"/>
      <c r="X818" s="70"/>
      <c r="Y818" s="70"/>
      <c r="Z818" s="70"/>
    </row>
    <row r="819" spans="1:26" ht="13">
      <c r="A819" s="70"/>
      <c r="B819" s="70"/>
      <c r="C819" s="70"/>
      <c r="D819" s="70"/>
      <c r="E819" s="70"/>
      <c r="F819" s="70"/>
      <c r="G819" s="70"/>
      <c r="H819" s="70"/>
      <c r="I819" s="70"/>
      <c r="J819" s="70"/>
      <c r="K819" s="70"/>
      <c r="L819" s="70"/>
      <c r="M819" s="70"/>
      <c r="N819" s="70"/>
      <c r="O819" s="70"/>
      <c r="P819" s="70"/>
      <c r="Q819" s="70"/>
      <c r="R819" s="70"/>
      <c r="S819" s="70"/>
      <c r="T819" s="70"/>
      <c r="U819" s="70"/>
      <c r="V819" s="70"/>
      <c r="W819" s="70"/>
      <c r="X819" s="70"/>
      <c r="Y819" s="70"/>
      <c r="Z819" s="70"/>
    </row>
    <row r="820" spans="1:26" ht="13">
      <c r="A820" s="70"/>
      <c r="B820" s="70"/>
      <c r="C820" s="70"/>
      <c r="D820" s="70"/>
      <c r="E820" s="70"/>
      <c r="F820" s="70"/>
      <c r="G820" s="70"/>
      <c r="H820" s="70"/>
      <c r="I820" s="70"/>
      <c r="J820" s="70"/>
      <c r="K820" s="70"/>
      <c r="L820" s="70"/>
      <c r="M820" s="70"/>
      <c r="N820" s="70"/>
      <c r="O820" s="70"/>
      <c r="P820" s="70"/>
      <c r="Q820" s="70"/>
      <c r="R820" s="70"/>
      <c r="S820" s="70"/>
      <c r="T820" s="70"/>
      <c r="U820" s="70"/>
      <c r="V820" s="70"/>
      <c r="W820" s="70"/>
      <c r="X820" s="70"/>
      <c r="Y820" s="70"/>
      <c r="Z820" s="70"/>
    </row>
    <row r="821" spans="1:26" ht="13">
      <c r="A821" s="70"/>
      <c r="B821" s="70"/>
      <c r="C821" s="70"/>
      <c r="D821" s="70"/>
      <c r="E821" s="70"/>
      <c r="F821" s="70"/>
      <c r="G821" s="70"/>
      <c r="H821" s="70"/>
      <c r="I821" s="70"/>
      <c r="J821" s="70"/>
      <c r="K821" s="70"/>
      <c r="L821" s="70"/>
      <c r="M821" s="70"/>
      <c r="N821" s="70"/>
      <c r="O821" s="70"/>
      <c r="P821" s="70"/>
      <c r="Q821" s="70"/>
      <c r="R821" s="70"/>
      <c r="S821" s="70"/>
      <c r="T821" s="70"/>
      <c r="U821" s="70"/>
      <c r="V821" s="70"/>
      <c r="W821" s="70"/>
      <c r="X821" s="70"/>
      <c r="Y821" s="70"/>
      <c r="Z821" s="70"/>
    </row>
    <row r="822" spans="1:26" ht="13">
      <c r="A822" s="70"/>
      <c r="B822" s="70"/>
      <c r="C822" s="70"/>
      <c r="D822" s="70"/>
      <c r="E822" s="70"/>
      <c r="F822" s="70"/>
      <c r="G822" s="70"/>
      <c r="H822" s="70"/>
      <c r="I822" s="70"/>
      <c r="J822" s="70"/>
      <c r="K822" s="70"/>
      <c r="L822" s="70"/>
      <c r="M822" s="70"/>
      <c r="N822" s="70"/>
      <c r="O822" s="70"/>
      <c r="P822" s="70"/>
      <c r="Q822" s="70"/>
      <c r="R822" s="70"/>
      <c r="S822" s="70"/>
      <c r="T822" s="70"/>
      <c r="U822" s="70"/>
      <c r="V822" s="70"/>
      <c r="W822" s="70"/>
      <c r="X822" s="70"/>
      <c r="Y822" s="70"/>
      <c r="Z822" s="70"/>
    </row>
    <row r="823" spans="1:26" ht="13">
      <c r="A823" s="70"/>
      <c r="B823" s="70"/>
      <c r="C823" s="70"/>
      <c r="D823" s="70"/>
      <c r="E823" s="70"/>
      <c r="F823" s="70"/>
      <c r="G823" s="70"/>
      <c r="H823" s="70"/>
      <c r="I823" s="70"/>
      <c r="J823" s="70"/>
      <c r="K823" s="70"/>
      <c r="L823" s="70"/>
      <c r="M823" s="70"/>
      <c r="N823" s="70"/>
      <c r="O823" s="70"/>
      <c r="P823" s="70"/>
      <c r="Q823" s="70"/>
      <c r="R823" s="70"/>
      <c r="S823" s="70"/>
      <c r="T823" s="70"/>
      <c r="U823" s="70"/>
      <c r="V823" s="70"/>
      <c r="W823" s="70"/>
      <c r="X823" s="70"/>
      <c r="Y823" s="70"/>
      <c r="Z823" s="70"/>
    </row>
    <row r="824" spans="1:26" ht="13">
      <c r="A824" s="70"/>
      <c r="B824" s="70"/>
      <c r="C824" s="70"/>
      <c r="D824" s="70"/>
      <c r="E824" s="70"/>
      <c r="F824" s="70"/>
      <c r="G824" s="70"/>
      <c r="H824" s="70"/>
      <c r="I824" s="70"/>
      <c r="J824" s="70"/>
      <c r="K824" s="70"/>
      <c r="L824" s="70"/>
      <c r="M824" s="70"/>
      <c r="N824" s="70"/>
      <c r="O824" s="70"/>
      <c r="P824" s="70"/>
      <c r="Q824" s="70"/>
      <c r="R824" s="70"/>
      <c r="S824" s="70"/>
      <c r="T824" s="70"/>
      <c r="U824" s="70"/>
      <c r="V824" s="70"/>
      <c r="W824" s="70"/>
      <c r="X824" s="70"/>
      <c r="Y824" s="70"/>
      <c r="Z824" s="70"/>
    </row>
    <row r="825" spans="1:26" ht="13">
      <c r="A825" s="70"/>
      <c r="B825" s="70"/>
      <c r="C825" s="70"/>
      <c r="D825" s="70"/>
      <c r="E825" s="70"/>
      <c r="F825" s="70"/>
      <c r="G825" s="70"/>
      <c r="H825" s="70"/>
      <c r="I825" s="70"/>
      <c r="J825" s="70"/>
      <c r="K825" s="70"/>
      <c r="L825" s="70"/>
      <c r="M825" s="70"/>
      <c r="N825" s="70"/>
      <c r="O825" s="70"/>
      <c r="P825" s="70"/>
      <c r="Q825" s="70"/>
      <c r="R825" s="70"/>
      <c r="S825" s="70"/>
      <c r="T825" s="70"/>
      <c r="U825" s="70"/>
      <c r="V825" s="70"/>
      <c r="W825" s="70"/>
      <c r="X825" s="70"/>
      <c r="Y825" s="70"/>
      <c r="Z825" s="70"/>
    </row>
    <row r="826" spans="1:26" ht="13">
      <c r="A826" s="70"/>
      <c r="B826" s="70"/>
      <c r="C826" s="70"/>
      <c r="D826" s="70"/>
      <c r="E826" s="70"/>
      <c r="F826" s="70"/>
      <c r="G826" s="70"/>
      <c r="H826" s="70"/>
      <c r="I826" s="70"/>
      <c r="J826" s="70"/>
      <c r="K826" s="70"/>
      <c r="L826" s="70"/>
      <c r="M826" s="70"/>
      <c r="N826" s="70"/>
      <c r="O826" s="70"/>
      <c r="P826" s="70"/>
      <c r="Q826" s="70"/>
      <c r="R826" s="70"/>
      <c r="S826" s="70"/>
      <c r="T826" s="70"/>
      <c r="U826" s="70"/>
      <c r="V826" s="70"/>
      <c r="W826" s="70"/>
      <c r="X826" s="70"/>
      <c r="Y826" s="70"/>
      <c r="Z826" s="70"/>
    </row>
    <row r="827" spans="1:26" ht="13">
      <c r="A827" s="70"/>
      <c r="B827" s="70"/>
      <c r="C827" s="70"/>
      <c r="D827" s="70"/>
      <c r="E827" s="70"/>
      <c r="F827" s="70"/>
      <c r="G827" s="70"/>
      <c r="H827" s="70"/>
      <c r="I827" s="70"/>
      <c r="J827" s="70"/>
      <c r="K827" s="70"/>
      <c r="L827" s="70"/>
      <c r="M827" s="70"/>
      <c r="N827" s="70"/>
      <c r="O827" s="70"/>
      <c r="P827" s="70"/>
      <c r="Q827" s="70"/>
      <c r="R827" s="70"/>
      <c r="S827" s="70"/>
      <c r="T827" s="70"/>
      <c r="U827" s="70"/>
      <c r="V827" s="70"/>
      <c r="W827" s="70"/>
      <c r="X827" s="70"/>
      <c r="Y827" s="70"/>
      <c r="Z827" s="70"/>
    </row>
    <row r="828" spans="1:26" ht="13">
      <c r="A828" s="70"/>
      <c r="B828" s="70"/>
      <c r="C828" s="70"/>
      <c r="D828" s="70"/>
      <c r="E828" s="70"/>
      <c r="F828" s="70"/>
      <c r="G828" s="70"/>
      <c r="H828" s="70"/>
      <c r="I828" s="70"/>
      <c r="J828" s="70"/>
      <c r="K828" s="70"/>
      <c r="L828" s="70"/>
      <c r="M828" s="70"/>
      <c r="N828" s="70"/>
      <c r="O828" s="70"/>
      <c r="P828" s="70"/>
      <c r="Q828" s="70"/>
      <c r="R828" s="70"/>
      <c r="S828" s="70"/>
      <c r="T828" s="70"/>
      <c r="U828" s="70"/>
      <c r="V828" s="70"/>
      <c r="W828" s="70"/>
      <c r="X828" s="70"/>
      <c r="Y828" s="70"/>
      <c r="Z828" s="70"/>
    </row>
    <row r="829" spans="1:26" ht="13">
      <c r="A829" s="70"/>
      <c r="B829" s="70"/>
      <c r="C829" s="70"/>
      <c r="D829" s="70"/>
      <c r="E829" s="70"/>
      <c r="F829" s="70"/>
      <c r="G829" s="70"/>
      <c r="H829" s="70"/>
      <c r="I829" s="70"/>
      <c r="J829" s="70"/>
      <c r="K829" s="70"/>
      <c r="L829" s="70"/>
      <c r="M829" s="70"/>
      <c r="N829" s="70"/>
      <c r="O829" s="70"/>
      <c r="P829" s="70"/>
      <c r="Q829" s="70"/>
      <c r="R829" s="70"/>
      <c r="S829" s="70"/>
      <c r="T829" s="70"/>
      <c r="U829" s="70"/>
      <c r="V829" s="70"/>
      <c r="W829" s="70"/>
      <c r="X829" s="70"/>
      <c r="Y829" s="70"/>
      <c r="Z829" s="70"/>
    </row>
    <row r="830" spans="1:26" ht="13">
      <c r="A830" s="70"/>
      <c r="B830" s="70"/>
      <c r="C830" s="70"/>
      <c r="D830" s="70"/>
      <c r="E830" s="70"/>
      <c r="F830" s="70"/>
      <c r="G830" s="70"/>
      <c r="H830" s="70"/>
      <c r="I830" s="70"/>
      <c r="J830" s="70"/>
      <c r="K830" s="70"/>
      <c r="L830" s="70"/>
      <c r="M830" s="70"/>
      <c r="N830" s="70"/>
      <c r="O830" s="70"/>
      <c r="P830" s="70"/>
      <c r="Q830" s="70"/>
      <c r="R830" s="70"/>
      <c r="S830" s="70"/>
      <c r="T830" s="70"/>
      <c r="U830" s="70"/>
      <c r="V830" s="70"/>
      <c r="W830" s="70"/>
      <c r="X830" s="70"/>
      <c r="Y830" s="70"/>
      <c r="Z830" s="70"/>
    </row>
    <row r="831" spans="1:26" ht="13">
      <c r="A831" s="70"/>
      <c r="B831" s="70"/>
      <c r="C831" s="70"/>
      <c r="D831" s="70"/>
      <c r="E831" s="70"/>
      <c r="F831" s="70"/>
      <c r="G831" s="70"/>
      <c r="H831" s="70"/>
      <c r="I831" s="70"/>
      <c r="J831" s="70"/>
      <c r="K831" s="70"/>
      <c r="L831" s="70"/>
      <c r="M831" s="70"/>
      <c r="N831" s="70"/>
      <c r="O831" s="70"/>
      <c r="P831" s="70"/>
      <c r="Q831" s="70"/>
      <c r="R831" s="70"/>
      <c r="S831" s="70"/>
      <c r="T831" s="70"/>
      <c r="U831" s="70"/>
      <c r="V831" s="70"/>
      <c r="W831" s="70"/>
      <c r="X831" s="70"/>
      <c r="Y831" s="70"/>
      <c r="Z831" s="70"/>
    </row>
    <row r="832" spans="1:26" ht="13">
      <c r="A832" s="70"/>
      <c r="B832" s="70"/>
      <c r="C832" s="70"/>
      <c r="D832" s="70"/>
      <c r="E832" s="70"/>
      <c r="F832" s="70"/>
      <c r="G832" s="70"/>
      <c r="H832" s="70"/>
      <c r="I832" s="70"/>
      <c r="J832" s="70"/>
      <c r="K832" s="70"/>
      <c r="L832" s="70"/>
      <c r="M832" s="70"/>
      <c r="N832" s="70"/>
      <c r="O832" s="70"/>
      <c r="P832" s="70"/>
      <c r="Q832" s="70"/>
      <c r="R832" s="70"/>
      <c r="S832" s="70"/>
      <c r="T832" s="70"/>
      <c r="U832" s="70"/>
      <c r="V832" s="70"/>
      <c r="W832" s="70"/>
      <c r="X832" s="70"/>
      <c r="Y832" s="70"/>
      <c r="Z832" s="70"/>
    </row>
    <row r="833" spans="1:26" ht="13">
      <c r="A833" s="70"/>
      <c r="B833" s="70"/>
      <c r="C833" s="70"/>
      <c r="D833" s="70"/>
      <c r="E833" s="70"/>
      <c r="F833" s="70"/>
      <c r="G833" s="70"/>
      <c r="H833" s="70"/>
      <c r="I833" s="70"/>
      <c r="J833" s="70"/>
      <c r="K833" s="70"/>
      <c r="L833" s="70"/>
      <c r="M833" s="70"/>
      <c r="N833" s="70"/>
      <c r="O833" s="70"/>
      <c r="P833" s="70"/>
      <c r="Q833" s="70"/>
      <c r="R833" s="70"/>
      <c r="S833" s="70"/>
      <c r="T833" s="70"/>
      <c r="U833" s="70"/>
      <c r="V833" s="70"/>
      <c r="W833" s="70"/>
      <c r="X833" s="70"/>
      <c r="Y833" s="70"/>
      <c r="Z833" s="70"/>
    </row>
    <row r="834" spans="1:26" ht="13">
      <c r="A834" s="70"/>
      <c r="B834" s="70"/>
      <c r="C834" s="70"/>
      <c r="D834" s="70"/>
      <c r="E834" s="70"/>
      <c r="F834" s="70"/>
      <c r="G834" s="70"/>
      <c r="H834" s="70"/>
      <c r="I834" s="70"/>
      <c r="J834" s="70"/>
      <c r="K834" s="70"/>
      <c r="L834" s="70"/>
      <c r="M834" s="70"/>
      <c r="N834" s="70"/>
      <c r="O834" s="70"/>
      <c r="P834" s="70"/>
      <c r="Q834" s="70"/>
      <c r="R834" s="70"/>
      <c r="S834" s="70"/>
      <c r="T834" s="70"/>
      <c r="U834" s="70"/>
      <c r="V834" s="70"/>
      <c r="W834" s="70"/>
      <c r="X834" s="70"/>
      <c r="Y834" s="70"/>
      <c r="Z834" s="70"/>
    </row>
    <row r="835" spans="1:26" ht="13">
      <c r="A835" s="70"/>
      <c r="B835" s="70"/>
      <c r="C835" s="70"/>
      <c r="D835" s="70"/>
      <c r="E835" s="70"/>
      <c r="F835" s="70"/>
      <c r="G835" s="70"/>
      <c r="H835" s="70"/>
      <c r="I835" s="70"/>
      <c r="J835" s="70"/>
      <c r="K835" s="70"/>
      <c r="L835" s="70"/>
      <c r="M835" s="70"/>
      <c r="N835" s="70"/>
      <c r="O835" s="70"/>
      <c r="P835" s="70"/>
      <c r="Q835" s="70"/>
      <c r="R835" s="70"/>
      <c r="S835" s="70"/>
      <c r="T835" s="70"/>
      <c r="U835" s="70"/>
      <c r="V835" s="70"/>
      <c r="W835" s="70"/>
      <c r="X835" s="70"/>
      <c r="Y835" s="70"/>
      <c r="Z835" s="70"/>
    </row>
    <row r="836" spans="1:26" ht="13">
      <c r="A836" s="70"/>
      <c r="B836" s="70"/>
      <c r="C836" s="70"/>
      <c r="D836" s="70"/>
      <c r="E836" s="70"/>
      <c r="F836" s="70"/>
      <c r="G836" s="70"/>
      <c r="H836" s="70"/>
      <c r="I836" s="70"/>
      <c r="J836" s="70"/>
      <c r="K836" s="70"/>
      <c r="L836" s="70"/>
      <c r="M836" s="70"/>
      <c r="N836" s="70"/>
      <c r="O836" s="70"/>
      <c r="P836" s="70"/>
      <c r="Q836" s="70"/>
      <c r="R836" s="70"/>
      <c r="S836" s="70"/>
      <c r="T836" s="70"/>
      <c r="U836" s="70"/>
      <c r="V836" s="70"/>
      <c r="W836" s="70"/>
      <c r="X836" s="70"/>
      <c r="Y836" s="70"/>
      <c r="Z836" s="70"/>
    </row>
    <row r="837" spans="1:26" ht="13">
      <c r="A837" s="70"/>
      <c r="B837" s="70"/>
      <c r="C837" s="70"/>
      <c r="D837" s="70"/>
      <c r="E837" s="70"/>
      <c r="F837" s="70"/>
      <c r="G837" s="70"/>
      <c r="H837" s="70"/>
      <c r="I837" s="70"/>
      <c r="J837" s="70"/>
      <c r="K837" s="70"/>
      <c r="L837" s="70"/>
      <c r="M837" s="70"/>
      <c r="N837" s="70"/>
      <c r="O837" s="70"/>
      <c r="P837" s="70"/>
      <c r="Q837" s="70"/>
      <c r="R837" s="70"/>
      <c r="S837" s="70"/>
      <c r="T837" s="70"/>
      <c r="U837" s="70"/>
      <c r="V837" s="70"/>
      <c r="W837" s="70"/>
      <c r="X837" s="70"/>
      <c r="Y837" s="70"/>
      <c r="Z837" s="70"/>
    </row>
    <row r="838" spans="1:26" ht="13">
      <c r="A838" s="70"/>
      <c r="B838" s="70"/>
      <c r="C838" s="70"/>
      <c r="D838" s="70"/>
      <c r="E838" s="70"/>
      <c r="F838" s="70"/>
      <c r="G838" s="70"/>
      <c r="H838" s="70"/>
      <c r="I838" s="70"/>
      <c r="J838" s="70"/>
      <c r="K838" s="70"/>
      <c r="L838" s="70"/>
      <c r="M838" s="70"/>
      <c r="N838" s="70"/>
      <c r="O838" s="70"/>
      <c r="P838" s="70"/>
      <c r="Q838" s="70"/>
      <c r="R838" s="70"/>
      <c r="S838" s="70"/>
      <c r="T838" s="70"/>
      <c r="U838" s="70"/>
      <c r="V838" s="70"/>
      <c r="W838" s="70"/>
      <c r="X838" s="70"/>
      <c r="Y838" s="70"/>
      <c r="Z838" s="70"/>
    </row>
    <row r="839" spans="1:26" ht="13">
      <c r="A839" s="70"/>
      <c r="B839" s="70"/>
      <c r="C839" s="70"/>
      <c r="D839" s="70"/>
      <c r="E839" s="70"/>
      <c r="F839" s="70"/>
      <c r="G839" s="70"/>
      <c r="H839" s="70"/>
      <c r="I839" s="70"/>
      <c r="J839" s="70"/>
      <c r="K839" s="70"/>
      <c r="L839" s="70"/>
      <c r="M839" s="70"/>
      <c r="N839" s="70"/>
      <c r="O839" s="70"/>
      <c r="P839" s="70"/>
      <c r="Q839" s="70"/>
      <c r="R839" s="70"/>
      <c r="S839" s="70"/>
      <c r="T839" s="70"/>
      <c r="U839" s="70"/>
      <c r="V839" s="70"/>
      <c r="W839" s="70"/>
      <c r="X839" s="70"/>
      <c r="Y839" s="70"/>
      <c r="Z839" s="70"/>
    </row>
    <row r="840" spans="1:26" ht="13">
      <c r="A840" s="70"/>
      <c r="B840" s="70"/>
      <c r="C840" s="70"/>
      <c r="D840" s="70"/>
      <c r="E840" s="70"/>
      <c r="F840" s="70"/>
      <c r="G840" s="70"/>
      <c r="H840" s="70"/>
      <c r="I840" s="70"/>
      <c r="J840" s="70"/>
      <c r="K840" s="70"/>
      <c r="L840" s="70"/>
      <c r="M840" s="70"/>
      <c r="N840" s="70"/>
      <c r="O840" s="70"/>
      <c r="P840" s="70"/>
      <c r="Q840" s="70"/>
      <c r="R840" s="70"/>
      <c r="S840" s="70"/>
      <c r="T840" s="70"/>
      <c r="U840" s="70"/>
      <c r="V840" s="70"/>
      <c r="W840" s="70"/>
      <c r="X840" s="70"/>
      <c r="Y840" s="70"/>
      <c r="Z840" s="70"/>
    </row>
    <row r="841" spans="1:26" ht="13">
      <c r="A841" s="70"/>
      <c r="B841" s="70"/>
      <c r="C841" s="70"/>
      <c r="D841" s="70"/>
      <c r="E841" s="70"/>
      <c r="F841" s="70"/>
      <c r="G841" s="70"/>
      <c r="H841" s="70"/>
      <c r="I841" s="70"/>
      <c r="J841" s="70"/>
      <c r="K841" s="70"/>
      <c r="L841" s="70"/>
      <c r="M841" s="70"/>
      <c r="N841" s="70"/>
      <c r="O841" s="70"/>
      <c r="P841" s="70"/>
      <c r="Q841" s="70"/>
      <c r="R841" s="70"/>
      <c r="S841" s="70"/>
      <c r="T841" s="70"/>
      <c r="U841" s="70"/>
      <c r="V841" s="70"/>
      <c r="W841" s="70"/>
      <c r="X841" s="70"/>
      <c r="Y841" s="70"/>
      <c r="Z841" s="70"/>
    </row>
    <row r="842" spans="1:26" ht="13">
      <c r="A842" s="70"/>
      <c r="B842" s="70"/>
      <c r="C842" s="70"/>
      <c r="D842" s="70"/>
      <c r="E842" s="70"/>
      <c r="F842" s="70"/>
      <c r="G842" s="70"/>
      <c r="H842" s="70"/>
      <c r="I842" s="70"/>
      <c r="J842" s="70"/>
      <c r="K842" s="70"/>
      <c r="L842" s="70"/>
      <c r="M842" s="70"/>
      <c r="N842" s="70"/>
      <c r="O842" s="70"/>
      <c r="P842" s="70"/>
      <c r="Q842" s="70"/>
      <c r="R842" s="70"/>
      <c r="S842" s="70"/>
      <c r="T842" s="70"/>
      <c r="U842" s="70"/>
      <c r="V842" s="70"/>
      <c r="W842" s="70"/>
      <c r="X842" s="70"/>
      <c r="Y842" s="70"/>
      <c r="Z842" s="70"/>
    </row>
    <row r="843" spans="1:26" ht="13">
      <c r="A843" s="70"/>
      <c r="B843" s="70"/>
      <c r="C843" s="70"/>
      <c r="D843" s="70"/>
      <c r="E843" s="70"/>
      <c r="F843" s="70"/>
      <c r="G843" s="70"/>
      <c r="H843" s="70"/>
      <c r="I843" s="70"/>
      <c r="J843" s="70"/>
      <c r="K843" s="70"/>
      <c r="L843" s="70"/>
      <c r="M843" s="70"/>
      <c r="N843" s="70"/>
      <c r="O843" s="70"/>
      <c r="P843" s="70"/>
      <c r="Q843" s="70"/>
      <c r="R843" s="70"/>
      <c r="S843" s="70"/>
      <c r="T843" s="70"/>
      <c r="U843" s="70"/>
      <c r="V843" s="70"/>
      <c r="W843" s="70"/>
      <c r="X843" s="70"/>
      <c r="Y843" s="70"/>
      <c r="Z843" s="70"/>
    </row>
    <row r="844" spans="1:26" ht="13">
      <c r="A844" s="70"/>
      <c r="B844" s="70"/>
      <c r="C844" s="70"/>
      <c r="D844" s="70"/>
      <c r="E844" s="70"/>
      <c r="F844" s="70"/>
      <c r="G844" s="70"/>
      <c r="H844" s="70"/>
      <c r="I844" s="70"/>
      <c r="J844" s="70"/>
      <c r="K844" s="70"/>
      <c r="L844" s="70"/>
      <c r="M844" s="70"/>
      <c r="N844" s="70"/>
      <c r="O844" s="70"/>
      <c r="P844" s="70"/>
      <c r="Q844" s="70"/>
      <c r="R844" s="70"/>
      <c r="S844" s="70"/>
      <c r="T844" s="70"/>
      <c r="U844" s="70"/>
      <c r="V844" s="70"/>
      <c r="W844" s="70"/>
      <c r="X844" s="70"/>
      <c r="Y844" s="70"/>
      <c r="Z844" s="70"/>
    </row>
    <row r="845" spans="1:26" ht="13">
      <c r="A845" s="70"/>
      <c r="B845" s="70"/>
      <c r="C845" s="70"/>
      <c r="D845" s="70"/>
      <c r="E845" s="70"/>
      <c r="F845" s="70"/>
      <c r="G845" s="70"/>
      <c r="H845" s="70"/>
      <c r="I845" s="70"/>
      <c r="J845" s="70"/>
      <c r="K845" s="70"/>
      <c r="L845" s="70"/>
      <c r="M845" s="70"/>
      <c r="N845" s="70"/>
      <c r="O845" s="70"/>
      <c r="P845" s="70"/>
      <c r="Q845" s="70"/>
      <c r="R845" s="70"/>
      <c r="S845" s="70"/>
      <c r="T845" s="70"/>
      <c r="U845" s="70"/>
      <c r="V845" s="70"/>
      <c r="W845" s="70"/>
      <c r="X845" s="70"/>
      <c r="Y845" s="70"/>
      <c r="Z845" s="70"/>
    </row>
    <row r="846" spans="1:26" ht="13">
      <c r="A846" s="70"/>
      <c r="B846" s="70"/>
      <c r="C846" s="70"/>
      <c r="D846" s="70"/>
      <c r="E846" s="70"/>
      <c r="F846" s="70"/>
      <c r="G846" s="70"/>
      <c r="H846" s="70"/>
      <c r="I846" s="70"/>
      <c r="J846" s="70"/>
      <c r="K846" s="70"/>
      <c r="L846" s="70"/>
      <c r="M846" s="70"/>
      <c r="N846" s="70"/>
      <c r="O846" s="70"/>
      <c r="P846" s="70"/>
      <c r="Q846" s="70"/>
      <c r="R846" s="70"/>
      <c r="S846" s="70"/>
      <c r="T846" s="70"/>
      <c r="U846" s="70"/>
      <c r="V846" s="70"/>
      <c r="W846" s="70"/>
      <c r="X846" s="70"/>
      <c r="Y846" s="70"/>
      <c r="Z846" s="70"/>
    </row>
    <row r="847" spans="1:26" ht="13">
      <c r="A847" s="70"/>
      <c r="B847" s="70"/>
      <c r="C847" s="70"/>
      <c r="D847" s="70"/>
      <c r="E847" s="70"/>
      <c r="F847" s="70"/>
      <c r="G847" s="70"/>
      <c r="H847" s="70"/>
      <c r="I847" s="70"/>
      <c r="J847" s="70"/>
      <c r="K847" s="70"/>
      <c r="L847" s="70"/>
      <c r="M847" s="70"/>
      <c r="N847" s="70"/>
      <c r="O847" s="70"/>
      <c r="P847" s="70"/>
      <c r="Q847" s="70"/>
      <c r="R847" s="70"/>
      <c r="S847" s="70"/>
      <c r="T847" s="70"/>
      <c r="U847" s="70"/>
      <c r="V847" s="70"/>
      <c r="W847" s="70"/>
      <c r="X847" s="70"/>
      <c r="Y847" s="70"/>
      <c r="Z847" s="70"/>
    </row>
    <row r="848" spans="1:26" ht="13">
      <c r="A848" s="70"/>
      <c r="B848" s="70"/>
      <c r="C848" s="70"/>
      <c r="D848" s="70"/>
      <c r="E848" s="70"/>
      <c r="F848" s="70"/>
      <c r="G848" s="70"/>
      <c r="H848" s="70"/>
      <c r="I848" s="70"/>
      <c r="J848" s="70"/>
      <c r="K848" s="70"/>
      <c r="L848" s="70"/>
      <c r="M848" s="70"/>
      <c r="N848" s="70"/>
      <c r="O848" s="70"/>
      <c r="P848" s="70"/>
      <c r="Q848" s="70"/>
      <c r="R848" s="70"/>
      <c r="S848" s="70"/>
      <c r="T848" s="70"/>
      <c r="U848" s="70"/>
      <c r="V848" s="70"/>
      <c r="W848" s="70"/>
      <c r="X848" s="70"/>
      <c r="Y848" s="70"/>
      <c r="Z848" s="70"/>
    </row>
    <row r="849" spans="1:26" ht="13">
      <c r="A849" s="70"/>
      <c r="B849" s="70"/>
      <c r="C849" s="70"/>
      <c r="D849" s="70"/>
      <c r="E849" s="70"/>
      <c r="F849" s="70"/>
      <c r="G849" s="70"/>
      <c r="H849" s="70"/>
      <c r="I849" s="70"/>
      <c r="J849" s="70"/>
      <c r="K849" s="70"/>
      <c r="L849" s="70"/>
      <c r="M849" s="70"/>
      <c r="N849" s="70"/>
      <c r="O849" s="70"/>
      <c r="P849" s="70"/>
      <c r="Q849" s="70"/>
      <c r="R849" s="70"/>
      <c r="S849" s="70"/>
      <c r="T849" s="70"/>
      <c r="U849" s="70"/>
      <c r="V849" s="70"/>
      <c r="W849" s="70"/>
      <c r="X849" s="70"/>
      <c r="Y849" s="70"/>
      <c r="Z849" s="70"/>
    </row>
    <row r="850" spans="1:26" ht="13">
      <c r="A850" s="70"/>
      <c r="B850" s="70"/>
      <c r="C850" s="70"/>
      <c r="D850" s="70"/>
      <c r="E850" s="70"/>
      <c r="F850" s="70"/>
      <c r="G850" s="70"/>
      <c r="H850" s="70"/>
      <c r="I850" s="70"/>
      <c r="J850" s="70"/>
      <c r="K850" s="70"/>
      <c r="L850" s="70"/>
      <c r="M850" s="70"/>
      <c r="N850" s="70"/>
      <c r="O850" s="70"/>
      <c r="P850" s="70"/>
      <c r="Q850" s="70"/>
      <c r="R850" s="70"/>
      <c r="S850" s="70"/>
      <c r="T850" s="70"/>
      <c r="U850" s="70"/>
      <c r="V850" s="70"/>
      <c r="W850" s="70"/>
      <c r="X850" s="70"/>
      <c r="Y850" s="70"/>
      <c r="Z850" s="70"/>
    </row>
    <row r="851" spans="1:26" ht="13">
      <c r="A851" s="70"/>
      <c r="B851" s="70"/>
      <c r="C851" s="70"/>
      <c r="D851" s="70"/>
      <c r="E851" s="70"/>
      <c r="F851" s="70"/>
      <c r="G851" s="70"/>
      <c r="H851" s="70"/>
      <c r="I851" s="70"/>
      <c r="J851" s="70"/>
      <c r="K851" s="70"/>
      <c r="L851" s="70"/>
      <c r="M851" s="70"/>
      <c r="N851" s="70"/>
      <c r="O851" s="70"/>
      <c r="P851" s="70"/>
      <c r="Q851" s="70"/>
      <c r="R851" s="70"/>
      <c r="S851" s="70"/>
      <c r="T851" s="70"/>
      <c r="U851" s="70"/>
      <c r="V851" s="70"/>
      <c r="W851" s="70"/>
      <c r="X851" s="70"/>
      <c r="Y851" s="70"/>
      <c r="Z851" s="70"/>
    </row>
    <row r="852" spans="1:26" ht="13">
      <c r="A852" s="70"/>
      <c r="B852" s="70"/>
      <c r="C852" s="70"/>
      <c r="D852" s="70"/>
      <c r="E852" s="70"/>
      <c r="F852" s="70"/>
      <c r="G852" s="70"/>
      <c r="H852" s="70"/>
      <c r="I852" s="70"/>
      <c r="J852" s="70"/>
      <c r="K852" s="70"/>
      <c r="L852" s="70"/>
      <c r="M852" s="70"/>
      <c r="N852" s="70"/>
      <c r="O852" s="70"/>
      <c r="P852" s="70"/>
      <c r="Q852" s="70"/>
      <c r="R852" s="70"/>
      <c r="S852" s="70"/>
      <c r="T852" s="70"/>
      <c r="U852" s="70"/>
      <c r="V852" s="70"/>
      <c r="W852" s="70"/>
      <c r="X852" s="70"/>
      <c r="Y852" s="70"/>
      <c r="Z852" s="70"/>
    </row>
    <row r="853" spans="1:26" ht="13">
      <c r="A853" s="70"/>
      <c r="B853" s="70"/>
      <c r="C853" s="70"/>
      <c r="D853" s="70"/>
      <c r="E853" s="70"/>
      <c r="F853" s="70"/>
      <c r="G853" s="70"/>
      <c r="H853" s="70"/>
      <c r="I853" s="70"/>
      <c r="J853" s="70"/>
      <c r="K853" s="70"/>
      <c r="L853" s="70"/>
      <c r="M853" s="70"/>
      <c r="N853" s="70"/>
      <c r="O853" s="70"/>
      <c r="P853" s="70"/>
      <c r="Q853" s="70"/>
      <c r="R853" s="70"/>
      <c r="S853" s="70"/>
      <c r="T853" s="70"/>
      <c r="U853" s="70"/>
      <c r="V853" s="70"/>
      <c r="W853" s="70"/>
      <c r="X853" s="70"/>
      <c r="Y853" s="70"/>
      <c r="Z853" s="70"/>
    </row>
    <row r="854" spans="1:26" ht="13">
      <c r="A854" s="70"/>
      <c r="B854" s="70"/>
      <c r="C854" s="70"/>
      <c r="D854" s="70"/>
      <c r="E854" s="70"/>
      <c r="F854" s="70"/>
      <c r="G854" s="70"/>
      <c r="H854" s="70"/>
      <c r="I854" s="70"/>
      <c r="J854" s="70"/>
      <c r="K854" s="70"/>
      <c r="L854" s="70"/>
      <c r="M854" s="70"/>
      <c r="N854" s="70"/>
      <c r="O854" s="70"/>
      <c r="P854" s="70"/>
      <c r="Q854" s="70"/>
      <c r="R854" s="70"/>
      <c r="S854" s="70"/>
      <c r="T854" s="70"/>
      <c r="U854" s="70"/>
      <c r="V854" s="70"/>
      <c r="W854" s="70"/>
      <c r="X854" s="70"/>
      <c r="Y854" s="70"/>
      <c r="Z854" s="70"/>
    </row>
    <row r="855" spans="1:26" ht="13">
      <c r="A855" s="70"/>
      <c r="B855" s="70"/>
      <c r="C855" s="70"/>
      <c r="D855" s="70"/>
      <c r="E855" s="70"/>
      <c r="F855" s="70"/>
      <c r="G855" s="70"/>
      <c r="H855" s="70"/>
      <c r="I855" s="70"/>
      <c r="J855" s="70"/>
      <c r="K855" s="70"/>
      <c r="L855" s="70"/>
      <c r="M855" s="70"/>
      <c r="N855" s="70"/>
      <c r="O855" s="70"/>
      <c r="P855" s="70"/>
      <c r="Q855" s="70"/>
      <c r="R855" s="70"/>
      <c r="S855" s="70"/>
      <c r="T855" s="70"/>
      <c r="U855" s="70"/>
      <c r="V855" s="70"/>
      <c r="W855" s="70"/>
      <c r="X855" s="70"/>
      <c r="Y855" s="70"/>
      <c r="Z855" s="70"/>
    </row>
    <row r="856" spans="1:26" ht="13">
      <c r="A856" s="70"/>
      <c r="B856" s="70"/>
      <c r="C856" s="70"/>
      <c r="D856" s="70"/>
      <c r="E856" s="70"/>
      <c r="F856" s="70"/>
      <c r="G856" s="70"/>
      <c r="H856" s="70"/>
      <c r="I856" s="70"/>
      <c r="J856" s="70"/>
      <c r="K856" s="70"/>
      <c r="L856" s="70"/>
      <c r="M856" s="70"/>
      <c r="N856" s="70"/>
      <c r="O856" s="70"/>
      <c r="P856" s="70"/>
      <c r="Q856" s="70"/>
      <c r="R856" s="70"/>
      <c r="S856" s="70"/>
      <c r="T856" s="70"/>
      <c r="U856" s="70"/>
      <c r="V856" s="70"/>
      <c r="W856" s="70"/>
      <c r="X856" s="70"/>
      <c r="Y856" s="70"/>
      <c r="Z856" s="70"/>
    </row>
    <row r="857" spans="1:26" ht="13">
      <c r="A857" s="70"/>
      <c r="B857" s="70"/>
      <c r="C857" s="70"/>
      <c r="D857" s="70"/>
      <c r="E857" s="70"/>
      <c r="F857" s="70"/>
      <c r="G857" s="70"/>
      <c r="H857" s="70"/>
      <c r="I857" s="70"/>
      <c r="J857" s="70"/>
      <c r="K857" s="70"/>
      <c r="L857" s="70"/>
      <c r="M857" s="70"/>
      <c r="N857" s="70"/>
      <c r="O857" s="70"/>
      <c r="P857" s="70"/>
      <c r="Q857" s="70"/>
      <c r="R857" s="70"/>
      <c r="S857" s="70"/>
      <c r="T857" s="70"/>
      <c r="U857" s="70"/>
      <c r="V857" s="70"/>
      <c r="W857" s="70"/>
      <c r="X857" s="70"/>
      <c r="Y857" s="70"/>
      <c r="Z857" s="70"/>
    </row>
    <row r="858" spans="1:26" ht="13">
      <c r="A858" s="70"/>
      <c r="B858" s="70"/>
      <c r="C858" s="70"/>
      <c r="D858" s="70"/>
      <c r="E858" s="70"/>
      <c r="F858" s="70"/>
      <c r="G858" s="70"/>
      <c r="H858" s="70"/>
      <c r="I858" s="70"/>
      <c r="J858" s="70"/>
      <c r="K858" s="70"/>
      <c r="L858" s="70"/>
      <c r="M858" s="70"/>
      <c r="N858" s="70"/>
      <c r="O858" s="70"/>
      <c r="P858" s="70"/>
      <c r="Q858" s="70"/>
      <c r="R858" s="70"/>
      <c r="S858" s="70"/>
      <c r="T858" s="70"/>
      <c r="U858" s="70"/>
      <c r="V858" s="70"/>
      <c r="W858" s="70"/>
      <c r="X858" s="70"/>
      <c r="Y858" s="70"/>
      <c r="Z858" s="70"/>
    </row>
    <row r="859" spans="1:26" ht="13">
      <c r="A859" s="70"/>
      <c r="B859" s="70"/>
      <c r="C859" s="70"/>
      <c r="D859" s="70"/>
      <c r="E859" s="70"/>
      <c r="F859" s="70"/>
      <c r="G859" s="70"/>
      <c r="H859" s="70"/>
      <c r="I859" s="70"/>
      <c r="J859" s="70"/>
      <c r="K859" s="70"/>
      <c r="L859" s="70"/>
      <c r="M859" s="70"/>
      <c r="N859" s="70"/>
      <c r="O859" s="70"/>
      <c r="P859" s="70"/>
      <c r="Q859" s="70"/>
      <c r="R859" s="70"/>
      <c r="S859" s="70"/>
      <c r="T859" s="70"/>
      <c r="U859" s="70"/>
      <c r="V859" s="70"/>
      <c r="W859" s="70"/>
      <c r="X859" s="70"/>
      <c r="Y859" s="70"/>
      <c r="Z859" s="70"/>
    </row>
    <row r="860" spans="1:26" ht="13">
      <c r="A860" s="70"/>
      <c r="B860" s="70"/>
      <c r="C860" s="70"/>
      <c r="D860" s="70"/>
      <c r="E860" s="70"/>
      <c r="F860" s="70"/>
      <c r="G860" s="70"/>
      <c r="H860" s="70"/>
      <c r="I860" s="70"/>
      <c r="J860" s="70"/>
      <c r="K860" s="70"/>
      <c r="L860" s="70"/>
      <c r="M860" s="70"/>
      <c r="N860" s="70"/>
      <c r="O860" s="70"/>
      <c r="P860" s="70"/>
      <c r="Q860" s="70"/>
      <c r="R860" s="70"/>
      <c r="S860" s="70"/>
      <c r="T860" s="70"/>
      <c r="U860" s="70"/>
      <c r="V860" s="70"/>
      <c r="W860" s="70"/>
      <c r="X860" s="70"/>
      <c r="Y860" s="70"/>
      <c r="Z860" s="70"/>
    </row>
    <row r="861" spans="1:26" ht="13">
      <c r="A861" s="70"/>
      <c r="B861" s="70"/>
      <c r="C861" s="70"/>
      <c r="D861" s="70"/>
      <c r="E861" s="70"/>
      <c r="F861" s="70"/>
      <c r="G861" s="70"/>
      <c r="H861" s="70"/>
      <c r="I861" s="70"/>
      <c r="J861" s="70"/>
      <c r="K861" s="70"/>
      <c r="L861" s="70"/>
      <c r="M861" s="70"/>
      <c r="N861" s="70"/>
      <c r="O861" s="70"/>
      <c r="P861" s="70"/>
      <c r="Q861" s="70"/>
      <c r="R861" s="70"/>
      <c r="S861" s="70"/>
      <c r="T861" s="70"/>
      <c r="U861" s="70"/>
      <c r="V861" s="70"/>
      <c r="W861" s="70"/>
      <c r="X861" s="70"/>
      <c r="Y861" s="70"/>
      <c r="Z861" s="70"/>
    </row>
    <row r="862" spans="1:26" ht="13">
      <c r="A862" s="70"/>
      <c r="B862" s="70"/>
      <c r="C862" s="70"/>
      <c r="D862" s="70"/>
      <c r="E862" s="70"/>
      <c r="F862" s="70"/>
      <c r="G862" s="70"/>
      <c r="H862" s="70"/>
      <c r="I862" s="70"/>
      <c r="J862" s="70"/>
      <c r="K862" s="70"/>
      <c r="L862" s="70"/>
      <c r="M862" s="70"/>
      <c r="N862" s="70"/>
      <c r="O862" s="70"/>
      <c r="P862" s="70"/>
      <c r="Q862" s="70"/>
      <c r="R862" s="70"/>
      <c r="S862" s="70"/>
      <c r="T862" s="70"/>
      <c r="U862" s="70"/>
      <c r="V862" s="70"/>
      <c r="W862" s="70"/>
      <c r="X862" s="70"/>
      <c r="Y862" s="70"/>
      <c r="Z862" s="70"/>
    </row>
    <row r="863" spans="1:26" ht="13">
      <c r="A863" s="70"/>
      <c r="B863" s="70"/>
      <c r="C863" s="70"/>
      <c r="D863" s="70"/>
      <c r="E863" s="70"/>
      <c r="F863" s="70"/>
      <c r="G863" s="70"/>
      <c r="H863" s="70"/>
      <c r="I863" s="70"/>
      <c r="J863" s="70"/>
      <c r="K863" s="70"/>
      <c r="L863" s="70"/>
      <c r="M863" s="70"/>
      <c r="N863" s="70"/>
      <c r="O863" s="70"/>
      <c r="P863" s="70"/>
      <c r="Q863" s="70"/>
      <c r="R863" s="70"/>
      <c r="S863" s="70"/>
      <c r="T863" s="70"/>
      <c r="U863" s="70"/>
      <c r="V863" s="70"/>
      <c r="W863" s="70"/>
      <c r="X863" s="70"/>
      <c r="Y863" s="70"/>
      <c r="Z863" s="70"/>
    </row>
    <row r="864" spans="1:26" ht="13">
      <c r="A864" s="70"/>
      <c r="B864" s="70"/>
      <c r="C864" s="70"/>
      <c r="D864" s="70"/>
      <c r="E864" s="70"/>
      <c r="F864" s="70"/>
      <c r="G864" s="70"/>
      <c r="H864" s="70"/>
      <c r="I864" s="70"/>
      <c r="J864" s="70"/>
      <c r="K864" s="70"/>
      <c r="L864" s="70"/>
      <c r="M864" s="70"/>
      <c r="N864" s="70"/>
      <c r="O864" s="70"/>
      <c r="P864" s="70"/>
      <c r="Q864" s="70"/>
      <c r="R864" s="70"/>
      <c r="S864" s="70"/>
      <c r="T864" s="70"/>
      <c r="U864" s="70"/>
      <c r="V864" s="70"/>
      <c r="W864" s="70"/>
      <c r="X864" s="70"/>
      <c r="Y864" s="70"/>
      <c r="Z864" s="70"/>
    </row>
    <row r="865" spans="1:26" ht="13">
      <c r="A865" s="70"/>
      <c r="B865" s="70"/>
      <c r="C865" s="70"/>
      <c r="D865" s="70"/>
      <c r="E865" s="70"/>
      <c r="F865" s="70"/>
      <c r="G865" s="70"/>
      <c r="H865" s="70"/>
      <c r="I865" s="70"/>
      <c r="J865" s="70"/>
      <c r="K865" s="70"/>
      <c r="L865" s="70"/>
      <c r="M865" s="70"/>
      <c r="N865" s="70"/>
      <c r="O865" s="70"/>
      <c r="P865" s="70"/>
      <c r="Q865" s="70"/>
      <c r="R865" s="70"/>
      <c r="S865" s="70"/>
      <c r="T865" s="70"/>
      <c r="U865" s="70"/>
      <c r="V865" s="70"/>
      <c r="W865" s="70"/>
      <c r="X865" s="70"/>
      <c r="Y865" s="70"/>
      <c r="Z865" s="70"/>
    </row>
    <row r="866" spans="1:26" ht="13">
      <c r="A866" s="70"/>
      <c r="B866" s="70"/>
      <c r="C866" s="70"/>
      <c r="D866" s="70"/>
      <c r="E866" s="70"/>
      <c r="F866" s="70"/>
      <c r="G866" s="70"/>
      <c r="H866" s="70"/>
      <c r="I866" s="70"/>
      <c r="J866" s="70"/>
      <c r="K866" s="70"/>
      <c r="L866" s="70"/>
      <c r="M866" s="70"/>
      <c r="N866" s="70"/>
      <c r="O866" s="70"/>
      <c r="P866" s="70"/>
      <c r="Q866" s="70"/>
      <c r="R866" s="70"/>
      <c r="S866" s="70"/>
      <c r="T866" s="70"/>
      <c r="U866" s="70"/>
      <c r="V866" s="70"/>
      <c r="W866" s="70"/>
      <c r="X866" s="70"/>
      <c r="Y866" s="70"/>
      <c r="Z866" s="70"/>
    </row>
    <row r="867" spans="1:26" ht="13">
      <c r="A867" s="70"/>
      <c r="B867" s="70"/>
      <c r="C867" s="70"/>
      <c r="D867" s="70"/>
      <c r="E867" s="70"/>
      <c r="F867" s="70"/>
      <c r="G867" s="70"/>
      <c r="H867" s="70"/>
      <c r="I867" s="70"/>
      <c r="J867" s="70"/>
      <c r="K867" s="70"/>
      <c r="L867" s="70"/>
      <c r="M867" s="70"/>
      <c r="N867" s="70"/>
      <c r="O867" s="70"/>
      <c r="P867" s="70"/>
      <c r="Q867" s="70"/>
      <c r="R867" s="70"/>
      <c r="S867" s="70"/>
      <c r="T867" s="70"/>
      <c r="U867" s="70"/>
      <c r="V867" s="70"/>
      <c r="W867" s="70"/>
      <c r="X867" s="70"/>
      <c r="Y867" s="70"/>
      <c r="Z867" s="70"/>
    </row>
    <row r="868" spans="1:26" ht="13">
      <c r="A868" s="70"/>
      <c r="B868" s="70"/>
      <c r="C868" s="70"/>
      <c r="D868" s="70"/>
      <c r="E868" s="70"/>
      <c r="F868" s="70"/>
      <c r="G868" s="70"/>
      <c r="H868" s="70"/>
      <c r="I868" s="70"/>
      <c r="J868" s="70"/>
      <c r="K868" s="70"/>
      <c r="L868" s="70"/>
      <c r="M868" s="70"/>
      <c r="N868" s="70"/>
      <c r="O868" s="70"/>
      <c r="P868" s="70"/>
      <c r="Q868" s="70"/>
      <c r="R868" s="70"/>
      <c r="S868" s="70"/>
      <c r="T868" s="70"/>
      <c r="U868" s="70"/>
      <c r="V868" s="70"/>
      <c r="W868" s="70"/>
      <c r="X868" s="70"/>
      <c r="Y868" s="70"/>
      <c r="Z868" s="70"/>
    </row>
    <row r="869" spans="1:26" ht="13">
      <c r="A869" s="70"/>
      <c r="B869" s="70"/>
      <c r="C869" s="70"/>
      <c r="D869" s="70"/>
      <c r="E869" s="70"/>
      <c r="F869" s="70"/>
      <c r="G869" s="70"/>
      <c r="H869" s="70"/>
      <c r="I869" s="70"/>
      <c r="J869" s="70"/>
      <c r="K869" s="70"/>
      <c r="L869" s="70"/>
      <c r="M869" s="70"/>
      <c r="N869" s="70"/>
      <c r="O869" s="70"/>
      <c r="P869" s="70"/>
      <c r="Q869" s="70"/>
      <c r="R869" s="70"/>
      <c r="S869" s="70"/>
      <c r="T869" s="70"/>
      <c r="U869" s="70"/>
      <c r="V869" s="70"/>
      <c r="W869" s="70"/>
      <c r="X869" s="70"/>
      <c r="Y869" s="70"/>
      <c r="Z869" s="70"/>
    </row>
    <row r="870" spans="1:26" ht="13">
      <c r="A870" s="70"/>
      <c r="B870" s="70"/>
      <c r="C870" s="70"/>
      <c r="D870" s="70"/>
      <c r="E870" s="70"/>
      <c r="F870" s="70"/>
      <c r="G870" s="70"/>
      <c r="H870" s="70"/>
      <c r="I870" s="70"/>
      <c r="J870" s="70"/>
      <c r="K870" s="70"/>
      <c r="L870" s="70"/>
      <c r="M870" s="70"/>
      <c r="N870" s="70"/>
      <c r="O870" s="70"/>
      <c r="P870" s="70"/>
      <c r="Q870" s="70"/>
      <c r="R870" s="70"/>
      <c r="S870" s="70"/>
      <c r="T870" s="70"/>
      <c r="U870" s="70"/>
      <c r="V870" s="70"/>
      <c r="W870" s="70"/>
      <c r="X870" s="70"/>
      <c r="Y870" s="70"/>
      <c r="Z870" s="70"/>
    </row>
    <row r="871" spans="1:26" ht="13">
      <c r="A871" s="70"/>
      <c r="B871" s="70"/>
      <c r="C871" s="70"/>
      <c r="D871" s="70"/>
      <c r="E871" s="70"/>
      <c r="F871" s="70"/>
      <c r="G871" s="70"/>
      <c r="H871" s="70"/>
      <c r="I871" s="70"/>
      <c r="J871" s="70"/>
      <c r="K871" s="70"/>
      <c r="L871" s="70"/>
      <c r="M871" s="70"/>
      <c r="N871" s="70"/>
      <c r="O871" s="70"/>
      <c r="P871" s="70"/>
      <c r="Q871" s="70"/>
      <c r="R871" s="70"/>
      <c r="S871" s="70"/>
      <c r="T871" s="70"/>
      <c r="U871" s="70"/>
      <c r="V871" s="70"/>
      <c r="W871" s="70"/>
      <c r="X871" s="70"/>
      <c r="Y871" s="70"/>
      <c r="Z871" s="70"/>
    </row>
    <row r="872" spans="1:26" ht="13">
      <c r="A872" s="70"/>
      <c r="B872" s="70"/>
      <c r="C872" s="70"/>
      <c r="D872" s="70"/>
      <c r="E872" s="70"/>
      <c r="F872" s="70"/>
      <c r="G872" s="70"/>
      <c r="H872" s="70"/>
      <c r="I872" s="70"/>
      <c r="J872" s="70"/>
      <c r="K872" s="70"/>
      <c r="L872" s="70"/>
      <c r="M872" s="70"/>
      <c r="N872" s="70"/>
      <c r="O872" s="70"/>
      <c r="P872" s="70"/>
      <c r="Q872" s="70"/>
      <c r="R872" s="70"/>
      <c r="S872" s="70"/>
      <c r="T872" s="70"/>
      <c r="U872" s="70"/>
      <c r="V872" s="70"/>
      <c r="W872" s="70"/>
      <c r="X872" s="70"/>
      <c r="Y872" s="70"/>
      <c r="Z872" s="70"/>
    </row>
    <row r="873" spans="1:26" ht="13">
      <c r="A873" s="70"/>
      <c r="B873" s="70"/>
      <c r="C873" s="70"/>
      <c r="D873" s="70"/>
      <c r="E873" s="70"/>
      <c r="F873" s="70"/>
      <c r="G873" s="70"/>
      <c r="H873" s="70"/>
      <c r="I873" s="70"/>
      <c r="J873" s="70"/>
      <c r="K873" s="70"/>
      <c r="L873" s="70"/>
      <c r="M873" s="70"/>
      <c r="N873" s="70"/>
      <c r="O873" s="70"/>
      <c r="P873" s="70"/>
      <c r="Q873" s="70"/>
      <c r="R873" s="70"/>
      <c r="S873" s="70"/>
      <c r="T873" s="70"/>
      <c r="U873" s="70"/>
      <c r="V873" s="70"/>
      <c r="W873" s="70"/>
      <c r="X873" s="70"/>
      <c r="Y873" s="70"/>
      <c r="Z873" s="70"/>
    </row>
    <row r="874" spans="1:26" ht="13">
      <c r="A874" s="70"/>
      <c r="B874" s="70"/>
      <c r="C874" s="70"/>
      <c r="D874" s="70"/>
      <c r="E874" s="70"/>
      <c r="F874" s="70"/>
      <c r="G874" s="70"/>
      <c r="H874" s="70"/>
      <c r="I874" s="70"/>
      <c r="J874" s="70"/>
      <c r="K874" s="70"/>
      <c r="L874" s="70"/>
      <c r="M874" s="70"/>
      <c r="N874" s="70"/>
      <c r="O874" s="70"/>
      <c r="P874" s="70"/>
      <c r="Q874" s="70"/>
      <c r="R874" s="70"/>
      <c r="S874" s="70"/>
      <c r="T874" s="70"/>
      <c r="U874" s="70"/>
      <c r="V874" s="70"/>
      <c r="W874" s="70"/>
      <c r="X874" s="70"/>
      <c r="Y874" s="70"/>
      <c r="Z874" s="70"/>
    </row>
    <row r="875" spans="1:26" ht="13">
      <c r="A875" s="70"/>
      <c r="B875" s="70"/>
      <c r="C875" s="70"/>
      <c r="D875" s="70"/>
      <c r="E875" s="70"/>
      <c r="F875" s="70"/>
      <c r="G875" s="70"/>
      <c r="H875" s="70"/>
      <c r="I875" s="70"/>
      <c r="J875" s="70"/>
      <c r="K875" s="70"/>
      <c r="L875" s="70"/>
      <c r="M875" s="70"/>
      <c r="N875" s="70"/>
      <c r="O875" s="70"/>
      <c r="P875" s="70"/>
      <c r="Q875" s="70"/>
      <c r="R875" s="70"/>
      <c r="S875" s="70"/>
      <c r="T875" s="70"/>
      <c r="U875" s="70"/>
      <c r="V875" s="70"/>
      <c r="W875" s="70"/>
      <c r="X875" s="70"/>
      <c r="Y875" s="70"/>
      <c r="Z875" s="70"/>
    </row>
    <row r="876" spans="1:26" ht="13">
      <c r="A876" s="70"/>
      <c r="B876" s="70"/>
      <c r="C876" s="70"/>
      <c r="D876" s="70"/>
      <c r="E876" s="70"/>
      <c r="F876" s="70"/>
      <c r="G876" s="70"/>
      <c r="H876" s="70"/>
      <c r="I876" s="70"/>
      <c r="J876" s="70"/>
      <c r="K876" s="70"/>
      <c r="L876" s="70"/>
      <c r="M876" s="70"/>
      <c r="N876" s="70"/>
      <c r="O876" s="70"/>
      <c r="P876" s="70"/>
      <c r="Q876" s="70"/>
      <c r="R876" s="70"/>
      <c r="S876" s="70"/>
      <c r="T876" s="70"/>
      <c r="U876" s="70"/>
      <c r="V876" s="70"/>
      <c r="W876" s="70"/>
      <c r="X876" s="70"/>
      <c r="Y876" s="70"/>
      <c r="Z876" s="70"/>
    </row>
    <row r="877" spans="1:26" ht="13">
      <c r="A877" s="70"/>
      <c r="B877" s="70"/>
      <c r="C877" s="70"/>
      <c r="D877" s="70"/>
      <c r="E877" s="70"/>
      <c r="F877" s="70"/>
      <c r="G877" s="70"/>
      <c r="H877" s="70"/>
      <c r="I877" s="70"/>
      <c r="J877" s="70"/>
      <c r="K877" s="70"/>
      <c r="L877" s="70"/>
      <c r="M877" s="70"/>
      <c r="N877" s="70"/>
      <c r="O877" s="70"/>
      <c r="P877" s="70"/>
      <c r="Q877" s="70"/>
      <c r="R877" s="70"/>
      <c r="S877" s="70"/>
      <c r="T877" s="70"/>
      <c r="U877" s="70"/>
      <c r="V877" s="70"/>
      <c r="W877" s="70"/>
      <c r="X877" s="70"/>
      <c r="Y877" s="70"/>
      <c r="Z877" s="70"/>
    </row>
    <row r="878" spans="1:26" ht="13">
      <c r="A878" s="70"/>
      <c r="B878" s="70"/>
      <c r="C878" s="70"/>
      <c r="D878" s="70"/>
      <c r="E878" s="70"/>
      <c r="F878" s="70"/>
      <c r="G878" s="70"/>
      <c r="H878" s="70"/>
      <c r="I878" s="70"/>
      <c r="J878" s="70"/>
      <c r="K878" s="70"/>
      <c r="L878" s="70"/>
      <c r="M878" s="70"/>
      <c r="N878" s="70"/>
      <c r="O878" s="70"/>
      <c r="P878" s="70"/>
      <c r="Q878" s="70"/>
      <c r="R878" s="70"/>
      <c r="S878" s="70"/>
      <c r="T878" s="70"/>
      <c r="U878" s="70"/>
      <c r="V878" s="70"/>
      <c r="W878" s="70"/>
      <c r="X878" s="70"/>
      <c r="Y878" s="70"/>
      <c r="Z878" s="70"/>
    </row>
    <row r="879" spans="1:26" ht="13">
      <c r="A879" s="70"/>
      <c r="B879" s="70"/>
      <c r="C879" s="70"/>
      <c r="D879" s="70"/>
      <c r="E879" s="70"/>
      <c r="F879" s="70"/>
      <c r="G879" s="70"/>
      <c r="H879" s="70"/>
      <c r="I879" s="70"/>
      <c r="J879" s="70"/>
      <c r="K879" s="70"/>
      <c r="L879" s="70"/>
      <c r="M879" s="70"/>
      <c r="N879" s="70"/>
      <c r="O879" s="70"/>
      <c r="P879" s="70"/>
      <c r="Q879" s="70"/>
      <c r="R879" s="70"/>
      <c r="S879" s="70"/>
      <c r="T879" s="70"/>
      <c r="U879" s="70"/>
      <c r="V879" s="70"/>
      <c r="W879" s="70"/>
      <c r="X879" s="70"/>
      <c r="Y879" s="70"/>
      <c r="Z879" s="70"/>
    </row>
    <row r="880" spans="1:26" ht="13">
      <c r="A880" s="70"/>
      <c r="B880" s="70"/>
      <c r="C880" s="70"/>
      <c r="D880" s="70"/>
      <c r="E880" s="70"/>
      <c r="F880" s="70"/>
      <c r="G880" s="70"/>
      <c r="H880" s="70"/>
      <c r="I880" s="70"/>
      <c r="J880" s="70"/>
      <c r="K880" s="70"/>
      <c r="L880" s="70"/>
      <c r="M880" s="70"/>
      <c r="N880" s="70"/>
      <c r="O880" s="70"/>
      <c r="P880" s="70"/>
      <c r="Q880" s="70"/>
      <c r="R880" s="70"/>
      <c r="S880" s="70"/>
      <c r="T880" s="70"/>
      <c r="U880" s="70"/>
      <c r="V880" s="70"/>
      <c r="W880" s="70"/>
      <c r="X880" s="70"/>
      <c r="Y880" s="70"/>
      <c r="Z880" s="70"/>
    </row>
    <row r="881" spans="1:26" ht="13">
      <c r="A881" s="70"/>
      <c r="B881" s="70"/>
      <c r="C881" s="70"/>
      <c r="D881" s="70"/>
      <c r="E881" s="70"/>
      <c r="F881" s="70"/>
      <c r="G881" s="70"/>
      <c r="H881" s="70"/>
      <c r="I881" s="70"/>
      <c r="J881" s="70"/>
      <c r="K881" s="70"/>
      <c r="L881" s="70"/>
      <c r="M881" s="70"/>
      <c r="N881" s="70"/>
      <c r="O881" s="70"/>
      <c r="P881" s="70"/>
      <c r="Q881" s="70"/>
      <c r="R881" s="70"/>
      <c r="S881" s="70"/>
      <c r="T881" s="70"/>
      <c r="U881" s="70"/>
      <c r="V881" s="70"/>
      <c r="W881" s="70"/>
      <c r="X881" s="70"/>
      <c r="Y881" s="70"/>
      <c r="Z881" s="70"/>
    </row>
    <row r="882" spans="1:26" ht="13">
      <c r="A882" s="70"/>
      <c r="B882" s="70"/>
      <c r="C882" s="70"/>
      <c r="D882" s="70"/>
      <c r="E882" s="70"/>
      <c r="F882" s="70"/>
      <c r="G882" s="70"/>
      <c r="H882" s="70"/>
      <c r="I882" s="70"/>
      <c r="J882" s="70"/>
      <c r="K882" s="70"/>
      <c r="L882" s="70"/>
      <c r="M882" s="70"/>
      <c r="N882" s="70"/>
      <c r="O882" s="70"/>
      <c r="P882" s="70"/>
      <c r="Q882" s="70"/>
      <c r="R882" s="70"/>
      <c r="S882" s="70"/>
      <c r="T882" s="70"/>
      <c r="U882" s="70"/>
      <c r="V882" s="70"/>
      <c r="W882" s="70"/>
      <c r="X882" s="70"/>
      <c r="Y882" s="70"/>
      <c r="Z882" s="70"/>
    </row>
    <row r="883" spans="1:26" ht="13">
      <c r="A883" s="70"/>
      <c r="B883" s="70"/>
      <c r="C883" s="70"/>
      <c r="D883" s="70"/>
      <c r="E883" s="70"/>
      <c r="F883" s="70"/>
      <c r="G883" s="70"/>
      <c r="H883" s="70"/>
      <c r="I883" s="70"/>
      <c r="J883" s="70"/>
      <c r="K883" s="70"/>
      <c r="L883" s="70"/>
      <c r="M883" s="70"/>
      <c r="N883" s="70"/>
      <c r="O883" s="70"/>
      <c r="P883" s="70"/>
      <c r="Q883" s="70"/>
      <c r="R883" s="70"/>
      <c r="S883" s="70"/>
      <c r="T883" s="70"/>
      <c r="U883" s="70"/>
      <c r="V883" s="70"/>
      <c r="W883" s="70"/>
      <c r="X883" s="70"/>
      <c r="Y883" s="70"/>
      <c r="Z883" s="70"/>
    </row>
    <row r="884" spans="1:26" ht="13">
      <c r="A884" s="70"/>
      <c r="B884" s="70"/>
      <c r="C884" s="70"/>
      <c r="D884" s="70"/>
      <c r="E884" s="70"/>
      <c r="F884" s="70"/>
      <c r="G884" s="70"/>
      <c r="H884" s="70"/>
      <c r="I884" s="70"/>
      <c r="J884" s="70"/>
      <c r="K884" s="70"/>
      <c r="L884" s="70"/>
      <c r="M884" s="70"/>
      <c r="N884" s="70"/>
      <c r="O884" s="70"/>
      <c r="P884" s="70"/>
      <c r="Q884" s="70"/>
      <c r="R884" s="70"/>
      <c r="S884" s="70"/>
      <c r="T884" s="70"/>
      <c r="U884" s="70"/>
      <c r="V884" s="70"/>
      <c r="W884" s="70"/>
      <c r="X884" s="70"/>
      <c r="Y884" s="70"/>
      <c r="Z884" s="70"/>
    </row>
    <row r="885" spans="1:26" ht="13">
      <c r="A885" s="70"/>
      <c r="B885" s="70"/>
      <c r="C885" s="70"/>
      <c r="D885" s="70"/>
      <c r="E885" s="70"/>
      <c r="F885" s="70"/>
      <c r="G885" s="70"/>
      <c r="H885" s="70"/>
      <c r="I885" s="70"/>
      <c r="J885" s="70"/>
      <c r="K885" s="70"/>
      <c r="L885" s="70"/>
      <c r="M885" s="70"/>
      <c r="N885" s="70"/>
      <c r="O885" s="70"/>
      <c r="P885" s="70"/>
      <c r="Q885" s="70"/>
      <c r="R885" s="70"/>
      <c r="S885" s="70"/>
      <c r="T885" s="70"/>
      <c r="U885" s="70"/>
      <c r="V885" s="70"/>
      <c r="W885" s="70"/>
      <c r="X885" s="70"/>
      <c r="Y885" s="70"/>
      <c r="Z885" s="70"/>
    </row>
    <row r="886" spans="1:26" ht="13">
      <c r="A886" s="70"/>
      <c r="B886" s="70"/>
      <c r="C886" s="70"/>
      <c r="D886" s="70"/>
      <c r="E886" s="70"/>
      <c r="F886" s="70"/>
      <c r="G886" s="70"/>
      <c r="H886" s="70"/>
      <c r="I886" s="70"/>
      <c r="J886" s="70"/>
      <c r="K886" s="70"/>
      <c r="L886" s="70"/>
      <c r="M886" s="70"/>
      <c r="N886" s="70"/>
      <c r="O886" s="70"/>
      <c r="P886" s="70"/>
      <c r="Q886" s="70"/>
      <c r="R886" s="70"/>
      <c r="S886" s="70"/>
      <c r="T886" s="70"/>
      <c r="U886" s="70"/>
      <c r="V886" s="70"/>
      <c r="W886" s="70"/>
      <c r="X886" s="70"/>
      <c r="Y886" s="70"/>
      <c r="Z886" s="70"/>
    </row>
    <row r="887" spans="1:26" ht="13">
      <c r="A887" s="70"/>
      <c r="B887" s="70"/>
      <c r="C887" s="70"/>
      <c r="D887" s="70"/>
      <c r="E887" s="70"/>
      <c r="F887" s="70"/>
      <c r="G887" s="70"/>
      <c r="H887" s="70"/>
      <c r="I887" s="70"/>
      <c r="J887" s="70"/>
      <c r="K887" s="70"/>
      <c r="L887" s="70"/>
      <c r="M887" s="70"/>
      <c r="N887" s="70"/>
      <c r="O887" s="70"/>
      <c r="P887" s="70"/>
      <c r="Q887" s="70"/>
      <c r="R887" s="70"/>
      <c r="S887" s="70"/>
      <c r="T887" s="70"/>
      <c r="U887" s="70"/>
      <c r="V887" s="70"/>
      <c r="W887" s="70"/>
      <c r="X887" s="70"/>
      <c r="Y887" s="70"/>
      <c r="Z887" s="70"/>
    </row>
    <row r="888" spans="1:26" ht="13">
      <c r="A888" s="70"/>
      <c r="B888" s="70"/>
      <c r="C888" s="70"/>
      <c r="D888" s="70"/>
      <c r="E888" s="70"/>
      <c r="F888" s="70"/>
      <c r="G888" s="70"/>
      <c r="H888" s="70"/>
      <c r="I888" s="70"/>
      <c r="J888" s="70"/>
      <c r="K888" s="70"/>
      <c r="L888" s="70"/>
      <c r="M888" s="70"/>
      <c r="N888" s="70"/>
      <c r="O888" s="70"/>
      <c r="P888" s="70"/>
      <c r="Q888" s="70"/>
      <c r="R888" s="70"/>
      <c r="S888" s="70"/>
      <c r="T888" s="70"/>
      <c r="U888" s="70"/>
      <c r="V888" s="70"/>
      <c r="W888" s="70"/>
      <c r="X888" s="70"/>
      <c r="Y888" s="70"/>
      <c r="Z888" s="70"/>
    </row>
    <row r="889" spans="1:26" ht="13">
      <c r="A889" s="70"/>
      <c r="B889" s="70"/>
      <c r="C889" s="70"/>
      <c r="D889" s="70"/>
      <c r="E889" s="70"/>
      <c r="F889" s="70"/>
      <c r="G889" s="70"/>
      <c r="H889" s="70"/>
      <c r="I889" s="70"/>
      <c r="J889" s="70"/>
      <c r="K889" s="70"/>
      <c r="L889" s="70"/>
      <c r="M889" s="70"/>
      <c r="N889" s="70"/>
      <c r="O889" s="70"/>
      <c r="P889" s="70"/>
      <c r="Q889" s="70"/>
      <c r="R889" s="70"/>
      <c r="S889" s="70"/>
      <c r="T889" s="70"/>
      <c r="U889" s="70"/>
      <c r="V889" s="70"/>
      <c r="W889" s="70"/>
      <c r="X889" s="70"/>
      <c r="Y889" s="70"/>
      <c r="Z889" s="70"/>
    </row>
    <row r="890" spans="1:26" ht="13">
      <c r="A890" s="70"/>
      <c r="B890" s="70"/>
      <c r="C890" s="70"/>
      <c r="D890" s="70"/>
      <c r="E890" s="70"/>
      <c r="F890" s="70"/>
      <c r="G890" s="70"/>
      <c r="H890" s="70"/>
      <c r="I890" s="70"/>
      <c r="J890" s="70"/>
      <c r="K890" s="70"/>
      <c r="L890" s="70"/>
      <c r="M890" s="70"/>
      <c r="N890" s="70"/>
      <c r="O890" s="70"/>
      <c r="P890" s="70"/>
      <c r="Q890" s="70"/>
      <c r="R890" s="70"/>
      <c r="S890" s="70"/>
      <c r="T890" s="70"/>
      <c r="U890" s="70"/>
      <c r="V890" s="70"/>
      <c r="W890" s="70"/>
      <c r="X890" s="70"/>
      <c r="Y890" s="70"/>
      <c r="Z890" s="70"/>
    </row>
    <row r="891" spans="1:26" ht="13">
      <c r="A891" s="70"/>
      <c r="B891" s="70"/>
      <c r="C891" s="70"/>
      <c r="D891" s="70"/>
      <c r="E891" s="70"/>
      <c r="F891" s="70"/>
      <c r="G891" s="70"/>
      <c r="H891" s="70"/>
      <c r="I891" s="70"/>
      <c r="J891" s="70"/>
      <c r="K891" s="70"/>
      <c r="L891" s="70"/>
      <c r="M891" s="70"/>
      <c r="N891" s="70"/>
      <c r="O891" s="70"/>
      <c r="P891" s="70"/>
      <c r="Q891" s="70"/>
      <c r="R891" s="70"/>
      <c r="S891" s="70"/>
      <c r="T891" s="70"/>
      <c r="U891" s="70"/>
      <c r="V891" s="70"/>
      <c r="W891" s="70"/>
      <c r="X891" s="70"/>
      <c r="Y891" s="70"/>
      <c r="Z891" s="70"/>
    </row>
    <row r="892" spans="1:26" ht="13">
      <c r="A892" s="70"/>
      <c r="B892" s="70"/>
      <c r="C892" s="70"/>
      <c r="D892" s="70"/>
      <c r="E892" s="70"/>
      <c r="F892" s="70"/>
      <c r="G892" s="70"/>
      <c r="H892" s="70"/>
      <c r="I892" s="70"/>
      <c r="J892" s="70"/>
      <c r="K892" s="70"/>
      <c r="L892" s="70"/>
      <c r="M892" s="70"/>
      <c r="N892" s="70"/>
      <c r="O892" s="70"/>
      <c r="P892" s="70"/>
      <c r="Q892" s="70"/>
      <c r="R892" s="70"/>
      <c r="S892" s="70"/>
      <c r="T892" s="70"/>
      <c r="U892" s="70"/>
      <c r="V892" s="70"/>
      <c r="W892" s="70"/>
      <c r="X892" s="70"/>
      <c r="Y892" s="70"/>
      <c r="Z892" s="70"/>
    </row>
    <row r="893" spans="1:26" ht="13">
      <c r="A893" s="70"/>
      <c r="B893" s="70"/>
      <c r="C893" s="70"/>
      <c r="D893" s="70"/>
      <c r="E893" s="70"/>
      <c r="F893" s="70"/>
      <c r="G893" s="70"/>
      <c r="H893" s="70"/>
      <c r="I893" s="70"/>
      <c r="J893" s="70"/>
      <c r="K893" s="70"/>
      <c r="L893" s="70"/>
      <c r="M893" s="70"/>
      <c r="N893" s="70"/>
      <c r="O893" s="70"/>
      <c r="P893" s="70"/>
      <c r="Q893" s="70"/>
      <c r="R893" s="70"/>
      <c r="S893" s="70"/>
      <c r="T893" s="70"/>
      <c r="U893" s="70"/>
      <c r="V893" s="70"/>
      <c r="W893" s="70"/>
      <c r="X893" s="70"/>
      <c r="Y893" s="70"/>
      <c r="Z893" s="70"/>
    </row>
    <row r="894" spans="1:26" ht="13">
      <c r="A894" s="70"/>
      <c r="B894" s="70"/>
      <c r="C894" s="70"/>
      <c r="D894" s="70"/>
      <c r="E894" s="70"/>
      <c r="F894" s="70"/>
      <c r="G894" s="70"/>
      <c r="H894" s="70"/>
      <c r="I894" s="70"/>
      <c r="J894" s="70"/>
      <c r="K894" s="70"/>
      <c r="L894" s="70"/>
      <c r="M894" s="70"/>
      <c r="N894" s="70"/>
      <c r="O894" s="70"/>
      <c r="P894" s="70"/>
      <c r="Q894" s="70"/>
      <c r="R894" s="70"/>
      <c r="S894" s="70"/>
      <c r="T894" s="70"/>
      <c r="U894" s="70"/>
      <c r="V894" s="70"/>
      <c r="W894" s="70"/>
      <c r="X894" s="70"/>
      <c r="Y894" s="70"/>
      <c r="Z894" s="70"/>
    </row>
    <row r="895" spans="1:26" ht="13">
      <c r="A895" s="70"/>
      <c r="B895" s="70"/>
      <c r="C895" s="70"/>
      <c r="D895" s="70"/>
      <c r="E895" s="70"/>
      <c r="F895" s="70"/>
      <c r="G895" s="70"/>
      <c r="H895" s="70"/>
      <c r="I895" s="70"/>
      <c r="J895" s="70"/>
      <c r="K895" s="70"/>
      <c r="L895" s="70"/>
      <c r="M895" s="70"/>
      <c r="N895" s="70"/>
      <c r="O895" s="70"/>
      <c r="P895" s="70"/>
      <c r="Q895" s="70"/>
      <c r="R895" s="70"/>
      <c r="S895" s="70"/>
      <c r="T895" s="70"/>
      <c r="U895" s="70"/>
      <c r="V895" s="70"/>
      <c r="W895" s="70"/>
      <c r="X895" s="70"/>
      <c r="Y895" s="70"/>
      <c r="Z895" s="70"/>
    </row>
    <row r="896" spans="1:26" ht="13">
      <c r="A896" s="70"/>
      <c r="B896" s="70"/>
      <c r="C896" s="70"/>
      <c r="D896" s="70"/>
      <c r="E896" s="70"/>
      <c r="F896" s="70"/>
      <c r="G896" s="70"/>
      <c r="H896" s="70"/>
      <c r="I896" s="70"/>
      <c r="J896" s="70"/>
      <c r="K896" s="70"/>
      <c r="L896" s="70"/>
      <c r="M896" s="70"/>
      <c r="N896" s="70"/>
      <c r="O896" s="70"/>
      <c r="P896" s="70"/>
      <c r="Q896" s="70"/>
      <c r="R896" s="70"/>
      <c r="S896" s="70"/>
      <c r="T896" s="70"/>
      <c r="U896" s="70"/>
      <c r="V896" s="70"/>
      <c r="W896" s="70"/>
      <c r="X896" s="70"/>
      <c r="Y896" s="70"/>
      <c r="Z896" s="70"/>
    </row>
    <row r="897" spans="1:26" ht="13">
      <c r="A897" s="70"/>
      <c r="B897" s="70"/>
      <c r="C897" s="70"/>
      <c r="D897" s="70"/>
      <c r="E897" s="70"/>
      <c r="F897" s="70"/>
      <c r="G897" s="70"/>
      <c r="H897" s="70"/>
      <c r="I897" s="70"/>
      <c r="J897" s="70"/>
      <c r="K897" s="70"/>
      <c r="L897" s="70"/>
      <c r="M897" s="70"/>
      <c r="N897" s="70"/>
      <c r="O897" s="70"/>
      <c r="P897" s="70"/>
      <c r="Q897" s="70"/>
      <c r="R897" s="70"/>
      <c r="S897" s="70"/>
      <c r="T897" s="70"/>
      <c r="U897" s="70"/>
      <c r="V897" s="70"/>
      <c r="W897" s="70"/>
      <c r="X897" s="70"/>
      <c r="Y897" s="70"/>
      <c r="Z897" s="70"/>
    </row>
    <row r="898" spans="1:26" ht="13">
      <c r="A898" s="70"/>
      <c r="B898" s="70"/>
      <c r="C898" s="70"/>
      <c r="D898" s="70"/>
      <c r="E898" s="70"/>
      <c r="F898" s="70"/>
      <c r="G898" s="70"/>
      <c r="H898" s="70"/>
      <c r="I898" s="70"/>
      <c r="J898" s="70"/>
      <c r="K898" s="70"/>
      <c r="L898" s="70"/>
      <c r="M898" s="70"/>
      <c r="N898" s="70"/>
      <c r="O898" s="70"/>
      <c r="P898" s="70"/>
      <c r="Q898" s="70"/>
      <c r="R898" s="70"/>
      <c r="S898" s="70"/>
      <c r="T898" s="70"/>
      <c r="U898" s="70"/>
      <c r="V898" s="70"/>
      <c r="W898" s="70"/>
      <c r="X898" s="70"/>
      <c r="Y898" s="70"/>
      <c r="Z898" s="70"/>
    </row>
    <row r="899" spans="1:26" ht="13">
      <c r="A899" s="70"/>
      <c r="B899" s="70"/>
      <c r="C899" s="70"/>
      <c r="D899" s="70"/>
      <c r="E899" s="70"/>
      <c r="F899" s="70"/>
      <c r="G899" s="70"/>
      <c r="H899" s="70"/>
      <c r="I899" s="70"/>
      <c r="J899" s="70"/>
      <c r="K899" s="70"/>
      <c r="L899" s="70"/>
      <c r="M899" s="70"/>
      <c r="N899" s="70"/>
      <c r="O899" s="70"/>
      <c r="P899" s="70"/>
      <c r="Q899" s="70"/>
      <c r="R899" s="70"/>
      <c r="S899" s="70"/>
      <c r="T899" s="70"/>
      <c r="U899" s="70"/>
      <c r="V899" s="70"/>
      <c r="W899" s="70"/>
      <c r="X899" s="70"/>
      <c r="Y899" s="70"/>
      <c r="Z899" s="70"/>
    </row>
    <row r="900" spans="1:26" ht="13">
      <c r="A900" s="70"/>
      <c r="B900" s="70"/>
      <c r="C900" s="70"/>
      <c r="D900" s="70"/>
      <c r="E900" s="70"/>
      <c r="F900" s="70"/>
      <c r="G900" s="70"/>
      <c r="H900" s="70"/>
      <c r="I900" s="70"/>
      <c r="J900" s="70"/>
      <c r="K900" s="70"/>
      <c r="L900" s="70"/>
      <c r="M900" s="70"/>
      <c r="N900" s="70"/>
      <c r="O900" s="70"/>
      <c r="P900" s="70"/>
      <c r="Q900" s="70"/>
      <c r="R900" s="70"/>
      <c r="S900" s="70"/>
      <c r="T900" s="70"/>
      <c r="U900" s="70"/>
      <c r="V900" s="70"/>
      <c r="W900" s="70"/>
      <c r="X900" s="70"/>
      <c r="Y900" s="70"/>
      <c r="Z900" s="70"/>
    </row>
    <row r="901" spans="1:26" ht="13">
      <c r="A901" s="70"/>
      <c r="B901" s="70"/>
      <c r="C901" s="70"/>
      <c r="D901" s="70"/>
      <c r="E901" s="70"/>
      <c r="F901" s="70"/>
      <c r="G901" s="70"/>
      <c r="H901" s="70"/>
      <c r="I901" s="70"/>
      <c r="J901" s="70"/>
      <c r="K901" s="70"/>
      <c r="L901" s="70"/>
      <c r="M901" s="70"/>
      <c r="N901" s="70"/>
      <c r="O901" s="70"/>
      <c r="P901" s="70"/>
      <c r="Q901" s="70"/>
      <c r="R901" s="70"/>
      <c r="S901" s="70"/>
      <c r="T901" s="70"/>
      <c r="U901" s="70"/>
      <c r="V901" s="70"/>
      <c r="W901" s="70"/>
      <c r="X901" s="70"/>
      <c r="Y901" s="70"/>
      <c r="Z901" s="70"/>
    </row>
    <row r="902" spans="1:26" ht="13">
      <c r="A902" s="70"/>
      <c r="B902" s="70"/>
      <c r="C902" s="70"/>
      <c r="D902" s="70"/>
      <c r="E902" s="70"/>
      <c r="F902" s="70"/>
      <c r="G902" s="70"/>
      <c r="H902" s="70"/>
      <c r="I902" s="70"/>
      <c r="J902" s="70"/>
      <c r="K902" s="70"/>
      <c r="L902" s="70"/>
      <c r="M902" s="70"/>
      <c r="N902" s="70"/>
      <c r="O902" s="70"/>
      <c r="P902" s="70"/>
      <c r="Q902" s="70"/>
      <c r="R902" s="70"/>
      <c r="S902" s="70"/>
      <c r="T902" s="70"/>
      <c r="U902" s="70"/>
      <c r="V902" s="70"/>
      <c r="W902" s="70"/>
      <c r="X902" s="70"/>
      <c r="Y902" s="70"/>
      <c r="Z902" s="70"/>
    </row>
    <row r="903" spans="1:26" ht="13">
      <c r="A903" s="70"/>
      <c r="B903" s="70"/>
      <c r="C903" s="70"/>
      <c r="D903" s="70"/>
      <c r="E903" s="70"/>
      <c r="F903" s="70"/>
      <c r="G903" s="70"/>
      <c r="H903" s="70"/>
      <c r="I903" s="70"/>
      <c r="J903" s="70"/>
      <c r="K903" s="70"/>
      <c r="L903" s="70"/>
      <c r="M903" s="70"/>
      <c r="N903" s="70"/>
      <c r="O903" s="70"/>
      <c r="P903" s="70"/>
      <c r="Q903" s="70"/>
      <c r="R903" s="70"/>
      <c r="S903" s="70"/>
      <c r="T903" s="70"/>
      <c r="U903" s="70"/>
      <c r="V903" s="70"/>
      <c r="W903" s="70"/>
      <c r="X903" s="70"/>
      <c r="Y903" s="70"/>
      <c r="Z903" s="70"/>
    </row>
    <row r="904" spans="1:26" ht="13">
      <c r="A904" s="70"/>
      <c r="B904" s="70"/>
      <c r="C904" s="70"/>
      <c r="D904" s="70"/>
      <c r="E904" s="70"/>
      <c r="F904" s="70"/>
      <c r="G904" s="70"/>
      <c r="H904" s="70"/>
      <c r="I904" s="70"/>
      <c r="J904" s="70"/>
      <c r="K904" s="70"/>
      <c r="L904" s="70"/>
      <c r="M904" s="70"/>
      <c r="N904" s="70"/>
      <c r="O904" s="70"/>
      <c r="P904" s="70"/>
      <c r="Q904" s="70"/>
      <c r="R904" s="70"/>
      <c r="S904" s="70"/>
      <c r="T904" s="70"/>
      <c r="U904" s="70"/>
      <c r="V904" s="70"/>
      <c r="W904" s="70"/>
      <c r="X904" s="70"/>
      <c r="Y904" s="70"/>
      <c r="Z904" s="70"/>
    </row>
    <row r="905" spans="1:26" ht="13">
      <c r="A905" s="70"/>
      <c r="B905" s="70"/>
      <c r="C905" s="70"/>
      <c r="D905" s="70"/>
      <c r="E905" s="70"/>
      <c r="F905" s="70"/>
      <c r="G905" s="70"/>
      <c r="H905" s="70"/>
      <c r="I905" s="70"/>
      <c r="J905" s="70"/>
      <c r="K905" s="70"/>
      <c r="L905" s="70"/>
      <c r="M905" s="70"/>
      <c r="N905" s="70"/>
      <c r="O905" s="70"/>
      <c r="P905" s="70"/>
      <c r="Q905" s="70"/>
      <c r="R905" s="70"/>
      <c r="S905" s="70"/>
      <c r="T905" s="70"/>
      <c r="U905" s="70"/>
      <c r="V905" s="70"/>
      <c r="W905" s="70"/>
      <c r="X905" s="70"/>
      <c r="Y905" s="70"/>
      <c r="Z905" s="70"/>
    </row>
    <row r="906" spans="1:26" ht="13">
      <c r="A906" s="70"/>
      <c r="B906" s="70"/>
      <c r="C906" s="70"/>
      <c r="D906" s="70"/>
      <c r="E906" s="70"/>
      <c r="F906" s="70"/>
      <c r="G906" s="70"/>
      <c r="H906" s="70"/>
      <c r="I906" s="70"/>
      <c r="J906" s="70"/>
      <c r="K906" s="70"/>
      <c r="L906" s="70"/>
      <c r="M906" s="70"/>
      <c r="N906" s="70"/>
      <c r="O906" s="70"/>
      <c r="P906" s="70"/>
      <c r="Q906" s="70"/>
      <c r="R906" s="70"/>
      <c r="S906" s="70"/>
      <c r="T906" s="70"/>
      <c r="U906" s="70"/>
      <c r="V906" s="70"/>
      <c r="W906" s="70"/>
      <c r="X906" s="70"/>
      <c r="Y906" s="70"/>
      <c r="Z906" s="70"/>
    </row>
    <row r="907" spans="1:26" ht="13">
      <c r="A907" s="70"/>
      <c r="B907" s="70"/>
      <c r="C907" s="70"/>
      <c r="D907" s="70"/>
      <c r="E907" s="70"/>
      <c r="F907" s="70"/>
      <c r="G907" s="70"/>
      <c r="H907" s="70"/>
      <c r="I907" s="70"/>
      <c r="J907" s="70"/>
      <c r="K907" s="70"/>
      <c r="L907" s="70"/>
      <c r="M907" s="70"/>
      <c r="N907" s="70"/>
      <c r="O907" s="70"/>
      <c r="P907" s="70"/>
      <c r="Q907" s="70"/>
      <c r="R907" s="70"/>
      <c r="S907" s="70"/>
      <c r="T907" s="70"/>
      <c r="U907" s="70"/>
      <c r="V907" s="70"/>
      <c r="W907" s="70"/>
      <c r="X907" s="70"/>
      <c r="Y907" s="70"/>
      <c r="Z907" s="70"/>
    </row>
    <row r="908" spans="1:26" ht="13">
      <c r="A908" s="70"/>
      <c r="B908" s="70"/>
      <c r="C908" s="70"/>
      <c r="D908" s="70"/>
      <c r="E908" s="70"/>
      <c r="F908" s="70"/>
      <c r="G908" s="70"/>
      <c r="H908" s="70"/>
      <c r="I908" s="70"/>
      <c r="J908" s="70"/>
      <c r="K908" s="70"/>
      <c r="L908" s="70"/>
      <c r="M908" s="70"/>
      <c r="N908" s="70"/>
      <c r="O908" s="70"/>
      <c r="P908" s="70"/>
      <c r="Q908" s="70"/>
      <c r="R908" s="70"/>
      <c r="S908" s="70"/>
      <c r="T908" s="70"/>
      <c r="U908" s="70"/>
      <c r="V908" s="70"/>
      <c r="W908" s="70"/>
      <c r="X908" s="70"/>
      <c r="Y908" s="70"/>
      <c r="Z908" s="70"/>
    </row>
    <row r="909" spans="1:26" ht="13">
      <c r="A909" s="70"/>
      <c r="B909" s="70"/>
      <c r="C909" s="70"/>
      <c r="D909" s="70"/>
      <c r="E909" s="70"/>
      <c r="F909" s="70"/>
      <c r="G909" s="70"/>
      <c r="H909" s="70"/>
      <c r="I909" s="70"/>
      <c r="J909" s="70"/>
      <c r="K909" s="70"/>
      <c r="L909" s="70"/>
      <c r="M909" s="70"/>
      <c r="N909" s="70"/>
      <c r="O909" s="70"/>
      <c r="P909" s="70"/>
      <c r="Q909" s="70"/>
      <c r="R909" s="70"/>
      <c r="S909" s="70"/>
      <c r="T909" s="70"/>
      <c r="U909" s="70"/>
      <c r="V909" s="70"/>
      <c r="W909" s="70"/>
      <c r="X909" s="70"/>
      <c r="Y909" s="70"/>
      <c r="Z909" s="70"/>
    </row>
    <row r="910" spans="1:26" ht="13">
      <c r="A910" s="70"/>
      <c r="B910" s="70"/>
      <c r="C910" s="70"/>
      <c r="D910" s="70"/>
      <c r="E910" s="70"/>
      <c r="F910" s="70"/>
      <c r="G910" s="70"/>
      <c r="H910" s="70"/>
      <c r="I910" s="70"/>
      <c r="J910" s="70"/>
      <c r="K910" s="70"/>
      <c r="L910" s="70"/>
      <c r="M910" s="70"/>
      <c r="N910" s="70"/>
      <c r="O910" s="70"/>
      <c r="P910" s="70"/>
      <c r="Q910" s="70"/>
      <c r="R910" s="70"/>
      <c r="S910" s="70"/>
      <c r="T910" s="70"/>
      <c r="U910" s="70"/>
      <c r="V910" s="70"/>
      <c r="W910" s="70"/>
      <c r="X910" s="70"/>
      <c r="Y910" s="70"/>
      <c r="Z910" s="70"/>
    </row>
    <row r="911" spans="1:26" ht="13">
      <c r="A911" s="70"/>
      <c r="B911" s="70"/>
      <c r="C911" s="70"/>
      <c r="D911" s="70"/>
      <c r="E911" s="70"/>
      <c r="F911" s="70"/>
      <c r="G911" s="70"/>
      <c r="H911" s="70"/>
      <c r="I911" s="70"/>
      <c r="J911" s="70"/>
      <c r="K911" s="70"/>
      <c r="L911" s="70"/>
      <c r="M911" s="70"/>
      <c r="N911" s="70"/>
      <c r="O911" s="70"/>
      <c r="P911" s="70"/>
      <c r="Q911" s="70"/>
      <c r="R911" s="70"/>
      <c r="S911" s="70"/>
      <c r="T911" s="70"/>
      <c r="U911" s="70"/>
      <c r="V911" s="70"/>
      <c r="W911" s="70"/>
      <c r="X911" s="70"/>
      <c r="Y911" s="70"/>
      <c r="Z911" s="70"/>
    </row>
    <row r="912" spans="1:26" ht="13">
      <c r="A912" s="70"/>
      <c r="B912" s="70"/>
      <c r="C912" s="70"/>
      <c r="D912" s="70"/>
      <c r="E912" s="70"/>
      <c r="F912" s="70"/>
      <c r="G912" s="70"/>
      <c r="H912" s="70"/>
      <c r="I912" s="70"/>
      <c r="J912" s="70"/>
      <c r="K912" s="70"/>
      <c r="L912" s="70"/>
      <c r="M912" s="70"/>
      <c r="N912" s="70"/>
      <c r="O912" s="70"/>
      <c r="P912" s="70"/>
      <c r="Q912" s="70"/>
      <c r="R912" s="70"/>
      <c r="S912" s="70"/>
      <c r="T912" s="70"/>
      <c r="U912" s="70"/>
      <c r="V912" s="70"/>
      <c r="W912" s="70"/>
      <c r="X912" s="70"/>
      <c r="Y912" s="70"/>
      <c r="Z912" s="70"/>
    </row>
    <row r="913" spans="1:26" ht="13">
      <c r="A913" s="70"/>
      <c r="B913" s="70"/>
      <c r="C913" s="70"/>
      <c r="D913" s="70"/>
      <c r="E913" s="70"/>
      <c r="F913" s="70"/>
      <c r="G913" s="70"/>
      <c r="H913" s="70"/>
      <c r="I913" s="70"/>
      <c r="J913" s="70"/>
      <c r="K913" s="70"/>
      <c r="L913" s="70"/>
      <c r="M913" s="70"/>
      <c r="N913" s="70"/>
      <c r="O913" s="70"/>
      <c r="P913" s="70"/>
      <c r="Q913" s="70"/>
      <c r="R913" s="70"/>
      <c r="S913" s="70"/>
      <c r="T913" s="70"/>
      <c r="U913" s="70"/>
      <c r="V913" s="70"/>
      <c r="W913" s="70"/>
      <c r="X913" s="70"/>
      <c r="Y913" s="70"/>
      <c r="Z913" s="70"/>
    </row>
    <row r="914" spans="1:26" ht="13">
      <c r="A914" s="70"/>
      <c r="B914" s="70"/>
      <c r="C914" s="70"/>
      <c r="D914" s="70"/>
      <c r="E914" s="70"/>
      <c r="F914" s="70"/>
      <c r="G914" s="70"/>
      <c r="H914" s="70"/>
      <c r="I914" s="70"/>
      <c r="J914" s="70"/>
      <c r="K914" s="70"/>
      <c r="L914" s="70"/>
      <c r="M914" s="70"/>
      <c r="N914" s="70"/>
      <c r="O914" s="70"/>
      <c r="P914" s="70"/>
      <c r="Q914" s="70"/>
      <c r="R914" s="70"/>
      <c r="S914" s="70"/>
      <c r="T914" s="70"/>
      <c r="U914" s="70"/>
      <c r="V914" s="70"/>
      <c r="W914" s="70"/>
      <c r="X914" s="70"/>
      <c r="Y914" s="70"/>
      <c r="Z914" s="70"/>
    </row>
    <row r="915" spans="1:26" ht="13">
      <c r="A915" s="70"/>
      <c r="B915" s="70"/>
      <c r="C915" s="70"/>
      <c r="D915" s="70"/>
      <c r="E915" s="70"/>
      <c r="F915" s="70"/>
      <c r="G915" s="70"/>
      <c r="H915" s="70"/>
      <c r="I915" s="70"/>
      <c r="J915" s="70"/>
      <c r="K915" s="70"/>
      <c r="L915" s="70"/>
      <c r="M915" s="70"/>
      <c r="N915" s="70"/>
      <c r="O915" s="70"/>
      <c r="P915" s="70"/>
      <c r="Q915" s="70"/>
      <c r="R915" s="70"/>
      <c r="S915" s="70"/>
      <c r="T915" s="70"/>
      <c r="U915" s="70"/>
      <c r="V915" s="70"/>
      <c r="W915" s="70"/>
      <c r="X915" s="70"/>
      <c r="Y915" s="70"/>
      <c r="Z915" s="70"/>
    </row>
    <row r="916" spans="1:26" ht="13">
      <c r="A916" s="70"/>
      <c r="B916" s="70"/>
      <c r="C916" s="70"/>
      <c r="D916" s="70"/>
      <c r="E916" s="70"/>
      <c r="F916" s="70"/>
      <c r="G916" s="70"/>
      <c r="H916" s="70"/>
      <c r="I916" s="70"/>
      <c r="J916" s="70"/>
      <c r="K916" s="70"/>
      <c r="L916" s="70"/>
      <c r="M916" s="70"/>
      <c r="N916" s="70"/>
      <c r="O916" s="70"/>
      <c r="P916" s="70"/>
      <c r="Q916" s="70"/>
      <c r="R916" s="70"/>
      <c r="S916" s="70"/>
      <c r="T916" s="70"/>
      <c r="U916" s="70"/>
      <c r="V916" s="70"/>
      <c r="W916" s="70"/>
      <c r="X916" s="70"/>
      <c r="Y916" s="70"/>
      <c r="Z916" s="70"/>
    </row>
    <row r="917" spans="1:26" ht="13">
      <c r="A917" s="70"/>
      <c r="B917" s="70"/>
      <c r="C917" s="70"/>
      <c r="D917" s="70"/>
      <c r="E917" s="70"/>
      <c r="F917" s="70"/>
      <c r="G917" s="70"/>
      <c r="H917" s="70"/>
      <c r="I917" s="70"/>
      <c r="J917" s="70"/>
      <c r="K917" s="70"/>
      <c r="L917" s="70"/>
      <c r="M917" s="70"/>
      <c r="N917" s="70"/>
      <c r="O917" s="70"/>
      <c r="P917" s="70"/>
      <c r="Q917" s="70"/>
      <c r="R917" s="70"/>
      <c r="S917" s="70"/>
      <c r="T917" s="70"/>
      <c r="U917" s="70"/>
      <c r="V917" s="70"/>
      <c r="W917" s="70"/>
      <c r="X917" s="70"/>
      <c r="Y917" s="70"/>
      <c r="Z917" s="70"/>
    </row>
    <row r="918" spans="1:26" ht="13">
      <c r="A918" s="70"/>
      <c r="B918" s="70"/>
      <c r="C918" s="70"/>
      <c r="D918" s="70"/>
      <c r="E918" s="70"/>
      <c r="F918" s="70"/>
      <c r="G918" s="70"/>
      <c r="H918" s="70"/>
      <c r="I918" s="70"/>
      <c r="J918" s="70"/>
      <c r="K918" s="70"/>
      <c r="L918" s="70"/>
      <c r="M918" s="70"/>
      <c r="N918" s="70"/>
      <c r="O918" s="70"/>
      <c r="P918" s="70"/>
      <c r="Q918" s="70"/>
      <c r="R918" s="70"/>
      <c r="S918" s="70"/>
      <c r="T918" s="70"/>
      <c r="U918" s="70"/>
      <c r="V918" s="70"/>
      <c r="W918" s="70"/>
      <c r="X918" s="70"/>
      <c r="Y918" s="70"/>
      <c r="Z918" s="70"/>
    </row>
    <row r="919" spans="1:26" ht="13">
      <c r="A919" s="70"/>
      <c r="B919" s="70"/>
      <c r="C919" s="70"/>
      <c r="D919" s="70"/>
      <c r="E919" s="70"/>
      <c r="F919" s="70"/>
      <c r="G919" s="70"/>
      <c r="H919" s="70"/>
      <c r="I919" s="70"/>
      <c r="J919" s="70"/>
      <c r="K919" s="70"/>
      <c r="L919" s="70"/>
      <c r="M919" s="70"/>
      <c r="N919" s="70"/>
      <c r="O919" s="70"/>
      <c r="P919" s="70"/>
      <c r="Q919" s="70"/>
      <c r="R919" s="70"/>
      <c r="S919" s="70"/>
      <c r="T919" s="70"/>
      <c r="U919" s="70"/>
      <c r="V919" s="70"/>
      <c r="W919" s="70"/>
      <c r="X919" s="70"/>
      <c r="Y919" s="70"/>
      <c r="Z919" s="70"/>
    </row>
    <row r="920" spans="1:26" ht="13">
      <c r="A920" s="70"/>
      <c r="B920" s="70"/>
      <c r="C920" s="70"/>
      <c r="D920" s="70"/>
      <c r="E920" s="70"/>
      <c r="F920" s="70"/>
      <c r="G920" s="70"/>
      <c r="H920" s="70"/>
      <c r="I920" s="70"/>
      <c r="J920" s="70"/>
      <c r="K920" s="70"/>
      <c r="L920" s="70"/>
      <c r="M920" s="70"/>
      <c r="N920" s="70"/>
      <c r="O920" s="70"/>
      <c r="P920" s="70"/>
      <c r="Q920" s="70"/>
      <c r="R920" s="70"/>
      <c r="S920" s="70"/>
      <c r="T920" s="70"/>
      <c r="U920" s="70"/>
      <c r="V920" s="70"/>
      <c r="W920" s="70"/>
      <c r="X920" s="70"/>
      <c r="Y920" s="70"/>
      <c r="Z920" s="70"/>
    </row>
    <row r="921" spans="1:26" ht="13">
      <c r="A921" s="70"/>
      <c r="B921" s="70"/>
      <c r="C921" s="70"/>
      <c r="D921" s="70"/>
      <c r="E921" s="70"/>
      <c r="F921" s="70"/>
      <c r="G921" s="70"/>
      <c r="H921" s="70"/>
      <c r="I921" s="70"/>
      <c r="J921" s="70"/>
      <c r="K921" s="70"/>
      <c r="L921" s="70"/>
      <c r="M921" s="70"/>
      <c r="N921" s="70"/>
      <c r="O921" s="70"/>
      <c r="P921" s="70"/>
      <c r="Q921" s="70"/>
      <c r="R921" s="70"/>
      <c r="S921" s="70"/>
      <c r="T921" s="70"/>
      <c r="U921" s="70"/>
      <c r="V921" s="70"/>
      <c r="W921" s="70"/>
      <c r="X921" s="70"/>
      <c r="Y921" s="70"/>
      <c r="Z921" s="70"/>
    </row>
    <row r="922" spans="1:26" ht="13">
      <c r="A922" s="70"/>
      <c r="B922" s="70"/>
      <c r="C922" s="70"/>
      <c r="D922" s="70"/>
      <c r="E922" s="70"/>
      <c r="F922" s="70"/>
      <c r="G922" s="70"/>
      <c r="H922" s="70"/>
      <c r="I922" s="70"/>
      <c r="J922" s="70"/>
      <c r="K922" s="70"/>
      <c r="L922" s="70"/>
      <c r="M922" s="70"/>
      <c r="N922" s="70"/>
      <c r="O922" s="70"/>
      <c r="P922" s="70"/>
      <c r="Q922" s="70"/>
      <c r="R922" s="70"/>
      <c r="S922" s="70"/>
      <c r="T922" s="70"/>
      <c r="U922" s="70"/>
      <c r="V922" s="70"/>
      <c r="W922" s="70"/>
      <c r="X922" s="70"/>
      <c r="Y922" s="70"/>
      <c r="Z922" s="70"/>
    </row>
    <row r="923" spans="1:26" ht="13">
      <c r="A923" s="70"/>
      <c r="B923" s="70"/>
      <c r="C923" s="70"/>
      <c r="D923" s="70"/>
      <c r="E923" s="70"/>
      <c r="F923" s="70"/>
      <c r="G923" s="70"/>
      <c r="H923" s="70"/>
      <c r="I923" s="70"/>
      <c r="J923" s="70"/>
      <c r="K923" s="70"/>
      <c r="L923" s="70"/>
      <c r="M923" s="70"/>
      <c r="N923" s="70"/>
      <c r="O923" s="70"/>
      <c r="P923" s="70"/>
      <c r="Q923" s="70"/>
      <c r="R923" s="70"/>
      <c r="S923" s="70"/>
      <c r="T923" s="70"/>
      <c r="U923" s="70"/>
      <c r="V923" s="70"/>
      <c r="W923" s="70"/>
      <c r="X923" s="70"/>
      <c r="Y923" s="70"/>
      <c r="Z923" s="70"/>
    </row>
    <row r="924" spans="1:26" ht="13">
      <c r="A924" s="70"/>
      <c r="B924" s="70"/>
      <c r="C924" s="70"/>
      <c r="D924" s="70"/>
      <c r="E924" s="70"/>
      <c r="F924" s="70"/>
      <c r="G924" s="70"/>
      <c r="H924" s="70"/>
      <c r="I924" s="70"/>
      <c r="J924" s="70"/>
      <c r="K924" s="70"/>
      <c r="L924" s="70"/>
      <c r="M924" s="70"/>
      <c r="N924" s="70"/>
      <c r="O924" s="70"/>
      <c r="P924" s="70"/>
      <c r="Q924" s="70"/>
      <c r="R924" s="70"/>
      <c r="S924" s="70"/>
      <c r="T924" s="70"/>
      <c r="U924" s="70"/>
      <c r="V924" s="70"/>
      <c r="W924" s="70"/>
      <c r="X924" s="70"/>
      <c r="Y924" s="70"/>
      <c r="Z924" s="70"/>
    </row>
    <row r="925" spans="1:26" ht="13">
      <c r="A925" s="70"/>
      <c r="B925" s="70"/>
      <c r="C925" s="70"/>
      <c r="D925" s="70"/>
      <c r="E925" s="70"/>
      <c r="F925" s="70"/>
      <c r="G925" s="70"/>
      <c r="H925" s="70"/>
      <c r="I925" s="70"/>
      <c r="J925" s="70"/>
      <c r="K925" s="70"/>
      <c r="L925" s="70"/>
      <c r="M925" s="70"/>
      <c r="N925" s="70"/>
      <c r="O925" s="70"/>
      <c r="P925" s="70"/>
      <c r="Q925" s="70"/>
      <c r="R925" s="70"/>
      <c r="S925" s="70"/>
      <c r="T925" s="70"/>
      <c r="U925" s="70"/>
      <c r="V925" s="70"/>
      <c r="W925" s="70"/>
      <c r="X925" s="70"/>
      <c r="Y925" s="70"/>
      <c r="Z925" s="70"/>
    </row>
    <row r="926" spans="1:26" ht="13">
      <c r="A926" s="70"/>
      <c r="B926" s="70"/>
      <c r="C926" s="70"/>
      <c r="D926" s="70"/>
      <c r="E926" s="70"/>
      <c r="F926" s="70"/>
      <c r="G926" s="70"/>
      <c r="H926" s="70"/>
      <c r="I926" s="70"/>
      <c r="J926" s="70"/>
      <c r="K926" s="70"/>
      <c r="L926" s="70"/>
      <c r="M926" s="70"/>
      <c r="N926" s="70"/>
      <c r="O926" s="70"/>
      <c r="P926" s="70"/>
      <c r="Q926" s="70"/>
      <c r="R926" s="70"/>
      <c r="S926" s="70"/>
      <c r="T926" s="70"/>
      <c r="U926" s="70"/>
      <c r="V926" s="70"/>
      <c r="W926" s="70"/>
      <c r="X926" s="70"/>
      <c r="Y926" s="70"/>
      <c r="Z926" s="70"/>
    </row>
    <row r="927" spans="1:26" ht="13">
      <c r="A927" s="70"/>
      <c r="B927" s="70"/>
      <c r="C927" s="70"/>
      <c r="D927" s="70"/>
      <c r="E927" s="70"/>
      <c r="F927" s="70"/>
      <c r="G927" s="70"/>
      <c r="H927" s="70"/>
      <c r="I927" s="70"/>
      <c r="J927" s="70"/>
      <c r="K927" s="70"/>
      <c r="L927" s="70"/>
      <c r="M927" s="70"/>
      <c r="N927" s="70"/>
      <c r="O927" s="70"/>
      <c r="P927" s="70"/>
      <c r="Q927" s="70"/>
      <c r="R927" s="70"/>
      <c r="S927" s="70"/>
      <c r="T927" s="70"/>
      <c r="U927" s="70"/>
      <c r="V927" s="70"/>
      <c r="W927" s="70"/>
      <c r="X927" s="70"/>
      <c r="Y927" s="70"/>
      <c r="Z927" s="70"/>
    </row>
    <row r="928" spans="1:26" ht="13">
      <c r="A928" s="70"/>
      <c r="B928" s="70"/>
      <c r="C928" s="70"/>
      <c r="D928" s="70"/>
      <c r="E928" s="70"/>
      <c r="F928" s="70"/>
      <c r="G928" s="70"/>
      <c r="H928" s="70"/>
      <c r="I928" s="70"/>
      <c r="J928" s="70"/>
      <c r="K928" s="70"/>
      <c r="L928" s="70"/>
      <c r="M928" s="70"/>
      <c r="N928" s="70"/>
      <c r="O928" s="70"/>
      <c r="P928" s="70"/>
      <c r="Q928" s="70"/>
      <c r="R928" s="70"/>
      <c r="S928" s="70"/>
      <c r="T928" s="70"/>
      <c r="U928" s="70"/>
      <c r="V928" s="70"/>
      <c r="W928" s="70"/>
      <c r="X928" s="70"/>
      <c r="Y928" s="70"/>
      <c r="Z928" s="70"/>
    </row>
    <row r="929" spans="1:26" ht="13">
      <c r="A929" s="70"/>
      <c r="B929" s="70"/>
      <c r="C929" s="70"/>
      <c r="D929" s="70"/>
      <c r="E929" s="70"/>
      <c r="F929" s="70"/>
      <c r="G929" s="70"/>
      <c r="H929" s="70"/>
      <c r="I929" s="70"/>
      <c r="J929" s="70"/>
      <c r="K929" s="70"/>
      <c r="L929" s="70"/>
      <c r="M929" s="70"/>
      <c r="N929" s="70"/>
      <c r="O929" s="70"/>
      <c r="P929" s="70"/>
      <c r="Q929" s="70"/>
      <c r="R929" s="70"/>
      <c r="S929" s="70"/>
      <c r="T929" s="70"/>
      <c r="U929" s="70"/>
      <c r="V929" s="70"/>
      <c r="W929" s="70"/>
      <c r="X929" s="70"/>
      <c r="Y929" s="70"/>
      <c r="Z929" s="70"/>
    </row>
    <row r="930" spans="1:26" ht="13">
      <c r="A930" s="70"/>
      <c r="B930" s="70"/>
      <c r="C930" s="70"/>
      <c r="D930" s="70"/>
      <c r="E930" s="70"/>
      <c r="F930" s="70"/>
      <c r="G930" s="70"/>
      <c r="H930" s="70"/>
      <c r="I930" s="70"/>
      <c r="J930" s="70"/>
      <c r="K930" s="70"/>
      <c r="L930" s="70"/>
      <c r="M930" s="70"/>
      <c r="N930" s="70"/>
      <c r="O930" s="70"/>
      <c r="P930" s="70"/>
      <c r="Q930" s="70"/>
      <c r="R930" s="70"/>
      <c r="S930" s="70"/>
      <c r="T930" s="70"/>
      <c r="U930" s="70"/>
      <c r="V930" s="70"/>
      <c r="W930" s="70"/>
      <c r="X930" s="70"/>
      <c r="Y930" s="70"/>
      <c r="Z930" s="70"/>
    </row>
    <row r="931" spans="1:26" ht="13">
      <c r="A931" s="70"/>
      <c r="B931" s="70"/>
      <c r="C931" s="70"/>
      <c r="D931" s="70"/>
      <c r="E931" s="70"/>
      <c r="F931" s="70"/>
      <c r="G931" s="70"/>
      <c r="H931" s="70"/>
      <c r="I931" s="70"/>
      <c r="J931" s="70"/>
      <c r="K931" s="70"/>
      <c r="L931" s="70"/>
      <c r="M931" s="70"/>
      <c r="N931" s="70"/>
      <c r="O931" s="70"/>
      <c r="P931" s="70"/>
      <c r="Q931" s="70"/>
      <c r="R931" s="70"/>
      <c r="S931" s="70"/>
      <c r="T931" s="70"/>
      <c r="U931" s="70"/>
      <c r="V931" s="70"/>
      <c r="W931" s="70"/>
      <c r="X931" s="70"/>
      <c r="Y931" s="70"/>
      <c r="Z931" s="70"/>
    </row>
    <row r="932" spans="1:26" ht="13">
      <c r="A932" s="70"/>
      <c r="B932" s="70"/>
      <c r="C932" s="70"/>
      <c r="D932" s="70"/>
      <c r="E932" s="70"/>
      <c r="F932" s="70"/>
      <c r="G932" s="70"/>
      <c r="H932" s="70"/>
      <c r="I932" s="70"/>
      <c r="J932" s="70"/>
      <c r="K932" s="70"/>
      <c r="L932" s="70"/>
      <c r="M932" s="70"/>
      <c r="N932" s="70"/>
      <c r="O932" s="70"/>
      <c r="P932" s="70"/>
      <c r="Q932" s="70"/>
      <c r="R932" s="70"/>
      <c r="S932" s="70"/>
      <c r="T932" s="70"/>
      <c r="U932" s="70"/>
      <c r="V932" s="70"/>
      <c r="W932" s="70"/>
      <c r="X932" s="70"/>
      <c r="Y932" s="70"/>
      <c r="Z932" s="70"/>
    </row>
    <row r="933" spans="1:26" ht="13">
      <c r="A933" s="70"/>
      <c r="B933" s="70"/>
      <c r="C933" s="70"/>
      <c r="D933" s="70"/>
      <c r="E933" s="70"/>
      <c r="F933" s="70"/>
      <c r="G933" s="70"/>
      <c r="H933" s="70"/>
      <c r="I933" s="70"/>
      <c r="J933" s="70"/>
      <c r="K933" s="70"/>
      <c r="L933" s="70"/>
      <c r="M933" s="70"/>
      <c r="N933" s="70"/>
      <c r="O933" s="70"/>
      <c r="P933" s="70"/>
      <c r="Q933" s="70"/>
      <c r="R933" s="70"/>
      <c r="S933" s="70"/>
      <c r="T933" s="70"/>
      <c r="U933" s="70"/>
      <c r="V933" s="70"/>
      <c r="W933" s="70"/>
      <c r="X933" s="70"/>
      <c r="Y933" s="70"/>
      <c r="Z933" s="70"/>
    </row>
    <row r="934" spans="1:26" ht="13">
      <c r="A934" s="70"/>
      <c r="B934" s="70"/>
      <c r="C934" s="70"/>
      <c r="D934" s="70"/>
      <c r="E934" s="70"/>
      <c r="F934" s="70"/>
      <c r="G934" s="70"/>
      <c r="H934" s="70"/>
      <c r="I934" s="70"/>
      <c r="J934" s="70"/>
      <c r="K934" s="70"/>
      <c r="L934" s="70"/>
      <c r="M934" s="70"/>
      <c r="N934" s="70"/>
      <c r="O934" s="70"/>
      <c r="P934" s="70"/>
      <c r="Q934" s="70"/>
      <c r="R934" s="70"/>
      <c r="S934" s="70"/>
      <c r="T934" s="70"/>
      <c r="U934" s="70"/>
      <c r="V934" s="70"/>
      <c r="W934" s="70"/>
      <c r="X934" s="70"/>
      <c r="Y934" s="70"/>
      <c r="Z934" s="70"/>
    </row>
    <row r="935" spans="1:26" ht="13">
      <c r="A935" s="70"/>
      <c r="B935" s="70"/>
      <c r="C935" s="70"/>
      <c r="D935" s="70"/>
      <c r="E935" s="70"/>
      <c r="F935" s="70"/>
      <c r="G935" s="70"/>
      <c r="H935" s="70"/>
      <c r="I935" s="70"/>
      <c r="J935" s="70"/>
      <c r="K935" s="70"/>
      <c r="L935" s="70"/>
      <c r="M935" s="70"/>
      <c r="N935" s="70"/>
      <c r="O935" s="70"/>
      <c r="P935" s="70"/>
      <c r="Q935" s="70"/>
      <c r="R935" s="70"/>
      <c r="S935" s="70"/>
      <c r="T935" s="70"/>
      <c r="U935" s="70"/>
      <c r="V935" s="70"/>
      <c r="W935" s="70"/>
      <c r="X935" s="70"/>
      <c r="Y935" s="70"/>
      <c r="Z935" s="70"/>
    </row>
    <row r="936" spans="1:26" ht="13">
      <c r="A936" s="70"/>
      <c r="B936" s="70"/>
      <c r="C936" s="70"/>
      <c r="D936" s="70"/>
      <c r="E936" s="70"/>
      <c r="F936" s="70"/>
      <c r="G936" s="70"/>
      <c r="H936" s="70"/>
      <c r="I936" s="70"/>
      <c r="J936" s="70"/>
      <c r="K936" s="70"/>
      <c r="L936" s="70"/>
      <c r="M936" s="70"/>
      <c r="N936" s="70"/>
      <c r="O936" s="70"/>
      <c r="P936" s="70"/>
      <c r="Q936" s="70"/>
      <c r="R936" s="70"/>
      <c r="S936" s="70"/>
      <c r="T936" s="70"/>
      <c r="U936" s="70"/>
      <c r="V936" s="70"/>
      <c r="W936" s="70"/>
      <c r="X936" s="70"/>
      <c r="Y936" s="70"/>
      <c r="Z936" s="70"/>
    </row>
    <row r="937" spans="1:26" ht="13">
      <c r="A937" s="70"/>
      <c r="B937" s="70"/>
      <c r="C937" s="70"/>
      <c r="D937" s="70"/>
      <c r="E937" s="70"/>
      <c r="F937" s="70"/>
      <c r="G937" s="70"/>
      <c r="H937" s="70"/>
      <c r="I937" s="70"/>
      <c r="J937" s="70"/>
      <c r="K937" s="70"/>
      <c r="L937" s="70"/>
      <c r="M937" s="70"/>
      <c r="N937" s="70"/>
      <c r="O937" s="70"/>
      <c r="P937" s="70"/>
      <c r="Q937" s="70"/>
      <c r="R937" s="70"/>
      <c r="S937" s="70"/>
      <c r="T937" s="70"/>
      <c r="U937" s="70"/>
      <c r="V937" s="70"/>
      <c r="W937" s="70"/>
      <c r="X937" s="70"/>
      <c r="Y937" s="70"/>
      <c r="Z937" s="70"/>
    </row>
    <row r="938" spans="1:26" ht="13">
      <c r="A938" s="70"/>
      <c r="B938" s="70"/>
      <c r="C938" s="70"/>
      <c r="D938" s="70"/>
      <c r="E938" s="70"/>
      <c r="F938" s="70"/>
      <c r="G938" s="70"/>
      <c r="H938" s="70"/>
      <c r="I938" s="70"/>
      <c r="J938" s="70"/>
      <c r="K938" s="70"/>
      <c r="L938" s="70"/>
      <c r="M938" s="70"/>
      <c r="N938" s="70"/>
      <c r="O938" s="70"/>
      <c r="P938" s="70"/>
      <c r="Q938" s="70"/>
      <c r="R938" s="70"/>
      <c r="S938" s="70"/>
      <c r="T938" s="70"/>
      <c r="U938" s="70"/>
      <c r="V938" s="70"/>
      <c r="W938" s="70"/>
      <c r="X938" s="70"/>
      <c r="Y938" s="70"/>
      <c r="Z938" s="70"/>
    </row>
    <row r="939" spans="1:26" ht="13">
      <c r="A939" s="70"/>
      <c r="B939" s="70"/>
      <c r="C939" s="70"/>
      <c r="D939" s="70"/>
      <c r="E939" s="70"/>
      <c r="F939" s="70"/>
      <c r="G939" s="70"/>
      <c r="H939" s="70"/>
      <c r="I939" s="70"/>
      <c r="J939" s="70"/>
      <c r="K939" s="70"/>
      <c r="L939" s="70"/>
      <c r="M939" s="70"/>
      <c r="N939" s="70"/>
      <c r="O939" s="70"/>
      <c r="P939" s="70"/>
      <c r="Q939" s="70"/>
      <c r="R939" s="70"/>
      <c r="S939" s="70"/>
      <c r="T939" s="70"/>
      <c r="U939" s="70"/>
      <c r="V939" s="70"/>
      <c r="W939" s="70"/>
      <c r="X939" s="70"/>
      <c r="Y939" s="70"/>
      <c r="Z939" s="70"/>
    </row>
    <row r="940" spans="1:26" ht="13">
      <c r="A940" s="70"/>
      <c r="B940" s="70"/>
      <c r="C940" s="70"/>
      <c r="D940" s="70"/>
      <c r="E940" s="70"/>
      <c r="F940" s="70"/>
      <c r="G940" s="70"/>
      <c r="H940" s="70"/>
      <c r="I940" s="70"/>
      <c r="J940" s="70"/>
      <c r="K940" s="70"/>
      <c r="L940" s="70"/>
      <c r="M940" s="70"/>
      <c r="N940" s="70"/>
      <c r="O940" s="70"/>
      <c r="P940" s="70"/>
      <c r="Q940" s="70"/>
      <c r="R940" s="70"/>
      <c r="S940" s="70"/>
      <c r="T940" s="70"/>
      <c r="U940" s="70"/>
      <c r="V940" s="70"/>
      <c r="W940" s="70"/>
      <c r="X940" s="70"/>
      <c r="Y940" s="70"/>
      <c r="Z940" s="70"/>
    </row>
    <row r="941" spans="1:26" ht="13">
      <c r="A941" s="70"/>
      <c r="B941" s="70"/>
      <c r="C941" s="70"/>
      <c r="D941" s="70"/>
      <c r="E941" s="70"/>
      <c r="F941" s="70"/>
      <c r="G941" s="70"/>
      <c r="H941" s="70"/>
      <c r="I941" s="70"/>
      <c r="J941" s="70"/>
      <c r="K941" s="70"/>
      <c r="L941" s="70"/>
      <c r="M941" s="70"/>
      <c r="N941" s="70"/>
      <c r="O941" s="70"/>
      <c r="P941" s="70"/>
      <c r="Q941" s="70"/>
      <c r="R941" s="70"/>
      <c r="S941" s="70"/>
      <c r="T941" s="70"/>
      <c r="U941" s="70"/>
      <c r="V941" s="70"/>
      <c r="W941" s="70"/>
      <c r="X941" s="70"/>
      <c r="Y941" s="70"/>
      <c r="Z941" s="70"/>
    </row>
    <row r="942" spans="1:26" ht="13">
      <c r="A942" s="70"/>
      <c r="B942" s="70"/>
      <c r="C942" s="70"/>
      <c r="D942" s="70"/>
      <c r="E942" s="70"/>
      <c r="F942" s="70"/>
      <c r="G942" s="70"/>
      <c r="H942" s="70"/>
      <c r="I942" s="70"/>
      <c r="J942" s="70"/>
      <c r="K942" s="70"/>
      <c r="L942" s="70"/>
      <c r="M942" s="70"/>
      <c r="N942" s="70"/>
      <c r="O942" s="70"/>
      <c r="P942" s="70"/>
      <c r="Q942" s="70"/>
      <c r="R942" s="70"/>
      <c r="S942" s="70"/>
      <c r="T942" s="70"/>
      <c r="U942" s="70"/>
      <c r="V942" s="70"/>
      <c r="W942" s="70"/>
      <c r="X942" s="70"/>
      <c r="Y942" s="70"/>
      <c r="Z942" s="70"/>
    </row>
    <row r="943" spans="1:26" ht="13">
      <c r="A943" s="70"/>
      <c r="B943" s="70"/>
      <c r="C943" s="70"/>
      <c r="D943" s="70"/>
      <c r="E943" s="70"/>
      <c r="F943" s="70"/>
      <c r="G943" s="70"/>
      <c r="H943" s="70"/>
      <c r="I943" s="70"/>
      <c r="J943" s="70"/>
      <c r="K943" s="70"/>
      <c r="L943" s="70"/>
      <c r="M943" s="70"/>
      <c r="N943" s="70"/>
      <c r="O943" s="70"/>
      <c r="P943" s="70"/>
      <c r="Q943" s="70"/>
      <c r="R943" s="70"/>
      <c r="S943" s="70"/>
      <c r="T943" s="70"/>
      <c r="U943" s="70"/>
      <c r="V943" s="70"/>
      <c r="W943" s="70"/>
      <c r="X943" s="70"/>
      <c r="Y943" s="70"/>
      <c r="Z943" s="70"/>
    </row>
    <row r="944" spans="1:26" ht="13">
      <c r="A944" s="70"/>
      <c r="B944" s="70"/>
      <c r="C944" s="70"/>
      <c r="D944" s="70"/>
      <c r="E944" s="70"/>
      <c r="F944" s="70"/>
      <c r="G944" s="70"/>
      <c r="H944" s="70"/>
      <c r="I944" s="70"/>
      <c r="J944" s="70"/>
      <c r="K944" s="70"/>
      <c r="L944" s="70"/>
      <c r="M944" s="70"/>
      <c r="N944" s="70"/>
      <c r="O944" s="70"/>
      <c r="P944" s="70"/>
      <c r="Q944" s="70"/>
      <c r="R944" s="70"/>
      <c r="S944" s="70"/>
      <c r="T944" s="70"/>
      <c r="U944" s="70"/>
      <c r="V944" s="70"/>
      <c r="W944" s="70"/>
      <c r="X944" s="70"/>
      <c r="Y944" s="70"/>
      <c r="Z944" s="70"/>
    </row>
    <row r="945" spans="1:26" ht="13">
      <c r="A945" s="70"/>
      <c r="B945" s="70"/>
      <c r="C945" s="70"/>
      <c r="D945" s="70"/>
      <c r="E945" s="70"/>
      <c r="F945" s="70"/>
      <c r="G945" s="70"/>
      <c r="H945" s="70"/>
      <c r="I945" s="70"/>
      <c r="J945" s="70"/>
      <c r="K945" s="70"/>
      <c r="L945" s="70"/>
      <c r="M945" s="70"/>
      <c r="N945" s="70"/>
      <c r="O945" s="70"/>
      <c r="P945" s="70"/>
      <c r="Q945" s="70"/>
      <c r="R945" s="70"/>
      <c r="S945" s="70"/>
      <c r="T945" s="70"/>
      <c r="U945" s="70"/>
      <c r="V945" s="70"/>
      <c r="W945" s="70"/>
      <c r="X945" s="70"/>
      <c r="Y945" s="70"/>
      <c r="Z945" s="70"/>
    </row>
    <row r="946" spans="1:26" ht="13">
      <c r="A946" s="70"/>
      <c r="B946" s="70"/>
      <c r="C946" s="70"/>
      <c r="D946" s="70"/>
      <c r="E946" s="70"/>
      <c r="F946" s="70"/>
      <c r="G946" s="70"/>
      <c r="H946" s="70"/>
      <c r="I946" s="70"/>
      <c r="J946" s="70"/>
      <c r="K946" s="70"/>
      <c r="L946" s="70"/>
      <c r="M946" s="70"/>
      <c r="N946" s="70"/>
      <c r="O946" s="70"/>
      <c r="P946" s="70"/>
      <c r="Q946" s="70"/>
      <c r="R946" s="70"/>
      <c r="S946" s="70"/>
      <c r="T946" s="70"/>
      <c r="U946" s="70"/>
      <c r="V946" s="70"/>
      <c r="W946" s="70"/>
      <c r="X946" s="70"/>
      <c r="Y946" s="70"/>
      <c r="Z946" s="70"/>
    </row>
    <row r="947" spans="1:26" ht="13">
      <c r="A947" s="70"/>
      <c r="B947" s="70"/>
      <c r="C947" s="70"/>
      <c r="D947" s="70"/>
      <c r="E947" s="70"/>
      <c r="F947" s="70"/>
      <c r="G947" s="70"/>
      <c r="H947" s="70"/>
      <c r="I947" s="70"/>
      <c r="J947" s="70"/>
      <c r="K947" s="70"/>
      <c r="L947" s="70"/>
      <c r="M947" s="70"/>
      <c r="N947" s="70"/>
      <c r="O947" s="70"/>
      <c r="P947" s="70"/>
      <c r="Q947" s="70"/>
      <c r="R947" s="70"/>
      <c r="S947" s="70"/>
      <c r="T947" s="70"/>
      <c r="U947" s="70"/>
      <c r="V947" s="70"/>
      <c r="W947" s="70"/>
      <c r="X947" s="70"/>
      <c r="Y947" s="70"/>
      <c r="Z947" s="70"/>
    </row>
    <row r="948" spans="1:26" ht="13">
      <c r="A948" s="70"/>
      <c r="B948" s="70"/>
      <c r="C948" s="70"/>
      <c r="D948" s="70"/>
      <c r="E948" s="70"/>
      <c r="F948" s="70"/>
      <c r="G948" s="70"/>
      <c r="H948" s="70"/>
      <c r="I948" s="70"/>
      <c r="J948" s="70"/>
      <c r="K948" s="70"/>
      <c r="L948" s="70"/>
      <c r="M948" s="70"/>
      <c r="N948" s="70"/>
      <c r="O948" s="70"/>
      <c r="P948" s="70"/>
      <c r="Q948" s="70"/>
      <c r="R948" s="70"/>
      <c r="S948" s="70"/>
      <c r="T948" s="70"/>
      <c r="U948" s="70"/>
      <c r="V948" s="70"/>
      <c r="W948" s="70"/>
      <c r="X948" s="70"/>
      <c r="Y948" s="70"/>
      <c r="Z948" s="70"/>
    </row>
    <row r="949" spans="1:26" ht="13">
      <c r="A949" s="70"/>
      <c r="B949" s="70"/>
      <c r="C949" s="70"/>
      <c r="D949" s="70"/>
      <c r="E949" s="70"/>
      <c r="F949" s="70"/>
      <c r="G949" s="70"/>
      <c r="H949" s="70"/>
      <c r="I949" s="70"/>
      <c r="J949" s="70"/>
      <c r="K949" s="70"/>
      <c r="L949" s="70"/>
      <c r="M949" s="70"/>
      <c r="N949" s="70"/>
      <c r="O949" s="70"/>
      <c r="P949" s="70"/>
      <c r="Q949" s="70"/>
      <c r="R949" s="70"/>
      <c r="S949" s="70"/>
      <c r="T949" s="70"/>
      <c r="U949" s="70"/>
      <c r="V949" s="70"/>
      <c r="W949" s="70"/>
      <c r="X949" s="70"/>
      <c r="Y949" s="70"/>
      <c r="Z949" s="70"/>
    </row>
    <row r="950" spans="1:26" ht="13">
      <c r="A950" s="70"/>
      <c r="B950" s="70"/>
      <c r="C950" s="70"/>
      <c r="D950" s="70"/>
      <c r="E950" s="70"/>
      <c r="F950" s="70"/>
      <c r="G950" s="70"/>
      <c r="H950" s="70"/>
      <c r="I950" s="70"/>
      <c r="J950" s="70"/>
      <c r="K950" s="70"/>
      <c r="L950" s="70"/>
      <c r="M950" s="70"/>
      <c r="N950" s="70"/>
      <c r="O950" s="70"/>
      <c r="P950" s="70"/>
      <c r="Q950" s="70"/>
      <c r="R950" s="70"/>
      <c r="S950" s="70"/>
      <c r="T950" s="70"/>
      <c r="U950" s="70"/>
      <c r="V950" s="70"/>
      <c r="W950" s="70"/>
      <c r="X950" s="70"/>
      <c r="Y950" s="70"/>
      <c r="Z950" s="70"/>
    </row>
    <row r="951" spans="1:26" ht="13">
      <c r="A951" s="70"/>
      <c r="B951" s="70"/>
      <c r="C951" s="70"/>
      <c r="D951" s="70"/>
      <c r="E951" s="70"/>
      <c r="F951" s="70"/>
      <c r="G951" s="70"/>
      <c r="H951" s="70"/>
      <c r="I951" s="70"/>
      <c r="J951" s="70"/>
      <c r="K951" s="70"/>
      <c r="L951" s="70"/>
      <c r="M951" s="70"/>
      <c r="N951" s="70"/>
      <c r="O951" s="70"/>
      <c r="P951" s="70"/>
      <c r="Q951" s="70"/>
      <c r="R951" s="70"/>
      <c r="S951" s="70"/>
      <c r="T951" s="70"/>
      <c r="U951" s="70"/>
      <c r="V951" s="70"/>
      <c r="W951" s="70"/>
      <c r="X951" s="70"/>
      <c r="Y951" s="70"/>
      <c r="Z951" s="70"/>
    </row>
    <row r="952" spans="1:26" ht="13">
      <c r="A952" s="70"/>
      <c r="B952" s="70"/>
      <c r="C952" s="70"/>
      <c r="D952" s="70"/>
      <c r="E952" s="70"/>
      <c r="F952" s="70"/>
      <c r="G952" s="70"/>
      <c r="H952" s="70"/>
      <c r="I952" s="70"/>
      <c r="J952" s="70"/>
      <c r="K952" s="70"/>
      <c r="L952" s="70"/>
      <c r="M952" s="70"/>
      <c r="N952" s="70"/>
      <c r="O952" s="70"/>
      <c r="P952" s="70"/>
      <c r="Q952" s="70"/>
      <c r="R952" s="70"/>
      <c r="S952" s="70"/>
      <c r="T952" s="70"/>
      <c r="U952" s="70"/>
      <c r="V952" s="70"/>
      <c r="W952" s="70"/>
      <c r="X952" s="70"/>
      <c r="Y952" s="70"/>
      <c r="Z952" s="70"/>
    </row>
    <row r="953" spans="1:26" ht="13">
      <c r="A953" s="70"/>
      <c r="B953" s="70"/>
      <c r="C953" s="70"/>
      <c r="D953" s="70"/>
      <c r="E953" s="70"/>
      <c r="F953" s="70"/>
      <c r="G953" s="70"/>
      <c r="H953" s="70"/>
      <c r="I953" s="70"/>
      <c r="J953" s="70"/>
      <c r="K953" s="70"/>
      <c r="L953" s="70"/>
      <c r="M953" s="70"/>
      <c r="N953" s="70"/>
      <c r="O953" s="70"/>
      <c r="P953" s="70"/>
      <c r="Q953" s="70"/>
      <c r="R953" s="70"/>
      <c r="S953" s="70"/>
      <c r="T953" s="70"/>
      <c r="U953" s="70"/>
      <c r="V953" s="70"/>
      <c r="W953" s="70"/>
      <c r="X953" s="70"/>
      <c r="Y953" s="70"/>
      <c r="Z953" s="70"/>
    </row>
    <row r="954" spans="1:26" ht="13">
      <c r="A954" s="70"/>
      <c r="B954" s="70"/>
      <c r="C954" s="70"/>
      <c r="D954" s="70"/>
      <c r="E954" s="70"/>
      <c r="F954" s="70"/>
      <c r="G954" s="70"/>
      <c r="H954" s="70"/>
      <c r="I954" s="70"/>
      <c r="J954" s="70"/>
      <c r="K954" s="70"/>
      <c r="L954" s="70"/>
      <c r="M954" s="70"/>
      <c r="N954" s="70"/>
      <c r="O954" s="70"/>
      <c r="P954" s="70"/>
      <c r="Q954" s="70"/>
      <c r="R954" s="70"/>
      <c r="S954" s="70"/>
      <c r="T954" s="70"/>
      <c r="U954" s="70"/>
      <c r="V954" s="70"/>
      <c r="W954" s="70"/>
      <c r="X954" s="70"/>
      <c r="Y954" s="70"/>
      <c r="Z954" s="70"/>
    </row>
    <row r="955" spans="1:26" ht="13">
      <c r="A955" s="70"/>
      <c r="B955" s="70"/>
      <c r="C955" s="70"/>
      <c r="D955" s="70"/>
      <c r="E955" s="70"/>
      <c r="F955" s="70"/>
      <c r="G955" s="70"/>
      <c r="H955" s="70"/>
      <c r="I955" s="70"/>
      <c r="J955" s="70"/>
      <c r="K955" s="70"/>
      <c r="L955" s="70"/>
      <c r="M955" s="70"/>
      <c r="N955" s="70"/>
      <c r="O955" s="70"/>
      <c r="P955" s="70"/>
      <c r="Q955" s="70"/>
      <c r="R955" s="70"/>
      <c r="S955" s="70"/>
      <c r="T955" s="70"/>
      <c r="U955" s="70"/>
      <c r="V955" s="70"/>
      <c r="W955" s="70"/>
      <c r="X955" s="70"/>
      <c r="Y955" s="70"/>
      <c r="Z955" s="70"/>
    </row>
    <row r="956" spans="1:26" ht="13">
      <c r="A956" s="70"/>
      <c r="B956" s="70"/>
      <c r="C956" s="70"/>
      <c r="D956" s="70"/>
      <c r="E956" s="70"/>
      <c r="F956" s="70"/>
      <c r="G956" s="70"/>
      <c r="H956" s="70"/>
      <c r="I956" s="70"/>
      <c r="J956" s="70"/>
      <c r="K956" s="70"/>
      <c r="L956" s="70"/>
      <c r="M956" s="70"/>
      <c r="N956" s="70"/>
      <c r="O956" s="70"/>
      <c r="P956" s="70"/>
      <c r="Q956" s="70"/>
      <c r="R956" s="70"/>
      <c r="S956" s="70"/>
      <c r="T956" s="70"/>
      <c r="U956" s="70"/>
      <c r="V956" s="70"/>
      <c r="W956" s="70"/>
      <c r="X956" s="70"/>
      <c r="Y956" s="70"/>
      <c r="Z956" s="70"/>
    </row>
    <row r="957" spans="1:26" ht="13">
      <c r="A957" s="70"/>
      <c r="B957" s="70"/>
      <c r="C957" s="70"/>
      <c r="D957" s="70"/>
      <c r="E957" s="70"/>
      <c r="F957" s="70"/>
      <c r="G957" s="70"/>
      <c r="H957" s="70"/>
      <c r="I957" s="70"/>
      <c r="J957" s="70"/>
      <c r="K957" s="70"/>
      <c r="L957" s="70"/>
      <c r="M957" s="70"/>
      <c r="N957" s="70"/>
      <c r="O957" s="70"/>
      <c r="P957" s="70"/>
      <c r="Q957" s="70"/>
      <c r="R957" s="70"/>
      <c r="S957" s="70"/>
      <c r="T957" s="70"/>
      <c r="U957" s="70"/>
      <c r="V957" s="70"/>
      <c r="W957" s="70"/>
      <c r="X957" s="70"/>
      <c r="Y957" s="70"/>
      <c r="Z957" s="70"/>
    </row>
    <row r="958" spans="1:26" ht="13">
      <c r="A958" s="70"/>
      <c r="B958" s="70"/>
      <c r="C958" s="70"/>
      <c r="D958" s="70"/>
      <c r="E958" s="70"/>
      <c r="F958" s="70"/>
      <c r="G958" s="70"/>
      <c r="H958" s="70"/>
      <c r="I958" s="70"/>
      <c r="J958" s="70"/>
      <c r="K958" s="70"/>
      <c r="L958" s="70"/>
      <c r="M958" s="70"/>
      <c r="N958" s="70"/>
      <c r="O958" s="70"/>
      <c r="P958" s="70"/>
      <c r="Q958" s="70"/>
      <c r="R958" s="70"/>
      <c r="S958" s="70"/>
      <c r="T958" s="70"/>
      <c r="U958" s="70"/>
      <c r="V958" s="70"/>
      <c r="W958" s="70"/>
      <c r="X958" s="70"/>
      <c r="Y958" s="70"/>
      <c r="Z958" s="70"/>
    </row>
    <row r="959" spans="1:26" ht="13">
      <c r="A959" s="70"/>
      <c r="B959" s="70"/>
      <c r="C959" s="70"/>
      <c r="D959" s="70"/>
      <c r="E959" s="70"/>
      <c r="F959" s="70"/>
      <c r="G959" s="70"/>
      <c r="H959" s="70"/>
      <c r="I959" s="70"/>
      <c r="J959" s="70"/>
      <c r="K959" s="70"/>
      <c r="L959" s="70"/>
      <c r="M959" s="70"/>
      <c r="N959" s="70"/>
      <c r="O959" s="70"/>
      <c r="P959" s="70"/>
      <c r="Q959" s="70"/>
      <c r="R959" s="70"/>
      <c r="S959" s="70"/>
      <c r="T959" s="70"/>
      <c r="U959" s="70"/>
      <c r="V959" s="70"/>
      <c r="W959" s="70"/>
      <c r="X959" s="70"/>
      <c r="Y959" s="70"/>
      <c r="Z959" s="70"/>
    </row>
    <row r="960" spans="1:26" ht="13">
      <c r="A960" s="70"/>
      <c r="B960" s="70"/>
      <c r="C960" s="70"/>
      <c r="D960" s="70"/>
      <c r="E960" s="70"/>
      <c r="F960" s="70"/>
      <c r="G960" s="70"/>
      <c r="H960" s="70"/>
      <c r="I960" s="70"/>
      <c r="J960" s="70"/>
      <c r="K960" s="70"/>
      <c r="L960" s="70"/>
      <c r="M960" s="70"/>
      <c r="N960" s="70"/>
      <c r="O960" s="70"/>
      <c r="P960" s="70"/>
      <c r="Q960" s="70"/>
      <c r="R960" s="70"/>
      <c r="S960" s="70"/>
      <c r="T960" s="70"/>
      <c r="U960" s="70"/>
      <c r="V960" s="70"/>
      <c r="W960" s="70"/>
      <c r="X960" s="70"/>
      <c r="Y960" s="70"/>
      <c r="Z960" s="70"/>
    </row>
    <row r="961" spans="1:26" ht="13">
      <c r="A961" s="70"/>
      <c r="B961" s="70"/>
      <c r="C961" s="70"/>
      <c r="D961" s="70"/>
      <c r="E961" s="70"/>
      <c r="F961" s="70"/>
      <c r="G961" s="70"/>
      <c r="H961" s="70"/>
      <c r="I961" s="70"/>
      <c r="J961" s="70"/>
      <c r="K961" s="70"/>
      <c r="L961" s="70"/>
      <c r="M961" s="70"/>
      <c r="N961" s="70"/>
      <c r="O961" s="70"/>
      <c r="P961" s="70"/>
      <c r="Q961" s="70"/>
      <c r="R961" s="70"/>
      <c r="S961" s="70"/>
      <c r="T961" s="70"/>
      <c r="U961" s="70"/>
      <c r="V961" s="70"/>
      <c r="W961" s="70"/>
      <c r="X961" s="70"/>
      <c r="Y961" s="70"/>
      <c r="Z961" s="70"/>
    </row>
    <row r="962" spans="1:26" ht="13">
      <c r="A962" s="70"/>
      <c r="B962" s="70"/>
      <c r="C962" s="70"/>
      <c r="D962" s="70"/>
      <c r="E962" s="70"/>
      <c r="F962" s="70"/>
      <c r="G962" s="70"/>
      <c r="H962" s="70"/>
      <c r="I962" s="70"/>
      <c r="J962" s="70"/>
      <c r="K962" s="70"/>
      <c r="L962" s="70"/>
      <c r="M962" s="70"/>
      <c r="N962" s="70"/>
      <c r="O962" s="70"/>
      <c r="P962" s="70"/>
      <c r="Q962" s="70"/>
      <c r="R962" s="70"/>
      <c r="S962" s="70"/>
      <c r="T962" s="70"/>
      <c r="U962" s="70"/>
      <c r="V962" s="70"/>
      <c r="W962" s="70"/>
      <c r="X962" s="70"/>
      <c r="Y962" s="70"/>
      <c r="Z962" s="70"/>
    </row>
    <row r="963" spans="1:26" ht="13">
      <c r="A963" s="70"/>
      <c r="B963" s="70"/>
      <c r="C963" s="70"/>
      <c r="D963" s="70"/>
      <c r="E963" s="70"/>
      <c r="F963" s="70"/>
      <c r="G963" s="70"/>
      <c r="H963" s="70"/>
      <c r="I963" s="70"/>
      <c r="J963" s="70"/>
      <c r="K963" s="70"/>
      <c r="L963" s="70"/>
      <c r="M963" s="70"/>
      <c r="N963" s="70"/>
      <c r="O963" s="70"/>
      <c r="P963" s="70"/>
      <c r="Q963" s="70"/>
      <c r="R963" s="70"/>
      <c r="S963" s="70"/>
      <c r="T963" s="70"/>
      <c r="U963" s="70"/>
      <c r="V963" s="70"/>
      <c r="W963" s="70"/>
      <c r="X963" s="70"/>
      <c r="Y963" s="70"/>
      <c r="Z963" s="70"/>
    </row>
    <row r="964" spans="1:26" ht="13">
      <c r="A964" s="70"/>
      <c r="B964" s="70"/>
      <c r="C964" s="70"/>
      <c r="D964" s="70"/>
      <c r="E964" s="70"/>
      <c r="F964" s="70"/>
      <c r="G964" s="70"/>
      <c r="H964" s="70"/>
      <c r="I964" s="70"/>
      <c r="J964" s="70"/>
      <c r="K964" s="70"/>
      <c r="L964" s="70"/>
      <c r="M964" s="70"/>
      <c r="N964" s="70"/>
      <c r="O964" s="70"/>
      <c r="P964" s="70"/>
      <c r="Q964" s="70"/>
      <c r="R964" s="70"/>
      <c r="S964" s="70"/>
      <c r="T964" s="70"/>
      <c r="U964" s="70"/>
      <c r="V964" s="70"/>
      <c r="W964" s="70"/>
      <c r="X964" s="70"/>
      <c r="Y964" s="70"/>
      <c r="Z964" s="70"/>
    </row>
    <row r="965" spans="1:26" ht="13">
      <c r="A965" s="70"/>
      <c r="B965" s="70"/>
      <c r="C965" s="70"/>
      <c r="D965" s="70"/>
      <c r="E965" s="70"/>
      <c r="F965" s="70"/>
      <c r="G965" s="70"/>
      <c r="H965" s="70"/>
      <c r="I965" s="70"/>
      <c r="J965" s="70"/>
      <c r="K965" s="70"/>
      <c r="L965" s="70"/>
      <c r="M965" s="70"/>
      <c r="N965" s="70"/>
      <c r="O965" s="70"/>
      <c r="P965" s="70"/>
      <c r="Q965" s="70"/>
      <c r="R965" s="70"/>
      <c r="S965" s="70"/>
      <c r="T965" s="70"/>
      <c r="U965" s="70"/>
      <c r="V965" s="70"/>
      <c r="W965" s="70"/>
      <c r="X965" s="70"/>
      <c r="Y965" s="70"/>
      <c r="Z965" s="70"/>
    </row>
    <row r="966" spans="1:26" ht="13">
      <c r="A966" s="70"/>
      <c r="B966" s="70"/>
      <c r="C966" s="70"/>
      <c r="D966" s="70"/>
      <c r="E966" s="70"/>
      <c r="F966" s="70"/>
      <c r="G966" s="70"/>
      <c r="H966" s="70"/>
      <c r="I966" s="70"/>
      <c r="J966" s="70"/>
      <c r="K966" s="70"/>
      <c r="L966" s="70"/>
      <c r="M966" s="70"/>
      <c r="N966" s="70"/>
      <c r="O966" s="70"/>
      <c r="P966" s="70"/>
      <c r="Q966" s="70"/>
      <c r="R966" s="70"/>
      <c r="S966" s="70"/>
      <c r="T966" s="70"/>
      <c r="U966" s="70"/>
      <c r="V966" s="70"/>
      <c r="W966" s="70"/>
      <c r="X966" s="70"/>
      <c r="Y966" s="70"/>
      <c r="Z966" s="70"/>
    </row>
    <row r="967" spans="1:26" ht="13">
      <c r="A967" s="70"/>
      <c r="B967" s="70"/>
      <c r="C967" s="70"/>
      <c r="D967" s="70"/>
      <c r="E967" s="70"/>
      <c r="F967" s="70"/>
      <c r="G967" s="70"/>
      <c r="H967" s="70"/>
      <c r="I967" s="70"/>
      <c r="J967" s="70"/>
      <c r="K967" s="70"/>
      <c r="L967" s="70"/>
      <c r="M967" s="70"/>
      <c r="N967" s="70"/>
      <c r="O967" s="70"/>
      <c r="P967" s="70"/>
      <c r="Q967" s="70"/>
      <c r="R967" s="70"/>
      <c r="S967" s="70"/>
      <c r="T967" s="70"/>
      <c r="U967" s="70"/>
      <c r="V967" s="70"/>
      <c r="W967" s="70"/>
      <c r="X967" s="70"/>
      <c r="Y967" s="70"/>
      <c r="Z967" s="70"/>
    </row>
    <row r="968" spans="1:26" ht="13">
      <c r="A968" s="70"/>
      <c r="B968" s="70"/>
      <c r="C968" s="70"/>
      <c r="D968" s="70"/>
      <c r="E968" s="70"/>
      <c r="F968" s="70"/>
      <c r="G968" s="70"/>
      <c r="H968" s="70"/>
      <c r="I968" s="70"/>
      <c r="J968" s="70"/>
      <c r="K968" s="70"/>
      <c r="L968" s="70"/>
      <c r="M968" s="70"/>
      <c r="N968" s="70"/>
      <c r="O968" s="70"/>
      <c r="P968" s="70"/>
      <c r="Q968" s="70"/>
      <c r="R968" s="70"/>
      <c r="S968" s="70"/>
      <c r="T968" s="70"/>
      <c r="U968" s="70"/>
      <c r="V968" s="70"/>
      <c r="W968" s="70"/>
      <c r="X968" s="70"/>
      <c r="Y968" s="70"/>
      <c r="Z968" s="70"/>
    </row>
    <row r="969" spans="1:26" ht="13">
      <c r="A969" s="70"/>
      <c r="B969" s="70"/>
      <c r="C969" s="70"/>
      <c r="D969" s="70"/>
      <c r="E969" s="70"/>
      <c r="F969" s="70"/>
      <c r="G969" s="70"/>
      <c r="H969" s="70"/>
      <c r="I969" s="70"/>
      <c r="J969" s="70"/>
      <c r="K969" s="70"/>
      <c r="L969" s="70"/>
      <c r="M969" s="70"/>
      <c r="N969" s="70"/>
      <c r="O969" s="70"/>
      <c r="P969" s="70"/>
      <c r="Q969" s="70"/>
      <c r="R969" s="70"/>
      <c r="S969" s="70"/>
      <c r="T969" s="70"/>
      <c r="U969" s="70"/>
      <c r="V969" s="70"/>
      <c r="W969" s="70"/>
      <c r="X969" s="70"/>
      <c r="Y969" s="70"/>
      <c r="Z969" s="70"/>
    </row>
    <row r="970" spans="1:26" ht="13">
      <c r="A970" s="70"/>
      <c r="B970" s="70"/>
      <c r="C970" s="70"/>
      <c r="D970" s="70"/>
      <c r="E970" s="70"/>
      <c r="F970" s="70"/>
      <c r="G970" s="70"/>
      <c r="H970" s="70"/>
      <c r="I970" s="70"/>
      <c r="J970" s="70"/>
      <c r="K970" s="70"/>
      <c r="L970" s="70"/>
      <c r="M970" s="70"/>
      <c r="N970" s="70"/>
      <c r="O970" s="70"/>
      <c r="P970" s="70"/>
      <c r="Q970" s="70"/>
      <c r="R970" s="70"/>
      <c r="S970" s="70"/>
      <c r="T970" s="70"/>
      <c r="U970" s="70"/>
      <c r="V970" s="70"/>
      <c r="W970" s="70"/>
      <c r="X970" s="70"/>
      <c r="Y970" s="70"/>
      <c r="Z970" s="70"/>
    </row>
    <row r="971" spans="1:26" ht="13">
      <c r="A971" s="70"/>
      <c r="B971" s="70"/>
      <c r="C971" s="70"/>
      <c r="D971" s="70"/>
      <c r="E971" s="70"/>
      <c r="F971" s="70"/>
      <c r="G971" s="70"/>
      <c r="H971" s="70"/>
      <c r="I971" s="70"/>
      <c r="J971" s="70"/>
      <c r="K971" s="70"/>
      <c r="L971" s="70"/>
      <c r="M971" s="70"/>
      <c r="N971" s="70"/>
      <c r="O971" s="70"/>
      <c r="P971" s="70"/>
      <c r="Q971" s="70"/>
      <c r="R971" s="70"/>
      <c r="S971" s="70"/>
      <c r="T971" s="70"/>
      <c r="U971" s="70"/>
      <c r="V971" s="70"/>
      <c r="W971" s="70"/>
      <c r="X971" s="70"/>
      <c r="Y971" s="70"/>
      <c r="Z971" s="70"/>
    </row>
    <row r="972" spans="1:26" ht="13">
      <c r="A972" s="70"/>
      <c r="B972" s="70"/>
      <c r="C972" s="70"/>
      <c r="D972" s="70"/>
      <c r="E972" s="70"/>
      <c r="F972" s="70"/>
      <c r="G972" s="70"/>
      <c r="H972" s="70"/>
      <c r="I972" s="70"/>
      <c r="J972" s="70"/>
      <c r="K972" s="70"/>
      <c r="L972" s="70"/>
      <c r="M972" s="70"/>
      <c r="N972" s="70"/>
      <c r="O972" s="70"/>
      <c r="P972" s="70"/>
      <c r="Q972" s="70"/>
      <c r="R972" s="70"/>
      <c r="S972" s="70"/>
      <c r="T972" s="70"/>
      <c r="U972" s="70"/>
      <c r="V972" s="70"/>
      <c r="W972" s="70"/>
      <c r="X972" s="70"/>
      <c r="Y972" s="70"/>
      <c r="Z972" s="70"/>
    </row>
    <row r="973" spans="1:26" ht="13">
      <c r="A973" s="70"/>
      <c r="B973" s="70"/>
      <c r="C973" s="70"/>
      <c r="D973" s="70"/>
      <c r="E973" s="70"/>
      <c r="F973" s="70"/>
      <c r="G973" s="70"/>
      <c r="H973" s="70"/>
      <c r="I973" s="70"/>
      <c r="J973" s="70"/>
      <c r="K973" s="70"/>
      <c r="L973" s="70"/>
      <c r="M973" s="70"/>
      <c r="N973" s="70"/>
      <c r="O973" s="70"/>
      <c r="P973" s="70"/>
      <c r="Q973" s="70"/>
      <c r="R973" s="70"/>
      <c r="S973" s="70"/>
      <c r="T973" s="70"/>
      <c r="U973" s="70"/>
      <c r="V973" s="70"/>
      <c r="W973" s="70"/>
      <c r="X973" s="70"/>
      <c r="Y973" s="70"/>
      <c r="Z973" s="70"/>
    </row>
    <row r="974" spans="1:26" ht="13">
      <c r="A974" s="70"/>
      <c r="B974" s="70"/>
      <c r="C974" s="70"/>
      <c r="D974" s="70"/>
      <c r="E974" s="70"/>
      <c r="F974" s="70"/>
      <c r="G974" s="70"/>
      <c r="H974" s="70"/>
      <c r="I974" s="70"/>
      <c r="J974" s="70"/>
      <c r="K974" s="70"/>
      <c r="L974" s="70"/>
      <c r="M974" s="70"/>
      <c r="N974" s="70"/>
      <c r="O974" s="70"/>
      <c r="P974" s="70"/>
      <c r="Q974" s="70"/>
      <c r="R974" s="70"/>
      <c r="S974" s="70"/>
      <c r="T974" s="70"/>
      <c r="U974" s="70"/>
      <c r="V974" s="70"/>
      <c r="W974" s="70"/>
      <c r="X974" s="70"/>
      <c r="Y974" s="70"/>
      <c r="Z974" s="70"/>
    </row>
    <row r="975" spans="1:26" ht="13">
      <c r="A975" s="70"/>
      <c r="B975" s="70"/>
      <c r="C975" s="70"/>
      <c r="D975" s="70"/>
      <c r="E975" s="70"/>
      <c r="F975" s="70"/>
      <c r="G975" s="70"/>
      <c r="H975" s="70"/>
      <c r="I975" s="70"/>
      <c r="J975" s="70"/>
      <c r="K975" s="70"/>
      <c r="L975" s="70"/>
      <c r="M975" s="70"/>
      <c r="N975" s="70"/>
      <c r="O975" s="70"/>
      <c r="P975" s="70"/>
      <c r="Q975" s="70"/>
      <c r="R975" s="70"/>
      <c r="S975" s="70"/>
      <c r="T975" s="70"/>
      <c r="U975" s="70"/>
      <c r="V975" s="70"/>
      <c r="W975" s="70"/>
      <c r="X975" s="70"/>
      <c r="Y975" s="70"/>
      <c r="Z975" s="70"/>
    </row>
    <row r="976" spans="1:26" ht="13">
      <c r="A976" s="70"/>
      <c r="B976" s="70"/>
      <c r="C976" s="70"/>
      <c r="D976" s="70"/>
      <c r="E976" s="70"/>
      <c r="F976" s="70"/>
      <c r="G976" s="70"/>
      <c r="H976" s="70"/>
      <c r="I976" s="70"/>
      <c r="J976" s="70"/>
      <c r="K976" s="70"/>
      <c r="L976" s="70"/>
      <c r="M976" s="70"/>
      <c r="N976" s="70"/>
      <c r="O976" s="70"/>
      <c r="P976" s="70"/>
      <c r="Q976" s="70"/>
      <c r="R976" s="70"/>
      <c r="S976" s="70"/>
      <c r="T976" s="70"/>
      <c r="U976" s="70"/>
      <c r="V976" s="70"/>
      <c r="W976" s="70"/>
      <c r="X976" s="70"/>
      <c r="Y976" s="70"/>
      <c r="Z976" s="70"/>
    </row>
    <row r="977" spans="1:26" ht="13">
      <c r="A977" s="70"/>
      <c r="B977" s="70"/>
      <c r="C977" s="70"/>
      <c r="D977" s="70"/>
      <c r="E977" s="70"/>
      <c r="F977" s="70"/>
      <c r="G977" s="70"/>
      <c r="H977" s="70"/>
      <c r="I977" s="70"/>
      <c r="J977" s="70"/>
      <c r="K977" s="70"/>
      <c r="L977" s="70"/>
      <c r="M977" s="70"/>
      <c r="N977" s="70"/>
      <c r="O977" s="70"/>
      <c r="P977" s="70"/>
      <c r="Q977" s="70"/>
      <c r="R977" s="70"/>
      <c r="S977" s="70"/>
      <c r="T977" s="70"/>
      <c r="U977" s="70"/>
      <c r="V977" s="70"/>
      <c r="W977" s="70"/>
      <c r="X977" s="70"/>
      <c r="Y977" s="70"/>
      <c r="Z977" s="70"/>
    </row>
    <row r="978" spans="1:26" ht="13">
      <c r="A978" s="70"/>
      <c r="B978" s="70"/>
      <c r="C978" s="70"/>
      <c r="D978" s="70"/>
      <c r="E978" s="70"/>
      <c r="F978" s="70"/>
      <c r="G978" s="70"/>
      <c r="H978" s="70"/>
      <c r="I978" s="70"/>
      <c r="J978" s="70"/>
      <c r="K978" s="70"/>
      <c r="L978" s="70"/>
      <c r="M978" s="70"/>
      <c r="N978" s="70"/>
      <c r="O978" s="70"/>
      <c r="P978" s="70"/>
      <c r="Q978" s="70"/>
      <c r="R978" s="70"/>
      <c r="S978" s="70"/>
      <c r="T978" s="70"/>
      <c r="U978" s="70"/>
      <c r="V978" s="70"/>
      <c r="W978" s="70"/>
      <c r="X978" s="70"/>
      <c r="Y978" s="70"/>
      <c r="Z978" s="70"/>
    </row>
    <row r="979" spans="1:26" ht="13">
      <c r="A979" s="70"/>
      <c r="B979" s="70"/>
      <c r="C979" s="70"/>
      <c r="D979" s="70"/>
      <c r="E979" s="70"/>
      <c r="F979" s="70"/>
      <c r="G979" s="70"/>
      <c r="H979" s="70"/>
      <c r="I979" s="70"/>
      <c r="J979" s="70"/>
      <c r="K979" s="70"/>
      <c r="L979" s="70"/>
      <c r="M979" s="70"/>
      <c r="N979" s="70"/>
      <c r="O979" s="70"/>
      <c r="P979" s="70"/>
      <c r="Q979" s="70"/>
      <c r="R979" s="70"/>
      <c r="S979" s="70"/>
      <c r="T979" s="70"/>
      <c r="U979" s="70"/>
      <c r="V979" s="70"/>
      <c r="W979" s="70"/>
      <c r="X979" s="70"/>
      <c r="Y979" s="70"/>
      <c r="Z979" s="70"/>
    </row>
    <row r="980" spans="1:26" ht="13">
      <c r="A980" s="70"/>
      <c r="B980" s="70"/>
      <c r="C980" s="70"/>
      <c r="D980" s="70"/>
      <c r="E980" s="70"/>
      <c r="F980" s="70"/>
      <c r="G980" s="70"/>
      <c r="H980" s="70"/>
      <c r="I980" s="70"/>
      <c r="J980" s="70"/>
      <c r="K980" s="70"/>
      <c r="L980" s="70"/>
      <c r="M980" s="70"/>
      <c r="N980" s="70"/>
      <c r="O980" s="70"/>
      <c r="P980" s="70"/>
      <c r="Q980" s="70"/>
      <c r="R980" s="70"/>
      <c r="S980" s="70"/>
      <c r="T980" s="70"/>
      <c r="U980" s="70"/>
      <c r="V980" s="70"/>
      <c r="W980" s="70"/>
      <c r="X980" s="70"/>
      <c r="Y980" s="70"/>
      <c r="Z980" s="70"/>
    </row>
    <row r="981" spans="1:26" ht="13">
      <c r="A981" s="70"/>
      <c r="B981" s="70"/>
      <c r="C981" s="70"/>
      <c r="D981" s="70"/>
      <c r="E981" s="70"/>
      <c r="F981" s="70"/>
      <c r="G981" s="70"/>
      <c r="H981" s="70"/>
      <c r="I981" s="70"/>
      <c r="J981" s="70"/>
      <c r="K981" s="70"/>
      <c r="L981" s="70"/>
      <c r="M981" s="70"/>
      <c r="N981" s="70"/>
      <c r="O981" s="70"/>
      <c r="P981" s="70"/>
      <c r="Q981" s="70"/>
      <c r="R981" s="70"/>
      <c r="S981" s="70"/>
      <c r="T981" s="70"/>
      <c r="U981" s="70"/>
      <c r="V981" s="70"/>
      <c r="W981" s="70"/>
      <c r="X981" s="70"/>
      <c r="Y981" s="70"/>
      <c r="Z981" s="70"/>
    </row>
    <row r="982" spans="1:26" ht="13">
      <c r="A982" s="70"/>
      <c r="B982" s="70"/>
      <c r="C982" s="70"/>
      <c r="D982" s="70"/>
      <c r="E982" s="70"/>
      <c r="F982" s="70"/>
      <c r="G982" s="70"/>
      <c r="H982" s="70"/>
      <c r="I982" s="70"/>
      <c r="J982" s="70"/>
      <c r="K982" s="70"/>
      <c r="L982" s="70"/>
      <c r="M982" s="70"/>
      <c r="N982" s="70"/>
      <c r="O982" s="70"/>
      <c r="P982" s="70"/>
      <c r="Q982" s="70"/>
      <c r="R982" s="70"/>
      <c r="S982" s="70"/>
      <c r="T982" s="70"/>
      <c r="U982" s="70"/>
      <c r="V982" s="70"/>
      <c r="W982" s="70"/>
      <c r="X982" s="70"/>
      <c r="Y982" s="70"/>
      <c r="Z982" s="70"/>
    </row>
    <row r="983" spans="1:26" ht="13">
      <c r="A983" s="70"/>
      <c r="B983" s="70"/>
      <c r="C983" s="70"/>
      <c r="D983" s="70"/>
      <c r="E983" s="70"/>
      <c r="F983" s="70"/>
      <c r="G983" s="70"/>
      <c r="H983" s="70"/>
      <c r="I983" s="70"/>
      <c r="J983" s="70"/>
      <c r="K983" s="70"/>
      <c r="L983" s="70"/>
      <c r="M983" s="70"/>
      <c r="N983" s="70"/>
      <c r="O983" s="70"/>
      <c r="P983" s="70"/>
      <c r="Q983" s="70"/>
      <c r="R983" s="70"/>
      <c r="S983" s="70"/>
      <c r="T983" s="70"/>
      <c r="U983" s="70"/>
      <c r="V983" s="70"/>
      <c r="W983" s="70"/>
      <c r="X983" s="70"/>
      <c r="Y983" s="70"/>
      <c r="Z983" s="70"/>
    </row>
    <row r="984" spans="1:26" ht="13">
      <c r="A984" s="70"/>
      <c r="B984" s="70"/>
      <c r="C984" s="70"/>
      <c r="D984" s="70"/>
      <c r="E984" s="70"/>
      <c r="F984" s="70"/>
      <c r="G984" s="70"/>
      <c r="H984" s="70"/>
      <c r="I984" s="70"/>
      <c r="J984" s="70"/>
      <c r="K984" s="70"/>
      <c r="L984" s="70"/>
      <c r="M984" s="70"/>
      <c r="N984" s="70"/>
      <c r="O984" s="70"/>
      <c r="P984" s="70"/>
      <c r="Q984" s="70"/>
      <c r="R984" s="70"/>
      <c r="S984" s="70"/>
      <c r="T984" s="70"/>
      <c r="U984" s="70"/>
      <c r="V984" s="70"/>
      <c r="W984" s="70"/>
      <c r="X984" s="70"/>
      <c r="Y984" s="70"/>
      <c r="Z984" s="70"/>
    </row>
    <row r="985" spans="1:26" ht="13">
      <c r="A985" s="70"/>
      <c r="B985" s="70"/>
      <c r="C985" s="70"/>
      <c r="D985" s="70"/>
      <c r="E985" s="70"/>
      <c r="F985" s="70"/>
      <c r="G985" s="70"/>
      <c r="H985" s="70"/>
      <c r="I985" s="70"/>
      <c r="J985" s="70"/>
      <c r="K985" s="70"/>
      <c r="L985" s="70"/>
      <c r="M985" s="70"/>
      <c r="N985" s="70"/>
      <c r="O985" s="70"/>
      <c r="P985" s="70"/>
      <c r="Q985" s="70"/>
      <c r="R985" s="70"/>
      <c r="S985" s="70"/>
      <c r="T985" s="70"/>
      <c r="U985" s="70"/>
      <c r="V985" s="70"/>
      <c r="W985" s="70"/>
      <c r="X985" s="70"/>
      <c r="Y985" s="70"/>
      <c r="Z985" s="70"/>
    </row>
    <row r="986" spans="1:26" ht="13">
      <c r="A986" s="70"/>
      <c r="B986" s="70"/>
      <c r="C986" s="70"/>
      <c r="D986" s="70"/>
      <c r="E986" s="70"/>
      <c r="F986" s="70"/>
      <c r="G986" s="70"/>
      <c r="H986" s="70"/>
      <c r="I986" s="70"/>
      <c r="J986" s="70"/>
      <c r="K986" s="70"/>
      <c r="L986" s="70"/>
      <c r="M986" s="70"/>
      <c r="N986" s="70"/>
      <c r="O986" s="70"/>
      <c r="P986" s="70"/>
      <c r="Q986" s="70"/>
      <c r="R986" s="70"/>
      <c r="S986" s="70"/>
      <c r="T986" s="70"/>
      <c r="U986" s="70"/>
      <c r="V986" s="70"/>
      <c r="W986" s="70"/>
      <c r="X986" s="70"/>
      <c r="Y986" s="70"/>
      <c r="Z986" s="70"/>
    </row>
    <row r="987" spans="1:26" ht="13">
      <c r="A987" s="70"/>
      <c r="B987" s="70"/>
      <c r="C987" s="70"/>
      <c r="D987" s="70"/>
      <c r="E987" s="70"/>
      <c r="F987" s="70"/>
      <c r="G987" s="70"/>
      <c r="H987" s="70"/>
      <c r="I987" s="70"/>
      <c r="J987" s="70"/>
      <c r="K987" s="70"/>
      <c r="L987" s="70"/>
      <c r="M987" s="70"/>
      <c r="N987" s="70"/>
      <c r="O987" s="70"/>
      <c r="P987" s="70"/>
      <c r="Q987" s="70"/>
      <c r="R987" s="70"/>
      <c r="S987" s="70"/>
      <c r="T987" s="70"/>
      <c r="U987" s="70"/>
      <c r="V987" s="70"/>
      <c r="W987" s="70"/>
      <c r="X987" s="70"/>
      <c r="Y987" s="70"/>
      <c r="Z987" s="70"/>
    </row>
    <row r="988" spans="1:26" ht="13">
      <c r="A988" s="70"/>
      <c r="B988" s="70"/>
      <c r="C988" s="70"/>
      <c r="D988" s="70"/>
      <c r="E988" s="70"/>
      <c r="F988" s="70"/>
      <c r="G988" s="70"/>
      <c r="H988" s="70"/>
      <c r="I988" s="70"/>
      <c r="J988" s="70"/>
      <c r="K988" s="70"/>
      <c r="L988" s="70"/>
      <c r="M988" s="70"/>
      <c r="N988" s="70"/>
      <c r="O988" s="70"/>
      <c r="P988" s="70"/>
      <c r="Q988" s="70"/>
      <c r="R988" s="70"/>
      <c r="S988" s="70"/>
      <c r="T988" s="70"/>
      <c r="U988" s="70"/>
      <c r="V988" s="70"/>
      <c r="W988" s="70"/>
      <c r="X988" s="70"/>
      <c r="Y988" s="70"/>
      <c r="Z988" s="70"/>
    </row>
    <row r="989" spans="1:26" ht="13">
      <c r="A989" s="70"/>
      <c r="B989" s="70"/>
      <c r="C989" s="70"/>
      <c r="D989" s="70"/>
      <c r="E989" s="70"/>
      <c r="F989" s="70"/>
      <c r="G989" s="70"/>
      <c r="H989" s="70"/>
      <c r="I989" s="70"/>
      <c r="J989" s="70"/>
      <c r="K989" s="70"/>
      <c r="L989" s="70"/>
      <c r="M989" s="70"/>
      <c r="N989" s="70"/>
      <c r="O989" s="70"/>
      <c r="P989" s="70"/>
      <c r="Q989" s="70"/>
      <c r="R989" s="70"/>
      <c r="S989" s="70"/>
      <c r="T989" s="70"/>
      <c r="U989" s="70"/>
      <c r="V989" s="70"/>
      <c r="W989" s="70"/>
      <c r="X989" s="70"/>
      <c r="Y989" s="70"/>
      <c r="Z989" s="70"/>
    </row>
    <row r="990" spans="1:26" ht="13">
      <c r="A990" s="70"/>
      <c r="B990" s="70"/>
      <c r="C990" s="70"/>
      <c r="D990" s="70"/>
      <c r="E990" s="70"/>
      <c r="F990" s="70"/>
      <c r="G990" s="70"/>
      <c r="H990" s="70"/>
      <c r="I990" s="70"/>
      <c r="J990" s="70"/>
      <c r="K990" s="70"/>
      <c r="L990" s="70"/>
      <c r="M990" s="70"/>
      <c r="N990" s="70"/>
      <c r="O990" s="70"/>
      <c r="P990" s="70"/>
      <c r="Q990" s="70"/>
      <c r="R990" s="70"/>
      <c r="S990" s="70"/>
      <c r="T990" s="70"/>
      <c r="U990" s="70"/>
      <c r="V990" s="70"/>
      <c r="W990" s="70"/>
      <c r="X990" s="70"/>
      <c r="Y990" s="70"/>
      <c r="Z990" s="70"/>
    </row>
    <row r="991" spans="1:26" ht="13">
      <c r="A991" s="70"/>
      <c r="B991" s="70"/>
      <c r="C991" s="70"/>
      <c r="D991" s="70"/>
      <c r="E991" s="70"/>
      <c r="F991" s="70"/>
      <c r="G991" s="70"/>
      <c r="H991" s="70"/>
      <c r="I991" s="70"/>
      <c r="J991" s="70"/>
      <c r="K991" s="70"/>
      <c r="L991" s="70"/>
      <c r="M991" s="70"/>
      <c r="N991" s="70"/>
      <c r="O991" s="70"/>
      <c r="P991" s="70"/>
      <c r="Q991" s="70"/>
      <c r="R991" s="70"/>
      <c r="S991" s="70"/>
      <c r="T991" s="70"/>
      <c r="U991" s="70"/>
      <c r="V991" s="70"/>
      <c r="W991" s="70"/>
      <c r="X991" s="70"/>
      <c r="Y991" s="70"/>
      <c r="Z991" s="70"/>
    </row>
    <row r="992" spans="1:26" ht="13">
      <c r="A992" s="70"/>
      <c r="B992" s="70"/>
      <c r="C992" s="70"/>
      <c r="D992" s="70"/>
      <c r="E992" s="70"/>
      <c r="F992" s="70"/>
      <c r="G992" s="70"/>
      <c r="H992" s="70"/>
      <c r="I992" s="70"/>
      <c r="J992" s="70"/>
      <c r="K992" s="70"/>
      <c r="L992" s="70"/>
      <c r="M992" s="70"/>
      <c r="N992" s="70"/>
      <c r="O992" s="70"/>
      <c r="P992" s="70"/>
      <c r="Q992" s="70"/>
      <c r="R992" s="70"/>
      <c r="S992" s="70"/>
      <c r="T992" s="70"/>
      <c r="U992" s="70"/>
      <c r="V992" s="70"/>
      <c r="W992" s="70"/>
      <c r="X992" s="70"/>
      <c r="Y992" s="70"/>
      <c r="Z992" s="70"/>
    </row>
    <row r="993" spans="1:26" ht="13">
      <c r="A993" s="70"/>
      <c r="B993" s="70"/>
      <c r="C993" s="70"/>
      <c r="D993" s="70"/>
      <c r="E993" s="70"/>
      <c r="F993" s="70"/>
      <c r="G993" s="70"/>
      <c r="H993" s="70"/>
      <c r="I993" s="70"/>
      <c r="J993" s="70"/>
      <c r="K993" s="70"/>
      <c r="L993" s="70"/>
      <c r="M993" s="70"/>
      <c r="N993" s="70"/>
      <c r="O993" s="70"/>
      <c r="P993" s="70"/>
      <c r="Q993" s="70"/>
      <c r="R993" s="70"/>
      <c r="S993" s="70"/>
      <c r="T993" s="70"/>
      <c r="U993" s="70"/>
      <c r="V993" s="70"/>
      <c r="W993" s="70"/>
      <c r="X993" s="70"/>
      <c r="Y993" s="70"/>
      <c r="Z993" s="70"/>
    </row>
    <row r="994" spans="1:26" ht="13">
      <c r="A994" s="70"/>
      <c r="B994" s="70"/>
      <c r="C994" s="70"/>
      <c r="D994" s="70"/>
      <c r="E994" s="70"/>
      <c r="F994" s="70"/>
      <c r="G994" s="70"/>
      <c r="H994" s="70"/>
      <c r="I994" s="70"/>
      <c r="J994" s="70"/>
      <c r="K994" s="70"/>
      <c r="L994" s="70"/>
      <c r="M994" s="70"/>
      <c r="N994" s="70"/>
      <c r="O994" s="70"/>
      <c r="P994" s="70"/>
      <c r="Q994" s="70"/>
      <c r="R994" s="70"/>
      <c r="S994" s="70"/>
      <c r="T994" s="70"/>
      <c r="U994" s="70"/>
      <c r="V994" s="70"/>
      <c r="W994" s="70"/>
      <c r="X994" s="70"/>
      <c r="Y994" s="70"/>
      <c r="Z994" s="70"/>
    </row>
    <row r="995" spans="1:26" ht="13">
      <c r="A995" s="70"/>
      <c r="B995" s="70"/>
      <c r="C995" s="70"/>
      <c r="D995" s="70"/>
      <c r="E995" s="70"/>
      <c r="F995" s="70"/>
      <c r="G995" s="70"/>
      <c r="H995" s="70"/>
      <c r="I995" s="70"/>
      <c r="J995" s="70"/>
      <c r="K995" s="70"/>
      <c r="L995" s="70"/>
      <c r="M995" s="70"/>
      <c r="N995" s="70"/>
      <c r="O995" s="70"/>
      <c r="P995" s="70"/>
      <c r="Q995" s="70"/>
      <c r="R995" s="70"/>
      <c r="S995" s="70"/>
      <c r="T995" s="70"/>
      <c r="U995" s="70"/>
      <c r="V995" s="70"/>
      <c r="W995" s="70"/>
      <c r="X995" s="70"/>
      <c r="Y995" s="70"/>
      <c r="Z995" s="70"/>
    </row>
    <row r="996" spans="1:26" ht="13">
      <c r="A996" s="70"/>
      <c r="B996" s="70"/>
      <c r="C996" s="70"/>
      <c r="D996" s="70"/>
      <c r="E996" s="70"/>
      <c r="F996" s="70"/>
      <c r="G996" s="70"/>
      <c r="H996" s="70"/>
      <c r="I996" s="70"/>
      <c r="J996" s="70"/>
      <c r="K996" s="70"/>
      <c r="L996" s="70"/>
      <c r="M996" s="70"/>
      <c r="N996" s="70"/>
      <c r="O996" s="70"/>
      <c r="P996" s="70"/>
      <c r="Q996" s="70"/>
      <c r="R996" s="70"/>
      <c r="S996" s="70"/>
      <c r="T996" s="70"/>
      <c r="U996" s="70"/>
      <c r="V996" s="70"/>
      <c r="W996" s="70"/>
      <c r="X996" s="70"/>
      <c r="Y996" s="70"/>
      <c r="Z996" s="70"/>
    </row>
    <row r="997" spans="1:26" ht="13">
      <c r="A997" s="70"/>
      <c r="B997" s="70"/>
      <c r="C997" s="70"/>
      <c r="D997" s="70"/>
      <c r="E997" s="70"/>
      <c r="F997" s="70"/>
      <c r="G997" s="70"/>
      <c r="H997" s="70"/>
      <c r="I997" s="70"/>
      <c r="J997" s="70"/>
      <c r="K997" s="70"/>
      <c r="L997" s="70"/>
      <c r="M997" s="70"/>
      <c r="N997" s="70"/>
      <c r="O997" s="70"/>
      <c r="P997" s="70"/>
      <c r="Q997" s="70"/>
      <c r="R997" s="70"/>
      <c r="S997" s="70"/>
      <c r="T997" s="70"/>
      <c r="U997" s="70"/>
      <c r="V997" s="70"/>
      <c r="W997" s="70"/>
      <c r="X997" s="70"/>
      <c r="Y997" s="70"/>
      <c r="Z997" s="70"/>
    </row>
    <row r="998" spans="1:26" ht="13">
      <c r="A998" s="70"/>
      <c r="B998" s="70"/>
      <c r="C998" s="70"/>
      <c r="D998" s="70"/>
      <c r="E998" s="70"/>
      <c r="F998" s="70"/>
      <c r="G998" s="70"/>
      <c r="H998" s="70"/>
      <c r="I998" s="70"/>
      <c r="J998" s="70"/>
      <c r="K998" s="70"/>
      <c r="L998" s="70"/>
      <c r="M998" s="70"/>
      <c r="N998" s="70"/>
      <c r="O998" s="70"/>
      <c r="P998" s="70"/>
      <c r="Q998" s="70"/>
      <c r="R998" s="70"/>
      <c r="S998" s="70"/>
      <c r="T998" s="70"/>
      <c r="U998" s="70"/>
      <c r="V998" s="70"/>
      <c r="W998" s="70"/>
      <c r="X998" s="70"/>
      <c r="Y998" s="70"/>
      <c r="Z998" s="70"/>
    </row>
    <row r="999" spans="1:26" ht="13">
      <c r="A999" s="70"/>
      <c r="B999" s="70"/>
      <c r="C999" s="70"/>
      <c r="D999" s="70"/>
      <c r="E999" s="70"/>
      <c r="F999" s="70"/>
      <c r="G999" s="70"/>
      <c r="H999" s="70"/>
      <c r="I999" s="70"/>
      <c r="J999" s="70"/>
      <c r="K999" s="70"/>
      <c r="L999" s="70"/>
      <c r="M999" s="70"/>
      <c r="N999" s="70"/>
      <c r="O999" s="70"/>
      <c r="P999" s="70"/>
      <c r="Q999" s="70"/>
      <c r="R999" s="70"/>
      <c r="S999" s="70"/>
      <c r="T999" s="70"/>
      <c r="U999" s="70"/>
      <c r="V999" s="70"/>
      <c r="W999" s="70"/>
      <c r="X999" s="70"/>
      <c r="Y999" s="70"/>
      <c r="Z999" s="70"/>
    </row>
    <row r="1000" spans="1:26" ht="13">
      <c r="A1000" s="70"/>
      <c r="B1000" s="70"/>
      <c r="C1000" s="70"/>
      <c r="D1000" s="70"/>
      <c r="E1000" s="70"/>
      <c r="F1000" s="70"/>
      <c r="G1000" s="70"/>
      <c r="H1000" s="70"/>
      <c r="I1000" s="70"/>
      <c r="J1000" s="70"/>
      <c r="K1000" s="70"/>
      <c r="L1000" s="70"/>
      <c r="M1000" s="70"/>
      <c r="N1000" s="70"/>
      <c r="O1000" s="70"/>
      <c r="P1000" s="70"/>
      <c r="Q1000" s="70"/>
      <c r="R1000" s="70"/>
      <c r="S1000" s="70"/>
      <c r="T1000" s="70"/>
      <c r="U1000" s="70"/>
      <c r="V1000" s="70"/>
      <c r="W1000" s="70"/>
      <c r="X1000" s="70"/>
      <c r="Y1000" s="70"/>
      <c r="Z1000" s="70"/>
    </row>
  </sheetData>
  <hyperlinks>
    <hyperlink ref="A24" r:id="rId1" xr:uid="{00000000-0004-0000-1500-000000000000}"/>
    <hyperlink ref="A27" r:id="rId2" xr:uid="{00000000-0004-0000-1500-000001000000}"/>
  </hyperlinks>
  <pageMargins left="0.7" right="0.7" top="0.75" bottom="0.75" header="0.3" footer="0.3"/>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Y1000"/>
  <sheetViews>
    <sheetView workbookViewId="0">
      <pane ySplit="1" topLeftCell="A2" activePane="bottomLeft" state="frozen"/>
      <selection pane="bottomLeft" activeCell="B3" sqref="B3"/>
    </sheetView>
  </sheetViews>
  <sheetFormatPr baseColWidth="10" defaultColWidth="14.5" defaultRowHeight="15.75" customHeight="1"/>
  <cols>
    <col min="1" max="1" width="27.83203125" customWidth="1"/>
    <col min="2" max="3" width="12.33203125" customWidth="1"/>
    <col min="4" max="5" width="3.83203125" customWidth="1"/>
    <col min="6" max="6" width="7.5" customWidth="1"/>
    <col min="7" max="7" width="3.83203125" customWidth="1"/>
    <col min="8" max="8" width="4.83203125" customWidth="1"/>
    <col min="9" max="10" width="4.5" customWidth="1"/>
    <col min="11" max="11" width="73.5" customWidth="1"/>
    <col min="12" max="12" width="8.5" customWidth="1"/>
    <col min="13" max="13" width="9.33203125" customWidth="1"/>
    <col min="14" max="14" width="9.5" customWidth="1"/>
    <col min="15" max="15" width="7" customWidth="1"/>
    <col min="16" max="16" width="66" customWidth="1"/>
  </cols>
  <sheetData>
    <row r="1" spans="1:25" ht="15.75" customHeight="1">
      <c r="A1" s="247" t="str">
        <f>Skills!A1</f>
        <v>Skill</v>
      </c>
      <c r="B1" s="247" t="str">
        <f>Skills!B1</f>
        <v>Ability 1</v>
      </c>
      <c r="C1" s="247" t="str">
        <f>Skills!C1</f>
        <v>Ability 2</v>
      </c>
      <c r="D1" s="248" t="str">
        <f>Skills!D1</f>
        <v>Lvl</v>
      </c>
      <c r="E1" s="249" t="str">
        <f>Skills!E1</f>
        <v>AP</v>
      </c>
      <c r="F1" s="249" t="str">
        <f>Skills!F1</f>
        <v>Source</v>
      </c>
      <c r="G1" s="249" t="str">
        <f>Skills!G1</f>
        <v>CD</v>
      </c>
      <c r="H1" s="249" t="str">
        <f>Skills!H1</f>
        <v>Rng</v>
      </c>
      <c r="I1" s="249" t="str">
        <f>Skills!I1</f>
        <v>Rad</v>
      </c>
      <c r="J1" s="249" t="str">
        <f>Skills!J1</f>
        <v>Res</v>
      </c>
      <c r="K1" s="250" t="str">
        <f>Skills!K1</f>
        <v>Description</v>
      </c>
      <c r="L1" s="249" t="s">
        <v>2932</v>
      </c>
      <c r="M1" s="249" t="str">
        <f>Skills!L1</f>
        <v>Numbers</v>
      </c>
      <c r="N1" s="249" t="str">
        <f>Skills!N1</f>
        <v>Wep Req</v>
      </c>
      <c r="O1" s="249" t="str">
        <f>Skills!O1</f>
        <v>Bonus</v>
      </c>
      <c r="P1" s="250" t="str">
        <f>Skills!P1</f>
        <v>Status Quick-Reference</v>
      </c>
      <c r="Q1" s="251"/>
      <c r="R1" s="251"/>
      <c r="S1" s="251"/>
      <c r="T1" s="251"/>
      <c r="U1" s="251"/>
      <c r="V1" s="251"/>
      <c r="W1" s="251"/>
      <c r="X1" s="251"/>
      <c r="Y1" s="252" t="s">
        <v>1917</v>
      </c>
    </row>
    <row r="2" spans="1:25" ht="15.75" customHeight="1">
      <c r="A2" s="253" t="s">
        <v>1794</v>
      </c>
      <c r="B2" s="254" t="str">
        <f>VLOOKUP($A2,Skills!$A:$P,COLUMN(B2),FALSE)</f>
        <v>Pyrokinetic</v>
      </c>
      <c r="C2" s="254" t="str">
        <f>VLOOKUP($A2,Skills!$A:$P,COLUMN(C2),FALSE)</f>
        <v>Pyrokinetic</v>
      </c>
      <c r="D2" s="255">
        <f>VLOOKUP($A2,Skills!$A:$P,COLUMN(D2),FALSE)</f>
        <v>2</v>
      </c>
      <c r="E2" s="256">
        <f>VLOOKUP($A2,Skills!$A:$P,COLUMN(E2),FALSE)</f>
        <v>2</v>
      </c>
      <c r="F2" s="256">
        <f>VLOOKUP($A2,Skills!$A:$P,COLUMN(F2),FALSE)</f>
        <v>0</v>
      </c>
      <c r="G2" s="256">
        <f>VLOOKUP($A2,Skills!$A:$P,COLUMN(G2),FALSE)</f>
        <v>4</v>
      </c>
      <c r="H2" s="256">
        <f>VLOOKUP($A2,Skills!$A:$P,COLUMN(H2),FALSE)</f>
        <v>13</v>
      </c>
      <c r="I2" s="256">
        <f>VLOOKUP($A2,Skills!$A:$P,COLUMN(I2),FALSE)</f>
        <v>3</v>
      </c>
      <c r="J2" s="256" t="str">
        <f>VLOOKUP($A2,Skills!$A:$P,COLUMN(J2),FALSE)</f>
        <v>M</v>
      </c>
      <c r="K2" s="257" t="str">
        <f>VLOOKUP($A2,Skills!$A:$P,COLUMN(K2),FALSE)</f>
        <v>Deal Fire damage and set Burning for 2 turns on characters in target 3m area.  Create a Fire surface in that area.</v>
      </c>
      <c r="L2" s="256">
        <f t="shared" ref="L2:L4" si="0">ROUND(M2/E2,1)</f>
        <v>0</v>
      </c>
      <c r="M2" s="256">
        <f>VLOOKUP($A2,Skills!$A:$P,COLUMN(M2),FALSE)</f>
        <v>0</v>
      </c>
      <c r="N2" s="256">
        <f>VLOOKUP($A2,Skills!$A:$P,COLUMN(N2),FALSE)</f>
        <v>0</v>
      </c>
      <c r="O2" s="256" t="str">
        <f>VLOOKUP($A2,Skills!$A:$P,COLUMN(O2),FALSE)</f>
        <v>Int</v>
      </c>
      <c r="P2" s="257" t="str">
        <f>VLOOKUP($A2,Skills!$A:$P,COLUMN(P2),FALSE)</f>
        <v>Burning: Take 35 Fire damage each turn.  Removed by Armour of Frost, Blessed Steam (cloud), Cleanse Wounds, First Aid, Fortify, Mass Cleanse Wounds, Petrifying Touch, Rain, Restoration, and Steam Cloud (cloud).</v>
      </c>
      <c r="Q2" s="258"/>
      <c r="R2" s="258"/>
      <c r="S2" s="258"/>
      <c r="T2" s="258"/>
      <c r="U2" s="259"/>
      <c r="V2" s="259"/>
      <c r="W2" s="259"/>
      <c r="X2" s="259"/>
      <c r="Y2" s="260" t="s">
        <v>1536</v>
      </c>
    </row>
    <row r="3" spans="1:25" ht="15.75" customHeight="1">
      <c r="A3" s="254" t="s">
        <v>1909</v>
      </c>
      <c r="B3" s="254" t="str">
        <f>VLOOKUP($A3,Skills!$A:$P,COLUMN(B3),FALSE)</f>
        <v>Summon</v>
      </c>
      <c r="C3" s="254" t="str">
        <f>VLOOKUP($A3,Skills!$A:$P,COLUMN(C3),FALSE)</f>
        <v>Wind-Up Toy</v>
      </c>
      <c r="D3" s="255" t="str">
        <f>VLOOKUP($A3,Skills!$A:$P,COLUMN(D3),FALSE)</f>
        <v>-</v>
      </c>
      <c r="E3" s="256">
        <f>VLOOKUP($A3,Skills!$A:$P,COLUMN(E3),FALSE)</f>
        <v>1</v>
      </c>
      <c r="F3" s="256">
        <f>VLOOKUP($A3,Skills!$A:$P,COLUMN(F3),FALSE)</f>
        <v>0</v>
      </c>
      <c r="G3" s="256">
        <f>VLOOKUP($A3,Skills!$A:$P,COLUMN(G3),FALSE)</f>
        <v>0</v>
      </c>
      <c r="H3" s="256" t="str">
        <f>VLOOKUP($A3,Skills!$A:$P,COLUMN(H3),FALSE)</f>
        <v>-</v>
      </c>
      <c r="I3" s="256">
        <f>VLOOKUP($A3,Skills!$A:$P,COLUMN(I3),FALSE)</f>
        <v>4</v>
      </c>
      <c r="J3" s="256" t="str">
        <f>VLOOKUP($A3,Skills!$A:$P,COLUMN(J3),FALSE)</f>
        <v>-</v>
      </c>
      <c r="K3" s="257" t="str">
        <f>VLOOKUP($A3,Skills!$A:$P,COLUMN(K3),FALSE)</f>
        <v>Explode, dealing Fire damage and creating a Fire surface within 4m.</v>
      </c>
      <c r="L3" s="256">
        <f t="shared" si="0"/>
        <v>0</v>
      </c>
      <c r="M3" s="256">
        <f>VLOOKUP($A3,Skills!$A:$P,COLUMN(M3),FALSE)</f>
        <v>0</v>
      </c>
      <c r="N3" s="256">
        <f>VLOOKUP($A3,Skills!$A:$P,COLUMN(N3),FALSE)</f>
        <v>0</v>
      </c>
      <c r="O3" s="256" t="str">
        <f>VLOOKUP($A3,Skills!$A:$P,COLUMN(O3),FALSE)</f>
        <v>Int</v>
      </c>
      <c r="P3" s="257" t="str">
        <f>VLOOKUP($A3,Skills!$A:$P,COLUMN(P3),FALSE)</f>
        <v/>
      </c>
      <c r="Q3" s="259"/>
      <c r="R3" s="259"/>
      <c r="S3" s="259"/>
      <c r="T3" s="259"/>
      <c r="U3" s="259"/>
      <c r="V3" s="259"/>
      <c r="W3" s="259"/>
      <c r="X3" s="259"/>
      <c r="Y3" s="260" t="s">
        <v>1844</v>
      </c>
    </row>
    <row r="4" spans="1:25" ht="15.75" customHeight="1">
      <c r="A4" s="254" t="s">
        <v>1877</v>
      </c>
      <c r="B4" s="254" t="str">
        <f>VLOOKUP($A4,Skills!$A:$P,COLUMN(B4),FALSE)</f>
        <v>Scoundrel</v>
      </c>
      <c r="C4" s="254" t="str">
        <f>VLOOKUP($A4,Skills!$A:$P,COLUMN(C4),FALSE)</f>
        <v>Scoundrel</v>
      </c>
      <c r="D4" s="255">
        <f>VLOOKUP($A4,Skills!$A:$P,COLUMN(D4),FALSE)</f>
        <v>3</v>
      </c>
      <c r="E4" s="256">
        <f>VLOOKUP($A4,Skills!$A:$P,COLUMN(E4),FALSE)</f>
        <v>2</v>
      </c>
      <c r="F4" s="256">
        <f>VLOOKUP($A4,Skills!$A:$P,COLUMN(F4),FALSE)</f>
        <v>0</v>
      </c>
      <c r="G4" s="256">
        <f>VLOOKUP($A4,Skills!$A:$P,COLUMN(G4),FALSE)</f>
        <v>6</v>
      </c>
      <c r="H4" s="256">
        <f>VLOOKUP($A4,Skills!$A:$P,COLUMN(H4),FALSE)</f>
        <v>13</v>
      </c>
      <c r="I4" s="256" t="str">
        <f>VLOOKUP($A4,Skills!$A:$P,COLUMN(I4),FALSE)</f>
        <v>-</v>
      </c>
      <c r="J4" s="256" t="str">
        <f>VLOOKUP($A4,Skills!$A:$P,COLUMN(J4),FALSE)</f>
        <v>-</v>
      </c>
      <c r="K4" s="257" t="str">
        <f>VLOOKUP($A4,Skills!$A:$P,COLUMN(K4),FALSE)</f>
        <v>Summon a Wind-Up Toy with the skill Suicide for 3 turns.  Wind-Up Toy will automatically Suicide when killed or expired.  Summoning Wind-Up Toy does not break stealth.</v>
      </c>
      <c r="L4" s="256">
        <f t="shared" si="0"/>
        <v>0</v>
      </c>
      <c r="M4" s="256">
        <f>VLOOKUP($A4,Skills!$A:$P,COLUMN(M4),FALSE)</f>
        <v>0</v>
      </c>
      <c r="N4" s="256">
        <f>VLOOKUP($A4,Skills!$A:$P,COLUMN(N4),FALSE)</f>
        <v>0</v>
      </c>
      <c r="O4" s="256" t="str">
        <f>VLOOKUP($A4,Skills!$A:$P,COLUMN(O4),FALSE)</f>
        <v>-</v>
      </c>
      <c r="P4" s="257" t="str">
        <f>VLOOKUP($A4,Skills!$A:$P,COLUMN(P4),FALSE)</f>
        <v/>
      </c>
      <c r="Q4" s="259"/>
      <c r="R4" s="259"/>
      <c r="S4" s="259"/>
      <c r="T4" s="259"/>
      <c r="U4" s="259"/>
      <c r="V4" s="259"/>
      <c r="W4" s="259"/>
      <c r="X4" s="259"/>
      <c r="Y4" s="260" t="s">
        <v>1525</v>
      </c>
    </row>
    <row r="5" spans="1:25" ht="15.75" customHeight="1">
      <c r="A5" s="261"/>
      <c r="B5" s="262"/>
      <c r="C5" s="263"/>
      <c r="D5" s="264"/>
      <c r="E5" s="264"/>
      <c r="F5" s="264"/>
      <c r="G5" s="264"/>
      <c r="H5" s="264"/>
      <c r="I5" s="265"/>
      <c r="J5" s="265"/>
      <c r="K5" s="259"/>
      <c r="L5" s="265"/>
      <c r="M5" s="265"/>
      <c r="N5" s="265"/>
      <c r="O5" s="265"/>
      <c r="P5" s="259"/>
      <c r="Q5" s="259"/>
      <c r="R5" s="259"/>
      <c r="S5" s="259"/>
      <c r="T5" s="259"/>
      <c r="U5" s="259"/>
      <c r="V5" s="259"/>
      <c r="W5" s="259"/>
      <c r="X5" s="259"/>
      <c r="Y5" s="260" t="s">
        <v>1749</v>
      </c>
    </row>
    <row r="6" spans="1:25" ht="15.75" customHeight="1">
      <c r="A6" s="261"/>
      <c r="B6" s="262"/>
      <c r="C6" s="261"/>
      <c r="D6" s="264"/>
      <c r="E6" s="264"/>
      <c r="F6" s="264"/>
      <c r="G6" s="264"/>
      <c r="H6" s="265"/>
      <c r="I6" s="265"/>
      <c r="J6" s="265"/>
      <c r="K6" s="259"/>
      <c r="L6" s="265"/>
      <c r="M6" s="265"/>
      <c r="N6" s="265"/>
      <c r="O6" s="265"/>
      <c r="P6" s="259"/>
      <c r="Q6" s="259"/>
      <c r="R6" s="259"/>
      <c r="S6" s="259"/>
      <c r="T6" s="259"/>
      <c r="U6" s="259"/>
      <c r="V6" s="259"/>
      <c r="W6" s="259"/>
      <c r="X6" s="259"/>
      <c r="Y6" s="260" t="s">
        <v>1421</v>
      </c>
    </row>
    <row r="7" spans="1:25" ht="15.75" customHeight="1">
      <c r="A7" s="261"/>
      <c r="B7" s="262"/>
      <c r="C7" s="261"/>
      <c r="D7" s="264"/>
      <c r="E7" s="264"/>
      <c r="F7" s="264"/>
      <c r="G7" s="264"/>
      <c r="H7" s="264"/>
      <c r="I7" s="265"/>
      <c r="J7" s="265"/>
      <c r="K7" s="259"/>
      <c r="L7" s="265"/>
      <c r="M7" s="265"/>
      <c r="N7" s="265"/>
      <c r="O7" s="265"/>
      <c r="P7" s="259"/>
      <c r="Q7" s="259"/>
      <c r="R7" s="259"/>
      <c r="S7" s="259"/>
      <c r="T7" s="259"/>
      <c r="U7" s="259"/>
      <c r="V7" s="259"/>
      <c r="W7" s="259"/>
      <c r="X7" s="259"/>
      <c r="Y7" s="260" t="s">
        <v>1628</v>
      </c>
    </row>
    <row r="8" spans="1:25" ht="15.75" customHeight="1">
      <c r="A8" s="261"/>
      <c r="B8" s="262"/>
      <c r="C8" s="263"/>
      <c r="D8" s="265"/>
      <c r="E8" s="264"/>
      <c r="F8" s="264"/>
      <c r="G8" s="265"/>
      <c r="H8" s="264"/>
      <c r="I8" s="265"/>
      <c r="J8" s="264"/>
      <c r="K8" s="259"/>
      <c r="L8" s="264"/>
      <c r="M8" s="265"/>
      <c r="N8" s="265"/>
      <c r="O8" s="265"/>
      <c r="P8" s="259"/>
      <c r="Q8" s="259"/>
      <c r="R8" s="259"/>
      <c r="S8" s="259"/>
      <c r="T8" s="259"/>
      <c r="U8" s="259"/>
      <c r="V8" s="259"/>
      <c r="W8" s="259"/>
      <c r="X8" s="259"/>
      <c r="Y8" s="260" t="s">
        <v>1630</v>
      </c>
    </row>
    <row r="9" spans="1:25" ht="15.75" customHeight="1">
      <c r="A9" s="261"/>
      <c r="B9" s="262"/>
      <c r="C9" s="263"/>
      <c r="D9" s="265"/>
      <c r="E9" s="264"/>
      <c r="F9" s="264"/>
      <c r="G9" s="265"/>
      <c r="H9" s="265"/>
      <c r="I9" s="265"/>
      <c r="J9" s="265"/>
      <c r="K9" s="259"/>
      <c r="L9" s="265"/>
      <c r="M9" s="265"/>
      <c r="N9" s="265"/>
      <c r="O9" s="265"/>
      <c r="P9" s="259"/>
      <c r="Q9" s="259"/>
      <c r="R9" s="259"/>
      <c r="S9" s="259"/>
      <c r="T9" s="259"/>
      <c r="U9" s="259"/>
      <c r="V9" s="259"/>
      <c r="W9" s="259"/>
      <c r="X9" s="259"/>
      <c r="Y9" s="260" t="s">
        <v>1582</v>
      </c>
    </row>
    <row r="10" spans="1:25" ht="15.75" customHeight="1">
      <c r="A10" s="261"/>
      <c r="B10" s="262"/>
      <c r="C10" s="263"/>
      <c r="D10" s="264"/>
      <c r="E10" s="264"/>
      <c r="F10" s="264"/>
      <c r="G10" s="265"/>
      <c r="H10" s="265"/>
      <c r="I10" s="265"/>
      <c r="J10" s="265"/>
      <c r="K10" s="259"/>
      <c r="L10" s="265"/>
      <c r="M10" s="264"/>
      <c r="N10" s="264"/>
      <c r="O10" s="264"/>
      <c r="P10" s="259"/>
      <c r="Q10" s="259"/>
      <c r="R10" s="259"/>
      <c r="S10" s="259"/>
      <c r="T10" s="259"/>
      <c r="U10" s="259"/>
      <c r="V10" s="259"/>
      <c r="W10" s="259"/>
      <c r="X10" s="259"/>
      <c r="Y10" s="260" t="s">
        <v>1586</v>
      </c>
    </row>
    <row r="11" spans="1:25" ht="15.75" customHeight="1">
      <c r="L11" s="264"/>
      <c r="M11" s="265"/>
      <c r="N11" s="265"/>
      <c r="O11" s="265"/>
      <c r="P11" s="259"/>
      <c r="Q11" s="259"/>
      <c r="R11" s="259"/>
      <c r="S11" s="259"/>
      <c r="T11" s="259"/>
      <c r="U11" s="259"/>
      <c r="V11" s="259"/>
      <c r="W11" s="259"/>
      <c r="X11" s="259"/>
      <c r="Y11" s="260" t="s">
        <v>1588</v>
      </c>
    </row>
    <row r="12" spans="1:25" ht="15.75" customHeight="1">
      <c r="L12" s="265"/>
      <c r="M12" s="265"/>
      <c r="N12" s="265"/>
      <c r="O12" s="265"/>
      <c r="P12" s="259"/>
      <c r="Q12" s="259"/>
      <c r="R12" s="259"/>
      <c r="S12" s="259"/>
      <c r="T12" s="259"/>
      <c r="U12" s="259"/>
      <c r="V12" s="259"/>
      <c r="W12" s="259"/>
      <c r="X12" s="259"/>
      <c r="Y12" s="260" t="s">
        <v>1846</v>
      </c>
    </row>
    <row r="13" spans="1:25" ht="15.75" customHeight="1">
      <c r="L13" s="265"/>
      <c r="M13" s="265"/>
      <c r="N13" s="265"/>
      <c r="O13" s="265"/>
      <c r="P13" s="259"/>
      <c r="Q13" s="259"/>
      <c r="R13" s="259"/>
      <c r="S13" s="259"/>
      <c r="T13" s="259"/>
      <c r="U13" s="259"/>
      <c r="V13" s="259"/>
      <c r="W13" s="259"/>
      <c r="X13" s="259"/>
      <c r="Y13" s="260" t="s">
        <v>1590</v>
      </c>
    </row>
    <row r="14" spans="1:25" ht="15.75" customHeight="1">
      <c r="L14" s="265"/>
      <c r="M14" s="265"/>
      <c r="N14" s="265"/>
      <c r="O14" s="265"/>
      <c r="P14" s="259"/>
      <c r="Q14" s="259"/>
      <c r="R14" s="259"/>
      <c r="S14" s="259"/>
      <c r="T14" s="259"/>
      <c r="U14" s="259"/>
      <c r="V14" s="259"/>
      <c r="W14" s="259"/>
      <c r="X14" s="259"/>
      <c r="Y14" s="260" t="s">
        <v>1592</v>
      </c>
    </row>
    <row r="15" spans="1:25" ht="15.75" customHeight="1">
      <c r="L15" s="265"/>
      <c r="M15" s="265"/>
      <c r="N15" s="265"/>
      <c r="O15" s="265"/>
      <c r="P15" s="259"/>
      <c r="Q15" s="259"/>
      <c r="R15" s="259"/>
      <c r="S15" s="259"/>
      <c r="T15" s="259"/>
      <c r="U15" s="259"/>
      <c r="V15" s="259"/>
      <c r="W15" s="259"/>
      <c r="X15" s="259"/>
      <c r="Y15" s="260" t="s">
        <v>1994</v>
      </c>
    </row>
    <row r="16" spans="1:25" ht="15.75" customHeight="1">
      <c r="L16" s="265"/>
      <c r="M16" s="265"/>
      <c r="N16" s="265"/>
      <c r="O16" s="265"/>
      <c r="P16" s="259"/>
      <c r="Q16" s="259"/>
      <c r="R16" s="259"/>
      <c r="S16" s="259"/>
      <c r="T16" s="259"/>
      <c r="U16" s="259"/>
      <c r="V16" s="259"/>
      <c r="W16" s="259"/>
      <c r="X16" s="259"/>
      <c r="Y16" s="260" t="s">
        <v>1997</v>
      </c>
    </row>
    <row r="17" spans="1:25" ht="15.75" customHeight="1">
      <c r="L17" s="265"/>
      <c r="M17" s="265"/>
      <c r="N17" s="265"/>
      <c r="O17" s="265"/>
      <c r="P17" s="259"/>
      <c r="Q17" s="259"/>
      <c r="R17" s="259"/>
      <c r="S17" s="259"/>
      <c r="T17" s="259"/>
      <c r="U17" s="259"/>
      <c r="V17" s="259"/>
      <c r="W17" s="259"/>
      <c r="X17" s="259"/>
      <c r="Y17" s="260" t="s">
        <v>1686</v>
      </c>
    </row>
    <row r="18" spans="1:25" ht="15.75" customHeight="1">
      <c r="L18" s="265"/>
      <c r="M18" s="265"/>
      <c r="N18" s="265"/>
      <c r="O18" s="265"/>
      <c r="P18" s="259"/>
      <c r="Q18" s="259"/>
      <c r="R18" s="259"/>
      <c r="S18" s="259"/>
      <c r="T18" s="259"/>
      <c r="U18" s="259"/>
      <c r="V18" s="259"/>
      <c r="W18" s="259"/>
      <c r="X18" s="259"/>
      <c r="Y18" s="260" t="s">
        <v>1783</v>
      </c>
    </row>
    <row r="19" spans="1:25" ht="15.75" customHeight="1">
      <c r="L19" s="265"/>
      <c r="M19" s="265"/>
      <c r="N19" s="265"/>
      <c r="O19" s="265"/>
      <c r="P19" s="259"/>
      <c r="Q19" s="259"/>
      <c r="R19" s="259"/>
      <c r="S19" s="259"/>
      <c r="T19" s="259"/>
      <c r="U19" s="259"/>
      <c r="V19" s="259"/>
      <c r="W19" s="259"/>
      <c r="X19" s="259"/>
      <c r="Y19" s="260" t="s">
        <v>1460</v>
      </c>
    </row>
    <row r="20" spans="1:25" ht="15.75" customHeight="1">
      <c r="L20" s="265"/>
      <c r="M20" s="265"/>
      <c r="N20" s="265"/>
      <c r="O20" s="265"/>
      <c r="P20" s="259"/>
      <c r="Q20" s="259"/>
      <c r="R20" s="259"/>
      <c r="S20" s="259"/>
      <c r="T20" s="259"/>
      <c r="U20" s="259"/>
      <c r="V20" s="259"/>
      <c r="W20" s="259"/>
      <c r="X20" s="259"/>
      <c r="Y20" s="260" t="s">
        <v>1823</v>
      </c>
    </row>
    <row r="21" spans="1:25" ht="15.75" customHeight="1">
      <c r="L21" s="265"/>
      <c r="M21" s="265"/>
      <c r="N21" s="265"/>
      <c r="O21" s="265"/>
      <c r="P21" s="259"/>
      <c r="Q21" s="259"/>
      <c r="R21" s="259"/>
      <c r="S21" s="259"/>
      <c r="T21" s="259"/>
      <c r="U21" s="259"/>
      <c r="V21" s="259"/>
      <c r="W21" s="259"/>
      <c r="X21" s="259"/>
      <c r="Y21" s="260" t="s">
        <v>1424</v>
      </c>
    </row>
    <row r="22" spans="1:25" ht="15.75" customHeight="1">
      <c r="A22" s="261"/>
      <c r="D22" s="265"/>
      <c r="E22" s="265"/>
      <c r="F22" s="265"/>
      <c r="G22" s="265"/>
      <c r="H22" s="265"/>
      <c r="I22" s="265"/>
      <c r="J22" s="265"/>
      <c r="K22" s="259"/>
      <c r="L22" s="265"/>
      <c r="M22" s="265"/>
      <c r="N22" s="265"/>
      <c r="O22" s="265"/>
      <c r="P22" s="259"/>
      <c r="Q22" s="259"/>
      <c r="R22" s="259"/>
      <c r="S22" s="259"/>
      <c r="T22" s="259"/>
      <c r="U22" s="259"/>
      <c r="V22" s="259"/>
      <c r="W22" s="259"/>
      <c r="X22" s="259"/>
      <c r="Y22" s="260" t="s">
        <v>1477</v>
      </c>
    </row>
    <row r="23" spans="1:25" ht="15.75" customHeight="1">
      <c r="A23" s="261"/>
      <c r="D23" s="265"/>
      <c r="E23" s="265"/>
      <c r="F23" s="265"/>
      <c r="G23" s="265"/>
      <c r="H23" s="265"/>
      <c r="I23" s="265"/>
      <c r="J23" s="265"/>
      <c r="K23" s="259"/>
      <c r="L23" s="265"/>
      <c r="M23" s="265"/>
      <c r="N23" s="265"/>
      <c r="O23" s="265"/>
      <c r="P23" s="259"/>
      <c r="Q23" s="259"/>
      <c r="R23" s="259"/>
      <c r="S23" s="259"/>
      <c r="T23" s="259"/>
      <c r="U23" s="259"/>
      <c r="V23" s="259"/>
      <c r="W23" s="259"/>
      <c r="X23" s="259"/>
      <c r="Y23" s="260" t="s">
        <v>1999</v>
      </c>
    </row>
    <row r="24" spans="1:25" ht="15.75" customHeight="1">
      <c r="A24" s="261"/>
      <c r="D24" s="265"/>
      <c r="E24" s="265"/>
      <c r="F24" s="265"/>
      <c r="G24" s="265"/>
      <c r="H24" s="265"/>
      <c r="I24" s="265"/>
      <c r="J24" s="265"/>
      <c r="K24" s="259"/>
      <c r="L24" s="265"/>
      <c r="M24" s="265"/>
      <c r="N24" s="265"/>
      <c r="O24" s="265"/>
      <c r="P24" s="259"/>
      <c r="Q24" s="259"/>
      <c r="R24" s="259"/>
      <c r="S24" s="259"/>
      <c r="T24" s="259"/>
      <c r="U24" s="259"/>
      <c r="V24" s="259"/>
      <c r="W24" s="259"/>
      <c r="X24" s="259"/>
      <c r="Y24" s="260" t="s">
        <v>1679</v>
      </c>
    </row>
    <row r="25" spans="1:25" ht="15.75" customHeight="1">
      <c r="A25" s="261"/>
      <c r="B25" s="262"/>
      <c r="C25" s="261"/>
      <c r="D25" s="265"/>
      <c r="E25" s="265"/>
      <c r="F25" s="265"/>
      <c r="G25" s="265"/>
      <c r="H25" s="265"/>
      <c r="I25" s="265"/>
      <c r="J25" s="265"/>
      <c r="K25" s="259"/>
      <c r="L25" s="265"/>
      <c r="M25" s="265"/>
      <c r="N25" s="265"/>
      <c r="O25" s="265"/>
      <c r="P25" s="259"/>
      <c r="Q25" s="259"/>
      <c r="R25" s="259"/>
      <c r="S25" s="259"/>
      <c r="T25" s="259"/>
      <c r="U25" s="259"/>
      <c r="V25" s="259"/>
      <c r="W25" s="259"/>
      <c r="X25" s="259"/>
      <c r="Y25" s="260" t="s">
        <v>1688</v>
      </c>
    </row>
    <row r="26" spans="1:25" ht="15.75" customHeight="1">
      <c r="A26" s="261"/>
      <c r="B26" s="266"/>
      <c r="C26" s="261"/>
      <c r="D26" s="265"/>
      <c r="E26" s="265"/>
      <c r="F26" s="265"/>
      <c r="G26" s="265"/>
      <c r="H26" s="265"/>
      <c r="I26" s="265"/>
      <c r="J26" s="265"/>
      <c r="K26" s="259"/>
      <c r="L26" s="265"/>
      <c r="M26" s="265"/>
      <c r="N26" s="265"/>
      <c r="O26" s="265"/>
      <c r="P26" s="259"/>
      <c r="Q26" s="259"/>
      <c r="R26" s="259"/>
      <c r="S26" s="259"/>
      <c r="T26" s="259"/>
      <c r="U26" s="259"/>
      <c r="V26" s="259"/>
      <c r="W26" s="259"/>
      <c r="X26" s="259"/>
      <c r="Y26" s="260" t="s">
        <v>1691</v>
      </c>
    </row>
    <row r="27" spans="1:25" ht="15.75" customHeight="1">
      <c r="A27" s="261"/>
      <c r="B27" s="262"/>
      <c r="C27" s="261"/>
      <c r="D27" s="265"/>
      <c r="E27" s="265"/>
      <c r="F27" s="265"/>
      <c r="G27" s="265"/>
      <c r="H27" s="265"/>
      <c r="I27" s="265"/>
      <c r="J27" s="265"/>
      <c r="K27" s="259"/>
      <c r="L27" s="265"/>
      <c r="M27" s="265"/>
      <c r="N27" s="265"/>
      <c r="O27" s="265"/>
      <c r="P27" s="259"/>
      <c r="Q27" s="259"/>
      <c r="R27" s="259"/>
      <c r="S27" s="259"/>
      <c r="T27" s="259"/>
      <c r="U27" s="259"/>
      <c r="V27" s="259"/>
      <c r="W27" s="259"/>
      <c r="X27" s="259"/>
      <c r="Y27" s="260" t="s">
        <v>2001</v>
      </c>
    </row>
    <row r="28" spans="1:25" ht="15.75" customHeight="1">
      <c r="A28" s="261"/>
      <c r="B28" s="267"/>
      <c r="C28" s="261"/>
      <c r="D28" s="265"/>
      <c r="E28" s="265"/>
      <c r="F28" s="265"/>
      <c r="G28" s="265"/>
      <c r="H28" s="265"/>
      <c r="I28" s="265"/>
      <c r="J28" s="265"/>
      <c r="K28" s="259"/>
      <c r="L28" s="265"/>
      <c r="M28" s="265"/>
      <c r="N28" s="265"/>
      <c r="O28" s="265"/>
      <c r="P28" s="259"/>
      <c r="Q28" s="259"/>
      <c r="R28" s="259"/>
      <c r="S28" s="259"/>
      <c r="T28" s="259"/>
      <c r="U28" s="259"/>
      <c r="V28" s="259"/>
      <c r="W28" s="259"/>
      <c r="X28" s="259"/>
      <c r="Y28" s="260" t="s">
        <v>1513</v>
      </c>
    </row>
    <row r="29" spans="1:25" ht="15.75" customHeight="1">
      <c r="A29" s="261"/>
      <c r="B29" s="263"/>
      <c r="C29" s="261"/>
      <c r="D29" s="265"/>
      <c r="E29" s="265"/>
      <c r="F29" s="265"/>
      <c r="G29" s="265"/>
      <c r="H29" s="265"/>
      <c r="I29" s="265"/>
      <c r="J29" s="265"/>
      <c r="K29" s="259"/>
      <c r="L29" s="265"/>
      <c r="M29" s="265"/>
      <c r="N29" s="265"/>
      <c r="O29" s="265"/>
      <c r="P29" s="259"/>
      <c r="Q29" s="259"/>
      <c r="R29" s="259"/>
      <c r="S29" s="259"/>
      <c r="T29" s="259"/>
      <c r="U29" s="259"/>
      <c r="V29" s="259"/>
      <c r="W29" s="259"/>
      <c r="X29" s="259"/>
      <c r="Y29" s="260" t="s">
        <v>1975</v>
      </c>
    </row>
    <row r="30" spans="1:25" ht="15.75" customHeight="1">
      <c r="A30" s="261"/>
      <c r="B30" s="263"/>
      <c r="C30" s="261"/>
      <c r="D30" s="265"/>
      <c r="E30" s="265"/>
      <c r="F30" s="265"/>
      <c r="G30" s="265"/>
      <c r="H30" s="265"/>
      <c r="I30" s="265"/>
      <c r="J30" s="265"/>
      <c r="K30" s="259"/>
      <c r="L30" s="265"/>
      <c r="M30" s="265"/>
      <c r="N30" s="265"/>
      <c r="O30" s="265"/>
      <c r="P30" s="259"/>
      <c r="Q30" s="259"/>
      <c r="R30" s="259"/>
      <c r="S30" s="259"/>
      <c r="T30" s="259"/>
      <c r="U30" s="259"/>
      <c r="V30" s="259"/>
      <c r="W30" s="259"/>
      <c r="X30" s="259"/>
      <c r="Y30" s="260" t="s">
        <v>1733</v>
      </c>
    </row>
    <row r="31" spans="1:25" ht="15.75" customHeight="1">
      <c r="A31" s="261"/>
      <c r="B31" s="263"/>
      <c r="C31" s="261"/>
      <c r="D31" s="265"/>
      <c r="E31" s="265"/>
      <c r="F31" s="265"/>
      <c r="G31" s="265"/>
      <c r="H31" s="265"/>
      <c r="I31" s="265"/>
      <c r="J31" s="265"/>
      <c r="K31" s="259"/>
      <c r="L31" s="265"/>
      <c r="M31" s="265"/>
      <c r="N31" s="265"/>
      <c r="O31" s="265"/>
      <c r="P31" s="259"/>
      <c r="Q31" s="259"/>
      <c r="R31" s="259"/>
      <c r="S31" s="259"/>
      <c r="T31" s="259"/>
      <c r="U31" s="259"/>
      <c r="V31" s="259"/>
      <c r="W31" s="259"/>
      <c r="X31" s="259"/>
      <c r="Y31" s="260" t="s">
        <v>1732</v>
      </c>
    </row>
    <row r="32" spans="1:25" ht="15.75" customHeight="1">
      <c r="A32" s="261"/>
      <c r="B32" s="263"/>
      <c r="C32" s="261"/>
      <c r="D32" s="265"/>
      <c r="E32" s="265"/>
      <c r="F32" s="265"/>
      <c r="G32" s="265"/>
      <c r="H32" s="265"/>
      <c r="I32" s="265"/>
      <c r="J32" s="265"/>
      <c r="K32" s="259"/>
      <c r="L32" s="265"/>
      <c r="M32" s="265"/>
      <c r="N32" s="265"/>
      <c r="O32" s="265"/>
      <c r="P32" s="259"/>
      <c r="Q32" s="259"/>
      <c r="R32" s="259"/>
      <c r="S32" s="259"/>
      <c r="T32" s="259"/>
      <c r="U32" s="259"/>
      <c r="V32" s="259"/>
      <c r="W32" s="259"/>
      <c r="X32" s="259"/>
      <c r="Y32" s="260" t="s">
        <v>1885</v>
      </c>
    </row>
    <row r="33" spans="1:25" ht="15.75" customHeight="1">
      <c r="A33" s="261"/>
      <c r="B33" s="263"/>
      <c r="C33" s="261"/>
      <c r="D33" s="265"/>
      <c r="E33" s="265"/>
      <c r="F33" s="265"/>
      <c r="G33" s="265"/>
      <c r="H33" s="265"/>
      <c r="I33" s="265"/>
      <c r="J33" s="265"/>
      <c r="K33" s="259"/>
      <c r="L33" s="265"/>
      <c r="M33" s="265"/>
      <c r="N33" s="265"/>
      <c r="O33" s="265"/>
      <c r="P33" s="259"/>
      <c r="Q33" s="259"/>
      <c r="R33" s="259"/>
      <c r="S33" s="259"/>
      <c r="T33" s="259"/>
      <c r="U33" s="259"/>
      <c r="V33" s="259"/>
      <c r="W33" s="259"/>
      <c r="X33" s="259"/>
      <c r="Y33" s="260" t="s">
        <v>1940</v>
      </c>
    </row>
    <row r="34" spans="1:25" ht="15.75" customHeight="1">
      <c r="A34" s="261"/>
      <c r="B34" s="263"/>
      <c r="C34" s="261"/>
      <c r="D34" s="265"/>
      <c r="E34" s="265"/>
      <c r="F34" s="265"/>
      <c r="G34" s="265"/>
      <c r="H34" s="265"/>
      <c r="I34" s="265"/>
      <c r="J34" s="265"/>
      <c r="K34" s="259"/>
      <c r="L34" s="265"/>
      <c r="M34" s="265"/>
      <c r="N34" s="265"/>
      <c r="O34" s="265"/>
      <c r="P34" s="259"/>
      <c r="Q34" s="259"/>
      <c r="R34" s="259"/>
      <c r="S34" s="259"/>
      <c r="T34" s="259"/>
      <c r="U34" s="259"/>
      <c r="V34" s="259"/>
      <c r="W34" s="259"/>
      <c r="X34" s="259"/>
      <c r="Y34" s="260" t="s">
        <v>1429</v>
      </c>
    </row>
    <row r="35" spans="1:25" ht="15.75" customHeight="1">
      <c r="A35" s="261"/>
      <c r="B35" s="263"/>
      <c r="C35" s="261"/>
      <c r="D35" s="265"/>
      <c r="E35" s="265"/>
      <c r="F35" s="265"/>
      <c r="G35" s="265"/>
      <c r="H35" s="265"/>
      <c r="I35" s="265"/>
      <c r="J35" s="265"/>
      <c r="K35" s="259"/>
      <c r="L35" s="265"/>
      <c r="M35" s="265"/>
      <c r="N35" s="265"/>
      <c r="O35" s="265"/>
      <c r="P35" s="259"/>
      <c r="Q35" s="259"/>
      <c r="R35" s="259"/>
      <c r="S35" s="259"/>
      <c r="T35" s="259"/>
      <c r="U35" s="259"/>
      <c r="V35" s="259"/>
      <c r="W35" s="259"/>
      <c r="X35" s="259"/>
      <c r="Y35" s="260" t="s">
        <v>2003</v>
      </c>
    </row>
    <row r="36" spans="1:25" ht="15.75" customHeight="1">
      <c r="A36" s="261"/>
      <c r="B36" s="263"/>
      <c r="C36" s="261"/>
      <c r="D36" s="265"/>
      <c r="E36" s="265"/>
      <c r="F36" s="265"/>
      <c r="G36" s="265"/>
      <c r="H36" s="265"/>
      <c r="I36" s="265"/>
      <c r="J36" s="265"/>
      <c r="K36" s="259"/>
      <c r="L36" s="265"/>
      <c r="M36" s="265"/>
      <c r="N36" s="265"/>
      <c r="O36" s="265"/>
      <c r="P36" s="259"/>
      <c r="Q36" s="259"/>
      <c r="R36" s="259"/>
      <c r="S36" s="259"/>
      <c r="T36" s="259"/>
      <c r="U36" s="259"/>
      <c r="V36" s="259"/>
      <c r="W36" s="259"/>
      <c r="X36" s="259"/>
      <c r="Y36" s="260" t="s">
        <v>1752</v>
      </c>
    </row>
    <row r="37" spans="1:25" ht="15.75" customHeight="1">
      <c r="A37" s="261"/>
      <c r="B37" s="263"/>
      <c r="C37" s="261"/>
      <c r="D37" s="265"/>
      <c r="E37" s="265"/>
      <c r="F37" s="265"/>
      <c r="G37" s="265"/>
      <c r="H37" s="265"/>
      <c r="I37" s="265"/>
      <c r="J37" s="265"/>
      <c r="K37" s="259"/>
      <c r="L37" s="265"/>
      <c r="M37" s="265"/>
      <c r="N37" s="265"/>
      <c r="O37" s="265"/>
      <c r="P37" s="259"/>
      <c r="Q37" s="259"/>
      <c r="R37" s="259"/>
      <c r="S37" s="259"/>
      <c r="T37" s="259"/>
      <c r="U37" s="259"/>
      <c r="V37" s="259"/>
      <c r="W37" s="259"/>
      <c r="X37" s="259"/>
      <c r="Y37" s="260" t="s">
        <v>1755</v>
      </c>
    </row>
    <row r="38" spans="1:25" ht="15.75" customHeight="1">
      <c r="A38" s="261"/>
      <c r="B38" s="263"/>
      <c r="C38" s="261"/>
      <c r="D38" s="265"/>
      <c r="E38" s="265"/>
      <c r="F38" s="265"/>
      <c r="G38" s="265"/>
      <c r="H38" s="265"/>
      <c r="I38" s="265"/>
      <c r="J38" s="265"/>
      <c r="K38" s="259"/>
      <c r="L38" s="265"/>
      <c r="M38" s="265"/>
      <c r="N38" s="265"/>
      <c r="O38" s="265"/>
      <c r="P38" s="259"/>
      <c r="Q38" s="259"/>
      <c r="R38" s="259"/>
      <c r="S38" s="259"/>
      <c r="T38" s="259"/>
      <c r="U38" s="259"/>
      <c r="V38" s="259"/>
      <c r="W38" s="259"/>
      <c r="X38" s="259"/>
      <c r="Y38" s="260" t="s">
        <v>1848</v>
      </c>
    </row>
    <row r="39" spans="1:25" ht="15.75" customHeight="1">
      <c r="A39" s="261"/>
      <c r="B39" s="263"/>
      <c r="C39" s="261"/>
      <c r="D39" s="265"/>
      <c r="E39" s="265"/>
      <c r="F39" s="265"/>
      <c r="G39" s="265"/>
      <c r="H39" s="265"/>
      <c r="I39" s="265"/>
      <c r="J39" s="265"/>
      <c r="K39" s="259"/>
      <c r="L39" s="265"/>
      <c r="M39" s="265"/>
      <c r="N39" s="265"/>
      <c r="O39" s="265"/>
      <c r="P39" s="259"/>
      <c r="Q39" s="259"/>
      <c r="R39" s="259"/>
      <c r="S39" s="259"/>
      <c r="T39" s="259"/>
      <c r="U39" s="259"/>
      <c r="V39" s="259"/>
      <c r="W39" s="259"/>
      <c r="X39" s="259"/>
      <c r="Y39" s="260" t="s">
        <v>1984</v>
      </c>
    </row>
    <row r="40" spans="1:25" ht="15.75" customHeight="1">
      <c r="A40" s="261"/>
      <c r="B40" s="263"/>
      <c r="C40" s="261"/>
      <c r="D40" s="265"/>
      <c r="E40" s="265"/>
      <c r="F40" s="265"/>
      <c r="G40" s="265"/>
      <c r="H40" s="265"/>
      <c r="I40" s="265"/>
      <c r="J40" s="265"/>
      <c r="K40" s="259"/>
      <c r="L40" s="265"/>
      <c r="M40" s="265"/>
      <c r="N40" s="265"/>
      <c r="O40" s="265"/>
      <c r="P40" s="259"/>
      <c r="Q40" s="259"/>
      <c r="R40" s="259"/>
      <c r="S40" s="259"/>
      <c r="T40" s="259"/>
      <c r="U40" s="259"/>
      <c r="V40" s="259"/>
      <c r="W40" s="259"/>
      <c r="X40" s="259"/>
      <c r="Y40" s="260" t="s">
        <v>1852</v>
      </c>
    </row>
    <row r="41" spans="1:25" ht="15.75" customHeight="1">
      <c r="A41" s="261"/>
      <c r="B41" s="263"/>
      <c r="C41" s="261"/>
      <c r="D41" s="265"/>
      <c r="E41" s="265"/>
      <c r="F41" s="265"/>
      <c r="G41" s="265"/>
      <c r="H41" s="265"/>
      <c r="I41" s="265"/>
      <c r="J41" s="265"/>
      <c r="K41" s="259"/>
      <c r="L41" s="265"/>
      <c r="M41" s="265"/>
      <c r="N41" s="265"/>
      <c r="O41" s="265"/>
      <c r="P41" s="259"/>
      <c r="Q41" s="259"/>
      <c r="R41" s="259"/>
      <c r="S41" s="259"/>
      <c r="T41" s="259"/>
      <c r="U41" s="259"/>
      <c r="V41" s="259"/>
      <c r="W41" s="259"/>
      <c r="X41" s="259"/>
      <c r="Y41" s="260" t="s">
        <v>1433</v>
      </c>
    </row>
    <row r="42" spans="1:25" ht="15.75" customHeight="1">
      <c r="A42" s="261"/>
      <c r="B42" s="263"/>
      <c r="C42" s="261"/>
      <c r="D42" s="265"/>
      <c r="E42" s="265"/>
      <c r="F42" s="265"/>
      <c r="G42" s="265"/>
      <c r="H42" s="265"/>
      <c r="I42" s="265"/>
      <c r="J42" s="265"/>
      <c r="K42" s="259"/>
      <c r="L42" s="265"/>
      <c r="M42" s="265"/>
      <c r="N42" s="265"/>
      <c r="O42" s="265"/>
      <c r="P42" s="259"/>
      <c r="Q42" s="259"/>
      <c r="R42" s="259"/>
      <c r="S42" s="259"/>
      <c r="T42" s="259"/>
      <c r="U42" s="259"/>
      <c r="V42" s="259"/>
      <c r="W42" s="259"/>
      <c r="X42" s="259"/>
      <c r="Y42" s="260" t="s">
        <v>1942</v>
      </c>
    </row>
    <row r="43" spans="1:25" ht="15.75" customHeight="1">
      <c r="A43" s="261"/>
      <c r="B43" s="263"/>
      <c r="C43" s="261"/>
      <c r="D43" s="265"/>
      <c r="E43" s="265"/>
      <c r="F43" s="265"/>
      <c r="G43" s="265"/>
      <c r="H43" s="265"/>
      <c r="I43" s="265"/>
      <c r="J43" s="265"/>
      <c r="K43" s="259"/>
      <c r="L43" s="265"/>
      <c r="M43" s="265"/>
      <c r="N43" s="265"/>
      <c r="O43" s="265"/>
      <c r="P43" s="259"/>
      <c r="Q43" s="259"/>
      <c r="R43" s="259"/>
      <c r="S43" s="259"/>
      <c r="T43" s="259"/>
      <c r="U43" s="259"/>
      <c r="V43" s="259"/>
      <c r="W43" s="259"/>
      <c r="X43" s="259"/>
      <c r="Y43" s="260" t="s">
        <v>1540</v>
      </c>
    </row>
    <row r="44" spans="1:25" ht="15.75" customHeight="1">
      <c r="A44" s="261"/>
      <c r="B44" s="263"/>
      <c r="C44" s="261"/>
      <c r="D44" s="265"/>
      <c r="E44" s="265"/>
      <c r="F44" s="265"/>
      <c r="G44" s="265"/>
      <c r="H44" s="265"/>
      <c r="I44" s="265"/>
      <c r="J44" s="265"/>
      <c r="K44" s="259"/>
      <c r="L44" s="265"/>
      <c r="M44" s="265"/>
      <c r="N44" s="265"/>
      <c r="O44" s="265"/>
      <c r="P44" s="259"/>
      <c r="Q44" s="259"/>
      <c r="R44" s="259"/>
      <c r="S44" s="259"/>
      <c r="T44" s="259"/>
      <c r="U44" s="259"/>
      <c r="V44" s="259"/>
      <c r="W44" s="259"/>
      <c r="X44" s="259"/>
      <c r="Y44" s="260" t="s">
        <v>1722</v>
      </c>
    </row>
    <row r="45" spans="1:25" ht="15.75" customHeight="1">
      <c r="A45" s="261"/>
      <c r="B45" s="263"/>
      <c r="C45" s="261"/>
      <c r="D45" s="265"/>
      <c r="E45" s="265"/>
      <c r="F45" s="265"/>
      <c r="G45" s="265"/>
      <c r="H45" s="265"/>
      <c r="I45" s="265"/>
      <c r="J45" s="265"/>
      <c r="K45" s="259"/>
      <c r="L45" s="265"/>
      <c r="M45" s="265"/>
      <c r="N45" s="265"/>
      <c r="O45" s="265"/>
      <c r="P45" s="259"/>
      <c r="Q45" s="259"/>
      <c r="R45" s="259"/>
      <c r="S45" s="259"/>
      <c r="T45" s="259"/>
      <c r="U45" s="259"/>
      <c r="V45" s="259"/>
      <c r="W45" s="259"/>
      <c r="X45" s="259"/>
      <c r="Y45" s="260" t="s">
        <v>1673</v>
      </c>
    </row>
    <row r="46" spans="1:25" ht="15.75" customHeight="1">
      <c r="A46" s="261"/>
      <c r="B46" s="263"/>
      <c r="C46" s="261"/>
      <c r="D46" s="265"/>
      <c r="E46" s="265"/>
      <c r="F46" s="265"/>
      <c r="G46" s="265"/>
      <c r="H46" s="265"/>
      <c r="I46" s="265"/>
      <c r="J46" s="265"/>
      <c r="K46" s="259"/>
      <c r="L46" s="265"/>
      <c r="M46" s="265"/>
      <c r="N46" s="265"/>
      <c r="O46" s="265"/>
      <c r="P46" s="259"/>
      <c r="Q46" s="259"/>
      <c r="R46" s="259"/>
      <c r="S46" s="259"/>
      <c r="T46" s="259"/>
      <c r="U46" s="259"/>
      <c r="V46" s="259"/>
      <c r="W46" s="259"/>
      <c r="X46" s="259"/>
      <c r="Y46" s="260" t="s">
        <v>1677</v>
      </c>
    </row>
    <row r="47" spans="1:25" ht="15.75" customHeight="1">
      <c r="A47" s="261"/>
      <c r="B47" s="263"/>
      <c r="C47" s="261"/>
      <c r="D47" s="265"/>
      <c r="E47" s="265"/>
      <c r="F47" s="265"/>
      <c r="G47" s="265"/>
      <c r="H47" s="265"/>
      <c r="I47" s="265"/>
      <c r="J47" s="265"/>
      <c r="K47" s="259"/>
      <c r="L47" s="265"/>
      <c r="M47" s="265"/>
      <c r="N47" s="265"/>
      <c r="O47" s="265"/>
      <c r="P47" s="259"/>
      <c r="Q47" s="259"/>
      <c r="R47" s="259"/>
      <c r="S47" s="259"/>
      <c r="T47" s="259"/>
      <c r="U47" s="259"/>
      <c r="V47" s="259"/>
      <c r="W47" s="259"/>
      <c r="X47" s="259"/>
      <c r="Y47" s="260" t="s">
        <v>1854</v>
      </c>
    </row>
    <row r="48" spans="1:25" ht="15.75" customHeight="1">
      <c r="A48" s="261"/>
      <c r="B48" s="261"/>
      <c r="C48" s="261"/>
      <c r="D48" s="265"/>
      <c r="E48" s="265"/>
      <c r="F48" s="265"/>
      <c r="G48" s="265"/>
      <c r="H48" s="265"/>
      <c r="I48" s="265"/>
      <c r="J48" s="265"/>
      <c r="K48" s="259"/>
      <c r="L48" s="265"/>
      <c r="M48" s="265"/>
      <c r="N48" s="265"/>
      <c r="O48" s="265"/>
      <c r="P48" s="259"/>
      <c r="Q48" s="259"/>
      <c r="R48" s="259"/>
      <c r="S48" s="259"/>
      <c r="T48" s="259"/>
      <c r="U48" s="259"/>
      <c r="V48" s="259"/>
      <c r="W48" s="259"/>
      <c r="X48" s="259"/>
      <c r="Y48" s="260" t="s">
        <v>2008</v>
      </c>
    </row>
    <row r="49" spans="1:25" ht="15.75" customHeight="1">
      <c r="A49" s="261"/>
      <c r="B49" s="261"/>
      <c r="C49" s="261"/>
      <c r="D49" s="265"/>
      <c r="E49" s="265"/>
      <c r="F49" s="265"/>
      <c r="G49" s="265"/>
      <c r="H49" s="265"/>
      <c r="I49" s="265"/>
      <c r="J49" s="265"/>
      <c r="K49" s="259"/>
      <c r="L49" s="265"/>
      <c r="M49" s="265"/>
      <c r="N49" s="265"/>
      <c r="O49" s="265"/>
      <c r="P49" s="259"/>
      <c r="Q49" s="259"/>
      <c r="R49" s="259"/>
      <c r="S49" s="259"/>
      <c r="T49" s="259"/>
      <c r="U49" s="259"/>
      <c r="V49" s="259"/>
      <c r="W49" s="259"/>
      <c r="X49" s="259"/>
      <c r="Y49" s="260" t="s">
        <v>1633</v>
      </c>
    </row>
    <row r="50" spans="1:25" ht="15.75" customHeight="1">
      <c r="A50" s="261"/>
      <c r="B50" s="261"/>
      <c r="C50" s="261"/>
      <c r="D50" s="265"/>
      <c r="E50" s="265"/>
      <c r="F50" s="265"/>
      <c r="G50" s="265"/>
      <c r="H50" s="265"/>
      <c r="I50" s="265"/>
      <c r="J50" s="265"/>
      <c r="K50" s="259"/>
      <c r="L50" s="265"/>
      <c r="M50" s="265"/>
      <c r="N50" s="265"/>
      <c r="O50" s="265"/>
      <c r="P50" s="259"/>
      <c r="Q50" s="259"/>
      <c r="R50" s="259"/>
      <c r="S50" s="259"/>
      <c r="T50" s="259"/>
      <c r="U50" s="259"/>
      <c r="V50" s="259"/>
      <c r="W50" s="259"/>
      <c r="X50" s="259"/>
      <c r="Y50" s="260" t="s">
        <v>1617</v>
      </c>
    </row>
    <row r="51" spans="1:25" ht="15.75" customHeight="1">
      <c r="A51" s="261"/>
      <c r="B51" s="261"/>
      <c r="C51" s="261"/>
      <c r="D51" s="265"/>
      <c r="E51" s="265"/>
      <c r="F51" s="265"/>
      <c r="G51" s="265"/>
      <c r="H51" s="265"/>
      <c r="I51" s="265"/>
      <c r="J51" s="265"/>
      <c r="K51" s="259"/>
      <c r="L51" s="265"/>
      <c r="M51" s="265"/>
      <c r="N51" s="265"/>
      <c r="O51" s="265"/>
      <c r="P51" s="259"/>
      <c r="Q51" s="259"/>
      <c r="R51" s="259"/>
      <c r="S51" s="259"/>
      <c r="T51" s="259"/>
      <c r="U51" s="259"/>
      <c r="V51" s="259"/>
      <c r="W51" s="259"/>
      <c r="X51" s="259"/>
      <c r="Y51" s="260" t="s">
        <v>1465</v>
      </c>
    </row>
    <row r="52" spans="1:25" ht="15.75" customHeight="1">
      <c r="A52" s="261"/>
      <c r="B52" s="261"/>
      <c r="C52" s="261"/>
      <c r="D52" s="265"/>
      <c r="E52" s="265"/>
      <c r="F52" s="265"/>
      <c r="G52" s="265"/>
      <c r="H52" s="265"/>
      <c r="I52" s="265"/>
      <c r="J52" s="265"/>
      <c r="K52" s="259"/>
      <c r="L52" s="265"/>
      <c r="M52" s="265"/>
      <c r="N52" s="265"/>
      <c r="O52" s="265"/>
      <c r="P52" s="259"/>
      <c r="Q52" s="259"/>
      <c r="R52" s="259"/>
      <c r="S52" s="259"/>
      <c r="T52" s="259"/>
      <c r="U52" s="259"/>
      <c r="V52" s="259"/>
      <c r="W52" s="259"/>
      <c r="X52" s="259"/>
      <c r="Y52" s="260" t="s">
        <v>1912</v>
      </c>
    </row>
    <row r="53" spans="1:25" ht="15.75" customHeight="1">
      <c r="A53" s="261"/>
      <c r="B53" s="261"/>
      <c r="C53" s="261"/>
      <c r="D53" s="265"/>
      <c r="E53" s="265"/>
      <c r="F53" s="265"/>
      <c r="G53" s="265"/>
      <c r="H53" s="265"/>
      <c r="I53" s="265"/>
      <c r="J53" s="265"/>
      <c r="K53" s="259"/>
      <c r="L53" s="265"/>
      <c r="M53" s="265"/>
      <c r="N53" s="265"/>
      <c r="O53" s="265"/>
      <c r="P53" s="259"/>
      <c r="Q53" s="259"/>
      <c r="R53" s="259"/>
      <c r="S53" s="259"/>
      <c r="T53" s="259"/>
      <c r="U53" s="259"/>
      <c r="V53" s="259"/>
      <c r="W53" s="259"/>
      <c r="X53" s="259"/>
      <c r="Y53" s="260" t="s">
        <v>1856</v>
      </c>
    </row>
    <row r="54" spans="1:25" ht="15.75" customHeight="1">
      <c r="A54" s="261"/>
      <c r="B54" s="261"/>
      <c r="C54" s="261"/>
      <c r="D54" s="265"/>
      <c r="E54" s="265"/>
      <c r="F54" s="265"/>
      <c r="G54" s="265"/>
      <c r="H54" s="265"/>
      <c r="I54" s="265"/>
      <c r="J54" s="265"/>
      <c r="K54" s="259"/>
      <c r="L54" s="265"/>
      <c r="M54" s="265"/>
      <c r="N54" s="265"/>
      <c r="O54" s="265"/>
      <c r="P54" s="259"/>
      <c r="Q54" s="259"/>
      <c r="R54" s="259"/>
      <c r="S54" s="259"/>
      <c r="T54" s="259"/>
      <c r="U54" s="259"/>
      <c r="V54" s="259"/>
      <c r="W54" s="259"/>
      <c r="X54" s="259"/>
      <c r="Y54" s="260" t="s">
        <v>1436</v>
      </c>
    </row>
    <row r="55" spans="1:25" ht="15.75" customHeight="1">
      <c r="A55" s="261"/>
      <c r="B55" s="261"/>
      <c r="C55" s="261"/>
      <c r="D55" s="265"/>
      <c r="E55" s="265"/>
      <c r="F55" s="265"/>
      <c r="G55" s="265"/>
      <c r="H55" s="265"/>
      <c r="I55" s="265"/>
      <c r="J55" s="265"/>
      <c r="K55" s="259"/>
      <c r="L55" s="265"/>
      <c r="M55" s="265"/>
      <c r="N55" s="265"/>
      <c r="O55" s="265"/>
      <c r="P55" s="259"/>
      <c r="Q55" s="259"/>
      <c r="R55" s="259"/>
      <c r="S55" s="259"/>
      <c r="T55" s="259"/>
      <c r="U55" s="259"/>
      <c r="V55" s="259"/>
      <c r="W55" s="259"/>
      <c r="X55" s="259"/>
      <c r="Y55" s="260" t="s">
        <v>1510</v>
      </c>
    </row>
    <row r="56" spans="1:25" ht="15.75" customHeight="1">
      <c r="A56" s="261"/>
      <c r="B56" s="261"/>
      <c r="C56" s="261"/>
      <c r="D56" s="265"/>
      <c r="E56" s="265"/>
      <c r="F56" s="265"/>
      <c r="G56" s="265"/>
      <c r="H56" s="265"/>
      <c r="I56" s="265"/>
      <c r="J56" s="265"/>
      <c r="K56" s="259"/>
      <c r="L56" s="265"/>
      <c r="M56" s="265"/>
      <c r="N56" s="265"/>
      <c r="O56" s="265"/>
      <c r="P56" s="259"/>
      <c r="Q56" s="259"/>
      <c r="R56" s="259"/>
      <c r="S56" s="259"/>
      <c r="T56" s="259"/>
      <c r="U56" s="259"/>
      <c r="V56" s="259"/>
      <c r="W56" s="259"/>
      <c r="X56" s="259"/>
      <c r="Y56" s="260" t="s">
        <v>1694</v>
      </c>
    </row>
    <row r="57" spans="1:25" ht="15.75" customHeight="1">
      <c r="A57" s="261"/>
      <c r="B57" s="261"/>
      <c r="C57" s="261"/>
      <c r="D57" s="265"/>
      <c r="E57" s="265"/>
      <c r="F57" s="265"/>
      <c r="G57" s="265"/>
      <c r="H57" s="265"/>
      <c r="I57" s="265"/>
      <c r="J57" s="265"/>
      <c r="K57" s="259"/>
      <c r="L57" s="265"/>
      <c r="M57" s="265"/>
      <c r="N57" s="265"/>
      <c r="O57" s="265"/>
      <c r="P57" s="259"/>
      <c r="Q57" s="259"/>
      <c r="R57" s="259"/>
      <c r="S57" s="259"/>
      <c r="T57" s="259"/>
      <c r="U57" s="259"/>
      <c r="V57" s="259"/>
      <c r="W57" s="259"/>
      <c r="X57" s="259"/>
      <c r="Y57" s="260" t="s">
        <v>1697</v>
      </c>
    </row>
    <row r="58" spans="1:25" ht="14">
      <c r="A58" s="261"/>
      <c r="B58" s="261"/>
      <c r="C58" s="261"/>
      <c r="D58" s="265"/>
      <c r="E58" s="265"/>
      <c r="F58" s="265"/>
      <c r="G58" s="265"/>
      <c r="H58" s="265"/>
      <c r="I58" s="265"/>
      <c r="J58" s="265"/>
      <c r="K58" s="259"/>
      <c r="L58" s="265"/>
      <c r="M58" s="265"/>
      <c r="N58" s="265"/>
      <c r="O58" s="265"/>
      <c r="P58" s="259"/>
      <c r="Q58" s="259"/>
      <c r="R58" s="259"/>
      <c r="S58" s="259"/>
      <c r="T58" s="259"/>
      <c r="U58" s="259"/>
      <c r="V58" s="259"/>
      <c r="W58" s="259"/>
      <c r="X58" s="259"/>
      <c r="Y58" s="260" t="s">
        <v>1636</v>
      </c>
    </row>
    <row r="59" spans="1:25" ht="14">
      <c r="A59" s="261"/>
      <c r="B59" s="261"/>
      <c r="C59" s="261"/>
      <c r="D59" s="265"/>
      <c r="E59" s="265"/>
      <c r="F59" s="265"/>
      <c r="G59" s="265"/>
      <c r="H59" s="265"/>
      <c r="I59" s="265"/>
      <c r="J59" s="265"/>
      <c r="K59" s="259"/>
      <c r="L59" s="265"/>
      <c r="M59" s="265"/>
      <c r="N59" s="265"/>
      <c r="O59" s="265"/>
      <c r="P59" s="259"/>
      <c r="Q59" s="259"/>
      <c r="R59" s="259"/>
      <c r="S59" s="259"/>
      <c r="T59" s="259"/>
      <c r="U59" s="259"/>
      <c r="V59" s="259"/>
      <c r="W59" s="259"/>
      <c r="X59" s="259"/>
      <c r="Y59" s="260" t="s">
        <v>2010</v>
      </c>
    </row>
    <row r="60" spans="1:25" ht="14">
      <c r="A60" s="261"/>
      <c r="B60" s="261"/>
      <c r="C60" s="261"/>
      <c r="D60" s="265"/>
      <c r="E60" s="265"/>
      <c r="F60" s="265"/>
      <c r="G60" s="265"/>
      <c r="H60" s="265"/>
      <c r="I60" s="265"/>
      <c r="J60" s="265"/>
      <c r="K60" s="259"/>
      <c r="L60" s="265"/>
      <c r="M60" s="265"/>
      <c r="N60" s="265"/>
      <c r="O60" s="265"/>
      <c r="P60" s="259"/>
      <c r="Q60" s="259"/>
      <c r="R60" s="259"/>
      <c r="S60" s="259"/>
      <c r="T60" s="259"/>
      <c r="U60" s="259"/>
      <c r="V60" s="259"/>
      <c r="W60" s="259"/>
      <c r="X60" s="259"/>
      <c r="Y60" s="260" t="s">
        <v>1516</v>
      </c>
    </row>
    <row r="61" spans="1:25" ht="28">
      <c r="A61" s="261"/>
      <c r="B61" s="261"/>
      <c r="C61" s="261"/>
      <c r="D61" s="265"/>
      <c r="E61" s="265"/>
      <c r="F61" s="265"/>
      <c r="G61" s="265"/>
      <c r="H61" s="265"/>
      <c r="I61" s="265"/>
      <c r="J61" s="265"/>
      <c r="K61" s="259"/>
      <c r="L61" s="265"/>
      <c r="M61" s="265"/>
      <c r="N61" s="265"/>
      <c r="O61" s="265"/>
      <c r="P61" s="259"/>
      <c r="Q61" s="259"/>
      <c r="R61" s="259"/>
      <c r="S61" s="259"/>
      <c r="T61" s="259"/>
      <c r="U61" s="259"/>
      <c r="V61" s="259"/>
      <c r="W61" s="259"/>
      <c r="X61" s="259"/>
      <c r="Y61" s="260" t="s">
        <v>1925</v>
      </c>
    </row>
    <row r="62" spans="1:25" ht="28">
      <c r="A62" s="261"/>
      <c r="B62" s="261"/>
      <c r="C62" s="261"/>
      <c r="D62" s="265"/>
      <c r="E62" s="265"/>
      <c r="F62" s="265"/>
      <c r="G62" s="265"/>
      <c r="H62" s="265"/>
      <c r="I62" s="265"/>
      <c r="J62" s="265"/>
      <c r="K62" s="259"/>
      <c r="L62" s="265"/>
      <c r="M62" s="265"/>
      <c r="N62" s="265"/>
      <c r="O62" s="265"/>
      <c r="P62" s="259"/>
      <c r="Q62" s="259"/>
      <c r="R62" s="259"/>
      <c r="S62" s="259"/>
      <c r="T62" s="259"/>
      <c r="U62" s="259"/>
      <c r="V62" s="259"/>
      <c r="W62" s="259"/>
      <c r="X62" s="259"/>
      <c r="Y62" s="260" t="s">
        <v>1623</v>
      </c>
    </row>
    <row r="63" spans="1:25" ht="14">
      <c r="A63" s="261"/>
      <c r="B63" s="261"/>
      <c r="C63" s="261"/>
      <c r="D63" s="265"/>
      <c r="E63" s="265"/>
      <c r="F63" s="265"/>
      <c r="G63" s="265"/>
      <c r="H63" s="265"/>
      <c r="I63" s="265"/>
      <c r="J63" s="265"/>
      <c r="K63" s="259"/>
      <c r="L63" s="265"/>
      <c r="M63" s="265"/>
      <c r="N63" s="265"/>
      <c r="O63" s="265"/>
      <c r="P63" s="259"/>
      <c r="Q63" s="259"/>
      <c r="R63" s="259"/>
      <c r="S63" s="259"/>
      <c r="T63" s="259"/>
      <c r="U63" s="259"/>
      <c r="V63" s="259"/>
      <c r="W63" s="259"/>
      <c r="X63" s="259"/>
      <c r="Y63" s="260" t="s">
        <v>1887</v>
      </c>
    </row>
    <row r="64" spans="1:25" ht="14">
      <c r="A64" s="261"/>
      <c r="B64" s="261"/>
      <c r="C64" s="261"/>
      <c r="D64" s="265"/>
      <c r="E64" s="265"/>
      <c r="F64" s="265"/>
      <c r="G64" s="265"/>
      <c r="H64" s="265"/>
      <c r="I64" s="265"/>
      <c r="J64" s="265"/>
      <c r="K64" s="259"/>
      <c r="L64" s="265"/>
      <c r="M64" s="265"/>
      <c r="N64" s="265"/>
      <c r="O64" s="265"/>
      <c r="P64" s="259"/>
      <c r="Q64" s="259"/>
      <c r="R64" s="259"/>
      <c r="S64" s="259"/>
      <c r="T64" s="259"/>
      <c r="U64" s="259"/>
      <c r="V64" s="259"/>
      <c r="W64" s="259"/>
      <c r="X64" s="259"/>
      <c r="Y64" s="260" t="s">
        <v>1944</v>
      </c>
    </row>
    <row r="65" spans="1:25" ht="28">
      <c r="A65" s="261"/>
      <c r="B65" s="261"/>
      <c r="C65" s="261"/>
      <c r="D65" s="265"/>
      <c r="E65" s="265"/>
      <c r="F65" s="265"/>
      <c r="G65" s="265"/>
      <c r="H65" s="265"/>
      <c r="I65" s="265"/>
      <c r="J65" s="265"/>
      <c r="K65" s="259"/>
      <c r="L65" s="265"/>
      <c r="M65" s="265"/>
      <c r="N65" s="265"/>
      <c r="O65" s="265"/>
      <c r="P65" s="259"/>
      <c r="Q65" s="259"/>
      <c r="R65" s="259"/>
      <c r="S65" s="259"/>
      <c r="T65" s="259"/>
      <c r="U65" s="259"/>
      <c r="V65" s="259"/>
      <c r="W65" s="259"/>
      <c r="X65" s="259"/>
      <c r="Y65" s="260" t="s">
        <v>1480</v>
      </c>
    </row>
    <row r="66" spans="1:25" ht="14">
      <c r="A66" s="261"/>
      <c r="B66" s="261"/>
      <c r="C66" s="261"/>
      <c r="D66" s="265"/>
      <c r="E66" s="265"/>
      <c r="F66" s="265"/>
      <c r="G66" s="265"/>
      <c r="H66" s="265"/>
      <c r="I66" s="265"/>
      <c r="J66" s="265"/>
      <c r="K66" s="259"/>
      <c r="L66" s="265"/>
      <c r="M66" s="265"/>
      <c r="N66" s="265"/>
      <c r="O66" s="265"/>
      <c r="P66" s="259"/>
      <c r="Q66" s="259"/>
      <c r="R66" s="259"/>
      <c r="S66" s="259"/>
      <c r="T66" s="259"/>
      <c r="U66" s="259"/>
      <c r="V66" s="259"/>
      <c r="W66" s="259"/>
      <c r="X66" s="259"/>
      <c r="Y66" s="260" t="s">
        <v>1946</v>
      </c>
    </row>
    <row r="67" spans="1:25" ht="14">
      <c r="A67" s="261"/>
      <c r="B67" s="261"/>
      <c r="C67" s="261"/>
      <c r="D67" s="265"/>
      <c r="E67" s="265"/>
      <c r="F67" s="265"/>
      <c r="G67" s="265"/>
      <c r="H67" s="265"/>
      <c r="I67" s="265"/>
      <c r="J67" s="265"/>
      <c r="K67" s="259"/>
      <c r="L67" s="265"/>
      <c r="M67" s="265"/>
      <c r="N67" s="265"/>
      <c r="O67" s="265"/>
      <c r="P67" s="259"/>
      <c r="Q67" s="259"/>
      <c r="R67" s="259"/>
      <c r="S67" s="259"/>
      <c r="T67" s="259"/>
      <c r="U67" s="259"/>
      <c r="V67" s="259"/>
      <c r="W67" s="259"/>
      <c r="X67" s="259"/>
      <c r="Y67" s="260" t="s">
        <v>1949</v>
      </c>
    </row>
    <row r="68" spans="1:25" ht="14">
      <c r="A68" s="261"/>
      <c r="B68" s="261"/>
      <c r="C68" s="261"/>
      <c r="D68" s="265"/>
      <c r="E68" s="265"/>
      <c r="F68" s="265"/>
      <c r="G68" s="265"/>
      <c r="H68" s="265"/>
      <c r="I68" s="265"/>
      <c r="J68" s="265"/>
      <c r="K68" s="259"/>
      <c r="L68" s="265"/>
      <c r="M68" s="265"/>
      <c r="N68" s="265"/>
      <c r="O68" s="265"/>
      <c r="P68" s="259"/>
      <c r="Q68" s="259"/>
      <c r="R68" s="259"/>
      <c r="S68" s="259"/>
      <c r="T68" s="259"/>
      <c r="U68" s="259"/>
      <c r="V68" s="259"/>
      <c r="W68" s="259"/>
      <c r="X68" s="259"/>
      <c r="Y68" s="260" t="s">
        <v>1502</v>
      </c>
    </row>
    <row r="69" spans="1:25" ht="14">
      <c r="A69" s="261"/>
      <c r="B69" s="261"/>
      <c r="C69" s="261"/>
      <c r="D69" s="265"/>
      <c r="E69" s="265"/>
      <c r="F69" s="265"/>
      <c r="G69" s="265"/>
      <c r="H69" s="265"/>
      <c r="I69" s="265"/>
      <c r="J69" s="265"/>
      <c r="K69" s="259"/>
      <c r="L69" s="265"/>
      <c r="M69" s="265"/>
      <c r="N69" s="265"/>
      <c r="O69" s="265"/>
      <c r="P69" s="259"/>
      <c r="Q69" s="259"/>
      <c r="R69" s="259"/>
      <c r="S69" s="259"/>
      <c r="T69" s="259"/>
      <c r="U69" s="259"/>
      <c r="V69" s="259"/>
      <c r="W69" s="259"/>
      <c r="X69" s="259"/>
      <c r="Y69" s="260" t="s">
        <v>1578</v>
      </c>
    </row>
    <row r="70" spans="1:25" ht="14">
      <c r="A70" s="261"/>
      <c r="B70" s="261"/>
      <c r="C70" s="261"/>
      <c r="D70" s="265"/>
      <c r="E70" s="265"/>
      <c r="F70" s="265"/>
      <c r="G70" s="265"/>
      <c r="H70" s="265"/>
      <c r="I70" s="265"/>
      <c r="J70" s="265"/>
      <c r="K70" s="259"/>
      <c r="L70" s="265"/>
      <c r="M70" s="265"/>
      <c r="N70" s="265"/>
      <c r="O70" s="265"/>
      <c r="P70" s="259"/>
      <c r="Q70" s="259"/>
      <c r="R70" s="259"/>
      <c r="S70" s="259"/>
      <c r="T70" s="259"/>
      <c r="U70" s="259"/>
      <c r="V70" s="259"/>
      <c r="W70" s="259"/>
      <c r="X70" s="259"/>
      <c r="Y70" s="260" t="s">
        <v>1542</v>
      </c>
    </row>
    <row r="71" spans="1:25" ht="28">
      <c r="A71" s="261"/>
      <c r="B71" s="261"/>
      <c r="C71" s="261"/>
      <c r="D71" s="265"/>
      <c r="E71" s="265"/>
      <c r="F71" s="265"/>
      <c r="G71" s="265"/>
      <c r="H71" s="265"/>
      <c r="I71" s="265"/>
      <c r="J71" s="265"/>
      <c r="K71" s="259"/>
      <c r="L71" s="265"/>
      <c r="M71" s="265"/>
      <c r="N71" s="265"/>
      <c r="O71" s="265"/>
      <c r="P71" s="259"/>
      <c r="Q71" s="259"/>
      <c r="R71" s="259"/>
      <c r="S71" s="259"/>
      <c r="T71" s="259"/>
      <c r="U71" s="259"/>
      <c r="V71" s="259"/>
      <c r="W71" s="259"/>
      <c r="X71" s="259"/>
      <c r="Y71" s="260" t="s">
        <v>1438</v>
      </c>
    </row>
    <row r="72" spans="1:25" ht="14">
      <c r="A72" s="261"/>
      <c r="B72" s="261"/>
      <c r="C72" s="261"/>
      <c r="D72" s="265"/>
      <c r="E72" s="265"/>
      <c r="F72" s="265"/>
      <c r="G72" s="265"/>
      <c r="H72" s="265"/>
      <c r="I72" s="265"/>
      <c r="J72" s="265"/>
      <c r="K72" s="259"/>
      <c r="L72" s="265"/>
      <c r="M72" s="265"/>
      <c r="N72" s="265"/>
      <c r="O72" s="265"/>
      <c r="P72" s="259"/>
      <c r="Q72" s="259"/>
      <c r="R72" s="259"/>
      <c r="S72" s="259"/>
      <c r="T72" s="259"/>
      <c r="U72" s="259"/>
      <c r="V72" s="259"/>
      <c r="W72" s="259"/>
      <c r="X72" s="259"/>
      <c r="Y72" s="260" t="s">
        <v>1915</v>
      </c>
    </row>
    <row r="73" spans="1:25" ht="28">
      <c r="A73" s="261"/>
      <c r="B73" s="261"/>
      <c r="C73" s="261"/>
      <c r="D73" s="265"/>
      <c r="E73" s="265"/>
      <c r="F73" s="265"/>
      <c r="G73" s="265"/>
      <c r="H73" s="265"/>
      <c r="I73" s="265"/>
      <c r="J73" s="265"/>
      <c r="K73" s="259"/>
      <c r="L73" s="265"/>
      <c r="M73" s="265"/>
      <c r="N73" s="265"/>
      <c r="O73" s="265"/>
      <c r="P73" s="259"/>
      <c r="Q73" s="259"/>
      <c r="R73" s="259"/>
      <c r="S73" s="259"/>
      <c r="T73" s="259"/>
      <c r="U73" s="259"/>
      <c r="V73" s="259"/>
      <c r="W73" s="259"/>
      <c r="X73" s="259"/>
      <c r="Y73" s="260" t="s">
        <v>1594</v>
      </c>
    </row>
    <row r="74" spans="1:25" ht="14">
      <c r="A74" s="261"/>
      <c r="B74" s="261"/>
      <c r="C74" s="261"/>
      <c r="D74" s="265"/>
      <c r="E74" s="265"/>
      <c r="F74" s="265"/>
      <c r="G74" s="265"/>
      <c r="H74" s="265"/>
      <c r="I74" s="265"/>
      <c r="J74" s="265"/>
      <c r="K74" s="259"/>
      <c r="L74" s="265"/>
      <c r="M74" s="265"/>
      <c r="N74" s="265"/>
      <c r="O74" s="265"/>
      <c r="P74" s="259"/>
      <c r="Q74" s="259"/>
      <c r="R74" s="259"/>
      <c r="S74" s="259"/>
      <c r="T74" s="259"/>
      <c r="U74" s="259"/>
      <c r="V74" s="259"/>
      <c r="W74" s="259"/>
      <c r="X74" s="259"/>
      <c r="Y74" s="260" t="s">
        <v>1952</v>
      </c>
    </row>
    <row r="75" spans="1:25" ht="14">
      <c r="A75" s="261"/>
      <c r="B75" s="261"/>
      <c r="C75" s="261"/>
      <c r="D75" s="265"/>
      <c r="E75" s="265"/>
      <c r="F75" s="265"/>
      <c r="G75" s="265"/>
      <c r="H75" s="265"/>
      <c r="I75" s="265"/>
      <c r="J75" s="265"/>
      <c r="K75" s="259"/>
      <c r="L75" s="265"/>
      <c r="M75" s="265"/>
      <c r="N75" s="265"/>
      <c r="O75" s="265"/>
      <c r="P75" s="259"/>
      <c r="Q75" s="259"/>
      <c r="R75" s="259"/>
      <c r="S75" s="259"/>
      <c r="T75" s="259"/>
      <c r="U75" s="259"/>
      <c r="V75" s="259"/>
      <c r="W75" s="259"/>
      <c r="X75" s="259"/>
      <c r="Y75" s="260" t="s">
        <v>1495</v>
      </c>
    </row>
    <row r="76" spans="1:25" ht="14">
      <c r="A76" s="261"/>
      <c r="B76" s="261"/>
      <c r="C76" s="261"/>
      <c r="D76" s="265"/>
      <c r="E76" s="265"/>
      <c r="F76" s="265"/>
      <c r="G76" s="265"/>
      <c r="H76" s="265"/>
      <c r="I76" s="265"/>
      <c r="J76" s="265"/>
      <c r="K76" s="259"/>
      <c r="L76" s="265"/>
      <c r="M76" s="265"/>
      <c r="N76" s="265"/>
      <c r="O76" s="265"/>
      <c r="P76" s="259"/>
      <c r="Q76" s="259"/>
      <c r="R76" s="259"/>
      <c r="S76" s="259"/>
      <c r="T76" s="259"/>
      <c r="U76" s="259"/>
      <c r="V76" s="259"/>
      <c r="W76" s="259"/>
      <c r="X76" s="259"/>
      <c r="Y76" s="260" t="s">
        <v>2013</v>
      </c>
    </row>
    <row r="77" spans="1:25" ht="14">
      <c r="A77" s="261"/>
      <c r="B77" s="261"/>
      <c r="C77" s="261"/>
      <c r="D77" s="265"/>
      <c r="E77" s="265"/>
      <c r="F77" s="265"/>
      <c r="G77" s="265"/>
      <c r="H77" s="265"/>
      <c r="I77" s="265"/>
      <c r="J77" s="265"/>
      <c r="K77" s="259"/>
      <c r="L77" s="265"/>
      <c r="M77" s="265"/>
      <c r="N77" s="265"/>
      <c r="O77" s="265"/>
      <c r="P77" s="259"/>
      <c r="Q77" s="259"/>
      <c r="R77" s="259"/>
      <c r="S77" s="259"/>
      <c r="T77" s="259"/>
      <c r="U77" s="259"/>
      <c r="V77" s="259"/>
      <c r="W77" s="259"/>
      <c r="X77" s="259"/>
      <c r="Y77" s="260" t="s">
        <v>1789</v>
      </c>
    </row>
    <row r="78" spans="1:25" ht="14">
      <c r="A78" s="261"/>
      <c r="B78" s="261"/>
      <c r="C78" s="261"/>
      <c r="D78" s="265"/>
      <c r="E78" s="265"/>
      <c r="F78" s="265"/>
      <c r="G78" s="265"/>
      <c r="H78" s="265"/>
      <c r="I78" s="265"/>
      <c r="J78" s="265"/>
      <c r="K78" s="259"/>
      <c r="L78" s="265"/>
      <c r="M78" s="265"/>
      <c r="N78" s="265"/>
      <c r="O78" s="265"/>
      <c r="P78" s="259"/>
      <c r="Q78" s="259"/>
      <c r="R78" s="259"/>
      <c r="S78" s="259"/>
      <c r="T78" s="259"/>
      <c r="U78" s="259"/>
      <c r="V78" s="259"/>
      <c r="W78" s="259"/>
      <c r="X78" s="259"/>
      <c r="Y78" s="260" t="s">
        <v>1758</v>
      </c>
    </row>
    <row r="79" spans="1:25" ht="14">
      <c r="A79" s="261"/>
      <c r="B79" s="261"/>
      <c r="C79" s="261"/>
      <c r="D79" s="265"/>
      <c r="E79" s="265"/>
      <c r="F79" s="265"/>
      <c r="G79" s="265"/>
      <c r="H79" s="265"/>
      <c r="I79" s="265"/>
      <c r="J79" s="265"/>
      <c r="K79" s="259"/>
      <c r="L79" s="265"/>
      <c r="M79" s="265"/>
      <c r="N79" s="265"/>
      <c r="O79" s="265"/>
      <c r="P79" s="259"/>
      <c r="Q79" s="259"/>
      <c r="R79" s="259"/>
      <c r="S79" s="259"/>
      <c r="T79" s="259"/>
      <c r="U79" s="259"/>
      <c r="V79" s="259"/>
      <c r="W79" s="259"/>
      <c r="X79" s="259"/>
      <c r="Y79" s="260" t="s">
        <v>1573</v>
      </c>
    </row>
    <row r="80" spans="1:25" ht="14">
      <c r="A80" s="261"/>
      <c r="B80" s="261"/>
      <c r="C80" s="261"/>
      <c r="D80" s="265"/>
      <c r="E80" s="265"/>
      <c r="F80" s="265"/>
      <c r="G80" s="265"/>
      <c r="H80" s="265"/>
      <c r="I80" s="265"/>
      <c r="J80" s="265"/>
      <c r="K80" s="259"/>
      <c r="L80" s="265"/>
      <c r="M80" s="265"/>
      <c r="N80" s="265"/>
      <c r="O80" s="265"/>
      <c r="P80" s="259"/>
      <c r="Q80" s="259"/>
      <c r="R80" s="259"/>
      <c r="S80" s="259"/>
      <c r="T80" s="259"/>
      <c r="U80" s="259"/>
      <c r="V80" s="259"/>
      <c r="W80" s="259"/>
      <c r="X80" s="259"/>
      <c r="Y80" s="260" t="s">
        <v>1954</v>
      </c>
    </row>
    <row r="81" spans="1:25" ht="14">
      <c r="A81" s="261"/>
      <c r="B81" s="261"/>
      <c r="C81" s="261"/>
      <c r="D81" s="265"/>
      <c r="E81" s="265"/>
      <c r="F81" s="265"/>
      <c r="G81" s="265"/>
      <c r="H81" s="265"/>
      <c r="I81" s="265"/>
      <c r="J81" s="265"/>
      <c r="K81" s="259"/>
      <c r="L81" s="265"/>
      <c r="M81" s="265"/>
      <c r="N81" s="265"/>
      <c r="O81" s="265"/>
      <c r="P81" s="259"/>
      <c r="Q81" s="259"/>
      <c r="R81" s="259"/>
      <c r="S81" s="259"/>
      <c r="T81" s="259"/>
      <c r="U81" s="259"/>
      <c r="V81" s="259"/>
      <c r="W81" s="259"/>
      <c r="X81" s="259"/>
      <c r="Y81" s="260" t="s">
        <v>1576</v>
      </c>
    </row>
    <row r="82" spans="1:25" ht="14">
      <c r="A82" s="261"/>
      <c r="B82" s="261"/>
      <c r="C82" s="261"/>
      <c r="D82" s="265"/>
      <c r="E82" s="265"/>
      <c r="F82" s="265"/>
      <c r="G82" s="265"/>
      <c r="H82" s="265"/>
      <c r="I82" s="265"/>
      <c r="J82" s="265"/>
      <c r="K82" s="259"/>
      <c r="L82" s="265"/>
      <c r="M82" s="265"/>
      <c r="N82" s="265"/>
      <c r="O82" s="265"/>
      <c r="P82" s="259"/>
      <c r="Q82" s="259"/>
      <c r="R82" s="259"/>
      <c r="S82" s="259"/>
      <c r="T82" s="259"/>
      <c r="U82" s="259"/>
      <c r="V82" s="259"/>
      <c r="W82" s="259"/>
      <c r="X82" s="259"/>
      <c r="Y82" s="260" t="s">
        <v>1858</v>
      </c>
    </row>
    <row r="83" spans="1:25" ht="14">
      <c r="A83" s="261"/>
      <c r="B83" s="261"/>
      <c r="C83" s="261"/>
      <c r="D83" s="265"/>
      <c r="E83" s="265"/>
      <c r="F83" s="265"/>
      <c r="G83" s="265"/>
      <c r="H83" s="265"/>
      <c r="I83" s="265"/>
      <c r="J83" s="265"/>
      <c r="K83" s="259"/>
      <c r="L83" s="265"/>
      <c r="M83" s="265"/>
      <c r="N83" s="265"/>
      <c r="O83" s="265"/>
      <c r="P83" s="259"/>
      <c r="Q83" s="259"/>
      <c r="R83" s="259"/>
      <c r="S83" s="259"/>
      <c r="T83" s="259"/>
      <c r="U83" s="259"/>
      <c r="V83" s="259"/>
      <c r="W83" s="259"/>
      <c r="X83" s="259"/>
      <c r="Y83" s="260" t="s">
        <v>1597</v>
      </c>
    </row>
    <row r="84" spans="1:25" ht="14">
      <c r="A84" s="261"/>
      <c r="B84" s="261"/>
      <c r="C84" s="261"/>
      <c r="D84" s="265"/>
      <c r="E84" s="265"/>
      <c r="F84" s="265"/>
      <c r="G84" s="265"/>
      <c r="H84" s="265"/>
      <c r="I84" s="265"/>
      <c r="J84" s="265"/>
      <c r="K84" s="259"/>
      <c r="L84" s="265"/>
      <c r="M84" s="265"/>
      <c r="N84" s="265"/>
      <c r="O84" s="265"/>
      <c r="P84" s="259"/>
      <c r="Q84" s="259"/>
      <c r="R84" s="259"/>
      <c r="S84" s="259"/>
      <c r="T84" s="259"/>
      <c r="U84" s="259"/>
      <c r="V84" s="259"/>
      <c r="W84" s="259"/>
      <c r="X84" s="259"/>
      <c r="Y84" s="260" t="s">
        <v>1899</v>
      </c>
    </row>
    <row r="85" spans="1:25" ht="14">
      <c r="A85" s="261"/>
      <c r="B85" s="261"/>
      <c r="C85" s="261"/>
      <c r="D85" s="265"/>
      <c r="E85" s="265"/>
      <c r="F85" s="265"/>
      <c r="G85" s="265"/>
      <c r="H85" s="265"/>
      <c r="I85" s="265"/>
      <c r="J85" s="265"/>
      <c r="K85" s="259"/>
      <c r="L85" s="265"/>
      <c r="M85" s="265"/>
      <c r="N85" s="265"/>
      <c r="O85" s="265"/>
      <c r="P85" s="259"/>
      <c r="Q85" s="259"/>
      <c r="R85" s="259"/>
      <c r="S85" s="259"/>
      <c r="T85" s="259"/>
      <c r="U85" s="259"/>
      <c r="V85" s="259"/>
      <c r="W85" s="259"/>
      <c r="X85" s="259"/>
      <c r="Y85" s="260" t="s">
        <v>1440</v>
      </c>
    </row>
    <row r="86" spans="1:25" ht="14">
      <c r="A86" s="261"/>
      <c r="B86" s="261"/>
      <c r="C86" s="261"/>
      <c r="D86" s="265"/>
      <c r="E86" s="265"/>
      <c r="F86" s="265"/>
      <c r="G86" s="265"/>
      <c r="H86" s="265"/>
      <c r="I86" s="265"/>
      <c r="J86" s="265"/>
      <c r="K86" s="259"/>
      <c r="L86" s="265"/>
      <c r="M86" s="265"/>
      <c r="N86" s="265"/>
      <c r="O86" s="265"/>
      <c r="P86" s="259"/>
      <c r="Q86" s="259"/>
      <c r="R86" s="259"/>
      <c r="S86" s="259"/>
      <c r="T86" s="259"/>
      <c r="U86" s="259"/>
      <c r="V86" s="259"/>
      <c r="W86" s="259"/>
      <c r="X86" s="259"/>
      <c r="Y86" s="260" t="s">
        <v>1879</v>
      </c>
    </row>
    <row r="87" spans="1:25" ht="14">
      <c r="A87" s="261"/>
      <c r="B87" s="261"/>
      <c r="C87" s="261"/>
      <c r="D87" s="265"/>
      <c r="E87" s="265"/>
      <c r="F87" s="265"/>
      <c r="G87" s="265"/>
      <c r="H87" s="265"/>
      <c r="I87" s="265"/>
      <c r="J87" s="265"/>
      <c r="K87" s="259"/>
      <c r="L87" s="265"/>
      <c r="M87" s="265"/>
      <c r="N87" s="265"/>
      <c r="O87" s="265"/>
      <c r="P87" s="259"/>
      <c r="Q87" s="259"/>
      <c r="R87" s="259"/>
      <c r="S87" s="259"/>
      <c r="T87" s="259"/>
      <c r="U87" s="259"/>
      <c r="V87" s="259"/>
      <c r="W87" s="259"/>
      <c r="X87" s="259"/>
      <c r="Y87" s="260" t="s">
        <v>1930</v>
      </c>
    </row>
    <row r="88" spans="1:25" ht="14">
      <c r="A88" s="261"/>
      <c r="B88" s="261"/>
      <c r="C88" s="261"/>
      <c r="D88" s="265"/>
      <c r="E88" s="265"/>
      <c r="F88" s="265"/>
      <c r="G88" s="265"/>
      <c r="H88" s="265"/>
      <c r="I88" s="265"/>
      <c r="J88" s="265"/>
      <c r="K88" s="259"/>
      <c r="L88" s="265"/>
      <c r="M88" s="265"/>
      <c r="N88" s="265"/>
      <c r="O88" s="265"/>
      <c r="P88" s="259"/>
      <c r="Q88" s="259"/>
      <c r="R88" s="259"/>
      <c r="S88" s="259"/>
      <c r="T88" s="259"/>
      <c r="U88" s="259"/>
      <c r="V88" s="259"/>
      <c r="W88" s="259"/>
      <c r="X88" s="259"/>
      <c r="Y88" s="260" t="s">
        <v>1792</v>
      </c>
    </row>
    <row r="89" spans="1:25" ht="14">
      <c r="A89" s="261"/>
      <c r="B89" s="261"/>
      <c r="C89" s="261"/>
      <c r="D89" s="265"/>
      <c r="E89" s="265"/>
      <c r="F89" s="265"/>
      <c r="G89" s="265"/>
      <c r="H89" s="265"/>
      <c r="I89" s="265"/>
      <c r="J89" s="265"/>
      <c r="K89" s="259"/>
      <c r="L89" s="265"/>
      <c r="M89" s="265"/>
      <c r="N89" s="265"/>
      <c r="O89" s="265"/>
      <c r="P89" s="259"/>
      <c r="Q89" s="259"/>
      <c r="R89" s="259"/>
      <c r="S89" s="259"/>
      <c r="T89" s="259"/>
      <c r="U89" s="259"/>
      <c r="V89" s="259"/>
      <c r="W89" s="259"/>
      <c r="X89" s="259"/>
      <c r="Y89" s="260" t="s">
        <v>1794</v>
      </c>
    </row>
    <row r="90" spans="1:25" ht="14">
      <c r="A90" s="261"/>
      <c r="B90" s="261"/>
      <c r="C90" s="261"/>
      <c r="D90" s="265"/>
      <c r="E90" s="265"/>
      <c r="F90" s="265"/>
      <c r="G90" s="265"/>
      <c r="H90" s="265"/>
      <c r="I90" s="265"/>
      <c r="J90" s="265"/>
      <c r="K90" s="259"/>
      <c r="L90" s="265"/>
      <c r="M90" s="265"/>
      <c r="N90" s="265"/>
      <c r="O90" s="265"/>
      <c r="P90" s="259"/>
      <c r="Q90" s="259"/>
      <c r="R90" s="259"/>
      <c r="S90" s="259"/>
      <c r="T90" s="259"/>
      <c r="U90" s="259"/>
      <c r="V90" s="259"/>
      <c r="W90" s="259"/>
      <c r="X90" s="259"/>
      <c r="Y90" s="260" t="s">
        <v>1796</v>
      </c>
    </row>
    <row r="91" spans="1:25" ht="14">
      <c r="A91" s="261"/>
      <c r="B91" s="261"/>
      <c r="C91" s="261"/>
      <c r="D91" s="265"/>
      <c r="E91" s="265"/>
      <c r="F91" s="265"/>
      <c r="G91" s="265"/>
      <c r="H91" s="265"/>
      <c r="I91" s="265"/>
      <c r="J91" s="265"/>
      <c r="K91" s="259"/>
      <c r="L91" s="265"/>
      <c r="M91" s="265"/>
      <c r="N91" s="265"/>
      <c r="O91" s="265"/>
      <c r="P91" s="259"/>
      <c r="Q91" s="259"/>
      <c r="R91" s="259"/>
      <c r="S91" s="259"/>
      <c r="T91" s="259"/>
      <c r="U91" s="259"/>
      <c r="V91" s="259"/>
      <c r="W91" s="259"/>
      <c r="X91" s="259"/>
      <c r="Y91" s="260" t="s">
        <v>1599</v>
      </c>
    </row>
    <row r="92" spans="1:25" ht="28">
      <c r="A92" s="261"/>
      <c r="B92" s="261"/>
      <c r="C92" s="261"/>
      <c r="D92" s="265"/>
      <c r="E92" s="265"/>
      <c r="F92" s="265"/>
      <c r="G92" s="265"/>
      <c r="H92" s="265"/>
      <c r="I92" s="265"/>
      <c r="J92" s="265"/>
      <c r="K92" s="259"/>
      <c r="L92" s="265"/>
      <c r="M92" s="265"/>
      <c r="N92" s="265"/>
      <c r="O92" s="265"/>
      <c r="P92" s="259"/>
      <c r="Q92" s="259"/>
      <c r="R92" s="259"/>
      <c r="S92" s="259"/>
      <c r="T92" s="259"/>
      <c r="U92" s="259"/>
      <c r="V92" s="259"/>
      <c r="W92" s="259"/>
      <c r="X92" s="259"/>
      <c r="Y92" s="260" t="s">
        <v>1799</v>
      </c>
    </row>
    <row r="93" spans="1:25" ht="14">
      <c r="A93" s="261"/>
      <c r="B93" s="261"/>
      <c r="C93" s="261"/>
      <c r="D93" s="265"/>
      <c r="E93" s="265"/>
      <c r="F93" s="265"/>
      <c r="G93" s="265"/>
      <c r="H93" s="265"/>
      <c r="I93" s="265"/>
      <c r="J93" s="265"/>
      <c r="K93" s="259"/>
      <c r="L93" s="265"/>
      <c r="M93" s="265"/>
      <c r="N93" s="265"/>
      <c r="O93" s="265"/>
      <c r="P93" s="259"/>
      <c r="Q93" s="259"/>
      <c r="R93" s="259"/>
      <c r="S93" s="259"/>
      <c r="T93" s="259"/>
      <c r="U93" s="259"/>
      <c r="V93" s="259"/>
      <c r="W93" s="259"/>
      <c r="X93" s="259"/>
      <c r="Y93" s="260" t="s">
        <v>1785</v>
      </c>
    </row>
    <row r="94" spans="1:25" ht="14">
      <c r="A94" s="261"/>
      <c r="B94" s="261"/>
      <c r="C94" s="261"/>
      <c r="D94" s="265"/>
      <c r="E94" s="265"/>
      <c r="F94" s="265"/>
      <c r="G94" s="265"/>
      <c r="H94" s="265"/>
      <c r="I94" s="265"/>
      <c r="J94" s="265"/>
      <c r="K94" s="259"/>
      <c r="L94" s="265"/>
      <c r="M94" s="265"/>
      <c r="N94" s="265"/>
      <c r="O94" s="265"/>
      <c r="P94" s="259"/>
      <c r="Q94" s="259"/>
      <c r="R94" s="259"/>
      <c r="S94" s="259"/>
      <c r="T94" s="259"/>
      <c r="U94" s="259"/>
      <c r="V94" s="259"/>
      <c r="W94" s="259"/>
      <c r="X94" s="259"/>
      <c r="Y94" s="260" t="s">
        <v>1801</v>
      </c>
    </row>
    <row r="95" spans="1:25" ht="14">
      <c r="A95" s="261"/>
      <c r="B95" s="261"/>
      <c r="C95" s="261"/>
      <c r="D95" s="265"/>
      <c r="E95" s="265"/>
      <c r="F95" s="265"/>
      <c r="G95" s="265"/>
      <c r="H95" s="265"/>
      <c r="I95" s="265"/>
      <c r="J95" s="265"/>
      <c r="K95" s="259"/>
      <c r="L95" s="265"/>
      <c r="M95" s="265"/>
      <c r="N95" s="265"/>
      <c r="O95" s="265"/>
      <c r="P95" s="259"/>
      <c r="Q95" s="259"/>
      <c r="R95" s="259"/>
      <c r="S95" s="259"/>
      <c r="T95" s="259"/>
      <c r="U95" s="259"/>
      <c r="V95" s="259"/>
      <c r="W95" s="259"/>
      <c r="X95" s="259"/>
      <c r="Y95" s="260" t="s">
        <v>1760</v>
      </c>
    </row>
    <row r="96" spans="1:25" ht="14">
      <c r="A96" s="261"/>
      <c r="B96" s="261"/>
      <c r="C96" s="261"/>
      <c r="D96" s="265"/>
      <c r="E96" s="265"/>
      <c r="F96" s="265"/>
      <c r="G96" s="265"/>
      <c r="H96" s="265"/>
      <c r="I96" s="265"/>
      <c r="J96" s="265"/>
      <c r="K96" s="259"/>
      <c r="L96" s="265"/>
      <c r="M96" s="265"/>
      <c r="N96" s="265"/>
      <c r="O96" s="265"/>
      <c r="P96" s="259"/>
      <c r="Q96" s="259"/>
      <c r="R96" s="259"/>
      <c r="S96" s="259"/>
      <c r="T96" s="259"/>
      <c r="U96" s="259"/>
      <c r="V96" s="259"/>
      <c r="W96" s="259"/>
      <c r="X96" s="259"/>
      <c r="Y96" s="260" t="s">
        <v>1488</v>
      </c>
    </row>
    <row r="97" spans="1:25" ht="14">
      <c r="A97" s="261"/>
      <c r="B97" s="261"/>
      <c r="C97" s="261"/>
      <c r="D97" s="265"/>
      <c r="E97" s="265"/>
      <c r="F97" s="265"/>
      <c r="G97" s="265"/>
      <c r="H97" s="265"/>
      <c r="I97" s="265"/>
      <c r="J97" s="265"/>
      <c r="K97" s="259"/>
      <c r="L97" s="265"/>
      <c r="M97" s="265"/>
      <c r="N97" s="265"/>
      <c r="O97" s="265"/>
      <c r="P97" s="259"/>
      <c r="Q97" s="259"/>
      <c r="R97" s="259"/>
      <c r="S97" s="259"/>
      <c r="T97" s="259"/>
      <c r="U97" s="259"/>
      <c r="V97" s="259"/>
      <c r="W97" s="259"/>
      <c r="X97" s="259"/>
      <c r="Y97" s="260" t="s">
        <v>1663</v>
      </c>
    </row>
    <row r="98" spans="1:25" ht="14">
      <c r="A98" s="261"/>
      <c r="B98" s="261"/>
      <c r="C98" s="261"/>
      <c r="D98" s="265"/>
      <c r="E98" s="265"/>
      <c r="F98" s="265"/>
      <c r="G98" s="265"/>
      <c r="H98" s="265"/>
      <c r="I98" s="265"/>
      <c r="J98" s="265"/>
      <c r="K98" s="259"/>
      <c r="L98" s="265"/>
      <c r="M98" s="265"/>
      <c r="N98" s="265"/>
      <c r="O98" s="265"/>
      <c r="P98" s="259"/>
      <c r="Q98" s="259"/>
      <c r="R98" s="259"/>
      <c r="S98" s="259"/>
      <c r="T98" s="259"/>
      <c r="U98" s="259"/>
      <c r="V98" s="259"/>
      <c r="W98" s="259"/>
      <c r="X98" s="259"/>
      <c r="Y98" s="260" t="s">
        <v>1529</v>
      </c>
    </row>
    <row r="99" spans="1:25" ht="28">
      <c r="A99" s="261"/>
      <c r="B99" s="261"/>
      <c r="C99" s="261"/>
      <c r="D99" s="265"/>
      <c r="E99" s="265"/>
      <c r="F99" s="265"/>
      <c r="G99" s="265"/>
      <c r="H99" s="265"/>
      <c r="I99" s="265"/>
      <c r="J99" s="265"/>
      <c r="K99" s="259"/>
      <c r="L99" s="265"/>
      <c r="M99" s="265"/>
      <c r="N99" s="265"/>
      <c r="O99" s="265"/>
      <c r="P99" s="259"/>
      <c r="Q99" s="259"/>
      <c r="R99" s="259"/>
      <c r="S99" s="259"/>
      <c r="T99" s="259"/>
      <c r="U99" s="259"/>
      <c r="V99" s="259"/>
      <c r="W99" s="259"/>
      <c r="X99" s="259"/>
      <c r="Y99" s="260" t="s">
        <v>1763</v>
      </c>
    </row>
    <row r="100" spans="1:25" ht="14">
      <c r="A100" s="261"/>
      <c r="B100" s="261"/>
      <c r="C100" s="261"/>
      <c r="D100" s="265"/>
      <c r="E100" s="265"/>
      <c r="F100" s="265"/>
      <c r="G100" s="265"/>
      <c r="H100" s="265"/>
      <c r="I100" s="265"/>
      <c r="J100" s="265"/>
      <c r="K100" s="259"/>
      <c r="L100" s="265"/>
      <c r="M100" s="265"/>
      <c r="N100" s="265"/>
      <c r="O100" s="265"/>
      <c r="P100" s="259"/>
      <c r="Q100" s="259"/>
      <c r="R100" s="259"/>
      <c r="S100" s="259"/>
      <c r="T100" s="259"/>
      <c r="U100" s="259"/>
      <c r="V100" s="259"/>
      <c r="W100" s="259"/>
      <c r="X100" s="259"/>
      <c r="Y100" s="260" t="s">
        <v>1544</v>
      </c>
    </row>
    <row r="101" spans="1:25" ht="14">
      <c r="A101" s="261"/>
      <c r="B101" s="261"/>
      <c r="C101" s="261"/>
      <c r="D101" s="265"/>
      <c r="E101" s="265"/>
      <c r="F101" s="265"/>
      <c r="G101" s="265"/>
      <c r="H101" s="265"/>
      <c r="I101" s="265"/>
      <c r="J101" s="265"/>
      <c r="K101" s="259"/>
      <c r="L101" s="265"/>
      <c r="M101" s="265"/>
      <c r="N101" s="265"/>
      <c r="O101" s="265"/>
      <c r="P101" s="259"/>
      <c r="Q101" s="259"/>
      <c r="R101" s="259"/>
      <c r="S101" s="259"/>
      <c r="T101" s="259"/>
      <c r="U101" s="259"/>
      <c r="V101" s="259"/>
      <c r="W101" s="259"/>
      <c r="X101" s="259"/>
      <c r="Y101" s="260" t="s">
        <v>1547</v>
      </c>
    </row>
    <row r="102" spans="1:25" ht="14">
      <c r="A102" s="261"/>
      <c r="B102" s="261"/>
      <c r="C102" s="261"/>
      <c r="D102" s="265"/>
      <c r="E102" s="265"/>
      <c r="F102" s="265"/>
      <c r="G102" s="265"/>
      <c r="H102" s="265"/>
      <c r="I102" s="265"/>
      <c r="J102" s="265"/>
      <c r="K102" s="259"/>
      <c r="L102" s="265"/>
      <c r="M102" s="265"/>
      <c r="N102" s="265"/>
      <c r="O102" s="265"/>
      <c r="P102" s="259"/>
      <c r="Q102" s="259"/>
      <c r="R102" s="259"/>
      <c r="S102" s="259"/>
      <c r="T102" s="259"/>
      <c r="U102" s="259"/>
      <c r="V102" s="259"/>
      <c r="W102" s="259"/>
      <c r="X102" s="259"/>
      <c r="Y102" s="260" t="s">
        <v>1860</v>
      </c>
    </row>
    <row r="103" spans="1:25" ht="14">
      <c r="A103" s="261"/>
      <c r="B103" s="261"/>
      <c r="C103" s="261"/>
      <c r="D103" s="265"/>
      <c r="E103" s="265"/>
      <c r="F103" s="265"/>
      <c r="G103" s="265"/>
      <c r="H103" s="265"/>
      <c r="I103" s="265"/>
      <c r="J103" s="265"/>
      <c r="K103" s="259"/>
      <c r="L103" s="265"/>
      <c r="M103" s="265"/>
      <c r="N103" s="265"/>
      <c r="O103" s="265"/>
      <c r="P103" s="259"/>
      <c r="Q103" s="259"/>
      <c r="R103" s="259"/>
      <c r="S103" s="259"/>
      <c r="T103" s="259"/>
      <c r="U103" s="259"/>
      <c r="V103" s="259"/>
      <c r="W103" s="259"/>
      <c r="X103" s="259"/>
      <c r="Y103" s="260" t="s">
        <v>1601</v>
      </c>
    </row>
    <row r="104" spans="1:25" ht="14">
      <c r="A104" s="261"/>
      <c r="B104" s="261"/>
      <c r="C104" s="261"/>
      <c r="D104" s="265"/>
      <c r="E104" s="265"/>
      <c r="F104" s="265"/>
      <c r="G104" s="265"/>
      <c r="H104" s="265"/>
      <c r="I104" s="265"/>
      <c r="J104" s="265"/>
      <c r="K104" s="259"/>
      <c r="L104" s="265"/>
      <c r="M104" s="265"/>
      <c r="N104" s="265"/>
      <c r="O104" s="265"/>
      <c r="P104" s="259"/>
      <c r="Q104" s="259"/>
      <c r="R104" s="259"/>
      <c r="S104" s="259"/>
      <c r="T104" s="259"/>
      <c r="U104" s="259"/>
      <c r="V104" s="259"/>
      <c r="W104" s="259"/>
      <c r="X104" s="259"/>
      <c r="Y104" s="260" t="s">
        <v>1639</v>
      </c>
    </row>
    <row r="105" spans="1:25" ht="28">
      <c r="A105" s="261"/>
      <c r="B105" s="261"/>
      <c r="C105" s="261"/>
      <c r="D105" s="265"/>
      <c r="E105" s="265"/>
      <c r="F105" s="265"/>
      <c r="G105" s="265"/>
      <c r="H105" s="265"/>
      <c r="I105" s="265"/>
      <c r="J105" s="265"/>
      <c r="K105" s="259"/>
      <c r="L105" s="265"/>
      <c r="M105" s="265"/>
      <c r="N105" s="265"/>
      <c r="O105" s="265"/>
      <c r="P105" s="259"/>
      <c r="Q105" s="259"/>
      <c r="R105" s="259"/>
      <c r="S105" s="259"/>
      <c r="T105" s="259"/>
      <c r="U105" s="259"/>
      <c r="V105" s="259"/>
      <c r="W105" s="259"/>
      <c r="X105" s="259"/>
      <c r="Y105" s="260" t="s">
        <v>1699</v>
      </c>
    </row>
    <row r="106" spans="1:25" ht="14">
      <c r="A106" s="261"/>
      <c r="B106" s="261"/>
      <c r="C106" s="261"/>
      <c r="D106" s="265"/>
      <c r="E106" s="265"/>
      <c r="F106" s="265"/>
      <c r="G106" s="265"/>
      <c r="H106" s="265"/>
      <c r="I106" s="265"/>
      <c r="J106" s="265"/>
      <c r="K106" s="259"/>
      <c r="L106" s="265"/>
      <c r="M106" s="265"/>
      <c r="N106" s="265"/>
      <c r="O106" s="265"/>
      <c r="P106" s="259"/>
      <c r="Q106" s="259"/>
      <c r="R106" s="259"/>
      <c r="S106" s="259"/>
      <c r="T106" s="259"/>
      <c r="U106" s="259"/>
      <c r="V106" s="259"/>
      <c r="W106" s="259"/>
      <c r="X106" s="259"/>
      <c r="Y106" s="260" t="s">
        <v>2016</v>
      </c>
    </row>
    <row r="107" spans="1:25" ht="14">
      <c r="A107" s="261"/>
      <c r="B107" s="261"/>
      <c r="C107" s="261"/>
      <c r="D107" s="265"/>
      <c r="E107" s="265"/>
      <c r="F107" s="265"/>
      <c r="G107" s="265"/>
      <c r="H107" s="265"/>
      <c r="I107" s="265"/>
      <c r="J107" s="265"/>
      <c r="K107" s="259"/>
      <c r="L107" s="265"/>
      <c r="M107" s="265"/>
      <c r="N107" s="265"/>
      <c r="O107" s="265"/>
      <c r="P107" s="259"/>
      <c r="Q107" s="259"/>
      <c r="R107" s="259"/>
      <c r="S107" s="259"/>
      <c r="T107" s="259"/>
      <c r="U107" s="259"/>
      <c r="V107" s="259"/>
      <c r="W107" s="259"/>
      <c r="X107" s="259"/>
      <c r="Y107" s="260" t="s">
        <v>1893</v>
      </c>
    </row>
    <row r="108" spans="1:25" ht="14">
      <c r="A108" s="261"/>
      <c r="B108" s="261"/>
      <c r="C108" s="261"/>
      <c r="D108" s="265"/>
      <c r="E108" s="265"/>
      <c r="F108" s="265"/>
      <c r="G108" s="265"/>
      <c r="H108" s="265"/>
      <c r="I108" s="265"/>
      <c r="J108" s="265"/>
      <c r="K108" s="259"/>
      <c r="L108" s="265"/>
      <c r="M108" s="265"/>
      <c r="N108" s="265"/>
      <c r="O108" s="265"/>
      <c r="P108" s="259"/>
      <c r="Q108" s="259"/>
      <c r="R108" s="259"/>
      <c r="S108" s="259"/>
      <c r="T108" s="259"/>
      <c r="U108" s="259"/>
      <c r="V108" s="259"/>
      <c r="W108" s="259"/>
      <c r="X108" s="259"/>
      <c r="Y108" s="260" t="s">
        <v>1642</v>
      </c>
    </row>
    <row r="109" spans="1:25" ht="14">
      <c r="A109" s="261"/>
      <c r="B109" s="261"/>
      <c r="C109" s="261"/>
      <c r="D109" s="265"/>
      <c r="E109" s="265"/>
      <c r="F109" s="265"/>
      <c r="G109" s="265"/>
      <c r="H109" s="265"/>
      <c r="I109" s="265"/>
      <c r="J109" s="265"/>
      <c r="K109" s="259"/>
      <c r="L109" s="265"/>
      <c r="M109" s="265"/>
      <c r="N109" s="265"/>
      <c r="O109" s="265"/>
      <c r="P109" s="259"/>
      <c r="Q109" s="259"/>
      <c r="R109" s="259"/>
      <c r="S109" s="259"/>
      <c r="T109" s="259"/>
      <c r="U109" s="259"/>
      <c r="V109" s="259"/>
      <c r="W109" s="259"/>
      <c r="X109" s="259"/>
      <c r="Y109" s="260" t="s">
        <v>1644</v>
      </c>
    </row>
    <row r="110" spans="1:25" ht="14">
      <c r="A110" s="261"/>
      <c r="B110" s="261"/>
      <c r="C110" s="261"/>
      <c r="D110" s="265"/>
      <c r="E110" s="265"/>
      <c r="F110" s="265"/>
      <c r="G110" s="265"/>
      <c r="H110" s="265"/>
      <c r="I110" s="265"/>
      <c r="J110" s="265"/>
      <c r="K110" s="259"/>
      <c r="L110" s="265"/>
      <c r="M110" s="265"/>
      <c r="N110" s="265"/>
      <c r="O110" s="265"/>
      <c r="P110" s="259"/>
      <c r="Q110" s="259"/>
      <c r="R110" s="259"/>
      <c r="S110" s="259"/>
      <c r="T110" s="259"/>
      <c r="U110" s="259"/>
      <c r="V110" s="259"/>
      <c r="W110" s="259"/>
      <c r="X110" s="259"/>
      <c r="Y110" s="260" t="s">
        <v>1803</v>
      </c>
    </row>
    <row r="111" spans="1:25" ht="14">
      <c r="A111" s="261"/>
      <c r="B111" s="261"/>
      <c r="C111" s="261"/>
      <c r="D111" s="265"/>
      <c r="E111" s="265"/>
      <c r="F111" s="265"/>
      <c r="G111" s="265"/>
      <c r="H111" s="265"/>
      <c r="I111" s="265"/>
      <c r="J111" s="265"/>
      <c r="K111" s="259"/>
      <c r="L111" s="265"/>
      <c r="M111" s="265"/>
      <c r="N111" s="265"/>
      <c r="O111" s="265"/>
      <c r="P111" s="259"/>
      <c r="Q111" s="259"/>
      <c r="R111" s="259"/>
      <c r="S111" s="259"/>
      <c r="T111" s="259"/>
      <c r="U111" s="259"/>
      <c r="V111" s="259"/>
      <c r="W111" s="259"/>
      <c r="X111" s="259"/>
      <c r="Y111" s="260" t="s">
        <v>1646</v>
      </c>
    </row>
    <row r="112" spans="1:25" ht="14">
      <c r="A112" s="261"/>
      <c r="B112" s="261"/>
      <c r="C112" s="261"/>
      <c r="D112" s="265"/>
      <c r="E112" s="265"/>
      <c r="F112" s="265"/>
      <c r="G112" s="265"/>
      <c r="H112" s="265"/>
      <c r="I112" s="265"/>
      <c r="J112" s="265"/>
      <c r="K112" s="259"/>
      <c r="L112" s="265"/>
      <c r="M112" s="265"/>
      <c r="N112" s="265"/>
      <c r="O112" s="265"/>
      <c r="P112" s="259"/>
      <c r="Q112" s="259"/>
      <c r="R112" s="259"/>
      <c r="S112" s="259"/>
      <c r="T112" s="259"/>
      <c r="U112" s="259"/>
      <c r="V112" s="259"/>
      <c r="W112" s="259"/>
      <c r="X112" s="259"/>
      <c r="Y112" s="260" t="s">
        <v>1740</v>
      </c>
    </row>
    <row r="113" spans="1:25" ht="14">
      <c r="A113" s="261"/>
      <c r="B113" s="261"/>
      <c r="C113" s="261"/>
      <c r="D113" s="265"/>
      <c r="E113" s="265"/>
      <c r="F113" s="265"/>
      <c r="G113" s="265"/>
      <c r="H113" s="265"/>
      <c r="I113" s="265"/>
      <c r="J113" s="265"/>
      <c r="K113" s="259"/>
      <c r="L113" s="265"/>
      <c r="M113" s="265"/>
      <c r="N113" s="265"/>
      <c r="O113" s="265"/>
      <c r="P113" s="259"/>
      <c r="Q113" s="259"/>
      <c r="R113" s="259"/>
      <c r="S113" s="259"/>
      <c r="T113" s="259"/>
      <c r="U113" s="259"/>
      <c r="V113" s="259"/>
      <c r="W113" s="259"/>
      <c r="X113" s="259"/>
      <c r="Y113" s="260" t="s">
        <v>1765</v>
      </c>
    </row>
    <row r="114" spans="1:25" ht="14">
      <c r="A114" s="261"/>
      <c r="B114" s="261"/>
      <c r="C114" s="261"/>
      <c r="D114" s="265"/>
      <c r="E114" s="265"/>
      <c r="F114" s="265"/>
      <c r="G114" s="265"/>
      <c r="H114" s="265"/>
      <c r="I114" s="265"/>
      <c r="J114" s="265"/>
      <c r="K114" s="259"/>
      <c r="L114" s="265"/>
      <c r="M114" s="265"/>
      <c r="N114" s="265"/>
      <c r="O114" s="265"/>
      <c r="P114" s="259"/>
      <c r="Q114" s="259"/>
      <c r="R114" s="259"/>
      <c r="S114" s="259"/>
      <c r="T114" s="259"/>
      <c r="U114" s="259"/>
      <c r="V114" s="259"/>
      <c r="W114" s="259"/>
      <c r="X114" s="259"/>
      <c r="Y114" s="260" t="s">
        <v>1648</v>
      </c>
    </row>
    <row r="115" spans="1:25" ht="14">
      <c r="A115" s="261"/>
      <c r="B115" s="261"/>
      <c r="C115" s="261"/>
      <c r="D115" s="265"/>
      <c r="E115" s="265"/>
      <c r="F115" s="265"/>
      <c r="G115" s="265"/>
      <c r="H115" s="265"/>
      <c r="I115" s="265"/>
      <c r="J115" s="265"/>
      <c r="K115" s="259"/>
      <c r="L115" s="265"/>
      <c r="M115" s="265"/>
      <c r="N115" s="265"/>
      <c r="O115" s="265"/>
      <c r="P115" s="259"/>
      <c r="Q115" s="259"/>
      <c r="R115" s="259"/>
      <c r="S115" s="259"/>
      <c r="T115" s="259"/>
      <c r="U115" s="259"/>
      <c r="V115" s="259"/>
      <c r="W115" s="259"/>
      <c r="X115" s="259"/>
      <c r="Y115" s="260" t="s">
        <v>1650</v>
      </c>
    </row>
    <row r="116" spans="1:25" ht="14">
      <c r="A116" s="261"/>
      <c r="B116" s="261"/>
      <c r="C116" s="261"/>
      <c r="D116" s="265"/>
      <c r="E116" s="265"/>
      <c r="F116" s="265"/>
      <c r="G116" s="265"/>
      <c r="H116" s="265"/>
      <c r="I116" s="265"/>
      <c r="J116" s="265"/>
      <c r="K116" s="259"/>
      <c r="L116" s="265"/>
      <c r="M116" s="265"/>
      <c r="N116" s="265"/>
      <c r="O116" s="265"/>
      <c r="P116" s="259"/>
      <c r="Q116" s="259"/>
      <c r="R116" s="259"/>
      <c r="S116" s="259"/>
      <c r="T116" s="259"/>
      <c r="U116" s="259"/>
      <c r="V116" s="259"/>
      <c r="W116" s="259"/>
      <c r="X116" s="259"/>
      <c r="Y116" s="260" t="s">
        <v>1921</v>
      </c>
    </row>
    <row r="117" spans="1:25" ht="14">
      <c r="A117" s="261"/>
      <c r="B117" s="261"/>
      <c r="C117" s="261"/>
      <c r="D117" s="265"/>
      <c r="E117" s="265"/>
      <c r="F117" s="265"/>
      <c r="G117" s="265"/>
      <c r="H117" s="265"/>
      <c r="I117" s="265"/>
      <c r="J117" s="265"/>
      <c r="K117" s="259"/>
      <c r="L117" s="265"/>
      <c r="M117" s="265"/>
      <c r="N117" s="265"/>
      <c r="O117" s="265"/>
      <c r="P117" s="259"/>
      <c r="Q117" s="259"/>
      <c r="R117" s="259"/>
      <c r="S117" s="259"/>
      <c r="T117" s="259"/>
      <c r="U117" s="259"/>
      <c r="V117" s="259"/>
      <c r="W117" s="259"/>
      <c r="X117" s="259"/>
      <c r="Y117" s="260" t="s">
        <v>1743</v>
      </c>
    </row>
    <row r="118" spans="1:25" ht="14">
      <c r="A118" s="261"/>
      <c r="B118" s="261"/>
      <c r="C118" s="261"/>
      <c r="D118" s="265"/>
      <c r="E118" s="265"/>
      <c r="F118" s="265"/>
      <c r="G118" s="265"/>
      <c r="H118" s="265"/>
      <c r="I118" s="265"/>
      <c r="J118" s="265"/>
      <c r="K118" s="259"/>
      <c r="L118" s="265"/>
      <c r="M118" s="265"/>
      <c r="N118" s="265"/>
      <c r="O118" s="265"/>
      <c r="P118" s="259"/>
      <c r="Q118" s="259"/>
      <c r="R118" s="259"/>
      <c r="S118" s="259"/>
      <c r="T118" s="259"/>
      <c r="U118" s="259"/>
      <c r="V118" s="259"/>
      <c r="W118" s="259"/>
      <c r="X118" s="259"/>
      <c r="Y118" s="260" t="s">
        <v>1805</v>
      </c>
    </row>
    <row r="119" spans="1:25" ht="14">
      <c r="A119" s="261"/>
      <c r="B119" s="261"/>
      <c r="C119" s="261"/>
      <c r="D119" s="265"/>
      <c r="E119" s="265"/>
      <c r="F119" s="265"/>
      <c r="G119" s="265"/>
      <c r="H119" s="265"/>
      <c r="I119" s="265"/>
      <c r="J119" s="265"/>
      <c r="K119" s="259"/>
      <c r="L119" s="265"/>
      <c r="M119" s="265"/>
      <c r="N119" s="265"/>
      <c r="O119" s="265"/>
      <c r="P119" s="259"/>
      <c r="Q119" s="259"/>
      <c r="R119" s="259"/>
      <c r="S119" s="259"/>
      <c r="T119" s="259"/>
      <c r="U119" s="259"/>
      <c r="V119" s="259"/>
      <c r="W119" s="259"/>
      <c r="X119" s="259"/>
      <c r="Y119" s="260" t="s">
        <v>1549</v>
      </c>
    </row>
    <row r="120" spans="1:25" ht="28">
      <c r="A120" s="261"/>
      <c r="B120" s="261"/>
      <c r="C120" s="261"/>
      <c r="D120" s="265"/>
      <c r="E120" s="265"/>
      <c r="F120" s="265"/>
      <c r="G120" s="265"/>
      <c r="H120" s="265"/>
      <c r="I120" s="265"/>
      <c r="J120" s="265"/>
      <c r="K120" s="259"/>
      <c r="L120" s="265"/>
      <c r="M120" s="265"/>
      <c r="N120" s="265"/>
      <c r="O120" s="265"/>
      <c r="P120" s="259"/>
      <c r="Q120" s="259"/>
      <c r="R120" s="259"/>
      <c r="S120" s="259"/>
      <c r="T120" s="259"/>
      <c r="U120" s="259"/>
      <c r="V120" s="259"/>
      <c r="W120" s="259"/>
      <c r="X120" s="259"/>
      <c r="Y120" s="260" t="s">
        <v>1898</v>
      </c>
    </row>
    <row r="121" spans="1:25" ht="14">
      <c r="A121" s="261"/>
      <c r="B121" s="261"/>
      <c r="C121" s="261"/>
      <c r="D121" s="265"/>
      <c r="E121" s="265"/>
      <c r="F121" s="265"/>
      <c r="G121" s="265"/>
      <c r="H121" s="265"/>
      <c r="I121" s="265"/>
      <c r="J121" s="265"/>
      <c r="K121" s="259"/>
      <c r="L121" s="265"/>
      <c r="M121" s="265"/>
      <c r="N121" s="265"/>
      <c r="O121" s="265"/>
      <c r="P121" s="259"/>
      <c r="Q121" s="259"/>
      <c r="R121" s="259"/>
      <c r="S121" s="259"/>
      <c r="T121" s="259"/>
      <c r="U121" s="259"/>
      <c r="V121" s="259"/>
      <c r="W121" s="259"/>
      <c r="X121" s="259"/>
      <c r="Y121" s="260" t="s">
        <v>1701</v>
      </c>
    </row>
    <row r="122" spans="1:25" ht="14">
      <c r="A122" s="261"/>
      <c r="B122" s="261"/>
      <c r="C122" s="261"/>
      <c r="D122" s="265"/>
      <c r="E122" s="265"/>
      <c r="F122" s="265"/>
      <c r="G122" s="265"/>
      <c r="H122" s="265"/>
      <c r="I122" s="265"/>
      <c r="J122" s="265"/>
      <c r="K122" s="259"/>
      <c r="L122" s="265"/>
      <c r="M122" s="265"/>
      <c r="N122" s="265"/>
      <c r="O122" s="265"/>
      <c r="P122" s="259"/>
      <c r="Q122" s="259"/>
      <c r="R122" s="259"/>
      <c r="S122" s="259"/>
      <c r="T122" s="259"/>
      <c r="U122" s="259"/>
      <c r="V122" s="259"/>
      <c r="W122" s="259"/>
      <c r="X122" s="259"/>
      <c r="Y122" s="260" t="s">
        <v>1726</v>
      </c>
    </row>
    <row r="123" spans="1:25" ht="14">
      <c r="A123" s="261"/>
      <c r="B123" s="261"/>
      <c r="C123" s="261"/>
      <c r="D123" s="265"/>
      <c r="E123" s="265"/>
      <c r="F123" s="265"/>
      <c r="G123" s="265"/>
      <c r="H123" s="265"/>
      <c r="I123" s="265"/>
      <c r="J123" s="265"/>
      <c r="K123" s="259"/>
      <c r="L123" s="265"/>
      <c r="M123" s="265"/>
      <c r="N123" s="265"/>
      <c r="O123" s="265"/>
      <c r="P123" s="259"/>
      <c r="Q123" s="259"/>
      <c r="R123" s="259"/>
      <c r="S123" s="259"/>
      <c r="T123" s="259"/>
      <c r="U123" s="259"/>
      <c r="V123" s="259"/>
      <c r="W123" s="259"/>
      <c r="X123" s="259"/>
      <c r="Y123" s="260" t="s">
        <v>1807</v>
      </c>
    </row>
    <row r="124" spans="1:25" ht="14">
      <c r="A124" s="261"/>
      <c r="B124" s="261"/>
      <c r="C124" s="261"/>
      <c r="D124" s="265"/>
      <c r="E124" s="265"/>
      <c r="F124" s="265"/>
      <c r="G124" s="265"/>
      <c r="H124" s="265"/>
      <c r="I124" s="265"/>
      <c r="J124" s="265"/>
      <c r="K124" s="259"/>
      <c r="L124" s="265"/>
      <c r="M124" s="265"/>
      <c r="N124" s="265"/>
      <c r="O124" s="265"/>
      <c r="P124" s="259"/>
      <c r="Q124" s="259"/>
      <c r="R124" s="259"/>
      <c r="S124" s="259"/>
      <c r="T124" s="259"/>
      <c r="U124" s="259"/>
      <c r="V124" s="259"/>
      <c r="W124" s="259"/>
      <c r="X124" s="259"/>
      <c r="Y124" s="260" t="s">
        <v>1704</v>
      </c>
    </row>
    <row r="125" spans="1:25" ht="28">
      <c r="A125" s="261"/>
      <c r="B125" s="261"/>
      <c r="C125" s="261"/>
      <c r="D125" s="265"/>
      <c r="E125" s="265"/>
      <c r="F125" s="265"/>
      <c r="G125" s="265"/>
      <c r="H125" s="265"/>
      <c r="I125" s="265"/>
      <c r="J125" s="265"/>
      <c r="K125" s="259"/>
      <c r="L125" s="265"/>
      <c r="M125" s="265"/>
      <c r="N125" s="265"/>
      <c r="O125" s="265"/>
      <c r="P125" s="259"/>
      <c r="Q125" s="259"/>
      <c r="R125" s="259"/>
      <c r="S125" s="259"/>
      <c r="T125" s="259"/>
      <c r="U125" s="259"/>
      <c r="V125" s="259"/>
      <c r="W125" s="259"/>
      <c r="X125" s="259"/>
      <c r="Y125" s="260" t="s">
        <v>1706</v>
      </c>
    </row>
    <row r="126" spans="1:25" ht="14">
      <c r="A126" s="261"/>
      <c r="B126" s="261"/>
      <c r="C126" s="261"/>
      <c r="D126" s="265"/>
      <c r="E126" s="265"/>
      <c r="F126" s="265"/>
      <c r="G126" s="265"/>
      <c r="H126" s="265"/>
      <c r="I126" s="265"/>
      <c r="J126" s="265"/>
      <c r="K126" s="259"/>
      <c r="L126" s="265"/>
      <c r="M126" s="265"/>
      <c r="N126" s="265"/>
      <c r="O126" s="265"/>
      <c r="P126" s="259"/>
      <c r="Q126" s="259"/>
      <c r="R126" s="259"/>
      <c r="S126" s="259"/>
      <c r="T126" s="259"/>
      <c r="U126" s="259"/>
      <c r="V126" s="259"/>
      <c r="W126" s="259"/>
      <c r="X126" s="259"/>
      <c r="Y126" s="260" t="s">
        <v>1552</v>
      </c>
    </row>
    <row r="127" spans="1:25" ht="14">
      <c r="A127" s="261"/>
      <c r="B127" s="261"/>
      <c r="C127" s="261"/>
      <c r="D127" s="265"/>
      <c r="E127" s="265"/>
      <c r="F127" s="265"/>
      <c r="G127" s="265"/>
      <c r="H127" s="265"/>
      <c r="I127" s="265"/>
      <c r="J127" s="265"/>
      <c r="K127" s="259"/>
      <c r="L127" s="265"/>
      <c r="M127" s="265"/>
      <c r="N127" s="265"/>
      <c r="O127" s="265"/>
      <c r="P127" s="259"/>
      <c r="Q127" s="259"/>
      <c r="R127" s="259"/>
      <c r="S127" s="259"/>
      <c r="T127" s="259"/>
      <c r="U127" s="259"/>
      <c r="V127" s="259"/>
      <c r="W127" s="259"/>
      <c r="X127" s="259"/>
      <c r="Y127" s="260" t="s">
        <v>1506</v>
      </c>
    </row>
    <row r="128" spans="1:25" ht="28">
      <c r="A128" s="261"/>
      <c r="B128" s="261"/>
      <c r="C128" s="261"/>
      <c r="D128" s="265"/>
      <c r="E128" s="265"/>
      <c r="F128" s="265"/>
      <c r="G128" s="265"/>
      <c r="H128" s="265"/>
      <c r="I128" s="265"/>
      <c r="J128" s="265"/>
      <c r="K128" s="259"/>
      <c r="L128" s="265"/>
      <c r="M128" s="265"/>
      <c r="N128" s="265"/>
      <c r="O128" s="265"/>
      <c r="P128" s="259"/>
      <c r="Q128" s="259"/>
      <c r="R128" s="259"/>
      <c r="S128" s="259"/>
      <c r="T128" s="259"/>
      <c r="U128" s="259"/>
      <c r="V128" s="259"/>
      <c r="W128" s="259"/>
      <c r="X128" s="259"/>
      <c r="Y128" s="260" t="s">
        <v>1604</v>
      </c>
    </row>
    <row r="129" spans="1:25" ht="28">
      <c r="A129" s="261"/>
      <c r="B129" s="261"/>
      <c r="C129" s="261"/>
      <c r="D129" s="265"/>
      <c r="E129" s="265"/>
      <c r="F129" s="265"/>
      <c r="G129" s="265"/>
      <c r="H129" s="265"/>
      <c r="I129" s="265"/>
      <c r="J129" s="265"/>
      <c r="K129" s="259"/>
      <c r="L129" s="265"/>
      <c r="M129" s="265"/>
      <c r="N129" s="265"/>
      <c r="O129" s="265"/>
      <c r="P129" s="259"/>
      <c r="Q129" s="259"/>
      <c r="R129" s="259"/>
      <c r="S129" s="259"/>
      <c r="T129" s="259"/>
      <c r="U129" s="259"/>
      <c r="V129" s="259"/>
      <c r="W129" s="259"/>
      <c r="X129" s="259"/>
      <c r="Y129" s="260" t="s">
        <v>1978</v>
      </c>
    </row>
    <row r="130" spans="1:25" ht="28">
      <c r="A130" s="261"/>
      <c r="B130" s="261"/>
      <c r="C130" s="261"/>
      <c r="D130" s="265"/>
      <c r="E130" s="265"/>
      <c r="F130" s="265"/>
      <c r="G130" s="265"/>
      <c r="H130" s="265"/>
      <c r="I130" s="265"/>
      <c r="J130" s="265"/>
      <c r="K130" s="259"/>
      <c r="L130" s="265"/>
      <c r="M130" s="265"/>
      <c r="N130" s="265"/>
      <c r="O130" s="265"/>
      <c r="P130" s="259"/>
      <c r="Q130" s="259"/>
      <c r="R130" s="259"/>
      <c r="S130" s="259"/>
      <c r="T130" s="259"/>
      <c r="U130" s="259"/>
      <c r="V130" s="259"/>
      <c r="W130" s="259"/>
      <c r="X130" s="259"/>
      <c r="Y130" s="260" t="s">
        <v>1986</v>
      </c>
    </row>
    <row r="131" spans="1:25" ht="28">
      <c r="A131" s="261"/>
      <c r="B131" s="261"/>
      <c r="C131" s="261"/>
      <c r="D131" s="265"/>
      <c r="E131" s="265"/>
      <c r="F131" s="265"/>
      <c r="G131" s="265"/>
      <c r="H131" s="265"/>
      <c r="I131" s="265"/>
      <c r="J131" s="265"/>
      <c r="K131" s="259"/>
      <c r="L131" s="265"/>
      <c r="M131" s="265"/>
      <c r="N131" s="265"/>
      <c r="O131" s="265"/>
      <c r="P131" s="259"/>
      <c r="Q131" s="259"/>
      <c r="R131" s="259"/>
      <c r="S131" s="259"/>
      <c r="T131" s="259"/>
      <c r="U131" s="259"/>
      <c r="V131" s="259"/>
      <c r="W131" s="259"/>
      <c r="X131" s="259"/>
      <c r="Y131" s="260" t="s">
        <v>1724</v>
      </c>
    </row>
    <row r="132" spans="1:25" ht="28">
      <c r="A132" s="261"/>
      <c r="B132" s="261"/>
      <c r="C132" s="261"/>
      <c r="D132" s="265"/>
      <c r="E132" s="265"/>
      <c r="F132" s="265"/>
      <c r="G132" s="265"/>
      <c r="H132" s="265"/>
      <c r="I132" s="265"/>
      <c r="J132" s="265"/>
      <c r="K132" s="259"/>
      <c r="L132" s="265"/>
      <c r="M132" s="265"/>
      <c r="N132" s="265"/>
      <c r="O132" s="265"/>
      <c r="P132" s="259"/>
      <c r="Q132" s="259"/>
      <c r="R132" s="259"/>
      <c r="S132" s="259"/>
      <c r="T132" s="259"/>
      <c r="U132" s="259"/>
      <c r="V132" s="259"/>
      <c r="W132" s="259"/>
      <c r="X132" s="259"/>
      <c r="Y132" s="260" t="s">
        <v>1621</v>
      </c>
    </row>
    <row r="133" spans="1:25" ht="28">
      <c r="A133" s="261"/>
      <c r="B133" s="261"/>
      <c r="C133" s="261"/>
      <c r="D133" s="265"/>
      <c r="E133" s="265"/>
      <c r="F133" s="265"/>
      <c r="G133" s="265"/>
      <c r="H133" s="265"/>
      <c r="I133" s="265"/>
      <c r="J133" s="265"/>
      <c r="K133" s="259"/>
      <c r="L133" s="265"/>
      <c r="M133" s="265"/>
      <c r="N133" s="265"/>
      <c r="O133" s="265"/>
      <c r="P133" s="259"/>
      <c r="Q133" s="259"/>
      <c r="R133" s="259"/>
      <c r="S133" s="259"/>
      <c r="T133" s="259"/>
      <c r="U133" s="259"/>
      <c r="V133" s="259"/>
      <c r="W133" s="259"/>
      <c r="X133" s="259"/>
      <c r="Y133" s="260" t="s">
        <v>1980</v>
      </c>
    </row>
    <row r="134" spans="1:25" ht="14">
      <c r="A134" s="261"/>
      <c r="B134" s="261"/>
      <c r="C134" s="261"/>
      <c r="D134" s="265"/>
      <c r="E134" s="265"/>
      <c r="F134" s="265"/>
      <c r="G134" s="265"/>
      <c r="H134" s="265"/>
      <c r="I134" s="265"/>
      <c r="J134" s="265"/>
      <c r="K134" s="259"/>
      <c r="L134" s="265"/>
      <c r="M134" s="265"/>
      <c r="N134" s="265"/>
      <c r="O134" s="265"/>
      <c r="P134" s="259"/>
      <c r="Q134" s="259"/>
      <c r="R134" s="259"/>
      <c r="S134" s="259"/>
      <c r="T134" s="259"/>
      <c r="U134" s="259"/>
      <c r="V134" s="259"/>
      <c r="W134" s="259"/>
      <c r="X134" s="259"/>
      <c r="Y134" s="260" t="s">
        <v>1840</v>
      </c>
    </row>
    <row r="135" spans="1:25" ht="14">
      <c r="A135" s="261"/>
      <c r="B135" s="261"/>
      <c r="C135" s="261"/>
      <c r="D135" s="265"/>
      <c r="E135" s="265"/>
      <c r="F135" s="265"/>
      <c r="G135" s="265"/>
      <c r="H135" s="265"/>
      <c r="I135" s="265"/>
      <c r="J135" s="265"/>
      <c r="K135" s="259"/>
      <c r="L135" s="265"/>
      <c r="M135" s="265"/>
      <c r="N135" s="265"/>
      <c r="O135" s="265"/>
      <c r="P135" s="259"/>
      <c r="Q135" s="259"/>
      <c r="R135" s="259"/>
      <c r="S135" s="259"/>
      <c r="T135" s="259"/>
      <c r="U135" s="259"/>
      <c r="V135" s="259"/>
      <c r="W135" s="259"/>
      <c r="X135" s="259"/>
      <c r="Y135" s="260" t="s">
        <v>1988</v>
      </c>
    </row>
    <row r="136" spans="1:25" ht="14">
      <c r="A136" s="261"/>
      <c r="B136" s="261"/>
      <c r="C136" s="261"/>
      <c r="D136" s="265"/>
      <c r="E136" s="265"/>
      <c r="F136" s="265"/>
      <c r="G136" s="265"/>
      <c r="H136" s="265"/>
      <c r="I136" s="265"/>
      <c r="J136" s="265"/>
      <c r="K136" s="259"/>
      <c r="L136" s="265"/>
      <c r="M136" s="265"/>
      <c r="N136" s="265"/>
      <c r="O136" s="265"/>
      <c r="P136" s="259"/>
      <c r="Q136" s="259"/>
      <c r="R136" s="259"/>
      <c r="S136" s="259"/>
      <c r="T136" s="259"/>
      <c r="U136" s="259"/>
      <c r="V136" s="259"/>
      <c r="W136" s="259"/>
      <c r="X136" s="259"/>
      <c r="Y136" s="260" t="s">
        <v>1746</v>
      </c>
    </row>
    <row r="137" spans="1:25" ht="14">
      <c r="A137" s="261"/>
      <c r="B137" s="261"/>
      <c r="C137" s="261"/>
      <c r="D137" s="265"/>
      <c r="E137" s="265"/>
      <c r="F137" s="265"/>
      <c r="G137" s="265"/>
      <c r="H137" s="265"/>
      <c r="I137" s="265"/>
      <c r="J137" s="265"/>
      <c r="K137" s="259"/>
      <c r="L137" s="265"/>
      <c r="M137" s="265"/>
      <c r="N137" s="265"/>
      <c r="O137" s="265"/>
      <c r="P137" s="259"/>
      <c r="Q137" s="259"/>
      <c r="R137" s="259"/>
      <c r="S137" s="259"/>
      <c r="T137" s="259"/>
      <c r="U137" s="259"/>
      <c r="V137" s="259"/>
      <c r="W137" s="259"/>
      <c r="X137" s="259"/>
      <c r="Y137" s="260" t="s">
        <v>1554</v>
      </c>
    </row>
    <row r="138" spans="1:25" ht="14">
      <c r="A138" s="261"/>
      <c r="B138" s="261"/>
      <c r="C138" s="261"/>
      <c r="D138" s="265"/>
      <c r="E138" s="265"/>
      <c r="F138" s="265"/>
      <c r="G138" s="265"/>
      <c r="H138" s="265"/>
      <c r="I138" s="265"/>
      <c r="J138" s="265"/>
      <c r="K138" s="259"/>
      <c r="L138" s="265"/>
      <c r="M138" s="265"/>
      <c r="N138" s="265"/>
      <c r="O138" s="265"/>
      <c r="P138" s="259"/>
      <c r="Q138" s="259"/>
      <c r="R138" s="259"/>
      <c r="S138" s="259"/>
      <c r="T138" s="259"/>
      <c r="U138" s="259"/>
      <c r="V138" s="259"/>
      <c r="W138" s="259"/>
      <c r="X138" s="259"/>
      <c r="Y138" s="260" t="s">
        <v>1809</v>
      </c>
    </row>
    <row r="139" spans="1:25" ht="14">
      <c r="A139" s="261"/>
      <c r="B139" s="261"/>
      <c r="C139" s="261"/>
      <c r="D139" s="265"/>
      <c r="E139" s="265"/>
      <c r="F139" s="265"/>
      <c r="G139" s="265"/>
      <c r="H139" s="265"/>
      <c r="I139" s="265"/>
      <c r="J139" s="265"/>
      <c r="K139" s="259"/>
      <c r="L139" s="265"/>
      <c r="M139" s="265"/>
      <c r="N139" s="265"/>
      <c r="O139" s="265"/>
      <c r="P139" s="259"/>
      <c r="Q139" s="259"/>
      <c r="R139" s="259"/>
      <c r="S139" s="259"/>
      <c r="T139" s="259"/>
      <c r="U139" s="259"/>
      <c r="V139" s="259"/>
      <c r="W139" s="259"/>
      <c r="X139" s="259"/>
      <c r="Y139" s="260" t="s">
        <v>1862</v>
      </c>
    </row>
    <row r="140" spans="1:25" ht="14">
      <c r="A140" s="261"/>
      <c r="B140" s="261"/>
      <c r="C140" s="261"/>
      <c r="D140" s="265"/>
      <c r="E140" s="265"/>
      <c r="F140" s="265"/>
      <c r="G140" s="265"/>
      <c r="H140" s="265"/>
      <c r="I140" s="265"/>
      <c r="J140" s="265"/>
      <c r="K140" s="259"/>
      <c r="L140" s="265"/>
      <c r="M140" s="265"/>
      <c r="N140" s="265"/>
      <c r="O140" s="265"/>
      <c r="P140" s="259"/>
      <c r="Q140" s="259"/>
      <c r="R140" s="259"/>
      <c r="S140" s="259"/>
      <c r="T140" s="259"/>
      <c r="U140" s="259"/>
      <c r="V140" s="259"/>
      <c r="W140" s="259"/>
      <c r="X140" s="259"/>
      <c r="Y140" s="260" t="s">
        <v>1709</v>
      </c>
    </row>
    <row r="141" spans="1:25" ht="28">
      <c r="A141" s="261"/>
      <c r="B141" s="261"/>
      <c r="C141" s="261"/>
      <c r="D141" s="265"/>
      <c r="E141" s="265"/>
      <c r="F141" s="265"/>
      <c r="G141" s="265"/>
      <c r="H141" s="265"/>
      <c r="I141" s="265"/>
      <c r="J141" s="265"/>
      <c r="K141" s="259"/>
      <c r="L141" s="265"/>
      <c r="M141" s="265"/>
      <c r="N141" s="265"/>
      <c r="O141" s="265"/>
      <c r="P141" s="259"/>
      <c r="Q141" s="259"/>
      <c r="R141" s="259"/>
      <c r="S141" s="259"/>
      <c r="T141" s="259"/>
      <c r="U141" s="259"/>
      <c r="V141" s="259"/>
      <c r="W141" s="259"/>
      <c r="X141" s="259"/>
      <c r="Y141" s="260" t="s">
        <v>1932</v>
      </c>
    </row>
    <row r="142" spans="1:25" ht="14">
      <c r="A142" s="261"/>
      <c r="B142" s="261"/>
      <c r="C142" s="261"/>
      <c r="D142" s="265"/>
      <c r="E142" s="265"/>
      <c r="F142" s="265"/>
      <c r="G142" s="265"/>
      <c r="H142" s="265"/>
      <c r="I142" s="265"/>
      <c r="J142" s="265"/>
      <c r="K142" s="259"/>
      <c r="L142" s="265"/>
      <c r="M142" s="265"/>
      <c r="N142" s="265"/>
      <c r="O142" s="265"/>
      <c r="P142" s="259"/>
      <c r="Q142" s="259"/>
      <c r="R142" s="259"/>
      <c r="S142" s="259"/>
      <c r="T142" s="259"/>
      <c r="U142" s="259"/>
      <c r="V142" s="259"/>
      <c r="W142" s="259"/>
      <c r="X142" s="259"/>
      <c r="Y142" s="260" t="s">
        <v>1443</v>
      </c>
    </row>
    <row r="143" spans="1:25" ht="14">
      <c r="A143" s="261"/>
      <c r="B143" s="261"/>
      <c r="C143" s="261"/>
      <c r="D143" s="265"/>
      <c r="E143" s="265"/>
      <c r="F143" s="265"/>
      <c r="G143" s="265"/>
      <c r="H143" s="265"/>
      <c r="I143" s="265"/>
      <c r="J143" s="265"/>
      <c r="K143" s="259"/>
      <c r="L143" s="265"/>
      <c r="M143" s="265"/>
      <c r="N143" s="265"/>
      <c r="O143" s="265"/>
      <c r="P143" s="259"/>
      <c r="Q143" s="259"/>
      <c r="R143" s="259"/>
      <c r="S143" s="259"/>
      <c r="T143" s="259"/>
      <c r="U143" s="259"/>
      <c r="V143" s="259"/>
      <c r="W143" s="259"/>
      <c r="X143" s="259"/>
      <c r="Y143" s="260" t="s">
        <v>1982</v>
      </c>
    </row>
    <row r="144" spans="1:25" ht="14">
      <c r="A144" s="261"/>
      <c r="B144" s="261"/>
      <c r="C144" s="261"/>
      <c r="D144" s="265"/>
      <c r="E144" s="265"/>
      <c r="F144" s="265"/>
      <c r="G144" s="265"/>
      <c r="H144" s="265"/>
      <c r="I144" s="265"/>
      <c r="J144" s="265"/>
      <c r="K144" s="259"/>
      <c r="L144" s="265"/>
      <c r="M144" s="265"/>
      <c r="N144" s="265"/>
      <c r="O144" s="265"/>
      <c r="P144" s="259"/>
      <c r="Q144" s="259"/>
      <c r="R144" s="259"/>
      <c r="S144" s="259"/>
      <c r="T144" s="259"/>
      <c r="U144" s="259"/>
      <c r="V144" s="259"/>
      <c r="W144" s="259"/>
      <c r="X144" s="259"/>
      <c r="Y144" s="260" t="s">
        <v>2018</v>
      </c>
    </row>
    <row r="145" spans="1:25" ht="14">
      <c r="A145" s="261"/>
      <c r="B145" s="261"/>
      <c r="C145" s="261"/>
      <c r="D145" s="265"/>
      <c r="E145" s="265"/>
      <c r="F145" s="265"/>
      <c r="G145" s="265"/>
      <c r="H145" s="265"/>
      <c r="I145" s="265"/>
      <c r="J145" s="265"/>
      <c r="K145" s="259"/>
      <c r="L145" s="265"/>
      <c r="M145" s="265"/>
      <c r="N145" s="265"/>
      <c r="O145" s="265"/>
      <c r="P145" s="259"/>
      <c r="Q145" s="259"/>
      <c r="R145" s="259"/>
      <c r="S145" s="259"/>
      <c r="T145" s="259"/>
      <c r="U145" s="259"/>
      <c r="V145" s="259"/>
      <c r="W145" s="259"/>
      <c r="X145" s="259"/>
      <c r="Y145" s="260" t="s">
        <v>2020</v>
      </c>
    </row>
    <row r="146" spans="1:25" ht="14">
      <c r="A146" s="261"/>
      <c r="B146" s="261"/>
      <c r="C146" s="261"/>
      <c r="D146" s="265"/>
      <c r="E146" s="265"/>
      <c r="F146" s="265"/>
      <c r="G146" s="265"/>
      <c r="H146" s="265"/>
      <c r="I146" s="265"/>
      <c r="J146" s="265"/>
      <c r="K146" s="259"/>
      <c r="L146" s="265"/>
      <c r="M146" s="265"/>
      <c r="N146" s="265"/>
      <c r="O146" s="265"/>
      <c r="P146" s="259"/>
      <c r="Q146" s="259"/>
      <c r="R146" s="259"/>
      <c r="S146" s="259"/>
      <c r="T146" s="259"/>
      <c r="U146" s="259"/>
      <c r="V146" s="259"/>
      <c r="W146" s="259"/>
      <c r="X146" s="259"/>
      <c r="Y146" s="260" t="s">
        <v>1811</v>
      </c>
    </row>
    <row r="147" spans="1:25" ht="14">
      <c r="A147" s="261"/>
      <c r="B147" s="261"/>
      <c r="C147" s="261"/>
      <c r="D147" s="265"/>
      <c r="E147" s="265"/>
      <c r="F147" s="265"/>
      <c r="G147" s="265"/>
      <c r="H147" s="265"/>
      <c r="I147" s="265"/>
      <c r="J147" s="265"/>
      <c r="K147" s="259"/>
      <c r="L147" s="265"/>
      <c r="M147" s="265"/>
      <c r="N147" s="265"/>
      <c r="O147" s="265"/>
      <c r="P147" s="259"/>
      <c r="Q147" s="259"/>
      <c r="R147" s="259"/>
      <c r="S147" s="259"/>
      <c r="T147" s="259"/>
      <c r="U147" s="259"/>
      <c r="V147" s="259"/>
      <c r="W147" s="259"/>
      <c r="X147" s="259"/>
      <c r="Y147" s="260" t="s">
        <v>1896</v>
      </c>
    </row>
    <row r="148" spans="1:25" ht="14">
      <c r="A148" s="261"/>
      <c r="B148" s="261"/>
      <c r="C148" s="261"/>
      <c r="D148" s="265"/>
      <c r="E148" s="265"/>
      <c r="F148" s="265"/>
      <c r="G148" s="265"/>
      <c r="H148" s="265"/>
      <c r="I148" s="265"/>
      <c r="J148" s="265"/>
      <c r="K148" s="259"/>
      <c r="L148" s="265"/>
      <c r="M148" s="265"/>
      <c r="N148" s="265"/>
      <c r="O148" s="265"/>
      <c r="P148" s="259"/>
      <c r="Q148" s="259"/>
      <c r="R148" s="259"/>
      <c r="S148" s="259"/>
      <c r="T148" s="259"/>
      <c r="U148" s="259"/>
      <c r="V148" s="259"/>
      <c r="W148" s="259"/>
      <c r="X148" s="259"/>
      <c r="Y148" s="260" t="s">
        <v>1484</v>
      </c>
    </row>
    <row r="149" spans="1:25" ht="14">
      <c r="A149" s="261"/>
      <c r="B149" s="261"/>
      <c r="C149" s="261"/>
      <c r="D149" s="265"/>
      <c r="E149" s="265"/>
      <c r="F149" s="265"/>
      <c r="G149" s="265"/>
      <c r="H149" s="265"/>
      <c r="I149" s="265"/>
      <c r="J149" s="265"/>
      <c r="K149" s="259"/>
      <c r="L149" s="265"/>
      <c r="M149" s="265"/>
      <c r="N149" s="265"/>
      <c r="O149" s="265"/>
      <c r="P149" s="259"/>
      <c r="Q149" s="259"/>
      <c r="R149" s="259"/>
      <c r="S149" s="259"/>
      <c r="T149" s="259"/>
      <c r="U149" s="259"/>
      <c r="V149" s="259"/>
      <c r="W149" s="259"/>
      <c r="X149" s="259"/>
      <c r="Y149" s="260" t="s">
        <v>1745</v>
      </c>
    </row>
    <row r="150" spans="1:25" ht="14">
      <c r="A150" s="261"/>
      <c r="B150" s="261"/>
      <c r="C150" s="261"/>
      <c r="D150" s="265"/>
      <c r="E150" s="265"/>
      <c r="F150" s="265"/>
      <c r="G150" s="265"/>
      <c r="H150" s="265"/>
      <c r="I150" s="265"/>
      <c r="J150" s="265"/>
      <c r="K150" s="259"/>
      <c r="L150" s="265"/>
      <c r="M150" s="265"/>
      <c r="N150" s="265"/>
      <c r="O150" s="265"/>
      <c r="P150" s="259"/>
      <c r="Q150" s="259"/>
      <c r="R150" s="259"/>
      <c r="S150" s="259"/>
      <c r="T150" s="259"/>
      <c r="U150" s="259"/>
      <c r="V150" s="259"/>
      <c r="W150" s="259"/>
      <c r="X150" s="259"/>
      <c r="Y150" s="260" t="s">
        <v>2022</v>
      </c>
    </row>
    <row r="151" spans="1:25" ht="14">
      <c r="A151" s="261"/>
      <c r="B151" s="261"/>
      <c r="C151" s="261"/>
      <c r="D151" s="265"/>
      <c r="E151" s="265"/>
      <c r="F151" s="265"/>
      <c r="G151" s="265"/>
      <c r="H151" s="265"/>
      <c r="I151" s="265"/>
      <c r="J151" s="265"/>
      <c r="K151" s="259"/>
      <c r="L151" s="265"/>
      <c r="M151" s="265"/>
      <c r="N151" s="265"/>
      <c r="O151" s="265"/>
      <c r="P151" s="259"/>
      <c r="Q151" s="259"/>
      <c r="R151" s="259"/>
      <c r="S151" s="259"/>
      <c r="T151" s="259"/>
      <c r="U151" s="259"/>
      <c r="V151" s="259"/>
      <c r="W151" s="259"/>
      <c r="X151" s="259"/>
      <c r="Y151" s="260" t="s">
        <v>1606</v>
      </c>
    </row>
    <row r="152" spans="1:25" ht="14">
      <c r="A152" s="261"/>
      <c r="B152" s="261"/>
      <c r="C152" s="261"/>
      <c r="D152" s="265"/>
      <c r="E152" s="265"/>
      <c r="F152" s="265"/>
      <c r="G152" s="265"/>
      <c r="H152" s="265"/>
      <c r="I152" s="265"/>
      <c r="J152" s="265"/>
      <c r="K152" s="259"/>
      <c r="L152" s="265"/>
      <c r="M152" s="265"/>
      <c r="N152" s="265"/>
      <c r="O152" s="265"/>
      <c r="P152" s="259"/>
      <c r="Q152" s="259"/>
      <c r="R152" s="259"/>
      <c r="S152" s="259"/>
      <c r="T152" s="259"/>
      <c r="U152" s="259"/>
      <c r="V152" s="259"/>
      <c r="W152" s="259"/>
      <c r="X152" s="259"/>
      <c r="Y152" s="260" t="s">
        <v>1957</v>
      </c>
    </row>
    <row r="153" spans="1:25" ht="14">
      <c r="A153" s="261"/>
      <c r="B153" s="261"/>
      <c r="C153" s="261"/>
      <c r="D153" s="265"/>
      <c r="E153" s="265"/>
      <c r="F153" s="265"/>
      <c r="G153" s="265"/>
      <c r="H153" s="265"/>
      <c r="I153" s="265"/>
      <c r="J153" s="265"/>
      <c r="K153" s="259"/>
      <c r="L153" s="265"/>
      <c r="M153" s="265"/>
      <c r="N153" s="265"/>
      <c r="O153" s="265"/>
      <c r="P153" s="259"/>
      <c r="Q153" s="259"/>
      <c r="R153" s="259"/>
      <c r="S153" s="259"/>
      <c r="T153" s="259"/>
      <c r="U153" s="259"/>
      <c r="V153" s="259"/>
      <c r="W153" s="259"/>
      <c r="X153" s="259"/>
      <c r="Y153" s="260" t="s">
        <v>1519</v>
      </c>
    </row>
    <row r="154" spans="1:25" ht="14">
      <c r="A154" s="261"/>
      <c r="B154" s="261"/>
      <c r="C154" s="261"/>
      <c r="D154" s="265"/>
      <c r="E154" s="265"/>
      <c r="F154" s="265"/>
      <c r="G154" s="265"/>
      <c r="H154" s="265"/>
      <c r="I154" s="265"/>
      <c r="J154" s="265"/>
      <c r="K154" s="259"/>
      <c r="L154" s="265"/>
      <c r="M154" s="265"/>
      <c r="N154" s="265"/>
      <c r="O154" s="265"/>
      <c r="P154" s="259"/>
      <c r="Q154" s="259"/>
      <c r="R154" s="259"/>
      <c r="S154" s="259"/>
      <c r="T154" s="259"/>
      <c r="U154" s="259"/>
      <c r="V154" s="259"/>
      <c r="W154" s="259"/>
      <c r="X154" s="259"/>
      <c r="Y154" s="260" t="s">
        <v>1557</v>
      </c>
    </row>
    <row r="155" spans="1:25" ht="14">
      <c r="A155" s="261"/>
      <c r="B155" s="261"/>
      <c r="C155" s="261"/>
      <c r="D155" s="265"/>
      <c r="E155" s="265"/>
      <c r="F155" s="265"/>
      <c r="G155" s="265"/>
      <c r="H155" s="265"/>
      <c r="I155" s="265"/>
      <c r="J155" s="265"/>
      <c r="K155" s="259"/>
      <c r="L155" s="265"/>
      <c r="M155" s="265"/>
      <c r="N155" s="265"/>
      <c r="O155" s="265"/>
      <c r="P155" s="259"/>
      <c r="Q155" s="259"/>
      <c r="R155" s="259"/>
      <c r="S155" s="259"/>
      <c r="T155" s="259"/>
      <c r="U155" s="259"/>
      <c r="V155" s="259"/>
      <c r="W155" s="259"/>
      <c r="X155" s="259"/>
      <c r="Y155" s="260" t="s">
        <v>1919</v>
      </c>
    </row>
    <row r="156" spans="1:25" ht="14">
      <c r="A156" s="261"/>
      <c r="B156" s="261"/>
      <c r="C156" s="261"/>
      <c r="D156" s="265"/>
      <c r="E156" s="265"/>
      <c r="F156" s="265"/>
      <c r="G156" s="265"/>
      <c r="H156" s="265"/>
      <c r="I156" s="265"/>
      <c r="J156" s="265"/>
      <c r="K156" s="259"/>
      <c r="L156" s="265"/>
      <c r="M156" s="265"/>
      <c r="N156" s="265"/>
      <c r="O156" s="265"/>
      <c r="P156" s="259"/>
      <c r="Q156" s="259"/>
      <c r="R156" s="259"/>
      <c r="S156" s="259"/>
      <c r="T156" s="259"/>
      <c r="U156" s="259"/>
      <c r="V156" s="259"/>
      <c r="W156" s="259"/>
      <c r="X156" s="259"/>
      <c r="Y156" s="260" t="s">
        <v>1559</v>
      </c>
    </row>
    <row r="157" spans="1:25" ht="14">
      <c r="A157" s="261"/>
      <c r="B157" s="261"/>
      <c r="C157" s="261"/>
      <c r="D157" s="265"/>
      <c r="E157" s="265"/>
      <c r="F157" s="265"/>
      <c r="G157" s="265"/>
      <c r="H157" s="265"/>
      <c r="I157" s="265"/>
      <c r="J157" s="265"/>
      <c r="K157" s="259"/>
      <c r="L157" s="265"/>
      <c r="M157" s="265"/>
      <c r="N157" s="265"/>
      <c r="O157" s="265"/>
      <c r="P157" s="259"/>
      <c r="Q157" s="259"/>
      <c r="R157" s="259"/>
      <c r="S157" s="259"/>
      <c r="T157" s="259"/>
      <c r="U157" s="259"/>
      <c r="V157" s="259"/>
      <c r="W157" s="259"/>
      <c r="X157" s="259"/>
      <c r="Y157" s="260" t="s">
        <v>1735</v>
      </c>
    </row>
    <row r="158" spans="1:25" ht="14">
      <c r="A158" s="261"/>
      <c r="B158" s="261"/>
      <c r="C158" s="261"/>
      <c r="D158" s="265"/>
      <c r="E158" s="265"/>
      <c r="F158" s="265"/>
      <c r="G158" s="265"/>
      <c r="H158" s="265"/>
      <c r="I158" s="265"/>
      <c r="J158" s="265"/>
      <c r="K158" s="259"/>
      <c r="L158" s="265"/>
      <c r="M158" s="265"/>
      <c r="N158" s="265"/>
      <c r="O158" s="265"/>
      <c r="P158" s="259"/>
      <c r="Q158" s="259"/>
      <c r="R158" s="259"/>
      <c r="S158" s="259"/>
      <c r="T158" s="259"/>
      <c r="U158" s="259"/>
      <c r="V158" s="259"/>
      <c r="W158" s="259"/>
      <c r="X158" s="259"/>
      <c r="Y158" s="260" t="s">
        <v>1959</v>
      </c>
    </row>
    <row r="159" spans="1:25" ht="14">
      <c r="A159" s="261"/>
      <c r="B159" s="261"/>
      <c r="C159" s="261"/>
      <c r="D159" s="265"/>
      <c r="E159" s="265"/>
      <c r="F159" s="265"/>
      <c r="G159" s="265"/>
      <c r="H159" s="265"/>
      <c r="I159" s="265"/>
      <c r="J159" s="265"/>
      <c r="K159" s="259"/>
      <c r="L159" s="265"/>
      <c r="M159" s="265"/>
      <c r="N159" s="265"/>
      <c r="O159" s="265"/>
      <c r="P159" s="259"/>
      <c r="Q159" s="259"/>
      <c r="R159" s="259"/>
      <c r="S159" s="259"/>
      <c r="T159" s="259"/>
      <c r="U159" s="259"/>
      <c r="V159" s="259"/>
      <c r="W159" s="259"/>
      <c r="X159" s="259"/>
      <c r="Y159" s="260" t="s">
        <v>1445</v>
      </c>
    </row>
    <row r="160" spans="1:25" ht="28">
      <c r="A160" s="261"/>
      <c r="B160" s="261"/>
      <c r="C160" s="261"/>
      <c r="D160" s="265"/>
      <c r="E160" s="265"/>
      <c r="F160" s="265"/>
      <c r="G160" s="265"/>
      <c r="H160" s="265"/>
      <c r="I160" s="265"/>
      <c r="J160" s="265"/>
      <c r="K160" s="259"/>
      <c r="L160" s="265"/>
      <c r="M160" s="265"/>
      <c r="N160" s="265"/>
      <c r="O160" s="265"/>
      <c r="P160" s="259"/>
      <c r="Q160" s="259"/>
      <c r="R160" s="259"/>
      <c r="S160" s="259"/>
      <c r="T160" s="259"/>
      <c r="U160" s="259"/>
      <c r="V160" s="259"/>
      <c r="W160" s="259"/>
      <c r="X160" s="259"/>
      <c r="Y160" s="260" t="s">
        <v>1562</v>
      </c>
    </row>
    <row r="161" spans="1:25" ht="14">
      <c r="A161" s="261"/>
      <c r="B161" s="261"/>
      <c r="C161" s="261"/>
      <c r="D161" s="265"/>
      <c r="E161" s="265"/>
      <c r="F161" s="265"/>
      <c r="G161" s="265"/>
      <c r="H161" s="265"/>
      <c r="I161" s="265"/>
      <c r="J161" s="265"/>
      <c r="K161" s="259"/>
      <c r="L161" s="265"/>
      <c r="M161" s="265"/>
      <c r="N161" s="265"/>
      <c r="O161" s="265"/>
      <c r="P161" s="259"/>
      <c r="Q161" s="259"/>
      <c r="R161" s="259"/>
      <c r="S161" s="259"/>
      <c r="T161" s="259"/>
      <c r="U161" s="259"/>
      <c r="V161" s="259"/>
      <c r="W161" s="259"/>
      <c r="X161" s="259"/>
      <c r="Y161" s="260" t="s">
        <v>1652</v>
      </c>
    </row>
    <row r="162" spans="1:25" ht="14">
      <c r="A162" s="261"/>
      <c r="B162" s="261"/>
      <c r="C162" s="261"/>
      <c r="D162" s="265"/>
      <c r="E162" s="265"/>
      <c r="F162" s="265"/>
      <c r="G162" s="265"/>
      <c r="H162" s="265"/>
      <c r="I162" s="265"/>
      <c r="J162" s="265"/>
      <c r="K162" s="259"/>
      <c r="L162" s="265"/>
      <c r="M162" s="265"/>
      <c r="N162" s="265"/>
      <c r="O162" s="265"/>
      <c r="P162" s="259"/>
      <c r="Q162" s="259"/>
      <c r="R162" s="259"/>
      <c r="S162" s="259"/>
      <c r="T162" s="259"/>
      <c r="U162" s="259"/>
      <c r="V162" s="259"/>
      <c r="W162" s="259"/>
      <c r="X162" s="259"/>
      <c r="Y162" s="260" t="s">
        <v>1683</v>
      </c>
    </row>
    <row r="163" spans="1:25" ht="28">
      <c r="A163" s="261"/>
      <c r="B163" s="261"/>
      <c r="C163" s="261"/>
      <c r="D163" s="265"/>
      <c r="E163" s="265"/>
      <c r="F163" s="265"/>
      <c r="G163" s="265"/>
      <c r="H163" s="265"/>
      <c r="I163" s="265"/>
      <c r="J163" s="265"/>
      <c r="K163" s="259"/>
      <c r="L163" s="265"/>
      <c r="M163" s="265"/>
      <c r="N163" s="265"/>
      <c r="O163" s="265"/>
      <c r="P163" s="259"/>
      <c r="Q163" s="259"/>
      <c r="R163" s="259"/>
      <c r="S163" s="259"/>
      <c r="T163" s="259"/>
      <c r="U163" s="259"/>
      <c r="V163" s="259"/>
      <c r="W163" s="259"/>
      <c r="X163" s="259"/>
      <c r="Y163" s="260" t="s">
        <v>1711</v>
      </c>
    </row>
    <row r="164" spans="1:25" ht="28">
      <c r="A164" s="261"/>
      <c r="B164" s="261"/>
      <c r="C164" s="261"/>
      <c r="D164" s="265"/>
      <c r="E164" s="265"/>
      <c r="F164" s="265"/>
      <c r="G164" s="265"/>
      <c r="H164" s="265"/>
      <c r="I164" s="265"/>
      <c r="J164" s="265"/>
      <c r="K164" s="259"/>
      <c r="L164" s="265"/>
      <c r="M164" s="265"/>
      <c r="N164" s="265"/>
      <c r="O164" s="265"/>
      <c r="P164" s="259"/>
      <c r="Q164" s="259"/>
      <c r="R164" s="259"/>
      <c r="S164" s="259"/>
      <c r="T164" s="259"/>
      <c r="U164" s="259"/>
      <c r="V164" s="259"/>
      <c r="W164" s="259"/>
      <c r="X164" s="259"/>
      <c r="Y164" s="260" t="s">
        <v>1713</v>
      </c>
    </row>
    <row r="165" spans="1:25" ht="14">
      <c r="A165" s="261"/>
      <c r="B165" s="261"/>
      <c r="C165" s="261"/>
      <c r="D165" s="265"/>
      <c r="E165" s="265"/>
      <c r="F165" s="265"/>
      <c r="G165" s="265"/>
      <c r="H165" s="265"/>
      <c r="I165" s="265"/>
      <c r="J165" s="265"/>
      <c r="K165" s="259"/>
      <c r="L165" s="265"/>
      <c r="M165" s="265"/>
      <c r="N165" s="265"/>
      <c r="O165" s="265"/>
      <c r="P165" s="259"/>
      <c r="Q165" s="259"/>
      <c r="R165" s="259"/>
      <c r="S165" s="259"/>
      <c r="T165" s="259"/>
      <c r="U165" s="259"/>
      <c r="V165" s="259"/>
      <c r="W165" s="259"/>
      <c r="X165" s="259"/>
      <c r="Y165" s="260" t="s">
        <v>1961</v>
      </c>
    </row>
    <row r="166" spans="1:25" ht="14">
      <c r="A166" s="261"/>
      <c r="B166" s="261"/>
      <c r="C166" s="261"/>
      <c r="D166" s="265"/>
      <c r="E166" s="265"/>
      <c r="F166" s="265"/>
      <c r="G166" s="265"/>
      <c r="H166" s="265"/>
      <c r="I166" s="265"/>
      <c r="J166" s="265"/>
      <c r="K166" s="259"/>
      <c r="L166" s="265"/>
      <c r="M166" s="265"/>
      <c r="N166" s="265"/>
      <c r="O166" s="265"/>
      <c r="P166" s="259"/>
      <c r="Q166" s="259"/>
      <c r="R166" s="259"/>
      <c r="S166" s="259"/>
      <c r="T166" s="259"/>
      <c r="U166" s="259"/>
      <c r="V166" s="259"/>
      <c r="W166" s="259"/>
      <c r="X166" s="259"/>
      <c r="Y166" s="260" t="s">
        <v>1564</v>
      </c>
    </row>
    <row r="167" spans="1:25" ht="14">
      <c r="A167" s="261"/>
      <c r="B167" s="261"/>
      <c r="C167" s="261"/>
      <c r="D167" s="265"/>
      <c r="E167" s="265"/>
      <c r="F167" s="265"/>
      <c r="G167" s="265"/>
      <c r="H167" s="265"/>
      <c r="I167" s="265"/>
      <c r="J167" s="265"/>
      <c r="K167" s="259"/>
      <c r="L167" s="265"/>
      <c r="M167" s="265"/>
      <c r="N167" s="265"/>
      <c r="O167" s="265"/>
      <c r="P167" s="259"/>
      <c r="Q167" s="259"/>
      <c r="R167" s="259"/>
      <c r="S167" s="259"/>
      <c r="T167" s="259"/>
      <c r="U167" s="259"/>
      <c r="V167" s="259"/>
      <c r="W167" s="259"/>
      <c r="X167" s="259"/>
      <c r="Y167" s="260" t="s">
        <v>1608</v>
      </c>
    </row>
    <row r="168" spans="1:25" ht="14">
      <c r="A168" s="261"/>
      <c r="B168" s="261"/>
      <c r="C168" s="261"/>
      <c r="D168" s="265"/>
      <c r="E168" s="265"/>
      <c r="F168" s="265"/>
      <c r="G168" s="265"/>
      <c r="H168" s="265"/>
      <c r="I168" s="265"/>
      <c r="J168" s="265"/>
      <c r="K168" s="259"/>
      <c r="L168" s="265"/>
      <c r="M168" s="265"/>
      <c r="N168" s="265"/>
      <c r="O168" s="265"/>
      <c r="P168" s="259"/>
      <c r="Q168" s="259"/>
      <c r="R168" s="259"/>
      <c r="S168" s="259"/>
      <c r="T168" s="259"/>
      <c r="U168" s="259"/>
      <c r="V168" s="259"/>
      <c r="W168" s="259"/>
      <c r="X168" s="259"/>
      <c r="Y168" s="260" t="s">
        <v>1546</v>
      </c>
    </row>
    <row r="169" spans="1:25" ht="14">
      <c r="A169" s="261"/>
      <c r="B169" s="261"/>
      <c r="C169" s="261"/>
      <c r="D169" s="265"/>
      <c r="E169" s="265"/>
      <c r="F169" s="265"/>
      <c r="G169" s="265"/>
      <c r="H169" s="265"/>
      <c r="I169" s="265"/>
      <c r="J169" s="265"/>
      <c r="K169" s="259"/>
      <c r="L169" s="265"/>
      <c r="M169" s="265"/>
      <c r="N169" s="265"/>
      <c r="O169" s="265"/>
      <c r="P169" s="259"/>
      <c r="Q169" s="259"/>
      <c r="R169" s="259"/>
      <c r="S169" s="259"/>
      <c r="T169" s="259"/>
      <c r="U169" s="259"/>
      <c r="V169" s="259"/>
      <c r="W169" s="259"/>
      <c r="X169" s="259"/>
      <c r="Y169" s="260" t="s">
        <v>1610</v>
      </c>
    </row>
    <row r="170" spans="1:25" ht="28">
      <c r="A170" s="261"/>
      <c r="B170" s="261"/>
      <c r="C170" s="261"/>
      <c r="D170" s="265"/>
      <c r="E170" s="265"/>
      <c r="F170" s="265"/>
      <c r="G170" s="265"/>
      <c r="H170" s="265"/>
      <c r="I170" s="265"/>
      <c r="J170" s="265"/>
      <c r="K170" s="259"/>
      <c r="L170" s="265"/>
      <c r="M170" s="265"/>
      <c r="N170" s="265"/>
      <c r="O170" s="265"/>
      <c r="P170" s="259"/>
      <c r="Q170" s="259"/>
      <c r="R170" s="259"/>
      <c r="S170" s="259"/>
      <c r="T170" s="259"/>
      <c r="U170" s="259"/>
      <c r="V170" s="259"/>
      <c r="W170" s="259"/>
      <c r="X170" s="259"/>
      <c r="Y170" s="260" t="s">
        <v>1864</v>
      </c>
    </row>
    <row r="171" spans="1:25" ht="14">
      <c r="A171" s="261"/>
      <c r="B171" s="261"/>
      <c r="C171" s="261"/>
      <c r="D171" s="265"/>
      <c r="E171" s="265"/>
      <c r="F171" s="265"/>
      <c r="G171" s="265"/>
      <c r="H171" s="265"/>
      <c r="I171" s="265"/>
      <c r="J171" s="265"/>
      <c r="K171" s="259"/>
      <c r="L171" s="265"/>
      <c r="M171" s="265"/>
      <c r="N171" s="265"/>
      <c r="O171" s="265"/>
      <c r="P171" s="259"/>
      <c r="Q171" s="259"/>
      <c r="R171" s="259"/>
      <c r="S171" s="259"/>
      <c r="T171" s="259"/>
      <c r="U171" s="259"/>
      <c r="V171" s="259"/>
      <c r="W171" s="259"/>
      <c r="X171" s="259"/>
      <c r="Y171" s="260" t="s">
        <v>1842</v>
      </c>
    </row>
    <row r="172" spans="1:25" ht="14">
      <c r="A172" s="261"/>
      <c r="B172" s="261"/>
      <c r="C172" s="261"/>
      <c r="D172" s="265"/>
      <c r="E172" s="265"/>
      <c r="F172" s="265"/>
      <c r="G172" s="265"/>
      <c r="H172" s="265"/>
      <c r="I172" s="265"/>
      <c r="J172" s="265"/>
      <c r="K172" s="259"/>
      <c r="L172" s="265"/>
      <c r="M172" s="265"/>
      <c r="N172" s="265"/>
      <c r="O172" s="265"/>
      <c r="P172" s="259"/>
      <c r="Q172" s="259"/>
      <c r="R172" s="259"/>
      <c r="S172" s="259"/>
      <c r="T172" s="259"/>
      <c r="U172" s="259"/>
      <c r="V172" s="259"/>
      <c r="W172" s="259"/>
      <c r="X172" s="259"/>
      <c r="Y172" s="260" t="s">
        <v>1867</v>
      </c>
    </row>
    <row r="173" spans="1:25" ht="14">
      <c r="A173" s="261"/>
      <c r="B173" s="261"/>
      <c r="C173" s="261"/>
      <c r="D173" s="265"/>
      <c r="E173" s="265"/>
      <c r="F173" s="265"/>
      <c r="G173" s="265"/>
      <c r="H173" s="265"/>
      <c r="I173" s="265"/>
      <c r="J173" s="265"/>
      <c r="K173" s="259"/>
      <c r="L173" s="265"/>
      <c r="M173" s="265"/>
      <c r="N173" s="265"/>
      <c r="O173" s="265"/>
      <c r="P173" s="259"/>
      <c r="Q173" s="259"/>
      <c r="R173" s="259"/>
      <c r="S173" s="259"/>
      <c r="T173" s="259"/>
      <c r="U173" s="259"/>
      <c r="V173" s="259"/>
      <c r="W173" s="259"/>
      <c r="X173" s="259"/>
      <c r="Y173" s="260" t="s">
        <v>1814</v>
      </c>
    </row>
    <row r="174" spans="1:25" ht="14">
      <c r="A174" s="261"/>
      <c r="B174" s="261"/>
      <c r="C174" s="261"/>
      <c r="D174" s="265"/>
      <c r="E174" s="265"/>
      <c r="F174" s="265"/>
      <c r="G174" s="265"/>
      <c r="H174" s="265"/>
      <c r="I174" s="265"/>
      <c r="J174" s="265"/>
      <c r="K174" s="259"/>
      <c r="L174" s="265"/>
      <c r="M174" s="265"/>
      <c r="N174" s="265"/>
      <c r="O174" s="265"/>
      <c r="P174" s="259"/>
      <c r="Q174" s="259"/>
      <c r="R174" s="259"/>
      <c r="S174" s="259"/>
      <c r="T174" s="259"/>
      <c r="U174" s="259"/>
      <c r="V174" s="259"/>
      <c r="W174" s="259"/>
      <c r="X174" s="259"/>
      <c r="Y174" s="260" t="s">
        <v>1715</v>
      </c>
    </row>
    <row r="175" spans="1:25" ht="14">
      <c r="A175" s="261"/>
      <c r="B175" s="261"/>
      <c r="C175" s="261"/>
      <c r="D175" s="265"/>
      <c r="E175" s="265"/>
      <c r="F175" s="265"/>
      <c r="G175" s="265"/>
      <c r="H175" s="265"/>
      <c r="I175" s="265"/>
      <c r="J175" s="265"/>
      <c r="K175" s="259"/>
      <c r="L175" s="265"/>
      <c r="M175" s="265"/>
      <c r="N175" s="265"/>
      <c r="O175" s="265"/>
      <c r="P175" s="259"/>
      <c r="Q175" s="259"/>
      <c r="R175" s="259"/>
      <c r="S175" s="259"/>
      <c r="T175" s="259"/>
      <c r="U175" s="259"/>
      <c r="V175" s="259"/>
      <c r="W175" s="259"/>
      <c r="X175" s="259"/>
      <c r="Y175" s="260" t="s">
        <v>1964</v>
      </c>
    </row>
    <row r="176" spans="1:25" ht="14">
      <c r="A176" s="261"/>
      <c r="B176" s="261"/>
      <c r="C176" s="261"/>
      <c r="D176" s="265"/>
      <c r="E176" s="265"/>
      <c r="F176" s="265"/>
      <c r="G176" s="265"/>
      <c r="H176" s="265"/>
      <c r="I176" s="265"/>
      <c r="J176" s="265"/>
      <c r="K176" s="259"/>
      <c r="L176" s="265"/>
      <c r="M176" s="265"/>
      <c r="N176" s="265"/>
      <c r="O176" s="265"/>
      <c r="P176" s="259"/>
      <c r="Q176" s="259"/>
      <c r="R176" s="259"/>
      <c r="S176" s="259"/>
      <c r="T176" s="259"/>
      <c r="U176" s="259"/>
      <c r="V176" s="259"/>
      <c r="W176" s="259"/>
      <c r="X176" s="259"/>
      <c r="Y176" s="260" t="s">
        <v>1523</v>
      </c>
    </row>
    <row r="177" spans="1:25" ht="14">
      <c r="A177" s="261"/>
      <c r="B177" s="261"/>
      <c r="C177" s="261"/>
      <c r="D177" s="265"/>
      <c r="E177" s="265"/>
      <c r="F177" s="265"/>
      <c r="G177" s="265"/>
      <c r="H177" s="265"/>
      <c r="I177" s="265"/>
      <c r="J177" s="265"/>
      <c r="K177" s="259"/>
      <c r="L177" s="265"/>
      <c r="M177" s="265"/>
      <c r="N177" s="265"/>
      <c r="O177" s="265"/>
      <c r="P177" s="259"/>
      <c r="Q177" s="259"/>
      <c r="R177" s="259"/>
      <c r="S177" s="259"/>
      <c r="T177" s="259"/>
      <c r="U177" s="259"/>
      <c r="V177" s="259"/>
      <c r="W177" s="259"/>
      <c r="X177" s="259"/>
      <c r="Y177" s="260" t="s">
        <v>1447</v>
      </c>
    </row>
    <row r="178" spans="1:25" ht="14">
      <c r="A178" s="261"/>
      <c r="B178" s="261"/>
      <c r="C178" s="261"/>
      <c r="D178" s="265"/>
      <c r="E178" s="265"/>
      <c r="F178" s="265"/>
      <c r="G178" s="265"/>
      <c r="H178" s="265"/>
      <c r="I178" s="265"/>
      <c r="J178" s="265"/>
      <c r="K178" s="259"/>
      <c r="L178" s="265"/>
      <c r="M178" s="265"/>
      <c r="N178" s="265"/>
      <c r="O178" s="265"/>
      <c r="P178" s="259"/>
      <c r="Q178" s="259"/>
      <c r="R178" s="259"/>
      <c r="S178" s="259"/>
      <c r="T178" s="259"/>
      <c r="U178" s="259"/>
      <c r="V178" s="259"/>
      <c r="W178" s="259"/>
      <c r="X178" s="259"/>
      <c r="Y178" s="260" t="s">
        <v>1718</v>
      </c>
    </row>
    <row r="179" spans="1:25" ht="14">
      <c r="A179" s="261"/>
      <c r="B179" s="261"/>
      <c r="C179" s="261"/>
      <c r="D179" s="265"/>
      <c r="E179" s="265"/>
      <c r="F179" s="265"/>
      <c r="G179" s="265"/>
      <c r="H179" s="265"/>
      <c r="I179" s="265"/>
      <c r="J179" s="265"/>
      <c r="K179" s="259"/>
      <c r="L179" s="265"/>
      <c r="M179" s="265"/>
      <c r="N179" s="265"/>
      <c r="O179" s="265"/>
      <c r="P179" s="259"/>
      <c r="Q179" s="259"/>
      <c r="R179" s="259"/>
      <c r="S179" s="259"/>
      <c r="T179" s="259"/>
      <c r="U179" s="259"/>
      <c r="V179" s="259"/>
      <c r="W179" s="259"/>
      <c r="X179" s="259"/>
      <c r="Y179" s="260" t="s">
        <v>1566</v>
      </c>
    </row>
    <row r="180" spans="1:25" ht="14">
      <c r="A180" s="261"/>
      <c r="B180" s="261"/>
      <c r="C180" s="261"/>
      <c r="D180" s="265"/>
      <c r="E180" s="265"/>
      <c r="F180" s="265"/>
      <c r="G180" s="265"/>
      <c r="H180" s="265"/>
      <c r="I180" s="265"/>
      <c r="J180" s="265"/>
      <c r="K180" s="259"/>
      <c r="L180" s="265"/>
      <c r="M180" s="265"/>
      <c r="N180" s="265"/>
      <c r="O180" s="265"/>
      <c r="P180" s="259"/>
      <c r="Q180" s="259"/>
      <c r="R180" s="259"/>
      <c r="S180" s="259"/>
      <c r="T180" s="259"/>
      <c r="U180" s="259"/>
      <c r="V180" s="259"/>
      <c r="W180" s="259"/>
      <c r="X180" s="259"/>
      <c r="Y180" s="260" t="s">
        <v>1770</v>
      </c>
    </row>
    <row r="181" spans="1:25" ht="14">
      <c r="A181" s="261"/>
      <c r="B181" s="261"/>
      <c r="C181" s="261"/>
      <c r="D181" s="265"/>
      <c r="E181" s="265"/>
      <c r="F181" s="265"/>
      <c r="G181" s="265"/>
      <c r="H181" s="265"/>
      <c r="I181" s="265"/>
      <c r="J181" s="265"/>
      <c r="K181" s="259"/>
      <c r="L181" s="265"/>
      <c r="M181" s="265"/>
      <c r="N181" s="265"/>
      <c r="O181" s="265"/>
      <c r="P181" s="259"/>
      <c r="Q181" s="259"/>
      <c r="R181" s="259"/>
      <c r="S181" s="259"/>
      <c r="T181" s="259"/>
      <c r="U181" s="259"/>
      <c r="V181" s="259"/>
      <c r="W181" s="259"/>
      <c r="X181" s="259"/>
      <c r="Y181" s="260" t="s">
        <v>1612</v>
      </c>
    </row>
    <row r="182" spans="1:25" ht="14">
      <c r="A182" s="261"/>
      <c r="B182" s="261"/>
      <c r="C182" s="261"/>
      <c r="D182" s="265"/>
      <c r="E182" s="265"/>
      <c r="F182" s="265"/>
      <c r="G182" s="265"/>
      <c r="H182" s="265"/>
      <c r="I182" s="265"/>
      <c r="J182" s="265"/>
      <c r="K182" s="259"/>
      <c r="L182" s="265"/>
      <c r="M182" s="265"/>
      <c r="N182" s="265"/>
      <c r="O182" s="265"/>
      <c r="P182" s="259"/>
      <c r="Q182" s="259"/>
      <c r="R182" s="259"/>
      <c r="S182" s="259"/>
      <c r="T182" s="259"/>
      <c r="U182" s="259"/>
      <c r="V182" s="259"/>
      <c r="W182" s="259"/>
      <c r="X182" s="259"/>
      <c r="Y182" s="260" t="s">
        <v>1869</v>
      </c>
    </row>
    <row r="183" spans="1:25" ht="14">
      <c r="A183" s="261"/>
      <c r="B183" s="261"/>
      <c r="C183" s="261"/>
      <c r="D183" s="265"/>
      <c r="E183" s="265"/>
      <c r="F183" s="265"/>
      <c r="G183" s="265"/>
      <c r="H183" s="265"/>
      <c r="I183" s="265"/>
      <c r="J183" s="265"/>
      <c r="K183" s="259"/>
      <c r="L183" s="265"/>
      <c r="M183" s="265"/>
      <c r="N183" s="265"/>
      <c r="O183" s="265"/>
      <c r="P183" s="259"/>
      <c r="Q183" s="259"/>
      <c r="R183" s="259"/>
      <c r="S183" s="259"/>
      <c r="T183" s="259"/>
      <c r="U183" s="259"/>
      <c r="V183" s="259"/>
      <c r="W183" s="259"/>
      <c r="X183" s="259"/>
      <c r="Y183" s="260" t="s">
        <v>1890</v>
      </c>
    </row>
    <row r="184" spans="1:25" ht="14">
      <c r="A184" s="261"/>
      <c r="B184" s="261"/>
      <c r="C184" s="261"/>
      <c r="D184" s="265"/>
      <c r="E184" s="265"/>
      <c r="F184" s="265"/>
      <c r="G184" s="265"/>
      <c r="H184" s="265"/>
      <c r="I184" s="265"/>
      <c r="J184" s="265"/>
      <c r="K184" s="259"/>
      <c r="L184" s="265"/>
      <c r="M184" s="265"/>
      <c r="N184" s="265"/>
      <c r="O184" s="265"/>
      <c r="P184" s="259"/>
      <c r="Q184" s="259"/>
      <c r="R184" s="259"/>
      <c r="S184" s="259"/>
      <c r="T184" s="259"/>
      <c r="U184" s="259"/>
      <c r="V184" s="259"/>
      <c r="W184" s="259"/>
      <c r="X184" s="259"/>
      <c r="Y184" s="260" t="s">
        <v>1826</v>
      </c>
    </row>
    <row r="185" spans="1:25" ht="14">
      <c r="A185" s="261"/>
      <c r="B185" s="261"/>
      <c r="C185" s="261"/>
      <c r="D185" s="265"/>
      <c r="E185" s="265"/>
      <c r="F185" s="265"/>
      <c r="G185" s="265"/>
      <c r="H185" s="265"/>
      <c r="I185" s="265"/>
      <c r="J185" s="265"/>
      <c r="K185" s="259"/>
      <c r="L185" s="265"/>
      <c r="M185" s="265"/>
      <c r="N185" s="265"/>
      <c r="O185" s="265"/>
      <c r="P185" s="259"/>
      <c r="Q185" s="259"/>
      <c r="R185" s="259"/>
      <c r="S185" s="259"/>
      <c r="T185" s="259"/>
      <c r="U185" s="259"/>
      <c r="V185" s="259"/>
      <c r="W185" s="259"/>
      <c r="X185" s="259"/>
      <c r="Y185" s="260" t="s">
        <v>1657</v>
      </c>
    </row>
    <row r="186" spans="1:25" ht="14">
      <c r="A186" s="261"/>
      <c r="B186" s="261"/>
      <c r="C186" s="261"/>
      <c r="D186" s="265"/>
      <c r="E186" s="265"/>
      <c r="F186" s="265"/>
      <c r="G186" s="265"/>
      <c r="H186" s="265"/>
      <c r="I186" s="265"/>
      <c r="J186" s="265"/>
      <c r="K186" s="259"/>
      <c r="L186" s="265"/>
      <c r="M186" s="265"/>
      <c r="N186" s="265"/>
      <c r="O186" s="265"/>
      <c r="P186" s="259"/>
      <c r="Q186" s="259"/>
      <c r="R186" s="259"/>
      <c r="S186" s="259"/>
      <c r="T186" s="259"/>
      <c r="U186" s="259"/>
      <c r="V186" s="259"/>
      <c r="W186" s="259"/>
      <c r="X186" s="259"/>
      <c r="Y186" s="260" t="s">
        <v>1966</v>
      </c>
    </row>
    <row r="187" spans="1:25" ht="28">
      <c r="A187" s="261"/>
      <c r="B187" s="261"/>
      <c r="C187" s="261"/>
      <c r="D187" s="265"/>
      <c r="E187" s="265"/>
      <c r="F187" s="265"/>
      <c r="G187" s="265"/>
      <c r="H187" s="265"/>
      <c r="I187" s="265"/>
      <c r="J187" s="265"/>
      <c r="K187" s="259"/>
      <c r="L187" s="265"/>
      <c r="M187" s="265"/>
      <c r="N187" s="265"/>
      <c r="O187" s="265"/>
      <c r="P187" s="259"/>
      <c r="Q187" s="259"/>
      <c r="R187" s="259"/>
      <c r="S187" s="259"/>
      <c r="T187" s="259"/>
      <c r="U187" s="259"/>
      <c r="V187" s="259"/>
      <c r="W187" s="259"/>
      <c r="X187" s="259"/>
      <c r="Y187" s="260" t="s">
        <v>1468</v>
      </c>
    </row>
    <row r="188" spans="1:25" ht="14">
      <c r="A188" s="261"/>
      <c r="B188" s="261"/>
      <c r="C188" s="261"/>
      <c r="D188" s="265"/>
      <c r="E188" s="265"/>
      <c r="F188" s="265"/>
      <c r="G188" s="265"/>
      <c r="H188" s="265"/>
      <c r="I188" s="265"/>
      <c r="J188" s="265"/>
      <c r="K188" s="259"/>
      <c r="L188" s="265"/>
      <c r="M188" s="265"/>
      <c r="N188" s="265"/>
      <c r="O188" s="265"/>
      <c r="P188" s="259"/>
      <c r="Q188" s="259"/>
      <c r="R188" s="259"/>
      <c r="S188" s="259"/>
      <c r="T188" s="259"/>
      <c r="U188" s="259"/>
      <c r="V188" s="259"/>
      <c r="W188" s="259"/>
      <c r="X188" s="259"/>
      <c r="Y188" s="260" t="s">
        <v>1991</v>
      </c>
    </row>
    <row r="189" spans="1:25" ht="14">
      <c r="A189" s="261"/>
      <c r="B189" s="261"/>
      <c r="C189" s="261"/>
      <c r="D189" s="265"/>
      <c r="E189" s="265"/>
      <c r="F189" s="265"/>
      <c r="G189" s="265"/>
      <c r="H189" s="265"/>
      <c r="I189" s="265"/>
      <c r="J189" s="265"/>
      <c r="K189" s="259"/>
      <c r="L189" s="265"/>
      <c r="M189" s="265"/>
      <c r="N189" s="265"/>
      <c r="O189" s="265"/>
      <c r="P189" s="259"/>
      <c r="Q189" s="259"/>
      <c r="R189" s="259"/>
      <c r="S189" s="259"/>
      <c r="T189" s="259"/>
      <c r="U189" s="259"/>
      <c r="V189" s="259"/>
      <c r="W189" s="259"/>
      <c r="X189" s="259"/>
      <c r="Y189" s="260" t="s">
        <v>1772</v>
      </c>
    </row>
    <row r="190" spans="1:25" ht="14">
      <c r="A190" s="261"/>
      <c r="B190" s="261"/>
      <c r="C190" s="261"/>
      <c r="D190" s="265"/>
      <c r="E190" s="265"/>
      <c r="F190" s="265"/>
      <c r="G190" s="265"/>
      <c r="H190" s="265"/>
      <c r="I190" s="265"/>
      <c r="J190" s="265"/>
      <c r="K190" s="259"/>
      <c r="L190" s="265"/>
      <c r="M190" s="265"/>
      <c r="N190" s="265"/>
      <c r="O190" s="265"/>
      <c r="P190" s="259"/>
      <c r="Q190" s="259"/>
      <c r="R190" s="259"/>
      <c r="S190" s="259"/>
      <c r="T190" s="259"/>
      <c r="U190" s="259"/>
      <c r="V190" s="259"/>
      <c r="W190" s="259"/>
      <c r="X190" s="259"/>
      <c r="Y190" s="260" t="s">
        <v>1787</v>
      </c>
    </row>
    <row r="191" spans="1:25" ht="14">
      <c r="A191" s="261"/>
      <c r="B191" s="261"/>
      <c r="C191" s="261"/>
      <c r="D191" s="265"/>
      <c r="E191" s="265"/>
      <c r="F191" s="265"/>
      <c r="G191" s="265"/>
      <c r="H191" s="265"/>
      <c r="I191" s="265"/>
      <c r="J191" s="265"/>
      <c r="K191" s="259"/>
      <c r="L191" s="265"/>
      <c r="M191" s="265"/>
      <c r="N191" s="265"/>
      <c r="O191" s="265"/>
      <c r="P191" s="259"/>
      <c r="Q191" s="259"/>
      <c r="R191" s="259"/>
      <c r="S191" s="259"/>
      <c r="T191" s="259"/>
      <c r="U191" s="259"/>
      <c r="V191" s="259"/>
      <c r="W191" s="259"/>
      <c r="X191" s="259"/>
      <c r="Y191" s="260" t="s">
        <v>1470</v>
      </c>
    </row>
    <row r="192" spans="1:25" ht="28">
      <c r="A192" s="261"/>
      <c r="B192" s="261"/>
      <c r="C192" s="261"/>
      <c r="D192" s="265"/>
      <c r="E192" s="265"/>
      <c r="F192" s="265"/>
      <c r="G192" s="265"/>
      <c r="H192" s="265"/>
      <c r="I192" s="265"/>
      <c r="J192" s="265"/>
      <c r="K192" s="259"/>
      <c r="L192" s="265"/>
      <c r="M192" s="265"/>
      <c r="N192" s="265"/>
      <c r="O192" s="265"/>
      <c r="P192" s="259"/>
      <c r="Q192" s="259"/>
      <c r="R192" s="259"/>
      <c r="S192" s="259"/>
      <c r="T192" s="259"/>
      <c r="U192" s="259"/>
      <c r="V192" s="259"/>
      <c r="W192" s="259"/>
      <c r="X192" s="259"/>
      <c r="Y192" s="260" t="s">
        <v>1816</v>
      </c>
    </row>
    <row r="193" spans="1:25" ht="28">
      <c r="A193" s="261"/>
      <c r="B193" s="261"/>
      <c r="C193" s="261"/>
      <c r="D193" s="265"/>
      <c r="E193" s="265"/>
      <c r="F193" s="265"/>
      <c r="G193" s="265"/>
      <c r="H193" s="265"/>
      <c r="I193" s="265"/>
      <c r="J193" s="265"/>
      <c r="K193" s="259"/>
      <c r="L193" s="265"/>
      <c r="M193" s="265"/>
      <c r="N193" s="265"/>
      <c r="O193" s="265"/>
      <c r="P193" s="259"/>
      <c r="Q193" s="259"/>
      <c r="R193" s="259"/>
      <c r="S193" s="259"/>
      <c r="T193" s="259"/>
      <c r="U193" s="259"/>
      <c r="V193" s="259"/>
      <c r="W193" s="259"/>
      <c r="X193" s="259"/>
      <c r="Y193" s="260" t="s">
        <v>1774</v>
      </c>
    </row>
    <row r="194" spans="1:25" ht="14">
      <c r="A194" s="261"/>
      <c r="B194" s="261"/>
      <c r="C194" s="261"/>
      <c r="D194" s="265"/>
      <c r="E194" s="265"/>
      <c r="F194" s="265"/>
      <c r="G194" s="265"/>
      <c r="H194" s="265"/>
      <c r="I194" s="265"/>
      <c r="J194" s="265"/>
      <c r="K194" s="259"/>
      <c r="L194" s="265"/>
      <c r="M194" s="265"/>
      <c r="N194" s="265"/>
      <c r="O194" s="265"/>
      <c r="P194" s="259"/>
      <c r="Q194" s="259"/>
      <c r="R194" s="259"/>
      <c r="S194" s="259"/>
      <c r="T194" s="259"/>
      <c r="U194" s="259"/>
      <c r="V194" s="259"/>
      <c r="W194" s="259"/>
      <c r="X194" s="259"/>
      <c r="Y194" s="260" t="s">
        <v>1533</v>
      </c>
    </row>
    <row r="195" spans="1:25" ht="14">
      <c r="A195" s="261"/>
      <c r="B195" s="261"/>
      <c r="C195" s="261"/>
      <c r="D195" s="265"/>
      <c r="E195" s="265"/>
      <c r="F195" s="265"/>
      <c r="G195" s="265"/>
      <c r="H195" s="265"/>
      <c r="I195" s="265"/>
      <c r="J195" s="265"/>
      <c r="K195" s="259"/>
      <c r="L195" s="265"/>
      <c r="M195" s="265"/>
      <c r="N195" s="265"/>
      <c r="O195" s="265"/>
      <c r="P195" s="259"/>
      <c r="Q195" s="259"/>
      <c r="R195" s="259"/>
      <c r="S195" s="259"/>
      <c r="T195" s="259"/>
      <c r="U195" s="259"/>
      <c r="V195" s="259"/>
      <c r="W195" s="259"/>
      <c r="X195" s="259"/>
      <c r="Y195" s="260" t="s">
        <v>1659</v>
      </c>
    </row>
    <row r="196" spans="1:25" ht="14">
      <c r="A196" s="261"/>
      <c r="B196" s="261"/>
      <c r="C196" s="261"/>
      <c r="D196" s="265"/>
      <c r="E196" s="265"/>
      <c r="F196" s="265"/>
      <c r="G196" s="265"/>
      <c r="H196" s="265"/>
      <c r="I196" s="265"/>
      <c r="J196" s="265"/>
      <c r="K196" s="259"/>
      <c r="L196" s="265"/>
      <c r="M196" s="265"/>
      <c r="N196" s="265"/>
      <c r="O196" s="265"/>
      <c r="P196" s="259"/>
      <c r="Q196" s="259"/>
      <c r="R196" s="259"/>
      <c r="S196" s="259"/>
      <c r="T196" s="259"/>
      <c r="U196" s="259"/>
      <c r="V196" s="259"/>
      <c r="W196" s="259"/>
      <c r="X196" s="259"/>
      <c r="Y196" s="260" t="s">
        <v>1472</v>
      </c>
    </row>
    <row r="197" spans="1:25" ht="14">
      <c r="A197" s="261"/>
      <c r="B197" s="261"/>
      <c r="C197" s="261"/>
      <c r="D197" s="265"/>
      <c r="E197" s="265"/>
      <c r="F197" s="265"/>
      <c r="G197" s="265"/>
      <c r="H197" s="265"/>
      <c r="I197" s="265"/>
      <c r="J197" s="265"/>
      <c r="K197" s="259"/>
      <c r="L197" s="265"/>
      <c r="M197" s="265"/>
      <c r="N197" s="265"/>
      <c r="O197" s="265"/>
      <c r="P197" s="259"/>
      <c r="Q197" s="259"/>
      <c r="R197" s="259"/>
      <c r="S197" s="259"/>
      <c r="T197" s="259"/>
      <c r="U197" s="259"/>
      <c r="V197" s="259"/>
      <c r="W197" s="259"/>
      <c r="X197" s="259"/>
      <c r="Y197" s="260" t="s">
        <v>1909</v>
      </c>
    </row>
    <row r="198" spans="1:25" ht="28">
      <c r="A198" s="261"/>
      <c r="B198" s="261"/>
      <c r="C198" s="261"/>
      <c r="D198" s="265"/>
      <c r="E198" s="265"/>
      <c r="F198" s="265"/>
      <c r="G198" s="265"/>
      <c r="H198" s="265"/>
      <c r="I198" s="265"/>
      <c r="J198" s="265"/>
      <c r="K198" s="259"/>
      <c r="L198" s="265"/>
      <c r="M198" s="265"/>
      <c r="N198" s="265"/>
      <c r="O198" s="265"/>
      <c r="P198" s="259"/>
      <c r="Q198" s="259"/>
      <c r="R198" s="259"/>
      <c r="S198" s="259"/>
      <c r="T198" s="259"/>
      <c r="U198" s="259"/>
      <c r="V198" s="259"/>
      <c r="W198" s="259"/>
      <c r="X198" s="259"/>
      <c r="Y198" s="260" t="s">
        <v>1568</v>
      </c>
    </row>
    <row r="199" spans="1:25" ht="28">
      <c r="A199" s="261"/>
      <c r="B199" s="261"/>
      <c r="C199" s="261"/>
      <c r="D199" s="265"/>
      <c r="E199" s="265"/>
      <c r="F199" s="265"/>
      <c r="G199" s="265"/>
      <c r="H199" s="265"/>
      <c r="I199" s="265"/>
      <c r="J199" s="265"/>
      <c r="K199" s="259"/>
      <c r="L199" s="265"/>
      <c r="M199" s="265"/>
      <c r="N199" s="265"/>
      <c r="O199" s="265"/>
      <c r="P199" s="259"/>
      <c r="Q199" s="259"/>
      <c r="R199" s="259"/>
      <c r="S199" s="259"/>
      <c r="T199" s="259"/>
      <c r="U199" s="259"/>
      <c r="V199" s="259"/>
      <c r="W199" s="259"/>
      <c r="X199" s="259"/>
      <c r="Y199" s="260" t="s">
        <v>1934</v>
      </c>
    </row>
    <row r="200" spans="1:25" ht="14">
      <c r="A200" s="261"/>
      <c r="B200" s="261"/>
      <c r="C200" s="261"/>
      <c r="D200" s="265"/>
      <c r="E200" s="265"/>
      <c r="F200" s="265"/>
      <c r="G200" s="265"/>
      <c r="H200" s="265"/>
      <c r="I200" s="265"/>
      <c r="J200" s="265"/>
      <c r="K200" s="259"/>
      <c r="L200" s="265"/>
      <c r="M200" s="265"/>
      <c r="N200" s="265"/>
      <c r="O200" s="265"/>
      <c r="P200" s="259"/>
      <c r="Q200" s="259"/>
      <c r="R200" s="259"/>
      <c r="S200" s="259"/>
      <c r="T200" s="259"/>
      <c r="U200" s="259"/>
      <c r="V200" s="259"/>
      <c r="W200" s="259"/>
      <c r="X200" s="259"/>
      <c r="Y200" s="260" t="s">
        <v>1936</v>
      </c>
    </row>
    <row r="201" spans="1:25" ht="28">
      <c r="A201" s="261"/>
      <c r="B201" s="261"/>
      <c r="C201" s="261"/>
      <c r="D201" s="265"/>
      <c r="E201" s="265"/>
      <c r="F201" s="265"/>
      <c r="G201" s="265"/>
      <c r="H201" s="265"/>
      <c r="I201" s="265"/>
      <c r="J201" s="265"/>
      <c r="K201" s="259"/>
      <c r="L201" s="265"/>
      <c r="M201" s="265"/>
      <c r="N201" s="265"/>
      <c r="O201" s="265"/>
      <c r="P201" s="259"/>
      <c r="Q201" s="259"/>
      <c r="R201" s="259"/>
      <c r="S201" s="259"/>
      <c r="T201" s="259"/>
      <c r="U201" s="259"/>
      <c r="V201" s="259"/>
      <c r="W201" s="259"/>
      <c r="X201" s="259"/>
      <c r="Y201" s="260" t="s">
        <v>1938</v>
      </c>
    </row>
    <row r="202" spans="1:25" ht="28">
      <c r="A202" s="261"/>
      <c r="B202" s="261"/>
      <c r="C202" s="261"/>
      <c r="D202" s="265"/>
      <c r="E202" s="265"/>
      <c r="F202" s="265"/>
      <c r="G202" s="265"/>
      <c r="H202" s="265"/>
      <c r="I202" s="265"/>
      <c r="J202" s="265"/>
      <c r="K202" s="259"/>
      <c r="L202" s="265"/>
      <c r="M202" s="265"/>
      <c r="N202" s="265"/>
      <c r="O202" s="265"/>
      <c r="P202" s="259"/>
      <c r="Q202" s="259"/>
      <c r="R202" s="259"/>
      <c r="S202" s="259"/>
      <c r="T202" s="259"/>
      <c r="U202" s="259"/>
      <c r="V202" s="259"/>
      <c r="W202" s="259"/>
      <c r="X202" s="259"/>
      <c r="Y202" s="260" t="s">
        <v>1819</v>
      </c>
    </row>
    <row r="203" spans="1:25" ht="28">
      <c r="A203" s="261"/>
      <c r="B203" s="261"/>
      <c r="C203" s="261"/>
      <c r="D203" s="265"/>
      <c r="E203" s="265"/>
      <c r="F203" s="265"/>
      <c r="G203" s="265"/>
      <c r="H203" s="265"/>
      <c r="I203" s="265"/>
      <c r="J203" s="265"/>
      <c r="K203" s="259"/>
      <c r="L203" s="265"/>
      <c r="M203" s="265"/>
      <c r="N203" s="265"/>
      <c r="O203" s="265"/>
      <c r="P203" s="259"/>
      <c r="Q203" s="259"/>
      <c r="R203" s="259"/>
      <c r="S203" s="259"/>
      <c r="T203" s="259"/>
      <c r="U203" s="259"/>
      <c r="V203" s="259"/>
      <c r="W203" s="259"/>
      <c r="X203" s="259"/>
      <c r="Y203" s="260" t="s">
        <v>1499</v>
      </c>
    </row>
    <row r="204" spans="1:25" ht="28">
      <c r="A204" s="261"/>
      <c r="B204" s="261"/>
      <c r="C204" s="261"/>
      <c r="D204" s="265"/>
      <c r="E204" s="265"/>
      <c r="F204" s="265"/>
      <c r="G204" s="265"/>
      <c r="H204" s="265"/>
      <c r="I204" s="265"/>
      <c r="J204" s="265"/>
      <c r="K204" s="259"/>
      <c r="L204" s="265"/>
      <c r="M204" s="265"/>
      <c r="N204" s="265"/>
      <c r="O204" s="265"/>
      <c r="P204" s="259"/>
      <c r="Q204" s="259"/>
      <c r="R204" s="259"/>
      <c r="S204" s="259"/>
      <c r="T204" s="259"/>
      <c r="U204" s="259"/>
      <c r="V204" s="259"/>
      <c r="W204" s="259"/>
      <c r="X204" s="259"/>
      <c r="Y204" s="260" t="s">
        <v>1968</v>
      </c>
    </row>
    <row r="205" spans="1:25" ht="28">
      <c r="A205" s="261"/>
      <c r="B205" s="261"/>
      <c r="C205" s="261"/>
      <c r="D205" s="265"/>
      <c r="E205" s="265"/>
      <c r="F205" s="265"/>
      <c r="G205" s="265"/>
      <c r="H205" s="265"/>
      <c r="I205" s="265"/>
      <c r="J205" s="265"/>
      <c r="K205" s="259"/>
      <c r="L205" s="265"/>
      <c r="M205" s="265"/>
      <c r="N205" s="265"/>
      <c r="O205" s="265"/>
      <c r="P205" s="259"/>
      <c r="Q205" s="259"/>
      <c r="R205" s="259"/>
      <c r="S205" s="259"/>
      <c r="T205" s="259"/>
      <c r="U205" s="259"/>
      <c r="V205" s="259"/>
      <c r="W205" s="259"/>
      <c r="X205" s="259"/>
      <c r="Y205" s="260" t="s">
        <v>1777</v>
      </c>
    </row>
    <row r="206" spans="1:25" ht="14">
      <c r="A206" s="261"/>
      <c r="B206" s="261"/>
      <c r="C206" s="261"/>
      <c r="D206" s="265"/>
      <c r="E206" s="265"/>
      <c r="F206" s="265"/>
      <c r="G206" s="265"/>
      <c r="H206" s="265"/>
      <c r="I206" s="265"/>
      <c r="J206" s="265"/>
      <c r="K206" s="259"/>
      <c r="L206" s="265"/>
      <c r="M206" s="265"/>
      <c r="N206" s="265"/>
      <c r="O206" s="265"/>
      <c r="P206" s="259"/>
      <c r="Q206" s="259"/>
      <c r="R206" s="259"/>
      <c r="S206" s="259"/>
      <c r="T206" s="259"/>
      <c r="U206" s="259"/>
      <c r="V206" s="259"/>
      <c r="W206" s="259"/>
      <c r="X206" s="259"/>
      <c r="Y206" s="260" t="s">
        <v>1970</v>
      </c>
    </row>
    <row r="207" spans="1:25" ht="14">
      <c r="A207" s="261"/>
      <c r="B207" s="261"/>
      <c r="C207" s="261"/>
      <c r="D207" s="265"/>
      <c r="E207" s="265"/>
      <c r="F207" s="265"/>
      <c r="G207" s="265"/>
      <c r="H207" s="265"/>
      <c r="I207" s="265"/>
      <c r="J207" s="265"/>
      <c r="K207" s="259"/>
      <c r="L207" s="265"/>
      <c r="M207" s="265"/>
      <c r="N207" s="265"/>
      <c r="O207" s="265"/>
      <c r="P207" s="259"/>
      <c r="Q207" s="259"/>
      <c r="R207" s="259"/>
      <c r="S207" s="259"/>
      <c r="T207" s="259"/>
      <c r="U207" s="259"/>
      <c r="V207" s="259"/>
      <c r="W207" s="259"/>
      <c r="X207" s="259"/>
      <c r="Y207" s="260" t="s">
        <v>1449</v>
      </c>
    </row>
    <row r="208" spans="1:25" ht="14">
      <c r="A208" s="261"/>
      <c r="B208" s="261"/>
      <c r="C208" s="261"/>
      <c r="D208" s="265"/>
      <c r="E208" s="265"/>
      <c r="F208" s="265"/>
      <c r="G208" s="265"/>
      <c r="H208" s="265"/>
      <c r="I208" s="265"/>
      <c r="J208" s="265"/>
      <c r="K208" s="259"/>
      <c r="L208" s="265"/>
      <c r="M208" s="265"/>
      <c r="N208" s="265"/>
      <c r="O208" s="265"/>
      <c r="P208" s="259"/>
      <c r="Q208" s="259"/>
      <c r="R208" s="259"/>
      <c r="S208" s="259"/>
      <c r="T208" s="259"/>
      <c r="U208" s="259"/>
      <c r="V208" s="259"/>
      <c r="W208" s="259"/>
      <c r="X208" s="259"/>
      <c r="Y208" s="260" t="s">
        <v>1821</v>
      </c>
    </row>
    <row r="209" spans="1:25" ht="14">
      <c r="A209" s="261"/>
      <c r="B209" s="261"/>
      <c r="C209" s="261"/>
      <c r="D209" s="265"/>
      <c r="E209" s="265"/>
      <c r="F209" s="265"/>
      <c r="G209" s="265"/>
      <c r="H209" s="265"/>
      <c r="I209" s="265"/>
      <c r="J209" s="265"/>
      <c r="K209" s="259"/>
      <c r="L209" s="265"/>
      <c r="M209" s="265"/>
      <c r="N209" s="265"/>
      <c r="O209" s="265"/>
      <c r="P209" s="259"/>
      <c r="Q209" s="259"/>
      <c r="R209" s="259"/>
      <c r="S209" s="259"/>
      <c r="T209" s="259"/>
      <c r="U209" s="259"/>
      <c r="V209" s="259"/>
      <c r="W209" s="259"/>
      <c r="X209" s="259"/>
      <c r="Y209" s="260" t="s">
        <v>1907</v>
      </c>
    </row>
    <row r="210" spans="1:25" ht="14">
      <c r="A210" s="261"/>
      <c r="B210" s="261"/>
      <c r="C210" s="261"/>
      <c r="D210" s="265"/>
      <c r="E210" s="265"/>
      <c r="F210" s="265"/>
      <c r="G210" s="265"/>
      <c r="H210" s="265"/>
      <c r="I210" s="265"/>
      <c r="J210" s="265"/>
      <c r="K210" s="259"/>
      <c r="L210" s="265"/>
      <c r="M210" s="265"/>
      <c r="N210" s="265"/>
      <c r="O210" s="265"/>
      <c r="P210" s="259"/>
      <c r="Q210" s="259"/>
      <c r="R210" s="259"/>
      <c r="S210" s="259"/>
      <c r="T210" s="259"/>
      <c r="U210" s="259"/>
      <c r="V210" s="259"/>
      <c r="W210" s="259"/>
      <c r="X210" s="259"/>
      <c r="Y210" s="260" t="s">
        <v>1614</v>
      </c>
    </row>
    <row r="211" spans="1:25" ht="14">
      <c r="A211" s="261"/>
      <c r="B211" s="261"/>
      <c r="C211" s="261"/>
      <c r="D211" s="265"/>
      <c r="E211" s="265"/>
      <c r="F211" s="265"/>
      <c r="G211" s="265"/>
      <c r="H211" s="265"/>
      <c r="I211" s="265"/>
      <c r="J211" s="265"/>
      <c r="K211" s="259"/>
      <c r="L211" s="265"/>
      <c r="M211" s="265"/>
      <c r="N211" s="265"/>
      <c r="O211" s="265"/>
      <c r="P211" s="259"/>
      <c r="Q211" s="259"/>
      <c r="R211" s="259"/>
      <c r="S211" s="259"/>
      <c r="T211" s="259"/>
      <c r="U211" s="259"/>
      <c r="V211" s="259"/>
      <c r="W211" s="259"/>
      <c r="X211" s="259"/>
      <c r="Y211" s="260" t="s">
        <v>1451</v>
      </c>
    </row>
    <row r="212" spans="1:25" ht="14">
      <c r="A212" s="261"/>
      <c r="B212" s="261"/>
      <c r="C212" s="261"/>
      <c r="D212" s="265"/>
      <c r="E212" s="265"/>
      <c r="F212" s="265"/>
      <c r="G212" s="265"/>
      <c r="H212" s="265"/>
      <c r="I212" s="265"/>
      <c r="J212" s="265"/>
      <c r="K212" s="259"/>
      <c r="L212" s="265"/>
      <c r="M212" s="265"/>
      <c r="N212" s="265"/>
      <c r="O212" s="265"/>
      <c r="P212" s="259"/>
      <c r="Q212" s="259"/>
      <c r="R212" s="259"/>
      <c r="S212" s="259"/>
      <c r="T212" s="259"/>
      <c r="U212" s="259"/>
      <c r="V212" s="259"/>
      <c r="W212" s="259"/>
      <c r="X212" s="259"/>
      <c r="Y212" s="260" t="s">
        <v>1779</v>
      </c>
    </row>
    <row r="213" spans="1:25" ht="28">
      <c r="A213" s="261"/>
      <c r="B213" s="261"/>
      <c r="C213" s="261"/>
      <c r="D213" s="265"/>
      <c r="E213" s="265"/>
      <c r="F213" s="265"/>
      <c r="G213" s="265"/>
      <c r="H213" s="265"/>
      <c r="I213" s="265"/>
      <c r="J213" s="265"/>
      <c r="K213" s="259"/>
      <c r="L213" s="265"/>
      <c r="M213" s="265"/>
      <c r="N213" s="265"/>
      <c r="O213" s="265"/>
      <c r="P213" s="259"/>
      <c r="Q213" s="259"/>
      <c r="R213" s="259"/>
      <c r="S213" s="259"/>
      <c r="T213" s="259"/>
      <c r="U213" s="259"/>
      <c r="V213" s="259"/>
      <c r="W213" s="259"/>
      <c r="X213" s="259"/>
      <c r="Y213" s="260" t="s">
        <v>1781</v>
      </c>
    </row>
    <row r="214" spans="1:25" ht="14">
      <c r="A214" s="261"/>
      <c r="B214" s="261"/>
      <c r="C214" s="261"/>
      <c r="D214" s="265"/>
      <c r="E214" s="265"/>
      <c r="F214" s="265"/>
      <c r="G214" s="265"/>
      <c r="H214" s="265"/>
      <c r="I214" s="265"/>
      <c r="J214" s="265"/>
      <c r="K214" s="259"/>
      <c r="L214" s="265"/>
      <c r="M214" s="265"/>
      <c r="N214" s="265"/>
      <c r="O214" s="265"/>
      <c r="P214" s="259"/>
      <c r="Q214" s="259"/>
      <c r="R214" s="259"/>
      <c r="S214" s="259"/>
      <c r="T214" s="259"/>
      <c r="U214" s="259"/>
      <c r="V214" s="259"/>
      <c r="W214" s="259"/>
      <c r="X214" s="259"/>
      <c r="Y214" s="260" t="s">
        <v>1928</v>
      </c>
    </row>
    <row r="215" spans="1:25" ht="14">
      <c r="A215" s="261"/>
      <c r="B215" s="261"/>
      <c r="C215" s="261"/>
      <c r="D215" s="265"/>
      <c r="E215" s="265"/>
      <c r="F215" s="265"/>
      <c r="G215" s="265"/>
      <c r="H215" s="265"/>
      <c r="I215" s="265"/>
      <c r="J215" s="265"/>
      <c r="K215" s="259"/>
      <c r="L215" s="265"/>
      <c r="M215" s="265"/>
      <c r="N215" s="265"/>
      <c r="O215" s="265"/>
      <c r="P215" s="259"/>
      <c r="Q215" s="259"/>
      <c r="R215" s="259"/>
      <c r="S215" s="259"/>
      <c r="T215" s="259"/>
      <c r="U215" s="259"/>
      <c r="V215" s="259"/>
      <c r="W215" s="259"/>
      <c r="X215" s="259"/>
      <c r="Y215" s="260" t="s">
        <v>1871</v>
      </c>
    </row>
    <row r="216" spans="1:25" ht="14">
      <c r="A216" s="261"/>
      <c r="B216" s="261"/>
      <c r="C216" s="261"/>
      <c r="D216" s="265"/>
      <c r="E216" s="265"/>
      <c r="F216" s="265"/>
      <c r="G216" s="265"/>
      <c r="H216" s="265"/>
      <c r="I216" s="265"/>
      <c r="J216" s="265"/>
      <c r="K216" s="259"/>
      <c r="L216" s="265"/>
      <c r="M216" s="265"/>
      <c r="N216" s="265"/>
      <c r="O216" s="265"/>
      <c r="P216" s="259"/>
      <c r="Q216" s="259"/>
      <c r="R216" s="259"/>
      <c r="S216" s="259"/>
      <c r="T216" s="259"/>
      <c r="U216" s="259"/>
      <c r="V216" s="259"/>
      <c r="W216" s="259"/>
      <c r="X216" s="259"/>
      <c r="Y216" s="260" t="s">
        <v>1580</v>
      </c>
    </row>
    <row r="217" spans="1:25" ht="28">
      <c r="A217" s="261"/>
      <c r="B217" s="261"/>
      <c r="C217" s="261"/>
      <c r="D217" s="265"/>
      <c r="E217" s="265"/>
      <c r="F217" s="265"/>
      <c r="G217" s="265"/>
      <c r="H217" s="265"/>
      <c r="I217" s="265"/>
      <c r="J217" s="265"/>
      <c r="K217" s="259"/>
      <c r="L217" s="265"/>
      <c r="M217" s="265"/>
      <c r="N217" s="265"/>
      <c r="O217" s="265"/>
      <c r="P217" s="259"/>
      <c r="Q217" s="259"/>
      <c r="R217" s="259"/>
      <c r="S217" s="259"/>
      <c r="T217" s="259"/>
      <c r="U217" s="259"/>
      <c r="V217" s="259"/>
      <c r="W217" s="259"/>
      <c r="X217" s="259"/>
      <c r="Y217" s="260" t="s">
        <v>1626</v>
      </c>
    </row>
    <row r="218" spans="1:25" ht="14">
      <c r="A218" s="261"/>
      <c r="B218" s="261"/>
      <c r="C218" s="261"/>
      <c r="D218" s="265"/>
      <c r="E218" s="265"/>
      <c r="F218" s="265"/>
      <c r="G218" s="265"/>
      <c r="H218" s="265"/>
      <c r="I218" s="265"/>
      <c r="J218" s="265"/>
      <c r="K218" s="259"/>
      <c r="L218" s="265"/>
      <c r="M218" s="265"/>
      <c r="N218" s="265"/>
      <c r="O218" s="265"/>
      <c r="P218" s="259"/>
      <c r="Q218" s="259"/>
      <c r="R218" s="259"/>
      <c r="S218" s="259"/>
      <c r="T218" s="259"/>
      <c r="U218" s="259"/>
      <c r="V218" s="259"/>
      <c r="W218" s="259"/>
      <c r="X218" s="259"/>
      <c r="Y218" s="260" t="s">
        <v>1875</v>
      </c>
    </row>
    <row r="219" spans="1:25" ht="14">
      <c r="A219" s="261"/>
      <c r="B219" s="261"/>
      <c r="C219" s="261"/>
      <c r="D219" s="265"/>
      <c r="E219" s="265"/>
      <c r="F219" s="265"/>
      <c r="G219" s="265"/>
      <c r="H219" s="265"/>
      <c r="I219" s="265"/>
      <c r="J219" s="265"/>
      <c r="K219" s="259"/>
      <c r="L219" s="265"/>
      <c r="M219" s="265"/>
      <c r="N219" s="265"/>
      <c r="O219" s="265"/>
      <c r="P219" s="259"/>
      <c r="Q219" s="259"/>
      <c r="R219" s="259"/>
      <c r="S219" s="259"/>
      <c r="T219" s="259"/>
      <c r="U219" s="259"/>
      <c r="V219" s="259"/>
      <c r="W219" s="259"/>
      <c r="X219" s="259"/>
      <c r="Y219" s="260" t="s">
        <v>1453</v>
      </c>
    </row>
    <row r="220" spans="1:25" ht="14">
      <c r="A220" s="261"/>
      <c r="B220" s="261"/>
      <c r="C220" s="261"/>
      <c r="D220" s="265"/>
      <c r="E220" s="265"/>
      <c r="F220" s="265"/>
      <c r="G220" s="265"/>
      <c r="H220" s="265"/>
      <c r="I220" s="265"/>
      <c r="J220" s="265"/>
      <c r="K220" s="259"/>
      <c r="L220" s="265"/>
      <c r="M220" s="265"/>
      <c r="N220" s="265"/>
      <c r="O220" s="265"/>
      <c r="P220" s="259"/>
      <c r="Q220" s="259"/>
      <c r="R220" s="259"/>
      <c r="S220" s="259"/>
      <c r="T220" s="259"/>
      <c r="U220" s="259"/>
      <c r="V220" s="259"/>
      <c r="W220" s="259"/>
      <c r="X220" s="259"/>
      <c r="Y220" s="260" t="s">
        <v>1491</v>
      </c>
    </row>
    <row r="221" spans="1:25" ht="14">
      <c r="A221" s="261"/>
      <c r="B221" s="261"/>
      <c r="C221" s="261"/>
      <c r="D221" s="265"/>
      <c r="E221" s="265"/>
      <c r="F221" s="265"/>
      <c r="G221" s="265"/>
      <c r="H221" s="265"/>
      <c r="I221" s="265"/>
      <c r="J221" s="265"/>
      <c r="K221" s="259"/>
      <c r="L221" s="265"/>
      <c r="M221" s="265"/>
      <c r="N221" s="265"/>
      <c r="O221" s="265"/>
      <c r="P221" s="259"/>
      <c r="Q221" s="259"/>
      <c r="R221" s="259"/>
      <c r="S221" s="259"/>
      <c r="T221" s="259"/>
      <c r="U221" s="259"/>
      <c r="V221" s="259"/>
      <c r="W221" s="259"/>
      <c r="X221" s="259"/>
      <c r="Y221" s="260" t="s">
        <v>1455</v>
      </c>
    </row>
    <row r="222" spans="1:25" ht="28">
      <c r="A222" s="261"/>
      <c r="B222" s="261"/>
      <c r="C222" s="261"/>
      <c r="D222" s="265"/>
      <c r="E222" s="265"/>
      <c r="F222" s="265"/>
      <c r="G222" s="265"/>
      <c r="H222" s="265"/>
      <c r="I222" s="265"/>
      <c r="J222" s="265"/>
      <c r="K222" s="259"/>
      <c r="L222" s="265"/>
      <c r="M222" s="265"/>
      <c r="N222" s="265"/>
      <c r="O222" s="265"/>
      <c r="P222" s="259"/>
      <c r="Q222" s="259"/>
      <c r="R222" s="259"/>
      <c r="S222" s="259"/>
      <c r="T222" s="259"/>
      <c r="U222" s="259"/>
      <c r="V222" s="259"/>
      <c r="W222" s="259"/>
      <c r="X222" s="259"/>
      <c r="Y222" s="260" t="s">
        <v>1720</v>
      </c>
    </row>
    <row r="223" spans="1:25" ht="14">
      <c r="A223" s="261"/>
      <c r="B223" s="261"/>
      <c r="C223" s="261"/>
      <c r="D223" s="265"/>
      <c r="E223" s="265"/>
      <c r="F223" s="265"/>
      <c r="G223" s="265"/>
      <c r="H223" s="265"/>
      <c r="I223" s="265"/>
      <c r="J223" s="265"/>
      <c r="K223" s="259"/>
      <c r="L223" s="265"/>
      <c r="M223" s="265"/>
      <c r="N223" s="265"/>
      <c r="O223" s="265"/>
      <c r="P223" s="259"/>
      <c r="Q223" s="259"/>
      <c r="R223" s="259"/>
      <c r="S223" s="259"/>
      <c r="T223" s="259"/>
      <c r="U223" s="259"/>
      <c r="V223" s="259"/>
      <c r="W223" s="259"/>
      <c r="X223" s="259"/>
      <c r="Y223" s="260" t="s">
        <v>1738</v>
      </c>
    </row>
    <row r="224" spans="1:25" ht="28">
      <c r="A224" s="261"/>
      <c r="B224" s="261"/>
      <c r="C224" s="261"/>
      <c r="D224" s="265"/>
      <c r="E224" s="265"/>
      <c r="F224" s="265"/>
      <c r="G224" s="265"/>
      <c r="H224" s="265"/>
      <c r="I224" s="265"/>
      <c r="J224" s="265"/>
      <c r="K224" s="259"/>
      <c r="L224" s="265"/>
      <c r="M224" s="265"/>
      <c r="N224" s="265"/>
      <c r="O224" s="265"/>
      <c r="P224" s="259"/>
      <c r="Q224" s="259"/>
      <c r="R224" s="259"/>
      <c r="S224" s="259"/>
      <c r="T224" s="259"/>
      <c r="U224" s="259"/>
      <c r="V224" s="259"/>
      <c r="W224" s="259"/>
      <c r="X224" s="259"/>
      <c r="Y224" s="260" t="s">
        <v>1457</v>
      </c>
    </row>
    <row r="225" spans="1:25" ht="14">
      <c r="A225" s="261"/>
      <c r="B225" s="261"/>
      <c r="C225" s="261"/>
      <c r="D225" s="265"/>
      <c r="E225" s="265"/>
      <c r="F225" s="265"/>
      <c r="G225" s="265"/>
      <c r="H225" s="265"/>
      <c r="I225" s="265"/>
      <c r="J225" s="265"/>
      <c r="K225" s="259"/>
      <c r="L225" s="265"/>
      <c r="M225" s="265"/>
      <c r="N225" s="265"/>
      <c r="O225" s="265"/>
      <c r="P225" s="259"/>
      <c r="Q225" s="259"/>
      <c r="R225" s="259"/>
      <c r="S225" s="259"/>
      <c r="T225" s="259"/>
      <c r="U225" s="259"/>
      <c r="V225" s="259"/>
      <c r="W225" s="259"/>
      <c r="X225" s="259"/>
      <c r="Y225" s="260" t="s">
        <v>1666</v>
      </c>
    </row>
    <row r="226" spans="1:25" ht="14">
      <c r="A226" s="261"/>
      <c r="B226" s="261"/>
      <c r="C226" s="261"/>
      <c r="D226" s="265"/>
      <c r="E226" s="265"/>
      <c r="F226" s="265"/>
      <c r="G226" s="265"/>
      <c r="H226" s="265"/>
      <c r="I226" s="265"/>
      <c r="J226" s="265"/>
      <c r="K226" s="259"/>
      <c r="L226" s="265"/>
      <c r="M226" s="265"/>
      <c r="N226" s="265"/>
      <c r="O226" s="265"/>
      <c r="P226" s="259"/>
      <c r="Q226" s="259"/>
      <c r="R226" s="259"/>
      <c r="S226" s="259"/>
      <c r="T226" s="259"/>
      <c r="U226" s="259"/>
      <c r="V226" s="259"/>
      <c r="W226" s="259"/>
      <c r="X226" s="259"/>
      <c r="Y226" s="260" t="s">
        <v>1671</v>
      </c>
    </row>
    <row r="227" spans="1:25" ht="14">
      <c r="A227" s="261"/>
      <c r="B227" s="261"/>
      <c r="C227" s="261"/>
      <c r="D227" s="265"/>
      <c r="E227" s="265"/>
      <c r="F227" s="265"/>
      <c r="G227" s="265"/>
      <c r="H227" s="265"/>
      <c r="I227" s="265"/>
      <c r="J227" s="265"/>
      <c r="K227" s="259"/>
      <c r="L227" s="265"/>
      <c r="M227" s="265"/>
      <c r="N227" s="265"/>
      <c r="O227" s="265"/>
      <c r="P227" s="259"/>
      <c r="Q227" s="259"/>
      <c r="R227" s="259"/>
      <c r="S227" s="259"/>
      <c r="T227" s="259"/>
      <c r="U227" s="259"/>
      <c r="V227" s="259"/>
      <c r="W227" s="259"/>
      <c r="X227" s="259"/>
      <c r="Y227" s="260" t="s">
        <v>1834</v>
      </c>
    </row>
    <row r="228" spans="1:25" ht="28">
      <c r="A228" s="261"/>
      <c r="B228" s="261"/>
      <c r="C228" s="261"/>
      <c r="D228" s="265"/>
      <c r="E228" s="265"/>
      <c r="F228" s="265"/>
      <c r="G228" s="265"/>
      <c r="H228" s="265"/>
      <c r="I228" s="265"/>
      <c r="J228" s="265"/>
      <c r="K228" s="259"/>
      <c r="L228" s="265"/>
      <c r="M228" s="265"/>
      <c r="N228" s="265"/>
      <c r="O228" s="265"/>
      <c r="P228" s="259"/>
      <c r="Q228" s="259"/>
      <c r="R228" s="259"/>
      <c r="S228" s="259"/>
      <c r="T228" s="259"/>
      <c r="U228" s="259"/>
      <c r="V228" s="259"/>
      <c r="W228" s="259"/>
      <c r="X228" s="259"/>
      <c r="Y228" s="260" t="s">
        <v>1837</v>
      </c>
    </row>
    <row r="229" spans="1:25" ht="14">
      <c r="A229" s="261"/>
      <c r="B229" s="261"/>
      <c r="C229" s="261"/>
      <c r="D229" s="265"/>
      <c r="E229" s="265"/>
      <c r="F229" s="265"/>
      <c r="G229" s="265"/>
      <c r="H229" s="265"/>
      <c r="I229" s="265"/>
      <c r="J229" s="265"/>
      <c r="K229" s="259"/>
      <c r="L229" s="265"/>
      <c r="M229" s="265"/>
      <c r="N229" s="265"/>
      <c r="O229" s="265"/>
      <c r="P229" s="259"/>
      <c r="Q229" s="259"/>
      <c r="R229" s="259"/>
      <c r="S229" s="259"/>
      <c r="T229" s="259"/>
      <c r="U229" s="259"/>
      <c r="V229" s="259"/>
      <c r="W229" s="259"/>
      <c r="X229" s="259"/>
      <c r="Y229" s="260" t="s">
        <v>1730</v>
      </c>
    </row>
    <row r="230" spans="1:25" ht="14">
      <c r="A230" s="261"/>
      <c r="B230" s="261"/>
      <c r="C230" s="261"/>
      <c r="D230" s="265"/>
      <c r="E230" s="265"/>
      <c r="F230" s="265"/>
      <c r="G230" s="265"/>
      <c r="H230" s="265"/>
      <c r="I230" s="265"/>
      <c r="J230" s="265"/>
      <c r="K230" s="259"/>
      <c r="L230" s="265"/>
      <c r="M230" s="265"/>
      <c r="N230" s="265"/>
      <c r="O230" s="265"/>
      <c r="P230" s="259"/>
      <c r="Q230" s="259"/>
      <c r="R230" s="259"/>
      <c r="S230" s="259"/>
      <c r="T230" s="259"/>
      <c r="U230" s="259"/>
      <c r="V230" s="259"/>
      <c r="W230" s="259"/>
      <c r="X230" s="259"/>
      <c r="Y230" s="260" t="s">
        <v>1828</v>
      </c>
    </row>
    <row r="231" spans="1:25" ht="14">
      <c r="A231" s="261"/>
      <c r="B231" s="261"/>
      <c r="C231" s="261"/>
      <c r="D231" s="265"/>
      <c r="E231" s="265"/>
      <c r="F231" s="265"/>
      <c r="G231" s="265"/>
      <c r="H231" s="265"/>
      <c r="I231" s="265"/>
      <c r="J231" s="265"/>
      <c r="K231" s="259"/>
      <c r="L231" s="265"/>
      <c r="M231" s="265"/>
      <c r="N231" s="265"/>
      <c r="O231" s="265"/>
      <c r="P231" s="259"/>
      <c r="Q231" s="259"/>
      <c r="R231" s="259"/>
      <c r="S231" s="259"/>
      <c r="T231" s="259"/>
      <c r="U231" s="259"/>
      <c r="V231" s="259"/>
      <c r="W231" s="259"/>
      <c r="X231" s="259"/>
      <c r="Y231" s="260" t="s">
        <v>1831</v>
      </c>
    </row>
    <row r="232" spans="1:25" ht="14">
      <c r="A232" s="261"/>
      <c r="B232" s="261"/>
      <c r="C232" s="261"/>
      <c r="D232" s="265"/>
      <c r="E232" s="265"/>
      <c r="F232" s="265"/>
      <c r="G232" s="265"/>
      <c r="H232" s="265"/>
      <c r="I232" s="265"/>
      <c r="J232" s="265"/>
      <c r="K232" s="259"/>
      <c r="L232" s="265"/>
      <c r="M232" s="265"/>
      <c r="N232" s="265"/>
      <c r="O232" s="265"/>
      <c r="P232" s="259"/>
      <c r="Q232" s="259"/>
      <c r="R232" s="259"/>
      <c r="S232" s="259"/>
      <c r="T232" s="259"/>
      <c r="U232" s="259"/>
      <c r="V232" s="259"/>
      <c r="W232" s="259"/>
      <c r="X232" s="259"/>
      <c r="Y232" s="260" t="s">
        <v>1901</v>
      </c>
    </row>
    <row r="233" spans="1:25" ht="14">
      <c r="A233" s="261"/>
      <c r="B233" s="261"/>
      <c r="C233" s="261"/>
      <c r="D233" s="265"/>
      <c r="E233" s="265"/>
      <c r="F233" s="265"/>
      <c r="G233" s="265"/>
      <c r="H233" s="265"/>
      <c r="I233" s="265"/>
      <c r="J233" s="265"/>
      <c r="K233" s="259"/>
      <c r="L233" s="265"/>
      <c r="M233" s="265"/>
      <c r="N233" s="265"/>
      <c r="O233" s="265"/>
      <c r="P233" s="259"/>
      <c r="Q233" s="259"/>
      <c r="R233" s="259"/>
      <c r="S233" s="259"/>
      <c r="T233" s="259"/>
      <c r="U233" s="259"/>
      <c r="V233" s="259"/>
      <c r="W233" s="259"/>
      <c r="X233" s="259"/>
      <c r="Y233" s="260" t="s">
        <v>1882</v>
      </c>
    </row>
    <row r="234" spans="1:25" ht="14">
      <c r="A234" s="261"/>
      <c r="B234" s="261"/>
      <c r="C234" s="261"/>
      <c r="D234" s="265"/>
      <c r="E234" s="265"/>
      <c r="F234" s="265"/>
      <c r="G234" s="265"/>
      <c r="H234" s="265"/>
      <c r="I234" s="265"/>
      <c r="J234" s="265"/>
      <c r="K234" s="259"/>
      <c r="L234" s="265"/>
      <c r="M234" s="265"/>
      <c r="N234" s="265"/>
      <c r="O234" s="265"/>
      <c r="P234" s="259"/>
      <c r="Q234" s="259"/>
      <c r="R234" s="259"/>
      <c r="S234" s="259"/>
      <c r="T234" s="259"/>
      <c r="U234" s="259"/>
      <c r="V234" s="259"/>
      <c r="W234" s="259"/>
      <c r="X234" s="259"/>
      <c r="Y234" s="260" t="s">
        <v>1973</v>
      </c>
    </row>
    <row r="235" spans="1:25" ht="14">
      <c r="A235" s="261"/>
      <c r="B235" s="261"/>
      <c r="C235" s="261"/>
      <c r="D235" s="265"/>
      <c r="E235" s="265"/>
      <c r="F235" s="265"/>
      <c r="G235" s="265"/>
      <c r="H235" s="265"/>
      <c r="I235" s="265"/>
      <c r="J235" s="265"/>
      <c r="K235" s="259"/>
      <c r="L235" s="265"/>
      <c r="M235" s="265"/>
      <c r="N235" s="265"/>
      <c r="O235" s="265"/>
      <c r="P235" s="259"/>
      <c r="Q235" s="259"/>
      <c r="R235" s="259"/>
      <c r="S235" s="259"/>
      <c r="T235" s="259"/>
      <c r="U235" s="259"/>
      <c r="V235" s="259"/>
      <c r="W235" s="259"/>
      <c r="X235" s="259"/>
      <c r="Y235" s="260" t="s">
        <v>1923</v>
      </c>
    </row>
    <row r="236" spans="1:25" ht="14">
      <c r="A236" s="261"/>
      <c r="B236" s="261"/>
      <c r="C236" s="261"/>
      <c r="D236" s="265"/>
      <c r="E236" s="265"/>
      <c r="F236" s="265"/>
      <c r="G236" s="265"/>
      <c r="H236" s="265"/>
      <c r="I236" s="265"/>
      <c r="J236" s="265"/>
      <c r="K236" s="259"/>
      <c r="L236" s="265"/>
      <c r="M236" s="265"/>
      <c r="N236" s="265"/>
      <c r="O236" s="265"/>
      <c r="P236" s="259"/>
      <c r="Q236" s="259"/>
      <c r="R236" s="259"/>
      <c r="S236" s="259"/>
      <c r="T236" s="259"/>
      <c r="U236" s="259"/>
      <c r="V236" s="259"/>
      <c r="W236" s="259"/>
      <c r="X236" s="259"/>
      <c r="Y236" s="260" t="s">
        <v>1877</v>
      </c>
    </row>
    <row r="237" spans="1:25" ht="14">
      <c r="A237" s="261"/>
      <c r="B237" s="261"/>
      <c r="C237" s="261"/>
      <c r="D237" s="265"/>
      <c r="E237" s="265"/>
      <c r="F237" s="265"/>
      <c r="G237" s="265"/>
      <c r="H237" s="265"/>
      <c r="I237" s="265"/>
      <c r="J237" s="265"/>
      <c r="K237" s="259"/>
      <c r="L237" s="265"/>
      <c r="M237" s="265"/>
      <c r="N237" s="265"/>
      <c r="O237" s="265"/>
      <c r="P237" s="259"/>
      <c r="Q237" s="259"/>
      <c r="R237" s="259"/>
      <c r="S237" s="259"/>
      <c r="T237" s="259"/>
      <c r="U237" s="259"/>
      <c r="V237" s="259"/>
      <c r="W237" s="259"/>
      <c r="X237" s="259"/>
      <c r="Y237" s="260" t="s">
        <v>1661</v>
      </c>
    </row>
    <row r="238" spans="1:25" ht="14">
      <c r="A238" s="261"/>
      <c r="B238" s="261"/>
      <c r="C238" s="261"/>
      <c r="D238" s="265"/>
      <c r="E238" s="265"/>
      <c r="F238" s="265"/>
      <c r="G238" s="265"/>
      <c r="H238" s="265"/>
      <c r="I238" s="265"/>
      <c r="J238" s="265"/>
      <c r="K238" s="259"/>
      <c r="L238" s="265"/>
      <c r="M238" s="265"/>
      <c r="N238" s="265"/>
      <c r="O238" s="265"/>
      <c r="P238" s="259"/>
      <c r="Q238" s="259"/>
      <c r="R238" s="259"/>
      <c r="S238" s="259"/>
      <c r="T238" s="259"/>
      <c r="U238" s="259"/>
      <c r="V238" s="259"/>
      <c r="W238" s="259"/>
      <c r="X238" s="259"/>
      <c r="Y238" s="260" t="s">
        <v>1904</v>
      </c>
    </row>
    <row r="239" spans="1:25" ht="14">
      <c r="A239" s="261"/>
      <c r="B239" s="261"/>
      <c r="C239" s="261"/>
      <c r="D239" s="265"/>
      <c r="E239" s="265"/>
      <c r="F239" s="265"/>
      <c r="G239" s="265"/>
      <c r="H239" s="265"/>
      <c r="I239" s="265"/>
      <c r="J239" s="265"/>
      <c r="K239" s="259"/>
      <c r="L239" s="265"/>
      <c r="M239" s="265"/>
      <c r="N239" s="265"/>
      <c r="O239" s="265"/>
      <c r="P239" s="259"/>
      <c r="Q239" s="259"/>
      <c r="R239" s="259"/>
      <c r="S239" s="259"/>
      <c r="T239" s="259"/>
      <c r="U239" s="259"/>
      <c r="V239" s="259"/>
      <c r="W239" s="259"/>
      <c r="X239" s="259"/>
      <c r="Y239" s="260" t="s">
        <v>1570</v>
      </c>
    </row>
    <row r="240" spans="1:25" ht="13">
      <c r="A240" s="261"/>
      <c r="B240" s="261"/>
      <c r="C240" s="261"/>
      <c r="D240" s="265"/>
      <c r="E240" s="265"/>
      <c r="F240" s="265"/>
      <c r="G240" s="265"/>
      <c r="H240" s="265"/>
      <c r="I240" s="265"/>
      <c r="J240" s="265"/>
      <c r="K240" s="259"/>
      <c r="L240" s="265"/>
      <c r="M240" s="265"/>
      <c r="N240" s="265"/>
      <c r="O240" s="265"/>
      <c r="P240" s="259"/>
      <c r="Q240" s="259"/>
      <c r="R240" s="259"/>
      <c r="S240" s="259"/>
      <c r="T240" s="259"/>
      <c r="U240" s="259"/>
      <c r="V240" s="259"/>
      <c r="W240" s="259"/>
      <c r="X240" s="259"/>
      <c r="Y240" s="260"/>
    </row>
    <row r="241" spans="1:25" ht="13">
      <c r="A241" s="261"/>
      <c r="B241" s="261"/>
      <c r="C241" s="261"/>
      <c r="D241" s="265"/>
      <c r="E241" s="265"/>
      <c r="F241" s="265"/>
      <c r="G241" s="265"/>
      <c r="H241" s="265"/>
      <c r="I241" s="265"/>
      <c r="J241" s="265"/>
      <c r="K241" s="259"/>
      <c r="L241" s="265"/>
      <c r="M241" s="265"/>
      <c r="N241" s="265"/>
      <c r="O241" s="265"/>
      <c r="P241" s="259"/>
      <c r="Q241" s="259"/>
      <c r="R241" s="259"/>
      <c r="S241" s="259"/>
      <c r="T241" s="259"/>
      <c r="U241" s="259"/>
      <c r="V241" s="259"/>
      <c r="W241" s="259"/>
      <c r="X241" s="259"/>
      <c r="Y241" s="260"/>
    </row>
    <row r="242" spans="1:25" ht="13">
      <c r="A242" s="261"/>
      <c r="B242" s="261"/>
      <c r="C242" s="261"/>
      <c r="D242" s="265"/>
      <c r="E242" s="265"/>
      <c r="F242" s="265"/>
      <c r="G242" s="265"/>
      <c r="H242" s="265"/>
      <c r="I242" s="265"/>
      <c r="J242" s="265"/>
      <c r="K242" s="259"/>
      <c r="L242" s="265"/>
      <c r="M242" s="265"/>
      <c r="N242" s="265"/>
      <c r="O242" s="265"/>
      <c r="P242" s="259"/>
      <c r="Q242" s="259"/>
      <c r="R242" s="259"/>
      <c r="S242" s="259"/>
      <c r="T242" s="259"/>
      <c r="U242" s="259"/>
      <c r="V242" s="259"/>
      <c r="W242" s="259"/>
      <c r="X242" s="259"/>
      <c r="Y242" s="260"/>
    </row>
    <row r="243" spans="1:25" ht="13">
      <c r="A243" s="261"/>
      <c r="B243" s="261"/>
      <c r="C243" s="261"/>
      <c r="D243" s="265"/>
      <c r="E243" s="265"/>
      <c r="F243" s="265"/>
      <c r="G243" s="265"/>
      <c r="H243" s="265"/>
      <c r="I243" s="265"/>
      <c r="J243" s="265"/>
      <c r="K243" s="259"/>
      <c r="L243" s="265"/>
      <c r="M243" s="265"/>
      <c r="N243" s="265"/>
      <c r="O243" s="265"/>
      <c r="P243" s="259"/>
      <c r="Q243" s="259"/>
      <c r="R243" s="259"/>
      <c r="S243" s="259"/>
      <c r="T243" s="259"/>
      <c r="U243" s="259"/>
      <c r="V243" s="259"/>
      <c r="W243" s="259"/>
      <c r="X243" s="259"/>
      <c r="Y243" s="260"/>
    </row>
    <row r="244" spans="1:25" ht="13">
      <c r="A244" s="261"/>
      <c r="B244" s="261"/>
      <c r="C244" s="261"/>
      <c r="D244" s="265"/>
      <c r="E244" s="265"/>
      <c r="F244" s="265"/>
      <c r="G244" s="265"/>
      <c r="H244" s="265"/>
      <c r="I244" s="265"/>
      <c r="J244" s="265"/>
      <c r="K244" s="259"/>
      <c r="L244" s="265"/>
      <c r="M244" s="265"/>
      <c r="N244" s="265"/>
      <c r="O244" s="265"/>
      <c r="P244" s="259"/>
      <c r="Q244" s="259"/>
      <c r="R244" s="259"/>
      <c r="S244" s="259"/>
      <c r="T244" s="259"/>
      <c r="U244" s="259"/>
      <c r="V244" s="259"/>
      <c r="W244" s="259"/>
      <c r="X244" s="259"/>
      <c r="Y244" s="260"/>
    </row>
    <row r="245" spans="1:25" ht="13">
      <c r="A245" s="261"/>
      <c r="B245" s="261"/>
      <c r="C245" s="261"/>
      <c r="D245" s="265"/>
      <c r="E245" s="265"/>
      <c r="F245" s="265"/>
      <c r="G245" s="265"/>
      <c r="H245" s="265"/>
      <c r="I245" s="265"/>
      <c r="J245" s="265"/>
      <c r="K245" s="259"/>
      <c r="L245" s="265"/>
      <c r="M245" s="265"/>
      <c r="N245" s="265"/>
      <c r="O245" s="265"/>
      <c r="P245" s="259"/>
      <c r="Q245" s="259"/>
      <c r="R245" s="259"/>
      <c r="S245" s="259"/>
      <c r="T245" s="259"/>
      <c r="U245" s="259"/>
      <c r="V245" s="259"/>
      <c r="W245" s="259"/>
      <c r="X245" s="259"/>
      <c r="Y245" s="260"/>
    </row>
    <row r="246" spans="1:25" ht="13">
      <c r="A246" s="261"/>
      <c r="B246" s="261"/>
      <c r="C246" s="261"/>
      <c r="D246" s="265"/>
      <c r="E246" s="265"/>
      <c r="F246" s="265"/>
      <c r="G246" s="265"/>
      <c r="H246" s="265"/>
      <c r="I246" s="265"/>
      <c r="J246" s="265"/>
      <c r="K246" s="259"/>
      <c r="L246" s="265"/>
      <c r="M246" s="265"/>
      <c r="N246" s="265"/>
      <c r="O246" s="265"/>
      <c r="P246" s="259"/>
      <c r="Q246" s="259"/>
      <c r="R246" s="259"/>
      <c r="S246" s="259"/>
      <c r="T246" s="259"/>
      <c r="U246" s="259"/>
      <c r="V246" s="259"/>
      <c r="W246" s="259"/>
      <c r="X246" s="259"/>
      <c r="Y246" s="260"/>
    </row>
    <row r="247" spans="1:25" ht="13">
      <c r="A247" s="261"/>
      <c r="B247" s="261"/>
      <c r="C247" s="261"/>
      <c r="D247" s="265"/>
      <c r="E247" s="265"/>
      <c r="F247" s="265"/>
      <c r="G247" s="265"/>
      <c r="H247" s="265"/>
      <c r="I247" s="265"/>
      <c r="J247" s="265"/>
      <c r="K247" s="259"/>
      <c r="L247" s="265"/>
      <c r="M247" s="265"/>
      <c r="N247" s="265"/>
      <c r="O247" s="265"/>
      <c r="P247" s="259"/>
      <c r="Q247" s="259"/>
      <c r="R247" s="259"/>
      <c r="S247" s="259"/>
      <c r="T247" s="259"/>
      <c r="U247" s="259"/>
      <c r="V247" s="259"/>
      <c r="W247" s="259"/>
      <c r="X247" s="259"/>
      <c r="Y247" s="260"/>
    </row>
    <row r="248" spans="1:25" ht="13">
      <c r="A248" s="261"/>
      <c r="B248" s="261"/>
      <c r="C248" s="261"/>
      <c r="D248" s="265"/>
      <c r="E248" s="265"/>
      <c r="F248" s="265"/>
      <c r="G248" s="265"/>
      <c r="H248" s="265"/>
      <c r="I248" s="265"/>
      <c r="J248" s="265"/>
      <c r="K248" s="259"/>
      <c r="L248" s="265"/>
      <c r="M248" s="265"/>
      <c r="N248" s="265"/>
      <c r="O248" s="265"/>
      <c r="P248" s="259"/>
      <c r="Q248" s="259"/>
      <c r="R248" s="259"/>
      <c r="S248" s="259"/>
      <c r="T248" s="259"/>
      <c r="U248" s="259"/>
      <c r="V248" s="259"/>
      <c r="W248" s="259"/>
      <c r="X248" s="259"/>
      <c r="Y248" s="260"/>
    </row>
    <row r="249" spans="1:25" ht="13">
      <c r="A249" s="261"/>
      <c r="B249" s="261"/>
      <c r="C249" s="261"/>
      <c r="D249" s="265"/>
      <c r="E249" s="265"/>
      <c r="F249" s="265"/>
      <c r="G249" s="265"/>
      <c r="H249" s="265"/>
      <c r="I249" s="265"/>
      <c r="J249" s="265"/>
      <c r="K249" s="259"/>
      <c r="L249" s="265"/>
      <c r="M249" s="265"/>
      <c r="N249" s="265"/>
      <c r="O249" s="265"/>
      <c r="P249" s="259"/>
      <c r="Q249" s="259"/>
      <c r="R249" s="259"/>
      <c r="S249" s="259"/>
      <c r="T249" s="259"/>
      <c r="U249" s="259"/>
      <c r="V249" s="259"/>
      <c r="W249" s="259"/>
      <c r="X249" s="259"/>
      <c r="Y249" s="260"/>
    </row>
    <row r="250" spans="1:25" ht="13">
      <c r="A250" s="261"/>
      <c r="B250" s="261"/>
      <c r="C250" s="261"/>
      <c r="D250" s="265"/>
      <c r="E250" s="265"/>
      <c r="F250" s="265"/>
      <c r="G250" s="265"/>
      <c r="H250" s="265"/>
      <c r="I250" s="265"/>
      <c r="J250" s="265"/>
      <c r="K250" s="259"/>
      <c r="L250" s="265"/>
      <c r="M250" s="265"/>
      <c r="N250" s="265"/>
      <c r="O250" s="265"/>
      <c r="P250" s="259"/>
      <c r="Q250" s="259"/>
      <c r="R250" s="259"/>
      <c r="S250" s="259"/>
      <c r="T250" s="259"/>
      <c r="U250" s="259"/>
      <c r="V250" s="259"/>
      <c r="W250" s="259"/>
      <c r="X250" s="259"/>
      <c r="Y250" s="260"/>
    </row>
    <row r="251" spans="1:25" ht="13">
      <c r="A251" s="261"/>
      <c r="B251" s="261"/>
      <c r="C251" s="261"/>
      <c r="D251" s="265"/>
      <c r="E251" s="265"/>
      <c r="F251" s="265"/>
      <c r="G251" s="265"/>
      <c r="H251" s="265"/>
      <c r="I251" s="265"/>
      <c r="J251" s="265"/>
      <c r="K251" s="259"/>
      <c r="L251" s="265"/>
      <c r="M251" s="265"/>
      <c r="N251" s="265"/>
      <c r="O251" s="265"/>
      <c r="P251" s="259"/>
      <c r="Q251" s="259"/>
      <c r="R251" s="259"/>
      <c r="S251" s="259"/>
      <c r="T251" s="259"/>
      <c r="U251" s="259"/>
      <c r="V251" s="259"/>
      <c r="W251" s="259"/>
      <c r="X251" s="259"/>
      <c r="Y251" s="260"/>
    </row>
    <row r="252" spans="1:25" ht="13">
      <c r="A252" s="261"/>
      <c r="B252" s="261"/>
      <c r="C252" s="261"/>
      <c r="D252" s="265"/>
      <c r="E252" s="265"/>
      <c r="F252" s="265"/>
      <c r="G252" s="265"/>
      <c r="H252" s="265"/>
      <c r="I252" s="265"/>
      <c r="J252" s="265"/>
      <c r="K252" s="259"/>
      <c r="L252" s="265"/>
      <c r="M252" s="265"/>
      <c r="N252" s="265"/>
      <c r="O252" s="265"/>
      <c r="P252" s="259"/>
      <c r="Q252" s="259"/>
      <c r="R252" s="259"/>
      <c r="S252" s="259"/>
      <c r="T252" s="259"/>
      <c r="U252" s="259"/>
      <c r="V252" s="259"/>
      <c r="W252" s="259"/>
      <c r="X252" s="259"/>
      <c r="Y252" s="260"/>
    </row>
    <row r="253" spans="1:25" ht="13">
      <c r="A253" s="261"/>
      <c r="B253" s="261"/>
      <c r="C253" s="261"/>
      <c r="D253" s="265"/>
      <c r="E253" s="265"/>
      <c r="F253" s="265"/>
      <c r="G253" s="265"/>
      <c r="H253" s="265"/>
      <c r="I253" s="265"/>
      <c r="J253" s="265"/>
      <c r="K253" s="259"/>
      <c r="L253" s="265"/>
      <c r="M253" s="265"/>
      <c r="N253" s="265"/>
      <c r="O253" s="265"/>
      <c r="P253" s="259"/>
      <c r="Q253" s="259"/>
      <c r="R253" s="259"/>
      <c r="S253" s="259"/>
      <c r="T253" s="259"/>
      <c r="U253" s="259"/>
      <c r="V253" s="259"/>
      <c r="W253" s="259"/>
      <c r="X253" s="259"/>
      <c r="Y253" s="260"/>
    </row>
    <row r="254" spans="1:25" ht="13">
      <c r="A254" s="261"/>
      <c r="B254" s="261"/>
      <c r="C254" s="261"/>
      <c r="D254" s="265"/>
      <c r="E254" s="265"/>
      <c r="F254" s="265"/>
      <c r="G254" s="265"/>
      <c r="H254" s="265"/>
      <c r="I254" s="265"/>
      <c r="J254" s="265"/>
      <c r="K254" s="259"/>
      <c r="L254" s="265"/>
      <c r="M254" s="265"/>
      <c r="N254" s="265"/>
      <c r="O254" s="265"/>
      <c r="P254" s="259"/>
      <c r="Q254" s="259"/>
      <c r="R254" s="259"/>
      <c r="S254" s="259"/>
      <c r="T254" s="259"/>
      <c r="U254" s="259"/>
      <c r="V254" s="259"/>
      <c r="W254" s="259"/>
      <c r="X254" s="259"/>
      <c r="Y254" s="260"/>
    </row>
    <row r="255" spans="1:25" ht="13">
      <c r="A255" s="261"/>
      <c r="B255" s="261"/>
      <c r="C255" s="261"/>
      <c r="D255" s="265"/>
      <c r="E255" s="265"/>
      <c r="F255" s="265"/>
      <c r="G255" s="265"/>
      <c r="H255" s="265"/>
      <c r="I255" s="265"/>
      <c r="J255" s="265"/>
      <c r="K255" s="259"/>
      <c r="L255" s="265"/>
      <c r="M255" s="265"/>
      <c r="N255" s="265"/>
      <c r="O255" s="265"/>
      <c r="P255" s="259"/>
      <c r="Q255" s="259"/>
      <c r="R255" s="259"/>
      <c r="S255" s="259"/>
      <c r="T255" s="259"/>
      <c r="U255" s="259"/>
      <c r="V255" s="259"/>
      <c r="W255" s="259"/>
      <c r="X255" s="259"/>
      <c r="Y255" s="260"/>
    </row>
    <row r="256" spans="1:25" ht="13">
      <c r="A256" s="261"/>
      <c r="B256" s="261"/>
      <c r="C256" s="261"/>
      <c r="D256" s="265"/>
      <c r="E256" s="265"/>
      <c r="F256" s="265"/>
      <c r="G256" s="265"/>
      <c r="H256" s="265"/>
      <c r="I256" s="265"/>
      <c r="J256" s="265"/>
      <c r="K256" s="259"/>
      <c r="L256" s="265"/>
      <c r="M256" s="265"/>
      <c r="N256" s="265"/>
      <c r="O256" s="265"/>
      <c r="P256" s="259"/>
      <c r="Q256" s="259"/>
      <c r="R256" s="259"/>
      <c r="S256" s="259"/>
      <c r="T256" s="259"/>
      <c r="U256" s="259"/>
      <c r="V256" s="259"/>
      <c r="W256" s="259"/>
      <c r="X256" s="259"/>
      <c r="Y256" s="260"/>
    </row>
    <row r="257" spans="1:25" ht="13">
      <c r="A257" s="261"/>
      <c r="B257" s="261"/>
      <c r="C257" s="261"/>
      <c r="D257" s="265"/>
      <c r="E257" s="265"/>
      <c r="F257" s="265"/>
      <c r="G257" s="265"/>
      <c r="H257" s="265"/>
      <c r="I257" s="265"/>
      <c r="J257" s="265"/>
      <c r="K257" s="259"/>
      <c r="L257" s="265"/>
      <c r="M257" s="265"/>
      <c r="N257" s="265"/>
      <c r="O257" s="265"/>
      <c r="P257" s="259"/>
      <c r="Q257" s="259"/>
      <c r="R257" s="259"/>
      <c r="S257" s="259"/>
      <c r="T257" s="259"/>
      <c r="U257" s="259"/>
      <c r="V257" s="259"/>
      <c r="W257" s="259"/>
      <c r="X257" s="259"/>
      <c r="Y257" s="260"/>
    </row>
    <row r="258" spans="1:25" ht="13">
      <c r="A258" s="261"/>
      <c r="B258" s="261"/>
      <c r="C258" s="261"/>
      <c r="D258" s="265"/>
      <c r="E258" s="265"/>
      <c r="F258" s="265"/>
      <c r="G258" s="265"/>
      <c r="H258" s="265"/>
      <c r="I258" s="265"/>
      <c r="J258" s="265"/>
      <c r="K258" s="259"/>
      <c r="L258" s="265"/>
      <c r="M258" s="265"/>
      <c r="N258" s="265"/>
      <c r="O258" s="265"/>
      <c r="P258" s="259"/>
      <c r="Q258" s="259"/>
      <c r="R258" s="259"/>
      <c r="S258" s="259"/>
      <c r="T258" s="259"/>
      <c r="U258" s="259"/>
      <c r="V258" s="259"/>
      <c r="W258" s="259"/>
      <c r="X258" s="259"/>
      <c r="Y258" s="260"/>
    </row>
    <row r="259" spans="1:25" ht="13">
      <c r="A259" s="261"/>
      <c r="B259" s="261"/>
      <c r="C259" s="261"/>
      <c r="D259" s="265"/>
      <c r="E259" s="265"/>
      <c r="F259" s="265"/>
      <c r="G259" s="265"/>
      <c r="H259" s="265"/>
      <c r="I259" s="265"/>
      <c r="J259" s="265"/>
      <c r="K259" s="259"/>
      <c r="L259" s="265"/>
      <c r="M259" s="265"/>
      <c r="N259" s="265"/>
      <c r="O259" s="265"/>
      <c r="P259" s="259"/>
      <c r="Q259" s="259"/>
      <c r="R259" s="259"/>
      <c r="S259" s="259"/>
      <c r="T259" s="259"/>
      <c r="U259" s="259"/>
      <c r="V259" s="259"/>
      <c r="W259" s="259"/>
      <c r="X259" s="259"/>
      <c r="Y259" s="260"/>
    </row>
    <row r="260" spans="1:25" ht="13">
      <c r="A260" s="261"/>
      <c r="B260" s="261"/>
      <c r="C260" s="261"/>
      <c r="D260" s="265"/>
      <c r="E260" s="265"/>
      <c r="F260" s="265"/>
      <c r="G260" s="265"/>
      <c r="H260" s="265"/>
      <c r="I260" s="265"/>
      <c r="J260" s="265"/>
      <c r="K260" s="259"/>
      <c r="L260" s="265"/>
      <c r="M260" s="265"/>
      <c r="N260" s="265"/>
      <c r="O260" s="265"/>
      <c r="P260" s="259"/>
      <c r="Q260" s="259"/>
      <c r="R260" s="259"/>
      <c r="S260" s="259"/>
      <c r="T260" s="259"/>
      <c r="U260" s="259"/>
      <c r="V260" s="259"/>
      <c r="W260" s="259"/>
      <c r="X260" s="259"/>
      <c r="Y260" s="260"/>
    </row>
    <row r="261" spans="1:25" ht="13">
      <c r="A261" s="261"/>
      <c r="B261" s="261"/>
      <c r="C261" s="261"/>
      <c r="D261" s="265"/>
      <c r="E261" s="265"/>
      <c r="F261" s="265"/>
      <c r="G261" s="265"/>
      <c r="H261" s="265"/>
      <c r="I261" s="265"/>
      <c r="J261" s="265"/>
      <c r="K261" s="259"/>
      <c r="L261" s="265"/>
      <c r="M261" s="265"/>
      <c r="N261" s="265"/>
      <c r="O261" s="265"/>
      <c r="P261" s="259"/>
      <c r="Q261" s="259"/>
      <c r="R261" s="259"/>
      <c r="S261" s="259"/>
      <c r="T261" s="259"/>
      <c r="U261" s="259"/>
      <c r="V261" s="259"/>
      <c r="W261" s="259"/>
      <c r="X261" s="259"/>
      <c r="Y261" s="260"/>
    </row>
    <row r="262" spans="1:25" ht="13">
      <c r="A262" s="261"/>
      <c r="B262" s="261"/>
      <c r="C262" s="261"/>
      <c r="D262" s="265"/>
      <c r="E262" s="265"/>
      <c r="F262" s="265"/>
      <c r="G262" s="265"/>
      <c r="H262" s="265"/>
      <c r="I262" s="265"/>
      <c r="J262" s="265"/>
      <c r="K262" s="259"/>
      <c r="L262" s="265"/>
      <c r="M262" s="265"/>
      <c r="N262" s="265"/>
      <c r="O262" s="265"/>
      <c r="P262" s="259"/>
      <c r="Q262" s="259"/>
      <c r="R262" s="259"/>
      <c r="S262" s="259"/>
      <c r="T262" s="259"/>
      <c r="U262" s="259"/>
      <c r="V262" s="259"/>
      <c r="W262" s="259"/>
      <c r="X262" s="259"/>
      <c r="Y262" s="260"/>
    </row>
    <row r="263" spans="1:25" ht="13">
      <c r="A263" s="261"/>
      <c r="B263" s="261"/>
      <c r="C263" s="261"/>
      <c r="D263" s="265"/>
      <c r="E263" s="265"/>
      <c r="F263" s="265"/>
      <c r="G263" s="265"/>
      <c r="H263" s="265"/>
      <c r="I263" s="265"/>
      <c r="J263" s="265"/>
      <c r="K263" s="259"/>
      <c r="L263" s="265"/>
      <c r="M263" s="265"/>
      <c r="N263" s="265"/>
      <c r="O263" s="265"/>
      <c r="P263" s="259"/>
      <c r="Q263" s="259"/>
      <c r="R263" s="259"/>
      <c r="S263" s="259"/>
      <c r="T263" s="259"/>
      <c r="U263" s="259"/>
      <c r="V263" s="259"/>
      <c r="W263" s="259"/>
      <c r="X263" s="259"/>
      <c r="Y263" s="260"/>
    </row>
    <row r="264" spans="1:25" ht="13">
      <c r="A264" s="261"/>
      <c r="B264" s="261"/>
      <c r="C264" s="261"/>
      <c r="D264" s="265"/>
      <c r="E264" s="265"/>
      <c r="F264" s="265"/>
      <c r="G264" s="265"/>
      <c r="H264" s="265"/>
      <c r="I264" s="265"/>
      <c r="J264" s="265"/>
      <c r="K264" s="259"/>
      <c r="L264" s="265"/>
      <c r="M264" s="265"/>
      <c r="N264" s="265"/>
      <c r="O264" s="265"/>
      <c r="P264" s="259"/>
      <c r="Q264" s="259"/>
      <c r="R264" s="259"/>
      <c r="S264" s="259"/>
      <c r="T264" s="259"/>
      <c r="U264" s="259"/>
      <c r="V264" s="259"/>
      <c r="W264" s="259"/>
      <c r="X264" s="259"/>
      <c r="Y264" s="260"/>
    </row>
    <row r="265" spans="1:25" ht="13">
      <c r="A265" s="261"/>
      <c r="B265" s="261"/>
      <c r="C265" s="261"/>
      <c r="D265" s="265"/>
      <c r="E265" s="265"/>
      <c r="F265" s="265"/>
      <c r="G265" s="265"/>
      <c r="H265" s="265"/>
      <c r="I265" s="265"/>
      <c r="J265" s="265"/>
      <c r="K265" s="259"/>
      <c r="L265" s="265"/>
      <c r="M265" s="265"/>
      <c r="N265" s="265"/>
      <c r="O265" s="265"/>
      <c r="P265" s="259"/>
      <c r="Q265" s="259"/>
      <c r="R265" s="259"/>
      <c r="S265" s="259"/>
      <c r="T265" s="259"/>
      <c r="U265" s="259"/>
      <c r="V265" s="259"/>
      <c r="W265" s="259"/>
      <c r="X265" s="259"/>
      <c r="Y265" s="260"/>
    </row>
    <row r="266" spans="1:25" ht="13">
      <c r="A266" s="261"/>
      <c r="B266" s="261"/>
      <c r="C266" s="261"/>
      <c r="D266" s="265"/>
      <c r="E266" s="265"/>
      <c r="F266" s="265"/>
      <c r="G266" s="265"/>
      <c r="H266" s="265"/>
      <c r="I266" s="265"/>
      <c r="J266" s="265"/>
      <c r="K266" s="259"/>
      <c r="L266" s="265"/>
      <c r="M266" s="265"/>
      <c r="N266" s="265"/>
      <c r="O266" s="265"/>
      <c r="P266" s="259"/>
      <c r="Q266" s="259"/>
      <c r="R266" s="259"/>
      <c r="S266" s="259"/>
      <c r="T266" s="259"/>
      <c r="U266" s="259"/>
      <c r="V266" s="259"/>
      <c r="W266" s="259"/>
      <c r="X266" s="259"/>
      <c r="Y266" s="260"/>
    </row>
    <row r="267" spans="1:25" ht="13">
      <c r="A267" s="261"/>
      <c r="B267" s="261"/>
      <c r="C267" s="261"/>
      <c r="D267" s="265"/>
      <c r="E267" s="265"/>
      <c r="F267" s="265"/>
      <c r="G267" s="265"/>
      <c r="H267" s="265"/>
      <c r="I267" s="265"/>
      <c r="J267" s="265"/>
      <c r="K267" s="259"/>
      <c r="L267" s="265"/>
      <c r="M267" s="265"/>
      <c r="N267" s="265"/>
      <c r="O267" s="265"/>
      <c r="P267" s="259"/>
      <c r="Q267" s="259"/>
      <c r="R267" s="259"/>
      <c r="S267" s="259"/>
      <c r="T267" s="259"/>
      <c r="U267" s="259"/>
      <c r="V267" s="259"/>
      <c r="W267" s="259"/>
      <c r="X267" s="259"/>
      <c r="Y267" s="260"/>
    </row>
    <row r="268" spans="1:25" ht="13">
      <c r="A268" s="261"/>
      <c r="B268" s="261"/>
      <c r="C268" s="261"/>
      <c r="D268" s="265"/>
      <c r="E268" s="265"/>
      <c r="F268" s="265"/>
      <c r="G268" s="265"/>
      <c r="H268" s="265"/>
      <c r="I268" s="265"/>
      <c r="J268" s="265"/>
      <c r="K268" s="259"/>
      <c r="L268" s="265"/>
      <c r="M268" s="265"/>
      <c r="N268" s="265"/>
      <c r="O268" s="265"/>
      <c r="P268" s="259"/>
      <c r="Q268" s="259"/>
      <c r="R268" s="259"/>
      <c r="S268" s="259"/>
      <c r="T268" s="259"/>
      <c r="U268" s="259"/>
      <c r="V268" s="259"/>
      <c r="W268" s="259"/>
      <c r="X268" s="259"/>
      <c r="Y268" s="260"/>
    </row>
    <row r="269" spans="1:25" ht="13">
      <c r="A269" s="261"/>
      <c r="B269" s="261"/>
      <c r="C269" s="261"/>
      <c r="D269" s="265"/>
      <c r="E269" s="265"/>
      <c r="F269" s="265"/>
      <c r="G269" s="265"/>
      <c r="H269" s="265"/>
      <c r="I269" s="265"/>
      <c r="J269" s="265"/>
      <c r="K269" s="259"/>
      <c r="L269" s="265"/>
      <c r="M269" s="265"/>
      <c r="N269" s="265"/>
      <c r="O269" s="265"/>
      <c r="P269" s="259"/>
      <c r="Q269" s="259"/>
      <c r="R269" s="259"/>
      <c r="S269" s="259"/>
      <c r="T269" s="259"/>
      <c r="U269" s="259"/>
      <c r="V269" s="259"/>
      <c r="W269" s="259"/>
      <c r="X269" s="259"/>
      <c r="Y269" s="260"/>
    </row>
    <row r="270" spans="1:25" ht="13">
      <c r="A270" s="261"/>
      <c r="B270" s="261"/>
      <c r="C270" s="261"/>
      <c r="D270" s="265"/>
      <c r="E270" s="265"/>
      <c r="F270" s="265"/>
      <c r="G270" s="265"/>
      <c r="H270" s="265"/>
      <c r="I270" s="265"/>
      <c r="J270" s="265"/>
      <c r="K270" s="259"/>
      <c r="L270" s="265"/>
      <c r="M270" s="265"/>
      <c r="N270" s="265"/>
      <c r="O270" s="265"/>
      <c r="P270" s="259"/>
      <c r="Q270" s="259"/>
      <c r="R270" s="259"/>
      <c r="S270" s="259"/>
      <c r="T270" s="259"/>
      <c r="U270" s="259"/>
      <c r="V270" s="259"/>
      <c r="W270" s="259"/>
      <c r="X270" s="259"/>
      <c r="Y270" s="260"/>
    </row>
    <row r="271" spans="1:25" ht="13">
      <c r="A271" s="261"/>
      <c r="B271" s="261"/>
      <c r="C271" s="261"/>
      <c r="D271" s="265"/>
      <c r="E271" s="265"/>
      <c r="F271" s="265"/>
      <c r="G271" s="265"/>
      <c r="H271" s="265"/>
      <c r="I271" s="265"/>
      <c r="J271" s="265"/>
      <c r="K271" s="259"/>
      <c r="L271" s="265"/>
      <c r="M271" s="265"/>
      <c r="N271" s="265"/>
      <c r="O271" s="265"/>
      <c r="P271" s="259"/>
      <c r="Q271" s="259"/>
      <c r="R271" s="259"/>
      <c r="S271" s="259"/>
      <c r="T271" s="259"/>
      <c r="U271" s="259"/>
      <c r="V271" s="259"/>
      <c r="W271" s="259"/>
      <c r="X271" s="259"/>
      <c r="Y271" s="260"/>
    </row>
    <row r="272" spans="1:25" ht="13">
      <c r="A272" s="261"/>
      <c r="B272" s="261"/>
      <c r="C272" s="261"/>
      <c r="D272" s="265"/>
      <c r="E272" s="265"/>
      <c r="F272" s="265"/>
      <c r="G272" s="265"/>
      <c r="H272" s="265"/>
      <c r="I272" s="265"/>
      <c r="J272" s="265"/>
      <c r="K272" s="259"/>
      <c r="L272" s="265"/>
      <c r="M272" s="265"/>
      <c r="N272" s="265"/>
      <c r="O272" s="265"/>
      <c r="P272" s="259"/>
      <c r="Q272" s="259"/>
      <c r="R272" s="259"/>
      <c r="S272" s="259"/>
      <c r="T272" s="259"/>
      <c r="U272" s="259"/>
      <c r="V272" s="259"/>
      <c r="W272" s="259"/>
      <c r="X272" s="259"/>
      <c r="Y272" s="260"/>
    </row>
    <row r="273" spans="1:25" ht="13">
      <c r="A273" s="261"/>
      <c r="B273" s="261"/>
      <c r="C273" s="261"/>
      <c r="D273" s="265"/>
      <c r="E273" s="265"/>
      <c r="F273" s="265"/>
      <c r="G273" s="265"/>
      <c r="H273" s="265"/>
      <c r="I273" s="265"/>
      <c r="J273" s="265"/>
      <c r="K273" s="259"/>
      <c r="L273" s="265"/>
      <c r="M273" s="265"/>
      <c r="N273" s="265"/>
      <c r="O273" s="265"/>
      <c r="P273" s="259"/>
      <c r="Q273" s="259"/>
      <c r="R273" s="259"/>
      <c r="S273" s="259"/>
      <c r="T273" s="259"/>
      <c r="U273" s="259"/>
      <c r="V273" s="259"/>
      <c r="W273" s="259"/>
      <c r="X273" s="259"/>
      <c r="Y273" s="260"/>
    </row>
    <row r="274" spans="1:25" ht="13">
      <c r="A274" s="261"/>
      <c r="B274" s="261"/>
      <c r="C274" s="261"/>
      <c r="D274" s="265"/>
      <c r="E274" s="265"/>
      <c r="F274" s="265"/>
      <c r="G274" s="265"/>
      <c r="H274" s="265"/>
      <c r="I274" s="265"/>
      <c r="J274" s="265"/>
      <c r="K274" s="259"/>
      <c r="L274" s="265"/>
      <c r="M274" s="265"/>
      <c r="N274" s="265"/>
      <c r="O274" s="265"/>
      <c r="P274" s="259"/>
      <c r="Q274" s="259"/>
      <c r="R274" s="259"/>
      <c r="S274" s="259"/>
      <c r="T274" s="259"/>
      <c r="U274" s="259"/>
      <c r="V274" s="259"/>
      <c r="W274" s="259"/>
      <c r="X274" s="259"/>
      <c r="Y274" s="260"/>
    </row>
    <row r="275" spans="1:25" ht="13">
      <c r="A275" s="261"/>
      <c r="B275" s="261"/>
      <c r="C275" s="261"/>
      <c r="D275" s="265"/>
      <c r="E275" s="265"/>
      <c r="F275" s="265"/>
      <c r="G275" s="265"/>
      <c r="H275" s="265"/>
      <c r="I275" s="265"/>
      <c r="J275" s="265"/>
      <c r="K275" s="259"/>
      <c r="L275" s="265"/>
      <c r="M275" s="265"/>
      <c r="N275" s="265"/>
      <c r="O275" s="265"/>
      <c r="P275" s="259"/>
      <c r="Q275" s="259"/>
      <c r="R275" s="259"/>
      <c r="S275" s="259"/>
      <c r="T275" s="259"/>
      <c r="U275" s="259"/>
      <c r="V275" s="259"/>
      <c r="W275" s="259"/>
      <c r="X275" s="259"/>
      <c r="Y275" s="260"/>
    </row>
    <row r="276" spans="1:25" ht="13">
      <c r="A276" s="261"/>
      <c r="B276" s="261"/>
      <c r="C276" s="261"/>
      <c r="D276" s="265"/>
      <c r="E276" s="265"/>
      <c r="F276" s="265"/>
      <c r="G276" s="265"/>
      <c r="H276" s="265"/>
      <c r="I276" s="265"/>
      <c r="J276" s="265"/>
      <c r="K276" s="259"/>
      <c r="L276" s="265"/>
      <c r="M276" s="265"/>
      <c r="N276" s="265"/>
      <c r="O276" s="265"/>
      <c r="P276" s="259"/>
      <c r="Q276" s="259"/>
      <c r="R276" s="259"/>
      <c r="S276" s="259"/>
      <c r="T276" s="259"/>
      <c r="U276" s="259"/>
      <c r="V276" s="259"/>
      <c r="W276" s="259"/>
      <c r="X276" s="259"/>
      <c r="Y276" s="260"/>
    </row>
    <row r="277" spans="1:25" ht="13">
      <c r="A277" s="261"/>
      <c r="B277" s="261"/>
      <c r="C277" s="261"/>
      <c r="D277" s="265"/>
      <c r="E277" s="265"/>
      <c r="F277" s="265"/>
      <c r="G277" s="265"/>
      <c r="H277" s="265"/>
      <c r="I277" s="265"/>
      <c r="J277" s="265"/>
      <c r="K277" s="259"/>
      <c r="L277" s="265"/>
      <c r="M277" s="265"/>
      <c r="N277" s="265"/>
      <c r="O277" s="265"/>
      <c r="P277" s="259"/>
      <c r="Q277" s="259"/>
      <c r="R277" s="259"/>
      <c r="S277" s="259"/>
      <c r="T277" s="259"/>
      <c r="U277" s="259"/>
      <c r="V277" s="259"/>
      <c r="W277" s="259"/>
      <c r="X277" s="259"/>
      <c r="Y277" s="260"/>
    </row>
    <row r="278" spans="1:25" ht="13">
      <c r="A278" s="261"/>
      <c r="B278" s="261"/>
      <c r="C278" s="261"/>
      <c r="D278" s="265"/>
      <c r="E278" s="265"/>
      <c r="F278" s="265"/>
      <c r="G278" s="265"/>
      <c r="H278" s="265"/>
      <c r="I278" s="265"/>
      <c r="J278" s="265"/>
      <c r="K278" s="259"/>
      <c r="L278" s="265"/>
      <c r="M278" s="265"/>
      <c r="N278" s="265"/>
      <c r="O278" s="265"/>
      <c r="P278" s="259"/>
      <c r="Q278" s="259"/>
      <c r="R278" s="259"/>
      <c r="S278" s="259"/>
      <c r="T278" s="259"/>
      <c r="U278" s="259"/>
      <c r="V278" s="259"/>
      <c r="W278" s="259"/>
      <c r="X278" s="259"/>
      <c r="Y278" s="260"/>
    </row>
    <row r="279" spans="1:25" ht="13">
      <c r="A279" s="261"/>
      <c r="B279" s="261"/>
      <c r="C279" s="261"/>
      <c r="D279" s="265"/>
      <c r="E279" s="265"/>
      <c r="F279" s="265"/>
      <c r="G279" s="265"/>
      <c r="H279" s="265"/>
      <c r="I279" s="265"/>
      <c r="J279" s="265"/>
      <c r="K279" s="259"/>
      <c r="L279" s="265"/>
      <c r="M279" s="265"/>
      <c r="N279" s="265"/>
      <c r="O279" s="265"/>
      <c r="P279" s="259"/>
      <c r="Q279" s="259"/>
      <c r="R279" s="259"/>
      <c r="S279" s="259"/>
      <c r="T279" s="259"/>
      <c r="U279" s="259"/>
      <c r="V279" s="259"/>
      <c r="W279" s="259"/>
      <c r="X279" s="259"/>
      <c r="Y279" s="260"/>
    </row>
    <row r="280" spans="1:25" ht="13">
      <c r="A280" s="261"/>
      <c r="B280" s="261"/>
      <c r="C280" s="261"/>
      <c r="D280" s="265"/>
      <c r="E280" s="265"/>
      <c r="F280" s="265"/>
      <c r="G280" s="265"/>
      <c r="H280" s="265"/>
      <c r="I280" s="265"/>
      <c r="J280" s="265"/>
      <c r="K280" s="259"/>
      <c r="L280" s="265"/>
      <c r="M280" s="265"/>
      <c r="N280" s="265"/>
      <c r="O280" s="265"/>
      <c r="P280" s="259"/>
      <c r="Q280" s="259"/>
      <c r="R280" s="259"/>
      <c r="S280" s="259"/>
      <c r="T280" s="259"/>
      <c r="U280" s="259"/>
      <c r="V280" s="259"/>
      <c r="W280" s="259"/>
      <c r="X280" s="259"/>
      <c r="Y280" s="260"/>
    </row>
    <row r="281" spans="1:25" ht="13">
      <c r="A281" s="261"/>
      <c r="B281" s="261"/>
      <c r="C281" s="261"/>
      <c r="D281" s="265"/>
      <c r="E281" s="265"/>
      <c r="F281" s="265"/>
      <c r="G281" s="265"/>
      <c r="H281" s="265"/>
      <c r="I281" s="265"/>
      <c r="J281" s="265"/>
      <c r="K281" s="259"/>
      <c r="L281" s="265"/>
      <c r="M281" s="265"/>
      <c r="N281" s="265"/>
      <c r="O281" s="265"/>
      <c r="P281" s="259"/>
      <c r="Q281" s="259"/>
      <c r="R281" s="259"/>
      <c r="S281" s="259"/>
      <c r="T281" s="259"/>
      <c r="U281" s="259"/>
      <c r="V281" s="259"/>
      <c r="W281" s="259"/>
      <c r="X281" s="259"/>
      <c r="Y281" s="260"/>
    </row>
    <row r="282" spans="1:25" ht="13">
      <c r="A282" s="261"/>
      <c r="B282" s="261"/>
      <c r="C282" s="261"/>
      <c r="D282" s="265"/>
      <c r="E282" s="265"/>
      <c r="F282" s="265"/>
      <c r="G282" s="265"/>
      <c r="H282" s="265"/>
      <c r="I282" s="265"/>
      <c r="J282" s="265"/>
      <c r="K282" s="259"/>
      <c r="L282" s="265"/>
      <c r="M282" s="265"/>
      <c r="N282" s="265"/>
      <c r="O282" s="265"/>
      <c r="P282" s="259"/>
      <c r="Q282" s="259"/>
      <c r="R282" s="259"/>
      <c r="S282" s="259"/>
      <c r="T282" s="259"/>
      <c r="U282" s="259"/>
      <c r="V282" s="259"/>
      <c r="W282" s="259"/>
      <c r="X282" s="259"/>
      <c r="Y282" s="260"/>
    </row>
    <row r="283" spans="1:25" ht="13">
      <c r="A283" s="261"/>
      <c r="B283" s="261"/>
      <c r="C283" s="261"/>
      <c r="D283" s="265"/>
      <c r="E283" s="265"/>
      <c r="F283" s="265"/>
      <c r="G283" s="265"/>
      <c r="H283" s="265"/>
      <c r="I283" s="265"/>
      <c r="J283" s="265"/>
      <c r="K283" s="259"/>
      <c r="L283" s="265"/>
      <c r="M283" s="265"/>
      <c r="N283" s="265"/>
      <c r="O283" s="265"/>
      <c r="P283" s="259"/>
      <c r="Q283" s="259"/>
      <c r="R283" s="259"/>
      <c r="S283" s="259"/>
      <c r="T283" s="259"/>
      <c r="U283" s="259"/>
      <c r="V283" s="259"/>
      <c r="W283" s="259"/>
      <c r="X283" s="259"/>
      <c r="Y283" s="260"/>
    </row>
    <row r="284" spans="1:25" ht="13">
      <c r="A284" s="261"/>
      <c r="B284" s="261"/>
      <c r="C284" s="261"/>
      <c r="D284" s="265"/>
      <c r="E284" s="265"/>
      <c r="F284" s="265"/>
      <c r="G284" s="265"/>
      <c r="H284" s="265"/>
      <c r="I284" s="265"/>
      <c r="J284" s="265"/>
      <c r="K284" s="259"/>
      <c r="L284" s="265"/>
      <c r="M284" s="265"/>
      <c r="N284" s="265"/>
      <c r="O284" s="265"/>
      <c r="P284" s="259"/>
      <c r="Q284" s="259"/>
      <c r="R284" s="259"/>
      <c r="S284" s="259"/>
      <c r="T284" s="259"/>
      <c r="U284" s="259"/>
      <c r="V284" s="259"/>
      <c r="W284" s="259"/>
      <c r="X284" s="259"/>
      <c r="Y284" s="260"/>
    </row>
    <row r="285" spans="1:25" ht="13">
      <c r="A285" s="261"/>
      <c r="B285" s="261"/>
      <c r="C285" s="261"/>
      <c r="D285" s="265"/>
      <c r="E285" s="265"/>
      <c r="F285" s="265"/>
      <c r="G285" s="265"/>
      <c r="H285" s="265"/>
      <c r="I285" s="265"/>
      <c r="J285" s="265"/>
      <c r="K285" s="259"/>
      <c r="L285" s="265"/>
      <c r="M285" s="265"/>
      <c r="N285" s="265"/>
      <c r="O285" s="265"/>
      <c r="P285" s="259"/>
      <c r="Q285" s="259"/>
      <c r="R285" s="259"/>
      <c r="S285" s="259"/>
      <c r="T285" s="259"/>
      <c r="U285" s="259"/>
      <c r="V285" s="259"/>
      <c r="W285" s="259"/>
      <c r="X285" s="259"/>
      <c r="Y285" s="260"/>
    </row>
    <row r="286" spans="1:25" ht="13">
      <c r="A286" s="261"/>
      <c r="B286" s="261"/>
      <c r="C286" s="261"/>
      <c r="D286" s="265"/>
      <c r="E286" s="265"/>
      <c r="F286" s="265"/>
      <c r="G286" s="265"/>
      <c r="H286" s="265"/>
      <c r="I286" s="265"/>
      <c r="J286" s="265"/>
      <c r="K286" s="259"/>
      <c r="L286" s="265"/>
      <c r="M286" s="265"/>
      <c r="N286" s="265"/>
      <c r="O286" s="265"/>
      <c r="P286" s="259"/>
      <c r="Q286" s="259"/>
      <c r="R286" s="259"/>
      <c r="S286" s="259"/>
      <c r="T286" s="259"/>
      <c r="U286" s="259"/>
      <c r="V286" s="259"/>
      <c r="W286" s="259"/>
      <c r="X286" s="259"/>
      <c r="Y286" s="260"/>
    </row>
    <row r="287" spans="1:25" ht="13">
      <c r="A287" s="261"/>
      <c r="B287" s="261"/>
      <c r="C287" s="261"/>
      <c r="D287" s="265"/>
      <c r="E287" s="265"/>
      <c r="F287" s="265"/>
      <c r="G287" s="265"/>
      <c r="H287" s="265"/>
      <c r="I287" s="265"/>
      <c r="J287" s="265"/>
      <c r="K287" s="259"/>
      <c r="L287" s="265"/>
      <c r="M287" s="265"/>
      <c r="N287" s="265"/>
      <c r="O287" s="265"/>
      <c r="P287" s="259"/>
      <c r="Q287" s="259"/>
      <c r="R287" s="259"/>
      <c r="S287" s="259"/>
      <c r="T287" s="259"/>
      <c r="U287" s="259"/>
      <c r="V287" s="259"/>
      <c r="W287" s="259"/>
      <c r="X287" s="259"/>
      <c r="Y287" s="260"/>
    </row>
    <row r="288" spans="1:25" ht="13">
      <c r="A288" s="261"/>
      <c r="B288" s="261"/>
      <c r="C288" s="261"/>
      <c r="D288" s="265"/>
      <c r="E288" s="265"/>
      <c r="F288" s="265"/>
      <c r="G288" s="265"/>
      <c r="H288" s="265"/>
      <c r="I288" s="265"/>
      <c r="J288" s="265"/>
      <c r="K288" s="259"/>
      <c r="L288" s="265"/>
      <c r="M288" s="265"/>
      <c r="N288" s="265"/>
      <c r="O288" s="265"/>
      <c r="P288" s="259"/>
      <c r="Q288" s="259"/>
      <c r="R288" s="259"/>
      <c r="S288" s="259"/>
      <c r="T288" s="259"/>
      <c r="U288" s="259"/>
      <c r="V288" s="259"/>
      <c r="W288" s="259"/>
      <c r="X288" s="259"/>
      <c r="Y288" s="260"/>
    </row>
    <row r="289" spans="1:25" ht="13">
      <c r="A289" s="261"/>
      <c r="B289" s="261"/>
      <c r="C289" s="261"/>
      <c r="D289" s="265"/>
      <c r="E289" s="265"/>
      <c r="F289" s="265"/>
      <c r="G289" s="265"/>
      <c r="H289" s="265"/>
      <c r="I289" s="265"/>
      <c r="J289" s="265"/>
      <c r="K289" s="259"/>
      <c r="L289" s="265"/>
      <c r="M289" s="265"/>
      <c r="N289" s="265"/>
      <c r="O289" s="265"/>
      <c r="P289" s="259"/>
      <c r="Q289" s="259"/>
      <c r="R289" s="259"/>
      <c r="S289" s="259"/>
      <c r="T289" s="259"/>
      <c r="U289" s="259"/>
      <c r="V289" s="259"/>
      <c r="W289" s="259"/>
      <c r="X289" s="259"/>
      <c r="Y289" s="260"/>
    </row>
    <row r="290" spans="1:25" ht="13">
      <c r="A290" s="261"/>
      <c r="B290" s="261"/>
      <c r="C290" s="261"/>
      <c r="D290" s="265"/>
      <c r="E290" s="265"/>
      <c r="F290" s="265"/>
      <c r="G290" s="265"/>
      <c r="H290" s="265"/>
      <c r="I290" s="265"/>
      <c r="J290" s="265"/>
      <c r="K290" s="259"/>
      <c r="L290" s="265"/>
      <c r="M290" s="265"/>
      <c r="N290" s="265"/>
      <c r="O290" s="265"/>
      <c r="P290" s="259"/>
      <c r="Q290" s="259"/>
      <c r="R290" s="259"/>
      <c r="S290" s="259"/>
      <c r="T290" s="259"/>
      <c r="U290" s="259"/>
      <c r="V290" s="259"/>
      <c r="W290" s="259"/>
      <c r="X290" s="259"/>
      <c r="Y290" s="260"/>
    </row>
    <row r="291" spans="1:25" ht="13">
      <c r="A291" s="261"/>
      <c r="B291" s="261"/>
      <c r="C291" s="261"/>
      <c r="D291" s="265"/>
      <c r="E291" s="265"/>
      <c r="F291" s="265"/>
      <c r="G291" s="265"/>
      <c r="H291" s="265"/>
      <c r="I291" s="265"/>
      <c r="J291" s="265"/>
      <c r="K291" s="259"/>
      <c r="L291" s="265"/>
      <c r="M291" s="265"/>
      <c r="N291" s="265"/>
      <c r="O291" s="265"/>
      <c r="P291" s="259"/>
      <c r="Q291" s="259"/>
      <c r="R291" s="259"/>
      <c r="S291" s="259"/>
      <c r="T291" s="259"/>
      <c r="U291" s="259"/>
      <c r="V291" s="259"/>
      <c r="W291" s="259"/>
      <c r="X291" s="259"/>
      <c r="Y291" s="260"/>
    </row>
    <row r="292" spans="1:25" ht="13">
      <c r="A292" s="261"/>
      <c r="B292" s="261"/>
      <c r="C292" s="261"/>
      <c r="D292" s="265"/>
      <c r="E292" s="265"/>
      <c r="F292" s="265"/>
      <c r="G292" s="265"/>
      <c r="H292" s="265"/>
      <c r="I292" s="265"/>
      <c r="J292" s="265"/>
      <c r="K292" s="259"/>
      <c r="L292" s="265"/>
      <c r="M292" s="265"/>
      <c r="N292" s="265"/>
      <c r="O292" s="265"/>
      <c r="P292" s="259"/>
      <c r="Q292" s="259"/>
      <c r="R292" s="259"/>
      <c r="S292" s="259"/>
      <c r="T292" s="259"/>
      <c r="U292" s="259"/>
      <c r="V292" s="259"/>
      <c r="W292" s="259"/>
      <c r="X292" s="259"/>
      <c r="Y292" s="260"/>
    </row>
    <row r="293" spans="1:25" ht="13">
      <c r="A293" s="261"/>
      <c r="B293" s="261"/>
      <c r="C293" s="261"/>
      <c r="D293" s="265"/>
      <c r="E293" s="265"/>
      <c r="F293" s="265"/>
      <c r="G293" s="265"/>
      <c r="H293" s="265"/>
      <c r="I293" s="265"/>
      <c r="J293" s="265"/>
      <c r="K293" s="259"/>
      <c r="L293" s="265"/>
      <c r="M293" s="265"/>
      <c r="N293" s="265"/>
      <c r="O293" s="265"/>
      <c r="P293" s="259"/>
      <c r="Q293" s="259"/>
      <c r="R293" s="259"/>
      <c r="S293" s="259"/>
      <c r="T293" s="259"/>
      <c r="U293" s="259"/>
      <c r="V293" s="259"/>
      <c r="W293" s="259"/>
      <c r="X293" s="259"/>
      <c r="Y293" s="260"/>
    </row>
    <row r="294" spans="1:25" ht="13">
      <c r="A294" s="261"/>
      <c r="B294" s="261"/>
      <c r="C294" s="261"/>
      <c r="D294" s="265"/>
      <c r="E294" s="265"/>
      <c r="F294" s="265"/>
      <c r="G294" s="265"/>
      <c r="H294" s="265"/>
      <c r="I294" s="265"/>
      <c r="J294" s="265"/>
      <c r="K294" s="259"/>
      <c r="L294" s="265"/>
      <c r="M294" s="265"/>
      <c r="N294" s="265"/>
      <c r="O294" s="265"/>
      <c r="P294" s="259"/>
      <c r="Q294" s="259"/>
      <c r="R294" s="259"/>
      <c r="S294" s="259"/>
      <c r="T294" s="259"/>
      <c r="U294" s="259"/>
      <c r="V294" s="259"/>
      <c r="W294" s="259"/>
      <c r="X294" s="259"/>
      <c r="Y294" s="260"/>
    </row>
    <row r="295" spans="1:25" ht="13">
      <c r="A295" s="261"/>
      <c r="B295" s="261"/>
      <c r="C295" s="261"/>
      <c r="D295" s="265"/>
      <c r="E295" s="265"/>
      <c r="F295" s="265"/>
      <c r="G295" s="265"/>
      <c r="H295" s="265"/>
      <c r="I295" s="265"/>
      <c r="J295" s="265"/>
      <c r="K295" s="259"/>
      <c r="L295" s="265"/>
      <c r="M295" s="265"/>
      <c r="N295" s="265"/>
      <c r="O295" s="265"/>
      <c r="P295" s="259"/>
      <c r="Q295" s="259"/>
      <c r="R295" s="259"/>
      <c r="S295" s="259"/>
      <c r="T295" s="259"/>
      <c r="U295" s="259"/>
      <c r="V295" s="259"/>
      <c r="W295" s="259"/>
      <c r="X295" s="259"/>
      <c r="Y295" s="260"/>
    </row>
    <row r="296" spans="1:25" ht="13">
      <c r="A296" s="261"/>
      <c r="B296" s="261"/>
      <c r="C296" s="261"/>
      <c r="D296" s="265"/>
      <c r="E296" s="265"/>
      <c r="F296" s="265"/>
      <c r="G296" s="265"/>
      <c r="H296" s="265"/>
      <c r="I296" s="265"/>
      <c r="J296" s="265"/>
      <c r="K296" s="259"/>
      <c r="L296" s="265"/>
      <c r="M296" s="265"/>
      <c r="N296" s="265"/>
      <c r="O296" s="265"/>
      <c r="P296" s="259"/>
      <c r="Q296" s="259"/>
      <c r="R296" s="259"/>
      <c r="S296" s="259"/>
      <c r="T296" s="259"/>
      <c r="U296" s="259"/>
      <c r="V296" s="259"/>
      <c r="W296" s="259"/>
      <c r="X296" s="259"/>
      <c r="Y296" s="260"/>
    </row>
    <row r="297" spans="1:25" ht="13">
      <c r="A297" s="261"/>
      <c r="B297" s="261"/>
      <c r="C297" s="261"/>
      <c r="D297" s="265"/>
      <c r="E297" s="265"/>
      <c r="F297" s="265"/>
      <c r="G297" s="265"/>
      <c r="H297" s="265"/>
      <c r="I297" s="265"/>
      <c r="J297" s="265"/>
      <c r="K297" s="259"/>
      <c r="L297" s="265"/>
      <c r="M297" s="265"/>
      <c r="N297" s="265"/>
      <c r="O297" s="265"/>
      <c r="P297" s="259"/>
      <c r="Q297" s="259"/>
      <c r="R297" s="259"/>
      <c r="S297" s="259"/>
      <c r="T297" s="259"/>
      <c r="U297" s="259"/>
      <c r="V297" s="259"/>
      <c r="W297" s="259"/>
      <c r="X297" s="259"/>
      <c r="Y297" s="260"/>
    </row>
    <row r="298" spans="1:25" ht="13">
      <c r="A298" s="261"/>
      <c r="B298" s="261"/>
      <c r="C298" s="261"/>
      <c r="D298" s="265"/>
      <c r="E298" s="265"/>
      <c r="F298" s="265"/>
      <c r="G298" s="265"/>
      <c r="H298" s="265"/>
      <c r="I298" s="265"/>
      <c r="J298" s="265"/>
      <c r="K298" s="259"/>
      <c r="L298" s="265"/>
      <c r="M298" s="265"/>
      <c r="N298" s="265"/>
      <c r="O298" s="265"/>
      <c r="P298" s="259"/>
      <c r="Q298" s="259"/>
      <c r="R298" s="259"/>
      <c r="S298" s="259"/>
      <c r="T298" s="259"/>
      <c r="U298" s="259"/>
      <c r="V298" s="259"/>
      <c r="W298" s="259"/>
      <c r="X298" s="259"/>
      <c r="Y298" s="260"/>
    </row>
    <row r="299" spans="1:25" ht="13">
      <c r="A299" s="261"/>
      <c r="B299" s="261"/>
      <c r="C299" s="261"/>
      <c r="D299" s="265"/>
      <c r="E299" s="265"/>
      <c r="F299" s="265"/>
      <c r="G299" s="265"/>
      <c r="H299" s="265"/>
      <c r="I299" s="265"/>
      <c r="J299" s="265"/>
      <c r="K299" s="259"/>
      <c r="L299" s="265"/>
      <c r="M299" s="265"/>
      <c r="N299" s="265"/>
      <c r="O299" s="265"/>
      <c r="P299" s="259"/>
      <c r="Q299" s="259"/>
      <c r="R299" s="259"/>
      <c r="S299" s="259"/>
      <c r="T299" s="259"/>
      <c r="U299" s="259"/>
      <c r="V299" s="259"/>
      <c r="W299" s="259"/>
      <c r="X299" s="259"/>
      <c r="Y299" s="260"/>
    </row>
    <row r="300" spans="1:25" ht="13">
      <c r="A300" s="261"/>
      <c r="B300" s="261"/>
      <c r="C300" s="261"/>
      <c r="D300" s="265"/>
      <c r="E300" s="265"/>
      <c r="F300" s="265"/>
      <c r="G300" s="265"/>
      <c r="H300" s="265"/>
      <c r="I300" s="265"/>
      <c r="J300" s="265"/>
      <c r="K300" s="259"/>
      <c r="L300" s="265"/>
      <c r="M300" s="265"/>
      <c r="N300" s="265"/>
      <c r="O300" s="265"/>
      <c r="P300" s="259"/>
      <c r="Q300" s="259"/>
      <c r="R300" s="259"/>
      <c r="S300" s="259"/>
      <c r="T300" s="259"/>
      <c r="U300" s="259"/>
      <c r="V300" s="259"/>
      <c r="W300" s="259"/>
      <c r="X300" s="259"/>
      <c r="Y300" s="260"/>
    </row>
    <row r="301" spans="1:25" ht="13">
      <c r="A301" s="261"/>
      <c r="B301" s="261"/>
      <c r="C301" s="261"/>
      <c r="D301" s="265"/>
      <c r="E301" s="265"/>
      <c r="F301" s="265"/>
      <c r="G301" s="265"/>
      <c r="H301" s="265"/>
      <c r="I301" s="265"/>
      <c r="J301" s="265"/>
      <c r="K301" s="259"/>
      <c r="L301" s="265"/>
      <c r="M301" s="265"/>
      <c r="N301" s="265"/>
      <c r="O301" s="265"/>
      <c r="P301" s="259"/>
      <c r="Q301" s="259"/>
      <c r="R301" s="259"/>
      <c r="S301" s="259"/>
      <c r="T301" s="259"/>
      <c r="U301" s="259"/>
      <c r="V301" s="259"/>
      <c r="W301" s="259"/>
      <c r="X301" s="259"/>
      <c r="Y301" s="260"/>
    </row>
    <row r="302" spans="1:25" ht="13">
      <c r="A302" s="261"/>
      <c r="B302" s="261"/>
      <c r="C302" s="261"/>
      <c r="D302" s="265"/>
      <c r="E302" s="265"/>
      <c r="F302" s="265"/>
      <c r="G302" s="265"/>
      <c r="H302" s="265"/>
      <c r="I302" s="265"/>
      <c r="J302" s="265"/>
      <c r="K302" s="259"/>
      <c r="L302" s="265"/>
      <c r="M302" s="265"/>
      <c r="N302" s="265"/>
      <c r="O302" s="265"/>
      <c r="P302" s="259"/>
      <c r="Q302" s="259"/>
      <c r="R302" s="259"/>
      <c r="S302" s="259"/>
      <c r="T302" s="259"/>
      <c r="U302" s="259"/>
      <c r="V302" s="259"/>
      <c r="W302" s="259"/>
      <c r="X302" s="259"/>
      <c r="Y302" s="260"/>
    </row>
    <row r="303" spans="1:25" ht="13">
      <c r="A303" s="261"/>
      <c r="B303" s="261"/>
      <c r="C303" s="261"/>
      <c r="D303" s="265"/>
      <c r="E303" s="265"/>
      <c r="F303" s="265"/>
      <c r="G303" s="265"/>
      <c r="H303" s="265"/>
      <c r="I303" s="265"/>
      <c r="J303" s="265"/>
      <c r="K303" s="259"/>
      <c r="L303" s="265"/>
      <c r="M303" s="265"/>
      <c r="N303" s="265"/>
      <c r="O303" s="265"/>
      <c r="P303" s="259"/>
      <c r="Q303" s="259"/>
      <c r="R303" s="259"/>
      <c r="S303" s="259"/>
      <c r="T303" s="259"/>
      <c r="U303" s="259"/>
      <c r="V303" s="259"/>
      <c r="W303" s="259"/>
      <c r="X303" s="259"/>
      <c r="Y303" s="260"/>
    </row>
    <row r="304" spans="1:25" ht="13">
      <c r="A304" s="261"/>
      <c r="B304" s="261"/>
      <c r="C304" s="261"/>
      <c r="D304" s="265"/>
      <c r="E304" s="265"/>
      <c r="F304" s="265"/>
      <c r="G304" s="265"/>
      <c r="H304" s="265"/>
      <c r="I304" s="265"/>
      <c r="J304" s="265"/>
      <c r="K304" s="259"/>
      <c r="L304" s="265"/>
      <c r="M304" s="265"/>
      <c r="N304" s="265"/>
      <c r="O304" s="265"/>
      <c r="P304" s="259"/>
      <c r="Q304" s="259"/>
      <c r="R304" s="259"/>
      <c r="S304" s="259"/>
      <c r="T304" s="259"/>
      <c r="U304" s="259"/>
      <c r="V304" s="259"/>
      <c r="W304" s="259"/>
      <c r="X304" s="259"/>
      <c r="Y304" s="260"/>
    </row>
    <row r="305" spans="1:25" ht="13">
      <c r="A305" s="261"/>
      <c r="B305" s="261"/>
      <c r="C305" s="261"/>
      <c r="D305" s="265"/>
      <c r="E305" s="265"/>
      <c r="F305" s="265"/>
      <c r="G305" s="265"/>
      <c r="H305" s="265"/>
      <c r="I305" s="265"/>
      <c r="J305" s="265"/>
      <c r="K305" s="259"/>
      <c r="L305" s="265"/>
      <c r="M305" s="265"/>
      <c r="N305" s="265"/>
      <c r="O305" s="265"/>
      <c r="P305" s="259"/>
      <c r="Q305" s="259"/>
      <c r="R305" s="259"/>
      <c r="S305" s="259"/>
      <c r="T305" s="259"/>
      <c r="U305" s="259"/>
      <c r="V305" s="259"/>
      <c r="W305" s="259"/>
      <c r="X305" s="259"/>
      <c r="Y305" s="260"/>
    </row>
    <row r="306" spans="1:25" ht="13">
      <c r="A306" s="261"/>
      <c r="B306" s="261"/>
      <c r="C306" s="261"/>
      <c r="D306" s="265"/>
      <c r="E306" s="265"/>
      <c r="F306" s="265"/>
      <c r="G306" s="265"/>
      <c r="H306" s="265"/>
      <c r="I306" s="265"/>
      <c r="J306" s="265"/>
      <c r="K306" s="259"/>
      <c r="L306" s="265"/>
      <c r="M306" s="265"/>
      <c r="N306" s="265"/>
      <c r="O306" s="265"/>
      <c r="P306" s="259"/>
      <c r="Q306" s="259"/>
      <c r="R306" s="259"/>
      <c r="S306" s="259"/>
      <c r="T306" s="259"/>
      <c r="U306" s="259"/>
      <c r="V306" s="259"/>
      <c r="W306" s="259"/>
      <c r="X306" s="259"/>
      <c r="Y306" s="260"/>
    </row>
    <row r="307" spans="1:25" ht="13">
      <c r="A307" s="261"/>
      <c r="B307" s="261"/>
      <c r="C307" s="261"/>
      <c r="D307" s="265"/>
      <c r="E307" s="265"/>
      <c r="F307" s="265"/>
      <c r="G307" s="265"/>
      <c r="H307" s="265"/>
      <c r="I307" s="265"/>
      <c r="J307" s="265"/>
      <c r="K307" s="259"/>
      <c r="L307" s="265"/>
      <c r="M307" s="265"/>
      <c r="N307" s="265"/>
      <c r="O307" s="265"/>
      <c r="P307" s="259"/>
      <c r="Q307" s="259"/>
      <c r="R307" s="259"/>
      <c r="S307" s="259"/>
      <c r="T307" s="259"/>
      <c r="U307" s="259"/>
      <c r="V307" s="259"/>
      <c r="W307" s="259"/>
      <c r="X307" s="259"/>
      <c r="Y307" s="260"/>
    </row>
    <row r="308" spans="1:25" ht="13">
      <c r="A308" s="261"/>
      <c r="B308" s="261"/>
      <c r="C308" s="261"/>
      <c r="D308" s="265"/>
      <c r="E308" s="265"/>
      <c r="F308" s="265"/>
      <c r="G308" s="265"/>
      <c r="H308" s="265"/>
      <c r="I308" s="265"/>
      <c r="J308" s="265"/>
      <c r="K308" s="259"/>
      <c r="L308" s="265"/>
      <c r="M308" s="265"/>
      <c r="N308" s="265"/>
      <c r="O308" s="265"/>
      <c r="P308" s="259"/>
      <c r="Q308" s="259"/>
      <c r="R308" s="259"/>
      <c r="S308" s="259"/>
      <c r="T308" s="259"/>
      <c r="U308" s="259"/>
      <c r="V308" s="259"/>
      <c r="W308" s="259"/>
      <c r="X308" s="259"/>
      <c r="Y308" s="260"/>
    </row>
    <row r="309" spans="1:25" ht="13">
      <c r="A309" s="261"/>
      <c r="B309" s="261"/>
      <c r="C309" s="261"/>
      <c r="D309" s="265"/>
      <c r="E309" s="265"/>
      <c r="F309" s="265"/>
      <c r="G309" s="265"/>
      <c r="H309" s="265"/>
      <c r="I309" s="265"/>
      <c r="J309" s="265"/>
      <c r="K309" s="259"/>
      <c r="L309" s="265"/>
      <c r="M309" s="265"/>
      <c r="N309" s="265"/>
      <c r="O309" s="265"/>
      <c r="P309" s="259"/>
      <c r="Q309" s="259"/>
      <c r="R309" s="259"/>
      <c r="S309" s="259"/>
      <c r="T309" s="259"/>
      <c r="U309" s="259"/>
      <c r="V309" s="259"/>
      <c r="W309" s="259"/>
      <c r="X309" s="259"/>
      <c r="Y309" s="260"/>
    </row>
    <row r="310" spans="1:25" ht="13">
      <c r="A310" s="261"/>
      <c r="B310" s="261"/>
      <c r="C310" s="261"/>
      <c r="D310" s="265"/>
      <c r="E310" s="265"/>
      <c r="F310" s="265"/>
      <c r="G310" s="265"/>
      <c r="H310" s="265"/>
      <c r="I310" s="265"/>
      <c r="J310" s="265"/>
      <c r="K310" s="259"/>
      <c r="L310" s="265"/>
      <c r="M310" s="265"/>
      <c r="N310" s="265"/>
      <c r="O310" s="265"/>
      <c r="P310" s="259"/>
      <c r="Q310" s="259"/>
      <c r="R310" s="259"/>
      <c r="S310" s="259"/>
      <c r="T310" s="259"/>
      <c r="U310" s="259"/>
      <c r="V310" s="259"/>
      <c r="W310" s="259"/>
      <c r="X310" s="259"/>
      <c r="Y310" s="260"/>
    </row>
    <row r="311" spans="1:25" ht="13">
      <c r="A311" s="261"/>
      <c r="B311" s="261"/>
      <c r="C311" s="261"/>
      <c r="D311" s="265"/>
      <c r="E311" s="265"/>
      <c r="F311" s="265"/>
      <c r="G311" s="265"/>
      <c r="H311" s="265"/>
      <c r="I311" s="265"/>
      <c r="J311" s="265"/>
      <c r="K311" s="259"/>
      <c r="L311" s="265"/>
      <c r="M311" s="265"/>
      <c r="N311" s="265"/>
      <c r="O311" s="265"/>
      <c r="P311" s="259"/>
      <c r="Q311" s="259"/>
      <c r="R311" s="259"/>
      <c r="S311" s="259"/>
      <c r="T311" s="259"/>
      <c r="U311" s="259"/>
      <c r="V311" s="259"/>
      <c r="W311" s="259"/>
      <c r="X311" s="259"/>
      <c r="Y311" s="260"/>
    </row>
    <row r="312" spans="1:25" ht="13">
      <c r="A312" s="261"/>
      <c r="B312" s="261"/>
      <c r="C312" s="261"/>
      <c r="D312" s="265"/>
      <c r="E312" s="265"/>
      <c r="F312" s="265"/>
      <c r="G312" s="265"/>
      <c r="H312" s="265"/>
      <c r="I312" s="265"/>
      <c r="J312" s="265"/>
      <c r="K312" s="259"/>
      <c r="L312" s="265"/>
      <c r="M312" s="265"/>
      <c r="N312" s="265"/>
      <c r="O312" s="265"/>
      <c r="P312" s="259"/>
      <c r="Q312" s="259"/>
      <c r="R312" s="259"/>
      <c r="S312" s="259"/>
      <c r="T312" s="259"/>
      <c r="U312" s="259"/>
      <c r="V312" s="259"/>
      <c r="W312" s="259"/>
      <c r="X312" s="259"/>
      <c r="Y312" s="260"/>
    </row>
    <row r="313" spans="1:25" ht="13">
      <c r="A313" s="261"/>
      <c r="B313" s="261"/>
      <c r="C313" s="261"/>
      <c r="D313" s="265"/>
      <c r="E313" s="265"/>
      <c r="F313" s="265"/>
      <c r="G313" s="265"/>
      <c r="H313" s="265"/>
      <c r="I313" s="265"/>
      <c r="J313" s="265"/>
      <c r="K313" s="259"/>
      <c r="L313" s="265"/>
      <c r="M313" s="265"/>
      <c r="N313" s="265"/>
      <c r="O313" s="265"/>
      <c r="P313" s="259"/>
      <c r="Q313" s="259"/>
      <c r="R313" s="259"/>
      <c r="S313" s="259"/>
      <c r="T313" s="259"/>
      <c r="U313" s="259"/>
      <c r="V313" s="259"/>
      <c r="W313" s="259"/>
      <c r="X313" s="259"/>
      <c r="Y313" s="260"/>
    </row>
    <row r="314" spans="1:25" ht="13">
      <c r="A314" s="261"/>
      <c r="B314" s="261"/>
      <c r="C314" s="261"/>
      <c r="D314" s="265"/>
      <c r="E314" s="265"/>
      <c r="F314" s="265"/>
      <c r="G314" s="265"/>
      <c r="H314" s="265"/>
      <c r="I314" s="265"/>
      <c r="J314" s="265"/>
      <c r="K314" s="259"/>
      <c r="L314" s="265"/>
      <c r="M314" s="265"/>
      <c r="N314" s="265"/>
      <c r="O314" s="265"/>
      <c r="P314" s="259"/>
      <c r="Q314" s="259"/>
      <c r="R314" s="259"/>
      <c r="S314" s="259"/>
      <c r="T314" s="259"/>
      <c r="U314" s="259"/>
      <c r="V314" s="259"/>
      <c r="W314" s="259"/>
      <c r="X314" s="259"/>
      <c r="Y314" s="260"/>
    </row>
    <row r="315" spans="1:25" ht="13">
      <c r="A315" s="261"/>
      <c r="B315" s="261"/>
      <c r="C315" s="261"/>
      <c r="D315" s="265"/>
      <c r="E315" s="265"/>
      <c r="F315" s="265"/>
      <c r="G315" s="265"/>
      <c r="H315" s="265"/>
      <c r="I315" s="265"/>
      <c r="J315" s="265"/>
      <c r="K315" s="259"/>
      <c r="L315" s="265"/>
      <c r="M315" s="265"/>
      <c r="N315" s="265"/>
      <c r="O315" s="265"/>
      <c r="P315" s="259"/>
      <c r="Q315" s="259"/>
      <c r="R315" s="259"/>
      <c r="S315" s="259"/>
      <c r="T315" s="259"/>
      <c r="U315" s="259"/>
      <c r="V315" s="259"/>
      <c r="W315" s="259"/>
      <c r="X315" s="259"/>
      <c r="Y315" s="260"/>
    </row>
    <row r="316" spans="1:25" ht="13">
      <c r="A316" s="261"/>
      <c r="B316" s="261"/>
      <c r="C316" s="261"/>
      <c r="D316" s="265"/>
      <c r="E316" s="265"/>
      <c r="F316" s="265"/>
      <c r="G316" s="265"/>
      <c r="H316" s="265"/>
      <c r="I316" s="265"/>
      <c r="J316" s="265"/>
      <c r="K316" s="259"/>
      <c r="L316" s="265"/>
      <c r="M316" s="265"/>
      <c r="N316" s="265"/>
      <c r="O316" s="265"/>
      <c r="P316" s="259"/>
      <c r="Q316" s="259"/>
      <c r="R316" s="259"/>
      <c r="S316" s="259"/>
      <c r="T316" s="259"/>
      <c r="U316" s="259"/>
      <c r="V316" s="259"/>
      <c r="W316" s="259"/>
      <c r="X316" s="259"/>
      <c r="Y316" s="260"/>
    </row>
    <row r="317" spans="1:25" ht="13">
      <c r="A317" s="261"/>
      <c r="B317" s="261"/>
      <c r="C317" s="261"/>
      <c r="D317" s="265"/>
      <c r="E317" s="265"/>
      <c r="F317" s="265"/>
      <c r="G317" s="265"/>
      <c r="H317" s="265"/>
      <c r="I317" s="265"/>
      <c r="J317" s="265"/>
      <c r="K317" s="259"/>
      <c r="L317" s="265"/>
      <c r="M317" s="265"/>
      <c r="N317" s="265"/>
      <c r="O317" s="265"/>
      <c r="P317" s="259"/>
      <c r="Q317" s="259"/>
      <c r="R317" s="259"/>
      <c r="S317" s="259"/>
      <c r="T317" s="259"/>
      <c r="U317" s="259"/>
      <c r="V317" s="259"/>
      <c r="W317" s="259"/>
      <c r="X317" s="259"/>
      <c r="Y317" s="260"/>
    </row>
    <row r="318" spans="1:25" ht="13">
      <c r="A318" s="261"/>
      <c r="B318" s="261"/>
      <c r="C318" s="261"/>
      <c r="D318" s="265"/>
      <c r="E318" s="265"/>
      <c r="F318" s="265"/>
      <c r="G318" s="265"/>
      <c r="H318" s="265"/>
      <c r="I318" s="265"/>
      <c r="J318" s="265"/>
      <c r="K318" s="259"/>
      <c r="L318" s="265"/>
      <c r="M318" s="265"/>
      <c r="N318" s="265"/>
      <c r="O318" s="265"/>
      <c r="P318" s="259"/>
      <c r="Q318" s="259"/>
      <c r="R318" s="259"/>
      <c r="S318" s="259"/>
      <c r="T318" s="259"/>
      <c r="U318" s="259"/>
      <c r="V318" s="259"/>
      <c r="W318" s="259"/>
      <c r="X318" s="259"/>
      <c r="Y318" s="260"/>
    </row>
    <row r="319" spans="1:25" ht="13">
      <c r="A319" s="261"/>
      <c r="B319" s="261"/>
      <c r="C319" s="261"/>
      <c r="D319" s="265"/>
      <c r="E319" s="265"/>
      <c r="F319" s="265"/>
      <c r="G319" s="265"/>
      <c r="H319" s="265"/>
      <c r="I319" s="265"/>
      <c r="J319" s="265"/>
      <c r="K319" s="259"/>
      <c r="L319" s="265"/>
      <c r="M319" s="265"/>
      <c r="N319" s="265"/>
      <c r="O319" s="265"/>
      <c r="P319" s="259"/>
      <c r="Q319" s="259"/>
      <c r="R319" s="259"/>
      <c r="S319" s="259"/>
      <c r="T319" s="259"/>
      <c r="U319" s="259"/>
      <c r="V319" s="259"/>
      <c r="W319" s="259"/>
      <c r="X319" s="259"/>
      <c r="Y319" s="260"/>
    </row>
    <row r="320" spans="1:25" ht="13">
      <c r="A320" s="261"/>
      <c r="B320" s="261"/>
      <c r="C320" s="261"/>
      <c r="D320" s="265"/>
      <c r="E320" s="265"/>
      <c r="F320" s="265"/>
      <c r="G320" s="265"/>
      <c r="H320" s="265"/>
      <c r="I320" s="265"/>
      <c r="J320" s="265"/>
      <c r="K320" s="259"/>
      <c r="L320" s="265"/>
      <c r="M320" s="265"/>
      <c r="N320" s="265"/>
      <c r="O320" s="265"/>
      <c r="P320" s="259"/>
      <c r="Q320" s="259"/>
      <c r="R320" s="259"/>
      <c r="S320" s="259"/>
      <c r="T320" s="259"/>
      <c r="U320" s="259"/>
      <c r="V320" s="259"/>
      <c r="W320" s="259"/>
      <c r="X320" s="259"/>
      <c r="Y320" s="260"/>
    </row>
    <row r="321" spans="1:25" ht="13">
      <c r="A321" s="261"/>
      <c r="B321" s="261"/>
      <c r="C321" s="261"/>
      <c r="D321" s="265"/>
      <c r="E321" s="265"/>
      <c r="F321" s="265"/>
      <c r="G321" s="265"/>
      <c r="H321" s="265"/>
      <c r="I321" s="265"/>
      <c r="J321" s="265"/>
      <c r="K321" s="259"/>
      <c r="L321" s="265"/>
      <c r="M321" s="265"/>
      <c r="N321" s="265"/>
      <c r="O321" s="265"/>
      <c r="P321" s="259"/>
      <c r="Q321" s="259"/>
      <c r="R321" s="259"/>
      <c r="S321" s="259"/>
      <c r="T321" s="259"/>
      <c r="U321" s="259"/>
      <c r="V321" s="259"/>
      <c r="W321" s="259"/>
      <c r="X321" s="259"/>
      <c r="Y321" s="260"/>
    </row>
    <row r="322" spans="1:25" ht="13">
      <c r="A322" s="261"/>
      <c r="B322" s="261"/>
      <c r="C322" s="261"/>
      <c r="D322" s="265"/>
      <c r="E322" s="265"/>
      <c r="F322" s="265"/>
      <c r="G322" s="265"/>
      <c r="H322" s="265"/>
      <c r="I322" s="265"/>
      <c r="J322" s="265"/>
      <c r="K322" s="259"/>
      <c r="L322" s="265"/>
      <c r="M322" s="265"/>
      <c r="N322" s="265"/>
      <c r="O322" s="265"/>
      <c r="P322" s="259"/>
      <c r="Q322" s="259"/>
      <c r="R322" s="259"/>
      <c r="S322" s="259"/>
      <c r="T322" s="259"/>
      <c r="U322" s="259"/>
      <c r="V322" s="259"/>
      <c r="W322" s="259"/>
      <c r="X322" s="259"/>
      <c r="Y322" s="260"/>
    </row>
    <row r="323" spans="1:25" ht="13">
      <c r="A323" s="261"/>
      <c r="B323" s="261"/>
      <c r="C323" s="261"/>
      <c r="D323" s="265"/>
      <c r="E323" s="265"/>
      <c r="F323" s="265"/>
      <c r="G323" s="265"/>
      <c r="H323" s="265"/>
      <c r="I323" s="265"/>
      <c r="J323" s="265"/>
      <c r="K323" s="259"/>
      <c r="L323" s="265"/>
      <c r="M323" s="265"/>
      <c r="N323" s="265"/>
      <c r="O323" s="265"/>
      <c r="P323" s="259"/>
      <c r="Q323" s="259"/>
      <c r="R323" s="259"/>
      <c r="S323" s="259"/>
      <c r="T323" s="259"/>
      <c r="U323" s="259"/>
      <c r="V323" s="259"/>
      <c r="W323" s="259"/>
      <c r="X323" s="259"/>
      <c r="Y323" s="260"/>
    </row>
    <row r="324" spans="1:25" ht="13">
      <c r="A324" s="261"/>
      <c r="B324" s="261"/>
      <c r="C324" s="261"/>
      <c r="D324" s="265"/>
      <c r="E324" s="265"/>
      <c r="F324" s="265"/>
      <c r="G324" s="265"/>
      <c r="H324" s="265"/>
      <c r="I324" s="265"/>
      <c r="J324" s="265"/>
      <c r="K324" s="259"/>
      <c r="L324" s="265"/>
      <c r="M324" s="265"/>
      <c r="N324" s="265"/>
      <c r="O324" s="265"/>
      <c r="P324" s="259"/>
      <c r="Q324" s="259"/>
      <c r="R324" s="259"/>
      <c r="S324" s="259"/>
      <c r="T324" s="259"/>
      <c r="U324" s="259"/>
      <c r="V324" s="259"/>
      <c r="W324" s="259"/>
      <c r="X324" s="259"/>
      <c r="Y324" s="260"/>
    </row>
    <row r="325" spans="1:25" ht="13">
      <c r="A325" s="261"/>
      <c r="B325" s="261"/>
      <c r="C325" s="261"/>
      <c r="D325" s="265"/>
      <c r="E325" s="265"/>
      <c r="F325" s="265"/>
      <c r="G325" s="265"/>
      <c r="H325" s="265"/>
      <c r="I325" s="265"/>
      <c r="J325" s="265"/>
      <c r="K325" s="259"/>
      <c r="L325" s="265"/>
      <c r="M325" s="265"/>
      <c r="N325" s="265"/>
      <c r="O325" s="265"/>
      <c r="P325" s="259"/>
      <c r="Q325" s="259"/>
      <c r="R325" s="259"/>
      <c r="S325" s="259"/>
      <c r="T325" s="259"/>
      <c r="U325" s="259"/>
      <c r="V325" s="259"/>
      <c r="W325" s="259"/>
      <c r="X325" s="259"/>
      <c r="Y325" s="260"/>
    </row>
    <row r="326" spans="1:25" ht="13">
      <c r="A326" s="261"/>
      <c r="B326" s="261"/>
      <c r="C326" s="261"/>
      <c r="D326" s="265"/>
      <c r="E326" s="265"/>
      <c r="F326" s="265"/>
      <c r="G326" s="265"/>
      <c r="H326" s="265"/>
      <c r="I326" s="265"/>
      <c r="J326" s="265"/>
      <c r="K326" s="259"/>
      <c r="L326" s="265"/>
      <c r="M326" s="265"/>
      <c r="N326" s="265"/>
      <c r="O326" s="265"/>
      <c r="P326" s="259"/>
      <c r="Q326" s="259"/>
      <c r="R326" s="259"/>
      <c r="S326" s="259"/>
      <c r="T326" s="259"/>
      <c r="U326" s="259"/>
      <c r="V326" s="259"/>
      <c r="W326" s="259"/>
      <c r="X326" s="259"/>
      <c r="Y326" s="260"/>
    </row>
    <row r="327" spans="1:25" ht="13">
      <c r="A327" s="261"/>
      <c r="B327" s="261"/>
      <c r="C327" s="261"/>
      <c r="D327" s="265"/>
      <c r="E327" s="265"/>
      <c r="F327" s="265"/>
      <c r="G327" s="265"/>
      <c r="H327" s="265"/>
      <c r="I327" s="265"/>
      <c r="J327" s="265"/>
      <c r="K327" s="259"/>
      <c r="L327" s="265"/>
      <c r="M327" s="265"/>
      <c r="N327" s="265"/>
      <c r="O327" s="265"/>
      <c r="P327" s="259"/>
      <c r="Q327" s="259"/>
      <c r="R327" s="259"/>
      <c r="S327" s="259"/>
      <c r="T327" s="259"/>
      <c r="U327" s="259"/>
      <c r="V327" s="259"/>
      <c r="W327" s="259"/>
      <c r="X327" s="259"/>
      <c r="Y327" s="260"/>
    </row>
    <row r="328" spans="1:25" ht="13">
      <c r="A328" s="261"/>
      <c r="B328" s="261"/>
      <c r="C328" s="261"/>
      <c r="D328" s="265"/>
      <c r="E328" s="265"/>
      <c r="F328" s="265"/>
      <c r="G328" s="265"/>
      <c r="H328" s="265"/>
      <c r="I328" s="265"/>
      <c r="J328" s="265"/>
      <c r="K328" s="259"/>
      <c r="L328" s="265"/>
      <c r="M328" s="265"/>
      <c r="N328" s="265"/>
      <c r="O328" s="265"/>
      <c r="P328" s="259"/>
      <c r="Q328" s="259"/>
      <c r="R328" s="259"/>
      <c r="S328" s="259"/>
      <c r="T328" s="259"/>
      <c r="U328" s="259"/>
      <c r="V328" s="259"/>
      <c r="W328" s="259"/>
      <c r="X328" s="259"/>
      <c r="Y328" s="260"/>
    </row>
    <row r="329" spans="1:25" ht="13">
      <c r="A329" s="261"/>
      <c r="B329" s="261"/>
      <c r="C329" s="261"/>
      <c r="D329" s="265"/>
      <c r="E329" s="265"/>
      <c r="F329" s="265"/>
      <c r="G329" s="265"/>
      <c r="H329" s="265"/>
      <c r="I329" s="265"/>
      <c r="J329" s="265"/>
      <c r="K329" s="259"/>
      <c r="L329" s="265"/>
      <c r="M329" s="265"/>
      <c r="N329" s="265"/>
      <c r="O329" s="265"/>
      <c r="P329" s="259"/>
      <c r="Q329" s="259"/>
      <c r="R329" s="259"/>
      <c r="S329" s="259"/>
      <c r="T329" s="259"/>
      <c r="U329" s="259"/>
      <c r="V329" s="259"/>
      <c r="W329" s="259"/>
      <c r="X329" s="259"/>
      <c r="Y329" s="260"/>
    </row>
    <row r="330" spans="1:25" ht="13">
      <c r="A330" s="261"/>
      <c r="B330" s="261"/>
      <c r="C330" s="261"/>
      <c r="D330" s="265"/>
      <c r="E330" s="265"/>
      <c r="F330" s="265"/>
      <c r="G330" s="265"/>
      <c r="H330" s="265"/>
      <c r="I330" s="265"/>
      <c r="J330" s="265"/>
      <c r="K330" s="259"/>
      <c r="L330" s="265"/>
      <c r="M330" s="265"/>
      <c r="N330" s="265"/>
      <c r="O330" s="265"/>
      <c r="P330" s="259"/>
      <c r="Q330" s="259"/>
      <c r="R330" s="259"/>
      <c r="S330" s="259"/>
      <c r="T330" s="259"/>
      <c r="U330" s="259"/>
      <c r="V330" s="259"/>
      <c r="W330" s="259"/>
      <c r="X330" s="259"/>
      <c r="Y330" s="260"/>
    </row>
    <row r="331" spans="1:25" ht="13">
      <c r="A331" s="261"/>
      <c r="B331" s="261"/>
      <c r="C331" s="261"/>
      <c r="D331" s="265"/>
      <c r="E331" s="265"/>
      <c r="F331" s="265"/>
      <c r="G331" s="265"/>
      <c r="H331" s="265"/>
      <c r="I331" s="265"/>
      <c r="J331" s="265"/>
      <c r="K331" s="259"/>
      <c r="L331" s="265"/>
      <c r="M331" s="265"/>
      <c r="N331" s="265"/>
      <c r="O331" s="265"/>
      <c r="P331" s="259"/>
      <c r="Q331" s="259"/>
      <c r="R331" s="259"/>
      <c r="S331" s="259"/>
      <c r="T331" s="259"/>
      <c r="U331" s="259"/>
      <c r="V331" s="259"/>
      <c r="W331" s="259"/>
      <c r="X331" s="259"/>
      <c r="Y331" s="260"/>
    </row>
    <row r="332" spans="1:25" ht="13">
      <c r="A332" s="261"/>
      <c r="B332" s="261"/>
      <c r="C332" s="261"/>
      <c r="D332" s="265"/>
      <c r="E332" s="265"/>
      <c r="F332" s="265"/>
      <c r="G332" s="265"/>
      <c r="H332" s="265"/>
      <c r="I332" s="265"/>
      <c r="J332" s="265"/>
      <c r="K332" s="259"/>
      <c r="L332" s="265"/>
      <c r="M332" s="265"/>
      <c r="N332" s="265"/>
      <c r="O332" s="265"/>
      <c r="P332" s="259"/>
      <c r="Q332" s="259"/>
      <c r="R332" s="259"/>
      <c r="S332" s="259"/>
      <c r="T332" s="259"/>
      <c r="U332" s="259"/>
      <c r="V332" s="259"/>
      <c r="W332" s="259"/>
      <c r="X332" s="259"/>
      <c r="Y332" s="260"/>
    </row>
    <row r="333" spans="1:25" ht="13">
      <c r="A333" s="261"/>
      <c r="B333" s="261"/>
      <c r="C333" s="261"/>
      <c r="D333" s="265"/>
      <c r="E333" s="265"/>
      <c r="F333" s="265"/>
      <c r="G333" s="265"/>
      <c r="H333" s="265"/>
      <c r="I333" s="265"/>
      <c r="J333" s="265"/>
      <c r="K333" s="259"/>
      <c r="L333" s="265"/>
      <c r="M333" s="265"/>
      <c r="N333" s="265"/>
      <c r="O333" s="265"/>
      <c r="P333" s="259"/>
      <c r="Q333" s="259"/>
      <c r="R333" s="259"/>
      <c r="S333" s="259"/>
      <c r="T333" s="259"/>
      <c r="U333" s="259"/>
      <c r="V333" s="259"/>
      <c r="W333" s="259"/>
      <c r="X333" s="259"/>
      <c r="Y333" s="260"/>
    </row>
    <row r="334" spans="1:25" ht="13">
      <c r="A334" s="261"/>
      <c r="B334" s="261"/>
      <c r="C334" s="261"/>
      <c r="D334" s="265"/>
      <c r="E334" s="265"/>
      <c r="F334" s="265"/>
      <c r="G334" s="265"/>
      <c r="H334" s="265"/>
      <c r="I334" s="265"/>
      <c r="J334" s="265"/>
      <c r="K334" s="259"/>
      <c r="L334" s="265"/>
      <c r="M334" s="265"/>
      <c r="N334" s="265"/>
      <c r="O334" s="265"/>
      <c r="P334" s="259"/>
      <c r="Q334" s="259"/>
      <c r="R334" s="259"/>
      <c r="S334" s="259"/>
      <c r="T334" s="259"/>
      <c r="U334" s="259"/>
      <c r="V334" s="259"/>
      <c r="W334" s="259"/>
      <c r="X334" s="259"/>
      <c r="Y334" s="260"/>
    </row>
    <row r="335" spans="1:25" ht="13">
      <c r="A335" s="261"/>
      <c r="B335" s="261"/>
      <c r="C335" s="261"/>
      <c r="D335" s="265"/>
      <c r="E335" s="265"/>
      <c r="F335" s="265"/>
      <c r="G335" s="265"/>
      <c r="H335" s="265"/>
      <c r="I335" s="265"/>
      <c r="J335" s="265"/>
      <c r="K335" s="259"/>
      <c r="L335" s="265"/>
      <c r="M335" s="265"/>
      <c r="N335" s="265"/>
      <c r="O335" s="265"/>
      <c r="P335" s="259"/>
      <c r="Q335" s="259"/>
      <c r="R335" s="259"/>
      <c r="S335" s="259"/>
      <c r="T335" s="259"/>
      <c r="U335" s="259"/>
      <c r="V335" s="259"/>
      <c r="W335" s="259"/>
      <c r="X335" s="259"/>
      <c r="Y335" s="260"/>
    </row>
    <row r="336" spans="1:25" ht="13">
      <c r="A336" s="261"/>
      <c r="B336" s="261"/>
      <c r="C336" s="261"/>
      <c r="D336" s="265"/>
      <c r="E336" s="265"/>
      <c r="F336" s="265"/>
      <c r="G336" s="265"/>
      <c r="H336" s="265"/>
      <c r="I336" s="265"/>
      <c r="J336" s="265"/>
      <c r="K336" s="259"/>
      <c r="L336" s="265"/>
      <c r="M336" s="265"/>
      <c r="N336" s="265"/>
      <c r="O336" s="265"/>
      <c r="P336" s="259"/>
      <c r="Q336" s="259"/>
      <c r="R336" s="259"/>
      <c r="S336" s="259"/>
      <c r="T336" s="259"/>
      <c r="U336" s="259"/>
      <c r="V336" s="259"/>
      <c r="W336" s="259"/>
      <c r="X336" s="259"/>
      <c r="Y336" s="260"/>
    </row>
    <row r="337" spans="1:25" ht="13">
      <c r="A337" s="261"/>
      <c r="B337" s="261"/>
      <c r="C337" s="261"/>
      <c r="D337" s="265"/>
      <c r="E337" s="265"/>
      <c r="F337" s="265"/>
      <c r="G337" s="265"/>
      <c r="H337" s="265"/>
      <c r="I337" s="265"/>
      <c r="J337" s="265"/>
      <c r="K337" s="259"/>
      <c r="L337" s="265"/>
      <c r="M337" s="265"/>
      <c r="N337" s="265"/>
      <c r="O337" s="265"/>
      <c r="P337" s="259"/>
      <c r="Q337" s="259"/>
      <c r="R337" s="259"/>
      <c r="S337" s="259"/>
      <c r="T337" s="259"/>
      <c r="U337" s="259"/>
      <c r="V337" s="259"/>
      <c r="W337" s="259"/>
      <c r="X337" s="259"/>
      <c r="Y337" s="260"/>
    </row>
    <row r="338" spans="1:25" ht="13">
      <c r="A338" s="261"/>
      <c r="B338" s="261"/>
      <c r="C338" s="261"/>
      <c r="D338" s="265"/>
      <c r="E338" s="265"/>
      <c r="F338" s="265"/>
      <c r="G338" s="265"/>
      <c r="H338" s="265"/>
      <c r="I338" s="265"/>
      <c r="J338" s="265"/>
      <c r="K338" s="259"/>
      <c r="L338" s="265"/>
      <c r="M338" s="265"/>
      <c r="N338" s="265"/>
      <c r="O338" s="265"/>
      <c r="P338" s="259"/>
      <c r="Q338" s="259"/>
      <c r="R338" s="259"/>
      <c r="S338" s="259"/>
      <c r="T338" s="259"/>
      <c r="U338" s="259"/>
      <c r="V338" s="259"/>
      <c r="W338" s="259"/>
      <c r="X338" s="259"/>
      <c r="Y338" s="260"/>
    </row>
    <row r="339" spans="1:25" ht="13">
      <c r="A339" s="261"/>
      <c r="B339" s="261"/>
      <c r="C339" s="261"/>
      <c r="D339" s="265"/>
      <c r="E339" s="265"/>
      <c r="F339" s="265"/>
      <c r="G339" s="265"/>
      <c r="H339" s="265"/>
      <c r="I339" s="265"/>
      <c r="J339" s="265"/>
      <c r="K339" s="259"/>
      <c r="L339" s="265"/>
      <c r="M339" s="265"/>
      <c r="N339" s="265"/>
      <c r="O339" s="265"/>
      <c r="P339" s="259"/>
      <c r="Q339" s="259"/>
      <c r="R339" s="259"/>
      <c r="S339" s="259"/>
      <c r="T339" s="259"/>
      <c r="U339" s="259"/>
      <c r="V339" s="259"/>
      <c r="W339" s="259"/>
      <c r="X339" s="259"/>
      <c r="Y339" s="260"/>
    </row>
    <row r="340" spans="1:25" ht="13">
      <c r="A340" s="261"/>
      <c r="B340" s="261"/>
      <c r="C340" s="261"/>
      <c r="D340" s="265"/>
      <c r="E340" s="265"/>
      <c r="F340" s="265"/>
      <c r="G340" s="265"/>
      <c r="H340" s="265"/>
      <c r="I340" s="265"/>
      <c r="J340" s="265"/>
      <c r="K340" s="259"/>
      <c r="L340" s="265"/>
      <c r="M340" s="265"/>
      <c r="N340" s="265"/>
      <c r="O340" s="265"/>
      <c r="P340" s="259"/>
      <c r="Q340" s="259"/>
      <c r="R340" s="259"/>
      <c r="S340" s="259"/>
      <c r="T340" s="259"/>
      <c r="U340" s="259"/>
      <c r="V340" s="259"/>
      <c r="W340" s="259"/>
      <c r="X340" s="259"/>
      <c r="Y340" s="260"/>
    </row>
    <row r="341" spans="1:25" ht="13">
      <c r="A341" s="261"/>
      <c r="B341" s="261"/>
      <c r="C341" s="261"/>
      <c r="D341" s="265"/>
      <c r="E341" s="265"/>
      <c r="F341" s="265"/>
      <c r="G341" s="265"/>
      <c r="H341" s="265"/>
      <c r="I341" s="265"/>
      <c r="J341" s="265"/>
      <c r="K341" s="259"/>
      <c r="L341" s="265"/>
      <c r="M341" s="265"/>
      <c r="N341" s="265"/>
      <c r="O341" s="265"/>
      <c r="P341" s="259"/>
      <c r="Q341" s="259"/>
      <c r="R341" s="259"/>
      <c r="S341" s="259"/>
      <c r="T341" s="259"/>
      <c r="U341" s="259"/>
      <c r="V341" s="259"/>
      <c r="W341" s="259"/>
      <c r="X341" s="259"/>
      <c r="Y341" s="260"/>
    </row>
    <row r="342" spans="1:25" ht="13">
      <c r="A342" s="261"/>
      <c r="B342" s="261"/>
      <c r="C342" s="261"/>
      <c r="D342" s="265"/>
      <c r="E342" s="265"/>
      <c r="F342" s="265"/>
      <c r="G342" s="265"/>
      <c r="H342" s="265"/>
      <c r="I342" s="265"/>
      <c r="J342" s="265"/>
      <c r="K342" s="259"/>
      <c r="L342" s="265"/>
      <c r="M342" s="265"/>
      <c r="N342" s="265"/>
      <c r="O342" s="265"/>
      <c r="P342" s="259"/>
      <c r="Q342" s="259"/>
      <c r="R342" s="259"/>
      <c r="S342" s="259"/>
      <c r="T342" s="259"/>
      <c r="U342" s="259"/>
      <c r="V342" s="259"/>
      <c r="W342" s="259"/>
      <c r="X342" s="259"/>
      <c r="Y342" s="260"/>
    </row>
    <row r="343" spans="1:25" ht="13">
      <c r="A343" s="261"/>
      <c r="B343" s="261"/>
      <c r="C343" s="261"/>
      <c r="D343" s="265"/>
      <c r="E343" s="265"/>
      <c r="F343" s="265"/>
      <c r="G343" s="265"/>
      <c r="H343" s="265"/>
      <c r="I343" s="265"/>
      <c r="J343" s="265"/>
      <c r="K343" s="259"/>
      <c r="L343" s="265"/>
      <c r="M343" s="265"/>
      <c r="N343" s="265"/>
      <c r="O343" s="265"/>
      <c r="P343" s="259"/>
      <c r="Q343" s="259"/>
      <c r="R343" s="259"/>
      <c r="S343" s="259"/>
      <c r="T343" s="259"/>
      <c r="U343" s="259"/>
      <c r="V343" s="259"/>
      <c r="W343" s="259"/>
      <c r="X343" s="259"/>
      <c r="Y343" s="260"/>
    </row>
    <row r="344" spans="1:25" ht="13">
      <c r="A344" s="261"/>
      <c r="B344" s="261"/>
      <c r="C344" s="261"/>
      <c r="D344" s="265"/>
      <c r="E344" s="265"/>
      <c r="F344" s="265"/>
      <c r="G344" s="265"/>
      <c r="H344" s="265"/>
      <c r="I344" s="265"/>
      <c r="J344" s="265"/>
      <c r="K344" s="259"/>
      <c r="L344" s="265"/>
      <c r="M344" s="265"/>
      <c r="N344" s="265"/>
      <c r="O344" s="265"/>
      <c r="P344" s="259"/>
      <c r="Q344" s="259"/>
      <c r="R344" s="259"/>
      <c r="S344" s="259"/>
      <c r="T344" s="259"/>
      <c r="U344" s="259"/>
      <c r="V344" s="259"/>
      <c r="W344" s="259"/>
      <c r="X344" s="259"/>
      <c r="Y344" s="260"/>
    </row>
    <row r="345" spans="1:25" ht="13">
      <c r="A345" s="261"/>
      <c r="B345" s="261"/>
      <c r="C345" s="261"/>
      <c r="D345" s="265"/>
      <c r="E345" s="265"/>
      <c r="F345" s="265"/>
      <c r="G345" s="265"/>
      <c r="H345" s="265"/>
      <c r="I345" s="265"/>
      <c r="J345" s="265"/>
      <c r="K345" s="259"/>
      <c r="L345" s="265"/>
      <c r="M345" s="265"/>
      <c r="N345" s="265"/>
      <c r="O345" s="265"/>
      <c r="P345" s="259"/>
      <c r="Q345" s="259"/>
      <c r="R345" s="259"/>
      <c r="S345" s="259"/>
      <c r="T345" s="259"/>
      <c r="U345" s="259"/>
      <c r="V345" s="259"/>
      <c r="W345" s="259"/>
      <c r="X345" s="259"/>
      <c r="Y345" s="260"/>
    </row>
    <row r="346" spans="1:25" ht="13">
      <c r="A346" s="261"/>
      <c r="B346" s="261"/>
      <c r="C346" s="261"/>
      <c r="D346" s="265"/>
      <c r="E346" s="265"/>
      <c r="F346" s="265"/>
      <c r="G346" s="265"/>
      <c r="H346" s="265"/>
      <c r="I346" s="265"/>
      <c r="J346" s="265"/>
      <c r="K346" s="259"/>
      <c r="L346" s="265"/>
      <c r="M346" s="265"/>
      <c r="N346" s="265"/>
      <c r="O346" s="265"/>
      <c r="P346" s="259"/>
      <c r="Q346" s="259"/>
      <c r="R346" s="259"/>
      <c r="S346" s="259"/>
      <c r="T346" s="259"/>
      <c r="U346" s="259"/>
      <c r="V346" s="259"/>
      <c r="W346" s="259"/>
      <c r="X346" s="259"/>
      <c r="Y346" s="260"/>
    </row>
    <row r="347" spans="1:25" ht="13">
      <c r="A347" s="261"/>
      <c r="B347" s="261"/>
      <c r="C347" s="261"/>
      <c r="D347" s="265"/>
      <c r="E347" s="265"/>
      <c r="F347" s="265"/>
      <c r="G347" s="265"/>
      <c r="H347" s="265"/>
      <c r="I347" s="265"/>
      <c r="J347" s="265"/>
      <c r="K347" s="259"/>
      <c r="L347" s="265"/>
      <c r="M347" s="265"/>
      <c r="N347" s="265"/>
      <c r="O347" s="265"/>
      <c r="P347" s="259"/>
      <c r="Q347" s="259"/>
      <c r="R347" s="259"/>
      <c r="S347" s="259"/>
      <c r="T347" s="259"/>
      <c r="U347" s="259"/>
      <c r="V347" s="259"/>
      <c r="W347" s="259"/>
      <c r="X347" s="259"/>
      <c r="Y347" s="260"/>
    </row>
    <row r="348" spans="1:25" ht="13">
      <c r="A348" s="261"/>
      <c r="B348" s="261"/>
      <c r="C348" s="261"/>
      <c r="D348" s="265"/>
      <c r="E348" s="265"/>
      <c r="F348" s="265"/>
      <c r="G348" s="265"/>
      <c r="H348" s="265"/>
      <c r="I348" s="265"/>
      <c r="J348" s="265"/>
      <c r="K348" s="259"/>
      <c r="L348" s="265"/>
      <c r="M348" s="265"/>
      <c r="N348" s="265"/>
      <c r="O348" s="265"/>
      <c r="P348" s="259"/>
      <c r="Q348" s="259"/>
      <c r="R348" s="259"/>
      <c r="S348" s="259"/>
      <c r="T348" s="259"/>
      <c r="U348" s="259"/>
      <c r="V348" s="259"/>
      <c r="W348" s="259"/>
      <c r="X348" s="259"/>
      <c r="Y348" s="260"/>
    </row>
    <row r="349" spans="1:25" ht="13">
      <c r="A349" s="261"/>
      <c r="B349" s="261"/>
      <c r="C349" s="261"/>
      <c r="D349" s="265"/>
      <c r="E349" s="265"/>
      <c r="F349" s="265"/>
      <c r="G349" s="265"/>
      <c r="H349" s="265"/>
      <c r="I349" s="265"/>
      <c r="J349" s="265"/>
      <c r="K349" s="259"/>
      <c r="L349" s="265"/>
      <c r="M349" s="265"/>
      <c r="N349" s="265"/>
      <c r="O349" s="265"/>
      <c r="P349" s="259"/>
      <c r="Q349" s="259"/>
      <c r="R349" s="259"/>
      <c r="S349" s="259"/>
      <c r="T349" s="259"/>
      <c r="U349" s="259"/>
      <c r="V349" s="259"/>
      <c r="W349" s="259"/>
      <c r="X349" s="259"/>
      <c r="Y349" s="260"/>
    </row>
    <row r="350" spans="1:25" ht="13">
      <c r="A350" s="261"/>
      <c r="B350" s="261"/>
      <c r="C350" s="261"/>
      <c r="D350" s="265"/>
      <c r="E350" s="265"/>
      <c r="F350" s="265"/>
      <c r="G350" s="265"/>
      <c r="H350" s="265"/>
      <c r="I350" s="265"/>
      <c r="J350" s="265"/>
      <c r="K350" s="259"/>
      <c r="L350" s="265"/>
      <c r="M350" s="265"/>
      <c r="N350" s="265"/>
      <c r="O350" s="265"/>
      <c r="P350" s="259"/>
      <c r="Q350" s="259"/>
      <c r="R350" s="259"/>
      <c r="S350" s="259"/>
      <c r="T350" s="259"/>
      <c r="U350" s="259"/>
      <c r="V350" s="259"/>
      <c r="W350" s="259"/>
      <c r="X350" s="259"/>
      <c r="Y350" s="260"/>
    </row>
    <row r="351" spans="1:25" ht="13">
      <c r="A351" s="261"/>
      <c r="B351" s="261"/>
      <c r="C351" s="261"/>
      <c r="D351" s="265"/>
      <c r="E351" s="265"/>
      <c r="F351" s="265"/>
      <c r="G351" s="265"/>
      <c r="H351" s="265"/>
      <c r="I351" s="265"/>
      <c r="J351" s="265"/>
      <c r="K351" s="259"/>
      <c r="L351" s="265"/>
      <c r="M351" s="265"/>
      <c r="N351" s="265"/>
      <c r="O351" s="265"/>
      <c r="P351" s="259"/>
      <c r="Q351" s="259"/>
      <c r="R351" s="259"/>
      <c r="S351" s="259"/>
      <c r="T351" s="259"/>
      <c r="U351" s="259"/>
      <c r="V351" s="259"/>
      <c r="W351" s="259"/>
      <c r="X351" s="259"/>
      <c r="Y351" s="260"/>
    </row>
    <row r="352" spans="1:25" ht="13">
      <c r="A352" s="261"/>
      <c r="B352" s="261"/>
      <c r="C352" s="261"/>
      <c r="D352" s="265"/>
      <c r="E352" s="265"/>
      <c r="F352" s="265"/>
      <c r="G352" s="265"/>
      <c r="H352" s="265"/>
      <c r="I352" s="265"/>
      <c r="J352" s="265"/>
      <c r="K352" s="259"/>
      <c r="L352" s="265"/>
      <c r="M352" s="265"/>
      <c r="N352" s="265"/>
      <c r="O352" s="265"/>
      <c r="P352" s="259"/>
      <c r="Q352" s="259"/>
      <c r="R352" s="259"/>
      <c r="S352" s="259"/>
      <c r="T352" s="259"/>
      <c r="U352" s="259"/>
      <c r="V352" s="259"/>
      <c r="W352" s="259"/>
      <c r="X352" s="259"/>
      <c r="Y352" s="260"/>
    </row>
    <row r="353" spans="1:25" ht="13">
      <c r="A353" s="261"/>
      <c r="B353" s="261"/>
      <c r="C353" s="261"/>
      <c r="D353" s="265"/>
      <c r="E353" s="265"/>
      <c r="F353" s="265"/>
      <c r="G353" s="265"/>
      <c r="H353" s="265"/>
      <c r="I353" s="265"/>
      <c r="J353" s="265"/>
      <c r="K353" s="259"/>
      <c r="L353" s="265"/>
      <c r="M353" s="265"/>
      <c r="N353" s="265"/>
      <c r="O353" s="265"/>
      <c r="P353" s="259"/>
      <c r="Q353" s="259"/>
      <c r="R353" s="259"/>
      <c r="S353" s="259"/>
      <c r="T353" s="259"/>
      <c r="U353" s="259"/>
      <c r="V353" s="259"/>
      <c r="W353" s="259"/>
      <c r="X353" s="259"/>
      <c r="Y353" s="260"/>
    </row>
    <row r="354" spans="1:25" ht="13">
      <c r="A354" s="261"/>
      <c r="B354" s="261"/>
      <c r="C354" s="261"/>
      <c r="D354" s="265"/>
      <c r="E354" s="265"/>
      <c r="F354" s="265"/>
      <c r="G354" s="265"/>
      <c r="H354" s="265"/>
      <c r="I354" s="265"/>
      <c r="J354" s="265"/>
      <c r="K354" s="259"/>
      <c r="L354" s="265"/>
      <c r="M354" s="265"/>
      <c r="N354" s="265"/>
      <c r="O354" s="265"/>
      <c r="P354" s="259"/>
      <c r="Q354" s="259"/>
      <c r="R354" s="259"/>
      <c r="S354" s="259"/>
      <c r="T354" s="259"/>
      <c r="U354" s="259"/>
      <c r="V354" s="259"/>
      <c r="W354" s="259"/>
      <c r="X354" s="259"/>
      <c r="Y354" s="260"/>
    </row>
    <row r="355" spans="1:25" ht="13">
      <c r="A355" s="261"/>
      <c r="B355" s="261"/>
      <c r="C355" s="261"/>
      <c r="D355" s="265"/>
      <c r="E355" s="265"/>
      <c r="F355" s="265"/>
      <c r="G355" s="265"/>
      <c r="H355" s="265"/>
      <c r="I355" s="265"/>
      <c r="J355" s="265"/>
      <c r="K355" s="259"/>
      <c r="L355" s="265"/>
      <c r="M355" s="265"/>
      <c r="N355" s="265"/>
      <c r="O355" s="265"/>
      <c r="P355" s="259"/>
      <c r="Q355" s="259"/>
      <c r="R355" s="259"/>
      <c r="S355" s="259"/>
      <c r="T355" s="259"/>
      <c r="U355" s="259"/>
      <c r="V355" s="259"/>
      <c r="W355" s="259"/>
      <c r="X355" s="259"/>
      <c r="Y355" s="260"/>
    </row>
    <row r="356" spans="1:25" ht="13">
      <c r="A356" s="261"/>
      <c r="B356" s="261"/>
      <c r="C356" s="261"/>
      <c r="D356" s="265"/>
      <c r="E356" s="265"/>
      <c r="F356" s="265"/>
      <c r="G356" s="265"/>
      <c r="H356" s="265"/>
      <c r="I356" s="265"/>
      <c r="J356" s="265"/>
      <c r="K356" s="259"/>
      <c r="L356" s="265"/>
      <c r="M356" s="265"/>
      <c r="N356" s="265"/>
      <c r="O356" s="265"/>
      <c r="P356" s="259"/>
      <c r="Q356" s="259"/>
      <c r="R356" s="259"/>
      <c r="S356" s="259"/>
      <c r="T356" s="259"/>
      <c r="U356" s="259"/>
      <c r="V356" s="259"/>
      <c r="W356" s="259"/>
      <c r="X356" s="259"/>
      <c r="Y356" s="260"/>
    </row>
    <row r="357" spans="1:25" ht="13">
      <c r="A357" s="261"/>
      <c r="B357" s="261"/>
      <c r="C357" s="261"/>
      <c r="D357" s="265"/>
      <c r="E357" s="265"/>
      <c r="F357" s="265"/>
      <c r="G357" s="265"/>
      <c r="H357" s="265"/>
      <c r="I357" s="265"/>
      <c r="J357" s="265"/>
      <c r="K357" s="259"/>
      <c r="L357" s="265"/>
      <c r="M357" s="265"/>
      <c r="N357" s="265"/>
      <c r="O357" s="265"/>
      <c r="P357" s="259"/>
      <c r="Q357" s="259"/>
      <c r="R357" s="259"/>
      <c r="S357" s="259"/>
      <c r="T357" s="259"/>
      <c r="U357" s="259"/>
      <c r="V357" s="259"/>
      <c r="W357" s="259"/>
      <c r="X357" s="259"/>
      <c r="Y357" s="260"/>
    </row>
    <row r="358" spans="1:25" ht="13">
      <c r="A358" s="261"/>
      <c r="B358" s="261"/>
      <c r="C358" s="261"/>
      <c r="D358" s="265"/>
      <c r="E358" s="265"/>
      <c r="F358" s="265"/>
      <c r="G358" s="265"/>
      <c r="H358" s="265"/>
      <c r="I358" s="265"/>
      <c r="J358" s="265"/>
      <c r="K358" s="259"/>
      <c r="L358" s="265"/>
      <c r="M358" s="265"/>
      <c r="N358" s="265"/>
      <c r="O358" s="265"/>
      <c r="P358" s="259"/>
      <c r="Q358" s="259"/>
      <c r="R358" s="259"/>
      <c r="S358" s="259"/>
      <c r="T358" s="259"/>
      <c r="U358" s="259"/>
      <c r="V358" s="259"/>
      <c r="W358" s="259"/>
      <c r="X358" s="259"/>
      <c r="Y358" s="260"/>
    </row>
    <row r="359" spans="1:25" ht="13">
      <c r="A359" s="261"/>
      <c r="B359" s="261"/>
      <c r="C359" s="261"/>
      <c r="D359" s="265"/>
      <c r="E359" s="265"/>
      <c r="F359" s="265"/>
      <c r="G359" s="265"/>
      <c r="H359" s="265"/>
      <c r="I359" s="265"/>
      <c r="J359" s="265"/>
      <c r="K359" s="259"/>
      <c r="L359" s="265"/>
      <c r="M359" s="265"/>
      <c r="N359" s="265"/>
      <c r="O359" s="265"/>
      <c r="P359" s="259"/>
      <c r="Q359" s="259"/>
      <c r="R359" s="259"/>
      <c r="S359" s="259"/>
      <c r="T359" s="259"/>
      <c r="U359" s="259"/>
      <c r="V359" s="259"/>
      <c r="W359" s="259"/>
      <c r="X359" s="259"/>
      <c r="Y359" s="260"/>
    </row>
    <row r="360" spans="1:25" ht="13">
      <c r="A360" s="261"/>
      <c r="B360" s="261"/>
      <c r="C360" s="261"/>
      <c r="D360" s="265"/>
      <c r="E360" s="265"/>
      <c r="F360" s="265"/>
      <c r="G360" s="265"/>
      <c r="H360" s="265"/>
      <c r="I360" s="265"/>
      <c r="J360" s="265"/>
      <c r="K360" s="259"/>
      <c r="L360" s="265"/>
      <c r="M360" s="265"/>
      <c r="N360" s="265"/>
      <c r="O360" s="265"/>
      <c r="P360" s="259"/>
      <c r="Q360" s="259"/>
      <c r="R360" s="259"/>
      <c r="S360" s="259"/>
      <c r="T360" s="259"/>
      <c r="U360" s="259"/>
      <c r="V360" s="259"/>
      <c r="W360" s="259"/>
      <c r="X360" s="259"/>
      <c r="Y360" s="260"/>
    </row>
    <row r="361" spans="1:25" ht="13">
      <c r="A361" s="261"/>
      <c r="B361" s="261"/>
      <c r="C361" s="261"/>
      <c r="D361" s="265"/>
      <c r="E361" s="265"/>
      <c r="F361" s="265"/>
      <c r="G361" s="265"/>
      <c r="H361" s="265"/>
      <c r="I361" s="265"/>
      <c r="J361" s="265"/>
      <c r="K361" s="259"/>
      <c r="L361" s="265"/>
      <c r="M361" s="265"/>
      <c r="N361" s="265"/>
      <c r="O361" s="265"/>
      <c r="P361" s="259"/>
      <c r="Q361" s="259"/>
      <c r="R361" s="259"/>
      <c r="S361" s="259"/>
      <c r="T361" s="259"/>
      <c r="U361" s="259"/>
      <c r="V361" s="259"/>
      <c r="W361" s="259"/>
      <c r="X361" s="259"/>
      <c r="Y361" s="260"/>
    </row>
    <row r="362" spans="1:25" ht="13">
      <c r="A362" s="261"/>
      <c r="B362" s="261"/>
      <c r="C362" s="261"/>
      <c r="D362" s="265"/>
      <c r="E362" s="265"/>
      <c r="F362" s="265"/>
      <c r="G362" s="265"/>
      <c r="H362" s="265"/>
      <c r="I362" s="265"/>
      <c r="J362" s="265"/>
      <c r="K362" s="259"/>
      <c r="L362" s="265"/>
      <c r="M362" s="265"/>
      <c r="N362" s="265"/>
      <c r="O362" s="265"/>
      <c r="P362" s="259"/>
      <c r="Q362" s="259"/>
      <c r="R362" s="259"/>
      <c r="S362" s="259"/>
      <c r="T362" s="259"/>
      <c r="U362" s="259"/>
      <c r="V362" s="259"/>
      <c r="W362" s="259"/>
      <c r="X362" s="259"/>
      <c r="Y362" s="260"/>
    </row>
    <row r="363" spans="1:25" ht="13">
      <c r="A363" s="261"/>
      <c r="B363" s="261"/>
      <c r="C363" s="261"/>
      <c r="D363" s="265"/>
      <c r="E363" s="265"/>
      <c r="F363" s="265"/>
      <c r="G363" s="265"/>
      <c r="H363" s="265"/>
      <c r="I363" s="265"/>
      <c r="J363" s="265"/>
      <c r="K363" s="259"/>
      <c r="L363" s="265"/>
      <c r="M363" s="265"/>
      <c r="N363" s="265"/>
      <c r="O363" s="265"/>
      <c r="P363" s="259"/>
      <c r="Q363" s="259"/>
      <c r="R363" s="259"/>
      <c r="S363" s="259"/>
      <c r="T363" s="259"/>
      <c r="U363" s="259"/>
      <c r="V363" s="259"/>
      <c r="W363" s="259"/>
      <c r="X363" s="259"/>
      <c r="Y363" s="260"/>
    </row>
    <row r="364" spans="1:25" ht="13">
      <c r="A364" s="261"/>
      <c r="B364" s="261"/>
      <c r="C364" s="261"/>
      <c r="D364" s="265"/>
      <c r="E364" s="265"/>
      <c r="F364" s="265"/>
      <c r="G364" s="265"/>
      <c r="H364" s="265"/>
      <c r="I364" s="265"/>
      <c r="J364" s="265"/>
      <c r="K364" s="259"/>
      <c r="L364" s="265"/>
      <c r="M364" s="265"/>
      <c r="N364" s="265"/>
      <c r="O364" s="265"/>
      <c r="P364" s="259"/>
      <c r="Q364" s="259"/>
      <c r="R364" s="259"/>
      <c r="S364" s="259"/>
      <c r="T364" s="259"/>
      <c r="U364" s="259"/>
      <c r="V364" s="259"/>
      <c r="W364" s="259"/>
      <c r="X364" s="259"/>
      <c r="Y364" s="260"/>
    </row>
    <row r="365" spans="1:25" ht="13">
      <c r="A365" s="261"/>
      <c r="B365" s="261"/>
      <c r="C365" s="261"/>
      <c r="D365" s="265"/>
      <c r="E365" s="265"/>
      <c r="F365" s="265"/>
      <c r="G365" s="265"/>
      <c r="H365" s="265"/>
      <c r="I365" s="265"/>
      <c r="J365" s="265"/>
      <c r="K365" s="259"/>
      <c r="L365" s="265"/>
      <c r="M365" s="265"/>
      <c r="N365" s="265"/>
      <c r="O365" s="265"/>
      <c r="P365" s="259"/>
      <c r="Q365" s="259"/>
      <c r="R365" s="259"/>
      <c r="S365" s="259"/>
      <c r="T365" s="259"/>
      <c r="U365" s="259"/>
      <c r="V365" s="259"/>
      <c r="W365" s="259"/>
      <c r="X365" s="259"/>
      <c r="Y365" s="260"/>
    </row>
    <row r="366" spans="1:25" ht="13">
      <c r="A366" s="261"/>
      <c r="B366" s="261"/>
      <c r="C366" s="261"/>
      <c r="D366" s="265"/>
      <c r="E366" s="265"/>
      <c r="F366" s="265"/>
      <c r="G366" s="265"/>
      <c r="H366" s="265"/>
      <c r="I366" s="265"/>
      <c r="J366" s="265"/>
      <c r="K366" s="259"/>
      <c r="L366" s="265"/>
      <c r="M366" s="265"/>
      <c r="N366" s="265"/>
      <c r="O366" s="265"/>
      <c r="P366" s="259"/>
      <c r="Q366" s="259"/>
      <c r="R366" s="259"/>
      <c r="S366" s="259"/>
      <c r="T366" s="259"/>
      <c r="U366" s="259"/>
      <c r="V366" s="259"/>
      <c r="W366" s="259"/>
      <c r="X366" s="259"/>
      <c r="Y366" s="260"/>
    </row>
    <row r="367" spans="1:25" ht="13">
      <c r="A367" s="261"/>
      <c r="B367" s="261"/>
      <c r="C367" s="261"/>
      <c r="D367" s="265"/>
      <c r="E367" s="265"/>
      <c r="F367" s="265"/>
      <c r="G367" s="265"/>
      <c r="H367" s="265"/>
      <c r="I367" s="265"/>
      <c r="J367" s="265"/>
      <c r="K367" s="259"/>
      <c r="L367" s="265"/>
      <c r="M367" s="265"/>
      <c r="N367" s="265"/>
      <c r="O367" s="265"/>
      <c r="P367" s="259"/>
      <c r="Q367" s="259"/>
      <c r="R367" s="259"/>
      <c r="S367" s="259"/>
      <c r="T367" s="259"/>
      <c r="U367" s="259"/>
      <c r="V367" s="259"/>
      <c r="W367" s="259"/>
      <c r="X367" s="259"/>
      <c r="Y367" s="260"/>
    </row>
    <row r="368" spans="1:25" ht="13">
      <c r="A368" s="261"/>
      <c r="B368" s="261"/>
      <c r="C368" s="261"/>
      <c r="D368" s="265"/>
      <c r="E368" s="265"/>
      <c r="F368" s="265"/>
      <c r="G368" s="265"/>
      <c r="H368" s="265"/>
      <c r="I368" s="265"/>
      <c r="J368" s="265"/>
      <c r="K368" s="259"/>
      <c r="L368" s="265"/>
      <c r="M368" s="265"/>
      <c r="N368" s="265"/>
      <c r="O368" s="265"/>
      <c r="P368" s="259"/>
      <c r="Q368" s="259"/>
      <c r="R368" s="259"/>
      <c r="S368" s="259"/>
      <c r="T368" s="259"/>
      <c r="U368" s="259"/>
      <c r="V368" s="259"/>
      <c r="W368" s="259"/>
      <c r="X368" s="259"/>
      <c r="Y368" s="260"/>
    </row>
    <row r="369" spans="1:25" ht="13">
      <c r="A369" s="261"/>
      <c r="B369" s="261"/>
      <c r="C369" s="261"/>
      <c r="D369" s="265"/>
      <c r="E369" s="265"/>
      <c r="F369" s="265"/>
      <c r="G369" s="265"/>
      <c r="H369" s="265"/>
      <c r="I369" s="265"/>
      <c r="J369" s="265"/>
      <c r="K369" s="259"/>
      <c r="L369" s="265"/>
      <c r="M369" s="265"/>
      <c r="N369" s="265"/>
      <c r="O369" s="265"/>
      <c r="P369" s="259"/>
      <c r="Q369" s="259"/>
      <c r="R369" s="259"/>
      <c r="S369" s="259"/>
      <c r="T369" s="259"/>
      <c r="U369" s="259"/>
      <c r="V369" s="259"/>
      <c r="W369" s="259"/>
      <c r="X369" s="259"/>
      <c r="Y369" s="260"/>
    </row>
    <row r="370" spans="1:25" ht="13">
      <c r="A370" s="261"/>
      <c r="B370" s="261"/>
      <c r="C370" s="261"/>
      <c r="D370" s="265"/>
      <c r="E370" s="265"/>
      <c r="F370" s="265"/>
      <c r="G370" s="265"/>
      <c r="H370" s="265"/>
      <c r="I370" s="265"/>
      <c r="J370" s="265"/>
      <c r="K370" s="259"/>
      <c r="L370" s="265"/>
      <c r="M370" s="265"/>
      <c r="N370" s="265"/>
      <c r="O370" s="265"/>
      <c r="P370" s="259"/>
      <c r="Q370" s="259"/>
      <c r="R370" s="259"/>
      <c r="S370" s="259"/>
      <c r="T370" s="259"/>
      <c r="U370" s="259"/>
      <c r="V370" s="259"/>
      <c r="W370" s="259"/>
      <c r="X370" s="259"/>
      <c r="Y370" s="260"/>
    </row>
    <row r="371" spans="1:25" ht="13">
      <c r="A371" s="261"/>
      <c r="B371" s="261"/>
      <c r="C371" s="261"/>
      <c r="D371" s="265"/>
      <c r="E371" s="265"/>
      <c r="F371" s="265"/>
      <c r="G371" s="265"/>
      <c r="H371" s="265"/>
      <c r="I371" s="265"/>
      <c r="J371" s="265"/>
      <c r="K371" s="259"/>
      <c r="L371" s="265"/>
      <c r="M371" s="265"/>
      <c r="N371" s="265"/>
      <c r="O371" s="265"/>
      <c r="P371" s="259"/>
      <c r="Q371" s="259"/>
      <c r="R371" s="259"/>
      <c r="S371" s="259"/>
      <c r="T371" s="259"/>
      <c r="U371" s="259"/>
      <c r="V371" s="259"/>
      <c r="W371" s="259"/>
      <c r="X371" s="259"/>
      <c r="Y371" s="260"/>
    </row>
    <row r="372" spans="1:25" ht="13">
      <c r="A372" s="261"/>
      <c r="B372" s="261"/>
      <c r="C372" s="261"/>
      <c r="D372" s="265"/>
      <c r="E372" s="265"/>
      <c r="F372" s="265"/>
      <c r="G372" s="265"/>
      <c r="H372" s="265"/>
      <c r="I372" s="265"/>
      <c r="J372" s="265"/>
      <c r="K372" s="259"/>
      <c r="L372" s="265"/>
      <c r="M372" s="265"/>
      <c r="N372" s="265"/>
      <c r="O372" s="265"/>
      <c r="P372" s="259"/>
      <c r="Q372" s="259"/>
      <c r="R372" s="259"/>
      <c r="S372" s="259"/>
      <c r="T372" s="259"/>
      <c r="U372" s="259"/>
      <c r="V372" s="259"/>
      <c r="W372" s="259"/>
      <c r="X372" s="259"/>
      <c r="Y372" s="260"/>
    </row>
    <row r="373" spans="1:25" ht="13">
      <c r="A373" s="261"/>
      <c r="B373" s="261"/>
      <c r="C373" s="261"/>
      <c r="D373" s="265"/>
      <c r="E373" s="265"/>
      <c r="F373" s="265"/>
      <c r="G373" s="265"/>
      <c r="H373" s="265"/>
      <c r="I373" s="265"/>
      <c r="J373" s="265"/>
      <c r="K373" s="259"/>
      <c r="L373" s="265"/>
      <c r="M373" s="265"/>
      <c r="N373" s="265"/>
      <c r="O373" s="265"/>
      <c r="P373" s="259"/>
      <c r="Q373" s="259"/>
      <c r="R373" s="259"/>
      <c r="S373" s="259"/>
      <c r="T373" s="259"/>
      <c r="U373" s="259"/>
      <c r="V373" s="259"/>
      <c r="W373" s="259"/>
      <c r="X373" s="259"/>
      <c r="Y373" s="260"/>
    </row>
    <row r="374" spans="1:25" ht="13">
      <c r="A374" s="261"/>
      <c r="B374" s="261"/>
      <c r="C374" s="261"/>
      <c r="D374" s="265"/>
      <c r="E374" s="265"/>
      <c r="F374" s="265"/>
      <c r="G374" s="265"/>
      <c r="H374" s="265"/>
      <c r="I374" s="265"/>
      <c r="J374" s="265"/>
      <c r="K374" s="259"/>
      <c r="L374" s="265"/>
      <c r="M374" s="265"/>
      <c r="N374" s="265"/>
      <c r="O374" s="265"/>
      <c r="P374" s="259"/>
      <c r="Q374" s="259"/>
      <c r="R374" s="259"/>
      <c r="S374" s="259"/>
      <c r="T374" s="259"/>
      <c r="U374" s="259"/>
      <c r="V374" s="259"/>
      <c r="W374" s="259"/>
      <c r="X374" s="259"/>
      <c r="Y374" s="260"/>
    </row>
    <row r="375" spans="1:25" ht="13">
      <c r="A375" s="261"/>
      <c r="B375" s="261"/>
      <c r="C375" s="261"/>
      <c r="D375" s="265"/>
      <c r="E375" s="265"/>
      <c r="F375" s="265"/>
      <c r="G375" s="265"/>
      <c r="H375" s="265"/>
      <c r="I375" s="265"/>
      <c r="J375" s="265"/>
      <c r="K375" s="259"/>
      <c r="L375" s="265"/>
      <c r="M375" s="265"/>
      <c r="N375" s="265"/>
      <c r="O375" s="265"/>
      <c r="P375" s="259"/>
      <c r="Q375" s="259"/>
      <c r="R375" s="259"/>
      <c r="S375" s="259"/>
      <c r="T375" s="259"/>
      <c r="U375" s="259"/>
      <c r="V375" s="259"/>
      <c r="W375" s="259"/>
      <c r="X375" s="259"/>
      <c r="Y375" s="260"/>
    </row>
    <row r="376" spans="1:25" ht="13">
      <c r="A376" s="261"/>
      <c r="B376" s="261"/>
      <c r="C376" s="261"/>
      <c r="D376" s="265"/>
      <c r="E376" s="265"/>
      <c r="F376" s="265"/>
      <c r="G376" s="265"/>
      <c r="H376" s="265"/>
      <c r="I376" s="265"/>
      <c r="J376" s="265"/>
      <c r="K376" s="259"/>
      <c r="L376" s="265"/>
      <c r="M376" s="265"/>
      <c r="N376" s="265"/>
      <c r="O376" s="265"/>
      <c r="P376" s="259"/>
      <c r="Q376" s="259"/>
      <c r="R376" s="259"/>
      <c r="S376" s="259"/>
      <c r="T376" s="259"/>
      <c r="U376" s="259"/>
      <c r="V376" s="259"/>
      <c r="W376" s="259"/>
      <c r="X376" s="259"/>
      <c r="Y376" s="260"/>
    </row>
    <row r="377" spans="1:25" ht="13">
      <c r="A377" s="261"/>
      <c r="B377" s="261"/>
      <c r="C377" s="261"/>
      <c r="D377" s="265"/>
      <c r="E377" s="265"/>
      <c r="F377" s="265"/>
      <c r="G377" s="265"/>
      <c r="H377" s="265"/>
      <c r="I377" s="265"/>
      <c r="J377" s="265"/>
      <c r="K377" s="259"/>
      <c r="L377" s="265"/>
      <c r="M377" s="265"/>
      <c r="N377" s="265"/>
      <c r="O377" s="265"/>
      <c r="P377" s="259"/>
      <c r="Q377" s="259"/>
      <c r="R377" s="259"/>
      <c r="S377" s="259"/>
      <c r="T377" s="259"/>
      <c r="U377" s="259"/>
      <c r="V377" s="259"/>
      <c r="W377" s="259"/>
      <c r="X377" s="259"/>
      <c r="Y377" s="260"/>
    </row>
    <row r="378" spans="1:25" ht="13">
      <c r="A378" s="261"/>
      <c r="B378" s="261"/>
      <c r="C378" s="261"/>
      <c r="D378" s="265"/>
      <c r="E378" s="265"/>
      <c r="F378" s="265"/>
      <c r="G378" s="265"/>
      <c r="H378" s="265"/>
      <c r="I378" s="265"/>
      <c r="J378" s="265"/>
      <c r="K378" s="259"/>
      <c r="L378" s="265"/>
      <c r="M378" s="265"/>
      <c r="N378" s="265"/>
      <c r="O378" s="265"/>
      <c r="P378" s="259"/>
      <c r="Q378" s="259"/>
      <c r="R378" s="259"/>
      <c r="S378" s="259"/>
      <c r="T378" s="259"/>
      <c r="U378" s="259"/>
      <c r="V378" s="259"/>
      <c r="W378" s="259"/>
      <c r="X378" s="259"/>
      <c r="Y378" s="260"/>
    </row>
    <row r="379" spans="1:25" ht="13">
      <c r="A379" s="261"/>
      <c r="B379" s="261"/>
      <c r="C379" s="261"/>
      <c r="D379" s="265"/>
      <c r="E379" s="265"/>
      <c r="F379" s="265"/>
      <c r="G379" s="265"/>
      <c r="H379" s="265"/>
      <c r="I379" s="265"/>
      <c r="J379" s="265"/>
      <c r="K379" s="259"/>
      <c r="L379" s="265"/>
      <c r="M379" s="265"/>
      <c r="N379" s="265"/>
      <c r="O379" s="265"/>
      <c r="P379" s="259"/>
      <c r="Q379" s="259"/>
      <c r="R379" s="259"/>
      <c r="S379" s="259"/>
      <c r="T379" s="259"/>
      <c r="U379" s="259"/>
      <c r="V379" s="259"/>
      <c r="W379" s="259"/>
      <c r="X379" s="259"/>
      <c r="Y379" s="260"/>
    </row>
    <row r="380" spans="1:25" ht="13">
      <c r="A380" s="261"/>
      <c r="B380" s="261"/>
      <c r="C380" s="261"/>
      <c r="D380" s="265"/>
      <c r="E380" s="265"/>
      <c r="F380" s="265"/>
      <c r="G380" s="265"/>
      <c r="H380" s="265"/>
      <c r="I380" s="265"/>
      <c r="J380" s="265"/>
      <c r="K380" s="259"/>
      <c r="L380" s="265"/>
      <c r="M380" s="265"/>
      <c r="N380" s="265"/>
      <c r="O380" s="265"/>
      <c r="P380" s="259"/>
      <c r="Q380" s="259"/>
      <c r="R380" s="259"/>
      <c r="S380" s="259"/>
      <c r="T380" s="259"/>
      <c r="U380" s="259"/>
      <c r="V380" s="259"/>
      <c r="W380" s="259"/>
      <c r="X380" s="259"/>
      <c r="Y380" s="260"/>
    </row>
    <row r="381" spans="1:25" ht="13">
      <c r="A381" s="261"/>
      <c r="B381" s="261"/>
      <c r="C381" s="261"/>
      <c r="D381" s="265"/>
      <c r="E381" s="265"/>
      <c r="F381" s="265"/>
      <c r="G381" s="265"/>
      <c r="H381" s="265"/>
      <c r="I381" s="265"/>
      <c r="J381" s="265"/>
      <c r="K381" s="259"/>
      <c r="L381" s="265"/>
      <c r="M381" s="265"/>
      <c r="N381" s="265"/>
      <c r="O381" s="265"/>
      <c r="P381" s="259"/>
      <c r="Q381" s="259"/>
      <c r="R381" s="259"/>
      <c r="S381" s="259"/>
      <c r="T381" s="259"/>
      <c r="U381" s="259"/>
      <c r="V381" s="259"/>
      <c r="W381" s="259"/>
      <c r="X381" s="259"/>
      <c r="Y381" s="260"/>
    </row>
    <row r="382" spans="1:25" ht="13">
      <c r="A382" s="261"/>
      <c r="B382" s="261"/>
      <c r="C382" s="261"/>
      <c r="D382" s="265"/>
      <c r="E382" s="265"/>
      <c r="F382" s="265"/>
      <c r="G382" s="265"/>
      <c r="H382" s="265"/>
      <c r="I382" s="265"/>
      <c r="J382" s="265"/>
      <c r="K382" s="259"/>
      <c r="L382" s="265"/>
      <c r="M382" s="265"/>
      <c r="N382" s="265"/>
      <c r="O382" s="265"/>
      <c r="P382" s="259"/>
      <c r="Q382" s="259"/>
      <c r="R382" s="259"/>
      <c r="S382" s="259"/>
      <c r="T382" s="259"/>
      <c r="U382" s="259"/>
      <c r="V382" s="259"/>
      <c r="W382" s="259"/>
      <c r="X382" s="259"/>
      <c r="Y382" s="260"/>
    </row>
    <row r="383" spans="1:25" ht="13">
      <c r="A383" s="261"/>
      <c r="B383" s="261"/>
      <c r="C383" s="261"/>
      <c r="D383" s="265"/>
      <c r="E383" s="265"/>
      <c r="F383" s="265"/>
      <c r="G383" s="265"/>
      <c r="H383" s="265"/>
      <c r="I383" s="265"/>
      <c r="J383" s="265"/>
      <c r="K383" s="259"/>
      <c r="L383" s="265"/>
      <c r="M383" s="265"/>
      <c r="N383" s="265"/>
      <c r="O383" s="265"/>
      <c r="P383" s="259"/>
      <c r="Q383" s="259"/>
      <c r="R383" s="259"/>
      <c r="S383" s="259"/>
      <c r="T383" s="259"/>
      <c r="U383" s="259"/>
      <c r="V383" s="259"/>
      <c r="W383" s="259"/>
      <c r="X383" s="259"/>
      <c r="Y383" s="260"/>
    </row>
    <row r="384" spans="1:25" ht="13">
      <c r="A384" s="261"/>
      <c r="B384" s="261"/>
      <c r="C384" s="261"/>
      <c r="D384" s="265"/>
      <c r="E384" s="265"/>
      <c r="F384" s="265"/>
      <c r="G384" s="265"/>
      <c r="H384" s="265"/>
      <c r="I384" s="265"/>
      <c r="J384" s="265"/>
      <c r="K384" s="259"/>
      <c r="L384" s="265"/>
      <c r="M384" s="265"/>
      <c r="N384" s="265"/>
      <c r="O384" s="265"/>
      <c r="P384" s="259"/>
      <c r="Q384" s="259"/>
      <c r="R384" s="259"/>
      <c r="S384" s="259"/>
      <c r="T384" s="259"/>
      <c r="U384" s="259"/>
      <c r="V384" s="259"/>
      <c r="W384" s="259"/>
      <c r="X384" s="259"/>
      <c r="Y384" s="260"/>
    </row>
    <row r="385" spans="1:25" ht="13">
      <c r="A385" s="261"/>
      <c r="B385" s="261"/>
      <c r="C385" s="261"/>
      <c r="D385" s="265"/>
      <c r="E385" s="265"/>
      <c r="F385" s="265"/>
      <c r="G385" s="265"/>
      <c r="H385" s="265"/>
      <c r="I385" s="265"/>
      <c r="J385" s="265"/>
      <c r="K385" s="259"/>
      <c r="L385" s="265"/>
      <c r="M385" s="265"/>
      <c r="N385" s="265"/>
      <c r="O385" s="265"/>
      <c r="P385" s="259"/>
      <c r="Q385" s="259"/>
      <c r="R385" s="259"/>
      <c r="S385" s="259"/>
      <c r="T385" s="259"/>
      <c r="U385" s="259"/>
      <c r="V385" s="259"/>
      <c r="W385" s="259"/>
      <c r="X385" s="259"/>
      <c r="Y385" s="260"/>
    </row>
    <row r="386" spans="1:25" ht="13">
      <c r="A386" s="261"/>
      <c r="B386" s="261"/>
      <c r="C386" s="261"/>
      <c r="D386" s="265"/>
      <c r="E386" s="265"/>
      <c r="F386" s="265"/>
      <c r="G386" s="265"/>
      <c r="H386" s="265"/>
      <c r="I386" s="265"/>
      <c r="J386" s="265"/>
      <c r="K386" s="259"/>
      <c r="L386" s="265"/>
      <c r="M386" s="265"/>
      <c r="N386" s="265"/>
      <c r="O386" s="265"/>
      <c r="P386" s="259"/>
      <c r="Q386" s="259"/>
      <c r="R386" s="259"/>
      <c r="S386" s="259"/>
      <c r="T386" s="259"/>
      <c r="U386" s="259"/>
      <c r="V386" s="259"/>
      <c r="W386" s="259"/>
      <c r="X386" s="259"/>
      <c r="Y386" s="260"/>
    </row>
    <row r="387" spans="1:25" ht="13">
      <c r="A387" s="261"/>
      <c r="B387" s="261"/>
      <c r="C387" s="261"/>
      <c r="D387" s="265"/>
      <c r="E387" s="265"/>
      <c r="F387" s="265"/>
      <c r="G387" s="265"/>
      <c r="H387" s="265"/>
      <c r="I387" s="265"/>
      <c r="J387" s="265"/>
      <c r="K387" s="259"/>
      <c r="L387" s="265"/>
      <c r="M387" s="265"/>
      <c r="N387" s="265"/>
      <c r="O387" s="265"/>
      <c r="P387" s="259"/>
      <c r="Q387" s="259"/>
      <c r="R387" s="259"/>
      <c r="S387" s="259"/>
      <c r="T387" s="259"/>
      <c r="U387" s="259"/>
      <c r="V387" s="259"/>
      <c r="W387" s="259"/>
      <c r="X387" s="259"/>
      <c r="Y387" s="260"/>
    </row>
    <row r="388" spans="1:25" ht="13">
      <c r="A388" s="261"/>
      <c r="B388" s="261"/>
      <c r="C388" s="261"/>
      <c r="D388" s="265"/>
      <c r="E388" s="265"/>
      <c r="F388" s="265"/>
      <c r="G388" s="265"/>
      <c r="H388" s="265"/>
      <c r="I388" s="265"/>
      <c r="J388" s="265"/>
      <c r="K388" s="259"/>
      <c r="L388" s="265"/>
      <c r="M388" s="265"/>
      <c r="N388" s="265"/>
      <c r="O388" s="265"/>
      <c r="P388" s="259"/>
      <c r="Q388" s="259"/>
      <c r="R388" s="259"/>
      <c r="S388" s="259"/>
      <c r="T388" s="259"/>
      <c r="U388" s="259"/>
      <c r="V388" s="259"/>
      <c r="W388" s="259"/>
      <c r="X388" s="259"/>
      <c r="Y388" s="260"/>
    </row>
    <row r="389" spans="1:25" ht="13">
      <c r="A389" s="261"/>
      <c r="B389" s="261"/>
      <c r="C389" s="261"/>
      <c r="D389" s="265"/>
      <c r="E389" s="265"/>
      <c r="F389" s="265"/>
      <c r="G389" s="265"/>
      <c r="H389" s="265"/>
      <c r="I389" s="265"/>
      <c r="J389" s="265"/>
      <c r="K389" s="259"/>
      <c r="L389" s="265"/>
      <c r="M389" s="265"/>
      <c r="N389" s="265"/>
      <c r="O389" s="265"/>
      <c r="P389" s="259"/>
      <c r="Q389" s="259"/>
      <c r="R389" s="259"/>
      <c r="S389" s="259"/>
      <c r="T389" s="259"/>
      <c r="U389" s="259"/>
      <c r="V389" s="259"/>
      <c r="W389" s="259"/>
      <c r="X389" s="259"/>
      <c r="Y389" s="260"/>
    </row>
    <row r="390" spans="1:25" ht="13">
      <c r="A390" s="261"/>
      <c r="B390" s="261"/>
      <c r="C390" s="261"/>
      <c r="D390" s="265"/>
      <c r="E390" s="265"/>
      <c r="F390" s="265"/>
      <c r="G390" s="265"/>
      <c r="H390" s="265"/>
      <c r="I390" s="265"/>
      <c r="J390" s="265"/>
      <c r="K390" s="259"/>
      <c r="L390" s="265"/>
      <c r="M390" s="265"/>
      <c r="N390" s="265"/>
      <c r="O390" s="265"/>
      <c r="P390" s="259"/>
      <c r="Q390" s="259"/>
      <c r="R390" s="259"/>
      <c r="S390" s="259"/>
      <c r="T390" s="259"/>
      <c r="U390" s="259"/>
      <c r="V390" s="259"/>
      <c r="W390" s="259"/>
      <c r="X390" s="259"/>
      <c r="Y390" s="260"/>
    </row>
    <row r="391" spans="1:25" ht="13">
      <c r="A391" s="261"/>
      <c r="B391" s="261"/>
      <c r="C391" s="261"/>
      <c r="D391" s="265"/>
      <c r="E391" s="265"/>
      <c r="F391" s="265"/>
      <c r="G391" s="265"/>
      <c r="H391" s="265"/>
      <c r="I391" s="265"/>
      <c r="J391" s="265"/>
      <c r="K391" s="259"/>
      <c r="L391" s="265"/>
      <c r="M391" s="265"/>
      <c r="N391" s="265"/>
      <c r="O391" s="265"/>
      <c r="P391" s="259"/>
      <c r="Q391" s="259"/>
      <c r="R391" s="259"/>
      <c r="S391" s="259"/>
      <c r="T391" s="259"/>
      <c r="U391" s="259"/>
      <c r="V391" s="259"/>
      <c r="W391" s="259"/>
      <c r="X391" s="259"/>
      <c r="Y391" s="260"/>
    </row>
    <row r="392" spans="1:25" ht="13">
      <c r="A392" s="261"/>
      <c r="B392" s="261"/>
      <c r="C392" s="261"/>
      <c r="D392" s="265"/>
      <c r="E392" s="265"/>
      <c r="F392" s="265"/>
      <c r="G392" s="265"/>
      <c r="H392" s="265"/>
      <c r="I392" s="265"/>
      <c r="J392" s="265"/>
      <c r="K392" s="259"/>
      <c r="L392" s="265"/>
      <c r="M392" s="265"/>
      <c r="N392" s="265"/>
      <c r="O392" s="265"/>
      <c r="P392" s="259"/>
      <c r="Q392" s="259"/>
      <c r="R392" s="259"/>
      <c r="S392" s="259"/>
      <c r="T392" s="259"/>
      <c r="U392" s="259"/>
      <c r="V392" s="259"/>
      <c r="W392" s="259"/>
      <c r="X392" s="259"/>
      <c r="Y392" s="260"/>
    </row>
    <row r="393" spans="1:25" ht="13">
      <c r="A393" s="261"/>
      <c r="B393" s="261"/>
      <c r="C393" s="261"/>
      <c r="D393" s="265"/>
      <c r="E393" s="265"/>
      <c r="F393" s="265"/>
      <c r="G393" s="265"/>
      <c r="H393" s="265"/>
      <c r="I393" s="265"/>
      <c r="J393" s="265"/>
      <c r="K393" s="259"/>
      <c r="L393" s="265"/>
      <c r="M393" s="265"/>
      <c r="N393" s="265"/>
      <c r="O393" s="265"/>
      <c r="P393" s="259"/>
      <c r="Q393" s="259"/>
      <c r="R393" s="259"/>
      <c r="S393" s="259"/>
      <c r="T393" s="259"/>
      <c r="U393" s="259"/>
      <c r="V393" s="259"/>
      <c r="W393" s="259"/>
      <c r="X393" s="259"/>
      <c r="Y393" s="260"/>
    </row>
    <row r="394" spans="1:25" ht="13">
      <c r="A394" s="261"/>
      <c r="B394" s="261"/>
      <c r="C394" s="261"/>
      <c r="D394" s="265"/>
      <c r="E394" s="265"/>
      <c r="F394" s="265"/>
      <c r="G394" s="265"/>
      <c r="H394" s="265"/>
      <c r="I394" s="265"/>
      <c r="J394" s="265"/>
      <c r="K394" s="259"/>
      <c r="L394" s="265"/>
      <c r="M394" s="265"/>
      <c r="N394" s="265"/>
      <c r="O394" s="265"/>
      <c r="P394" s="259"/>
      <c r="Q394" s="259"/>
      <c r="R394" s="259"/>
      <c r="S394" s="259"/>
      <c r="T394" s="259"/>
      <c r="U394" s="259"/>
      <c r="V394" s="259"/>
      <c r="W394" s="259"/>
      <c r="X394" s="259"/>
      <c r="Y394" s="260"/>
    </row>
    <row r="395" spans="1:25" ht="13">
      <c r="A395" s="261"/>
      <c r="B395" s="261"/>
      <c r="C395" s="261"/>
      <c r="D395" s="265"/>
      <c r="E395" s="265"/>
      <c r="F395" s="265"/>
      <c r="G395" s="265"/>
      <c r="H395" s="265"/>
      <c r="I395" s="265"/>
      <c r="J395" s="265"/>
      <c r="K395" s="259"/>
      <c r="L395" s="265"/>
      <c r="M395" s="265"/>
      <c r="N395" s="265"/>
      <c r="O395" s="265"/>
      <c r="P395" s="259"/>
      <c r="Q395" s="259"/>
      <c r="R395" s="259"/>
      <c r="S395" s="259"/>
      <c r="T395" s="259"/>
      <c r="U395" s="259"/>
      <c r="V395" s="259"/>
      <c r="W395" s="259"/>
      <c r="X395" s="259"/>
      <c r="Y395" s="260"/>
    </row>
    <row r="396" spans="1:25" ht="13">
      <c r="A396" s="261"/>
      <c r="B396" s="261"/>
      <c r="C396" s="261"/>
      <c r="D396" s="265"/>
      <c r="E396" s="265"/>
      <c r="F396" s="265"/>
      <c r="G396" s="265"/>
      <c r="H396" s="265"/>
      <c r="I396" s="265"/>
      <c r="J396" s="265"/>
      <c r="K396" s="259"/>
      <c r="L396" s="265"/>
      <c r="M396" s="265"/>
      <c r="N396" s="265"/>
      <c r="O396" s="265"/>
      <c r="P396" s="259"/>
      <c r="Q396" s="259"/>
      <c r="R396" s="259"/>
      <c r="S396" s="259"/>
      <c r="T396" s="259"/>
      <c r="U396" s="259"/>
      <c r="V396" s="259"/>
      <c r="W396" s="259"/>
      <c r="X396" s="259"/>
      <c r="Y396" s="260"/>
    </row>
    <row r="397" spans="1:25" ht="13">
      <c r="A397" s="261"/>
      <c r="B397" s="261"/>
      <c r="C397" s="261"/>
      <c r="D397" s="265"/>
      <c r="E397" s="265"/>
      <c r="F397" s="265"/>
      <c r="G397" s="265"/>
      <c r="H397" s="265"/>
      <c r="I397" s="265"/>
      <c r="J397" s="265"/>
      <c r="K397" s="259"/>
      <c r="L397" s="265"/>
      <c r="M397" s="265"/>
      <c r="N397" s="265"/>
      <c r="O397" s="265"/>
      <c r="P397" s="259"/>
      <c r="Q397" s="259"/>
      <c r="R397" s="259"/>
      <c r="S397" s="259"/>
      <c r="T397" s="259"/>
      <c r="U397" s="259"/>
      <c r="V397" s="259"/>
      <c r="W397" s="259"/>
      <c r="X397" s="259"/>
      <c r="Y397" s="260"/>
    </row>
    <row r="398" spans="1:25" ht="13">
      <c r="A398" s="261"/>
      <c r="B398" s="261"/>
      <c r="C398" s="261"/>
      <c r="D398" s="265"/>
      <c r="E398" s="265"/>
      <c r="F398" s="265"/>
      <c r="G398" s="265"/>
      <c r="H398" s="265"/>
      <c r="I398" s="265"/>
      <c r="J398" s="265"/>
      <c r="K398" s="259"/>
      <c r="L398" s="265"/>
      <c r="M398" s="265"/>
      <c r="N398" s="265"/>
      <c r="O398" s="265"/>
      <c r="P398" s="259"/>
      <c r="Q398" s="259"/>
      <c r="R398" s="259"/>
      <c r="S398" s="259"/>
      <c r="T398" s="259"/>
      <c r="U398" s="259"/>
      <c r="V398" s="259"/>
      <c r="W398" s="259"/>
      <c r="X398" s="259"/>
      <c r="Y398" s="260"/>
    </row>
    <row r="399" spans="1:25" ht="13">
      <c r="A399" s="261"/>
      <c r="B399" s="261"/>
      <c r="C399" s="261"/>
      <c r="D399" s="265"/>
      <c r="E399" s="265"/>
      <c r="F399" s="265"/>
      <c r="G399" s="265"/>
      <c r="H399" s="265"/>
      <c r="I399" s="265"/>
      <c r="J399" s="265"/>
      <c r="K399" s="259"/>
      <c r="L399" s="265"/>
      <c r="M399" s="265"/>
      <c r="N399" s="265"/>
      <c r="O399" s="265"/>
      <c r="P399" s="259"/>
      <c r="Q399" s="259"/>
      <c r="R399" s="259"/>
      <c r="S399" s="259"/>
      <c r="T399" s="259"/>
      <c r="U399" s="259"/>
      <c r="V399" s="259"/>
      <c r="W399" s="259"/>
      <c r="X399" s="259"/>
      <c r="Y399" s="260"/>
    </row>
    <row r="400" spans="1:25" ht="13">
      <c r="A400" s="261"/>
      <c r="B400" s="261"/>
      <c r="C400" s="261"/>
      <c r="D400" s="265"/>
      <c r="E400" s="265"/>
      <c r="F400" s="265"/>
      <c r="G400" s="265"/>
      <c r="H400" s="265"/>
      <c r="I400" s="265"/>
      <c r="J400" s="265"/>
      <c r="K400" s="259"/>
      <c r="L400" s="265"/>
      <c r="M400" s="265"/>
      <c r="N400" s="265"/>
      <c r="O400" s="265"/>
      <c r="P400" s="259"/>
      <c r="Q400" s="259"/>
      <c r="R400" s="259"/>
      <c r="S400" s="259"/>
      <c r="T400" s="259"/>
      <c r="U400" s="259"/>
      <c r="V400" s="259"/>
      <c r="W400" s="259"/>
      <c r="X400" s="259"/>
      <c r="Y400" s="260"/>
    </row>
    <row r="401" spans="1:25" ht="13">
      <c r="A401" s="261"/>
      <c r="B401" s="261"/>
      <c r="C401" s="261"/>
      <c r="D401" s="265"/>
      <c r="E401" s="265"/>
      <c r="F401" s="265"/>
      <c r="G401" s="265"/>
      <c r="H401" s="265"/>
      <c r="I401" s="265"/>
      <c r="J401" s="265"/>
      <c r="K401" s="259"/>
      <c r="L401" s="265"/>
      <c r="M401" s="265"/>
      <c r="N401" s="265"/>
      <c r="O401" s="265"/>
      <c r="P401" s="259"/>
      <c r="Q401" s="259"/>
      <c r="R401" s="259"/>
      <c r="S401" s="259"/>
      <c r="T401" s="259"/>
      <c r="U401" s="259"/>
      <c r="V401" s="259"/>
      <c r="W401" s="259"/>
      <c r="X401" s="259"/>
      <c r="Y401" s="260"/>
    </row>
    <row r="402" spans="1:25" ht="13">
      <c r="A402" s="261"/>
      <c r="B402" s="261"/>
      <c r="C402" s="261"/>
      <c r="D402" s="265"/>
      <c r="E402" s="265"/>
      <c r="F402" s="265"/>
      <c r="G402" s="265"/>
      <c r="H402" s="265"/>
      <c r="I402" s="265"/>
      <c r="J402" s="265"/>
      <c r="K402" s="259"/>
      <c r="L402" s="265"/>
      <c r="M402" s="265"/>
      <c r="N402" s="265"/>
      <c r="O402" s="265"/>
      <c r="P402" s="259"/>
      <c r="Q402" s="259"/>
      <c r="R402" s="259"/>
      <c r="S402" s="259"/>
      <c r="T402" s="259"/>
      <c r="U402" s="259"/>
      <c r="V402" s="259"/>
      <c r="W402" s="259"/>
      <c r="X402" s="259"/>
      <c r="Y402" s="260"/>
    </row>
    <row r="403" spans="1:25" ht="13">
      <c r="A403" s="261"/>
      <c r="B403" s="261"/>
      <c r="C403" s="261"/>
      <c r="D403" s="265"/>
      <c r="E403" s="265"/>
      <c r="F403" s="265"/>
      <c r="G403" s="265"/>
      <c r="H403" s="265"/>
      <c r="I403" s="265"/>
      <c r="J403" s="265"/>
      <c r="K403" s="259"/>
      <c r="L403" s="265"/>
      <c r="M403" s="265"/>
      <c r="N403" s="265"/>
      <c r="O403" s="265"/>
      <c r="P403" s="259"/>
      <c r="Q403" s="259"/>
      <c r="R403" s="259"/>
      <c r="S403" s="259"/>
      <c r="T403" s="259"/>
      <c r="U403" s="259"/>
      <c r="V403" s="259"/>
      <c r="W403" s="259"/>
      <c r="X403" s="259"/>
      <c r="Y403" s="260"/>
    </row>
    <row r="404" spans="1:25" ht="13">
      <c r="A404" s="261"/>
      <c r="B404" s="261"/>
      <c r="C404" s="261"/>
      <c r="D404" s="265"/>
      <c r="E404" s="265"/>
      <c r="F404" s="265"/>
      <c r="G404" s="265"/>
      <c r="H404" s="265"/>
      <c r="I404" s="265"/>
      <c r="J404" s="265"/>
      <c r="K404" s="259"/>
      <c r="L404" s="265"/>
      <c r="M404" s="265"/>
      <c r="N404" s="265"/>
      <c r="O404" s="265"/>
      <c r="P404" s="259"/>
      <c r="Q404" s="259"/>
      <c r="R404" s="259"/>
      <c r="S404" s="259"/>
      <c r="T404" s="259"/>
      <c r="U404" s="259"/>
      <c r="V404" s="259"/>
      <c r="W404" s="259"/>
      <c r="X404" s="259"/>
      <c r="Y404" s="260"/>
    </row>
    <row r="405" spans="1:25" ht="13">
      <c r="A405" s="261"/>
      <c r="B405" s="261"/>
      <c r="C405" s="261"/>
      <c r="D405" s="265"/>
      <c r="E405" s="265"/>
      <c r="F405" s="265"/>
      <c r="G405" s="265"/>
      <c r="H405" s="265"/>
      <c r="I405" s="265"/>
      <c r="J405" s="265"/>
      <c r="K405" s="259"/>
      <c r="L405" s="265"/>
      <c r="M405" s="265"/>
      <c r="N405" s="265"/>
      <c r="O405" s="265"/>
      <c r="P405" s="259"/>
      <c r="Q405" s="259"/>
      <c r="R405" s="259"/>
      <c r="S405" s="259"/>
      <c r="T405" s="259"/>
      <c r="U405" s="259"/>
      <c r="V405" s="259"/>
      <c r="W405" s="259"/>
      <c r="X405" s="259"/>
      <c r="Y405" s="260"/>
    </row>
    <row r="406" spans="1:25" ht="13">
      <c r="A406" s="261"/>
      <c r="B406" s="261"/>
      <c r="C406" s="261"/>
      <c r="D406" s="265"/>
      <c r="E406" s="265"/>
      <c r="F406" s="265"/>
      <c r="G406" s="265"/>
      <c r="H406" s="265"/>
      <c r="I406" s="265"/>
      <c r="J406" s="265"/>
      <c r="K406" s="259"/>
      <c r="L406" s="265"/>
      <c r="M406" s="265"/>
      <c r="N406" s="265"/>
      <c r="O406" s="265"/>
      <c r="P406" s="259"/>
      <c r="Q406" s="259"/>
      <c r="R406" s="259"/>
      <c r="S406" s="259"/>
      <c r="T406" s="259"/>
      <c r="U406" s="259"/>
      <c r="V406" s="259"/>
      <c r="W406" s="259"/>
      <c r="X406" s="259"/>
      <c r="Y406" s="260"/>
    </row>
    <row r="407" spans="1:25" ht="13">
      <c r="A407" s="261"/>
      <c r="B407" s="261"/>
      <c r="C407" s="261"/>
      <c r="D407" s="265"/>
      <c r="E407" s="265"/>
      <c r="F407" s="265"/>
      <c r="G407" s="265"/>
      <c r="H407" s="265"/>
      <c r="I407" s="265"/>
      <c r="J407" s="265"/>
      <c r="K407" s="259"/>
      <c r="L407" s="265"/>
      <c r="M407" s="265"/>
      <c r="N407" s="265"/>
      <c r="O407" s="265"/>
      <c r="P407" s="259"/>
      <c r="Q407" s="259"/>
      <c r="R407" s="259"/>
      <c r="S407" s="259"/>
      <c r="T407" s="259"/>
      <c r="U407" s="259"/>
      <c r="V407" s="259"/>
      <c r="W407" s="259"/>
      <c r="X407" s="259"/>
      <c r="Y407" s="260"/>
    </row>
    <row r="408" spans="1:25" ht="13">
      <c r="A408" s="261"/>
      <c r="B408" s="261"/>
      <c r="C408" s="261"/>
      <c r="D408" s="265"/>
      <c r="E408" s="265"/>
      <c r="F408" s="265"/>
      <c r="G408" s="265"/>
      <c r="H408" s="265"/>
      <c r="I408" s="265"/>
      <c r="J408" s="265"/>
      <c r="K408" s="259"/>
      <c r="L408" s="265"/>
      <c r="M408" s="265"/>
      <c r="N408" s="265"/>
      <c r="O408" s="265"/>
      <c r="P408" s="259"/>
      <c r="Q408" s="259"/>
      <c r="R408" s="259"/>
      <c r="S408" s="259"/>
      <c r="T408" s="259"/>
      <c r="U408" s="259"/>
      <c r="V408" s="259"/>
      <c r="W408" s="259"/>
      <c r="X408" s="259"/>
      <c r="Y408" s="260"/>
    </row>
    <row r="409" spans="1:25" ht="13">
      <c r="A409" s="261"/>
      <c r="B409" s="261"/>
      <c r="C409" s="261"/>
      <c r="D409" s="265"/>
      <c r="E409" s="265"/>
      <c r="F409" s="265"/>
      <c r="G409" s="265"/>
      <c r="H409" s="265"/>
      <c r="I409" s="265"/>
      <c r="J409" s="265"/>
      <c r="K409" s="259"/>
      <c r="L409" s="265"/>
      <c r="M409" s="265"/>
      <c r="N409" s="265"/>
      <c r="O409" s="265"/>
      <c r="P409" s="259"/>
      <c r="Q409" s="259"/>
      <c r="R409" s="259"/>
      <c r="S409" s="259"/>
      <c r="T409" s="259"/>
      <c r="U409" s="259"/>
      <c r="V409" s="259"/>
      <c r="W409" s="259"/>
      <c r="X409" s="259"/>
      <c r="Y409" s="260"/>
    </row>
    <row r="410" spans="1:25" ht="13">
      <c r="A410" s="261"/>
      <c r="B410" s="261"/>
      <c r="C410" s="261"/>
      <c r="D410" s="265"/>
      <c r="E410" s="265"/>
      <c r="F410" s="265"/>
      <c r="G410" s="265"/>
      <c r="H410" s="265"/>
      <c r="I410" s="265"/>
      <c r="J410" s="265"/>
      <c r="K410" s="259"/>
      <c r="L410" s="265"/>
      <c r="M410" s="265"/>
      <c r="N410" s="265"/>
      <c r="O410" s="265"/>
      <c r="P410" s="259"/>
      <c r="Q410" s="259"/>
      <c r="R410" s="259"/>
      <c r="S410" s="259"/>
      <c r="T410" s="259"/>
      <c r="U410" s="259"/>
      <c r="V410" s="259"/>
      <c r="W410" s="259"/>
      <c r="X410" s="259"/>
      <c r="Y410" s="260"/>
    </row>
    <row r="411" spans="1:25" ht="13">
      <c r="A411" s="261"/>
      <c r="B411" s="261"/>
      <c r="C411" s="261"/>
      <c r="D411" s="265"/>
      <c r="E411" s="265"/>
      <c r="F411" s="265"/>
      <c r="G411" s="265"/>
      <c r="H411" s="265"/>
      <c r="I411" s="265"/>
      <c r="J411" s="265"/>
      <c r="K411" s="259"/>
      <c r="L411" s="265"/>
      <c r="M411" s="265"/>
      <c r="N411" s="265"/>
      <c r="O411" s="265"/>
      <c r="P411" s="259"/>
      <c r="Q411" s="259"/>
      <c r="R411" s="259"/>
      <c r="S411" s="259"/>
      <c r="T411" s="259"/>
      <c r="U411" s="259"/>
      <c r="V411" s="259"/>
      <c r="W411" s="259"/>
      <c r="X411" s="259"/>
      <c r="Y411" s="260"/>
    </row>
    <row r="412" spans="1:25" ht="13">
      <c r="A412" s="261"/>
      <c r="B412" s="261"/>
      <c r="C412" s="261"/>
      <c r="D412" s="265"/>
      <c r="E412" s="265"/>
      <c r="F412" s="265"/>
      <c r="G412" s="265"/>
      <c r="H412" s="265"/>
      <c r="I412" s="265"/>
      <c r="J412" s="265"/>
      <c r="K412" s="259"/>
      <c r="L412" s="265"/>
      <c r="M412" s="265"/>
      <c r="N412" s="265"/>
      <c r="O412" s="265"/>
      <c r="P412" s="259"/>
      <c r="Q412" s="259"/>
      <c r="R412" s="259"/>
      <c r="S412" s="259"/>
      <c r="T412" s="259"/>
      <c r="U412" s="259"/>
      <c r="V412" s="259"/>
      <c r="W412" s="259"/>
      <c r="X412" s="259"/>
      <c r="Y412" s="260"/>
    </row>
    <row r="413" spans="1:25" ht="13">
      <c r="A413" s="261"/>
      <c r="B413" s="261"/>
      <c r="C413" s="261"/>
      <c r="D413" s="265"/>
      <c r="E413" s="265"/>
      <c r="F413" s="265"/>
      <c r="G413" s="265"/>
      <c r="H413" s="265"/>
      <c r="I413" s="265"/>
      <c r="J413" s="265"/>
      <c r="K413" s="259"/>
      <c r="L413" s="265"/>
      <c r="M413" s="265"/>
      <c r="N413" s="265"/>
      <c r="O413" s="265"/>
      <c r="P413" s="259"/>
      <c r="Q413" s="259"/>
      <c r="R413" s="259"/>
      <c r="S413" s="259"/>
      <c r="T413" s="259"/>
      <c r="U413" s="259"/>
      <c r="V413" s="259"/>
      <c r="W413" s="259"/>
      <c r="X413" s="259"/>
      <c r="Y413" s="260"/>
    </row>
    <row r="414" spans="1:25" ht="13">
      <c r="A414" s="261"/>
      <c r="B414" s="261"/>
      <c r="C414" s="261"/>
      <c r="D414" s="265"/>
      <c r="E414" s="265"/>
      <c r="F414" s="265"/>
      <c r="G414" s="265"/>
      <c r="H414" s="265"/>
      <c r="I414" s="265"/>
      <c r="J414" s="265"/>
      <c r="K414" s="259"/>
      <c r="L414" s="265"/>
      <c r="M414" s="265"/>
      <c r="N414" s="265"/>
      <c r="O414" s="265"/>
      <c r="P414" s="259"/>
      <c r="Q414" s="259"/>
      <c r="R414" s="259"/>
      <c r="S414" s="259"/>
      <c r="T414" s="259"/>
      <c r="U414" s="259"/>
      <c r="V414" s="259"/>
      <c r="W414" s="259"/>
      <c r="X414" s="259"/>
      <c r="Y414" s="260"/>
    </row>
    <row r="415" spans="1:25" ht="13">
      <c r="A415" s="261"/>
      <c r="B415" s="261"/>
      <c r="C415" s="261"/>
      <c r="D415" s="265"/>
      <c r="E415" s="265"/>
      <c r="F415" s="265"/>
      <c r="G415" s="265"/>
      <c r="H415" s="265"/>
      <c r="I415" s="265"/>
      <c r="J415" s="265"/>
      <c r="K415" s="259"/>
      <c r="L415" s="265"/>
      <c r="M415" s="265"/>
      <c r="N415" s="265"/>
      <c r="O415" s="265"/>
      <c r="P415" s="259"/>
      <c r="Q415" s="259"/>
      <c r="R415" s="259"/>
      <c r="S415" s="259"/>
      <c r="T415" s="259"/>
      <c r="U415" s="259"/>
      <c r="V415" s="259"/>
      <c r="W415" s="259"/>
      <c r="X415" s="259"/>
      <c r="Y415" s="260"/>
    </row>
    <row r="416" spans="1:25" ht="13">
      <c r="A416" s="261"/>
      <c r="B416" s="261"/>
      <c r="C416" s="261"/>
      <c r="D416" s="265"/>
      <c r="E416" s="265"/>
      <c r="F416" s="265"/>
      <c r="G416" s="265"/>
      <c r="H416" s="265"/>
      <c r="I416" s="265"/>
      <c r="J416" s="265"/>
      <c r="K416" s="259"/>
      <c r="L416" s="265"/>
      <c r="M416" s="265"/>
      <c r="N416" s="265"/>
      <c r="O416" s="265"/>
      <c r="P416" s="259"/>
      <c r="Q416" s="259"/>
      <c r="R416" s="259"/>
      <c r="S416" s="259"/>
      <c r="T416" s="259"/>
      <c r="U416" s="259"/>
      <c r="V416" s="259"/>
      <c r="W416" s="259"/>
      <c r="X416" s="259"/>
      <c r="Y416" s="260"/>
    </row>
    <row r="417" spans="1:25" ht="13">
      <c r="A417" s="261"/>
      <c r="B417" s="261"/>
      <c r="C417" s="261"/>
      <c r="D417" s="265"/>
      <c r="E417" s="265"/>
      <c r="F417" s="265"/>
      <c r="G417" s="265"/>
      <c r="H417" s="265"/>
      <c r="I417" s="265"/>
      <c r="J417" s="265"/>
      <c r="K417" s="259"/>
      <c r="L417" s="265"/>
      <c r="M417" s="265"/>
      <c r="N417" s="265"/>
      <c r="O417" s="265"/>
      <c r="P417" s="259"/>
      <c r="Q417" s="259"/>
      <c r="R417" s="259"/>
      <c r="S417" s="259"/>
      <c r="T417" s="259"/>
      <c r="U417" s="259"/>
      <c r="V417" s="259"/>
      <c r="W417" s="259"/>
      <c r="X417" s="259"/>
      <c r="Y417" s="260"/>
    </row>
    <row r="418" spans="1:25" ht="13">
      <c r="A418" s="261"/>
      <c r="B418" s="261"/>
      <c r="C418" s="261"/>
      <c r="D418" s="265"/>
      <c r="E418" s="265"/>
      <c r="F418" s="265"/>
      <c r="G418" s="265"/>
      <c r="H418" s="265"/>
      <c r="I418" s="265"/>
      <c r="J418" s="265"/>
      <c r="K418" s="259"/>
      <c r="L418" s="265"/>
      <c r="M418" s="265"/>
      <c r="N418" s="265"/>
      <c r="O418" s="265"/>
      <c r="P418" s="259"/>
      <c r="Q418" s="259"/>
      <c r="R418" s="259"/>
      <c r="S418" s="259"/>
      <c r="T418" s="259"/>
      <c r="U418" s="259"/>
      <c r="V418" s="259"/>
      <c r="W418" s="259"/>
      <c r="X418" s="259"/>
      <c r="Y418" s="260"/>
    </row>
    <row r="419" spans="1:25" ht="13">
      <c r="A419" s="261"/>
      <c r="B419" s="261"/>
      <c r="C419" s="261"/>
      <c r="D419" s="265"/>
      <c r="E419" s="265"/>
      <c r="F419" s="265"/>
      <c r="G419" s="265"/>
      <c r="H419" s="265"/>
      <c r="I419" s="265"/>
      <c r="J419" s="265"/>
      <c r="K419" s="259"/>
      <c r="L419" s="265"/>
      <c r="M419" s="265"/>
      <c r="N419" s="265"/>
      <c r="O419" s="265"/>
      <c r="P419" s="259"/>
      <c r="Q419" s="259"/>
      <c r="R419" s="259"/>
      <c r="S419" s="259"/>
      <c r="T419" s="259"/>
      <c r="U419" s="259"/>
      <c r="V419" s="259"/>
      <c r="W419" s="259"/>
      <c r="X419" s="259"/>
      <c r="Y419" s="260"/>
    </row>
    <row r="420" spans="1:25" ht="13">
      <c r="A420" s="261"/>
      <c r="B420" s="261"/>
      <c r="C420" s="261"/>
      <c r="D420" s="265"/>
      <c r="E420" s="265"/>
      <c r="F420" s="265"/>
      <c r="G420" s="265"/>
      <c r="H420" s="265"/>
      <c r="I420" s="265"/>
      <c r="J420" s="265"/>
      <c r="K420" s="259"/>
      <c r="L420" s="265"/>
      <c r="M420" s="265"/>
      <c r="N420" s="265"/>
      <c r="O420" s="265"/>
      <c r="P420" s="259"/>
      <c r="Q420" s="259"/>
      <c r="R420" s="259"/>
      <c r="S420" s="259"/>
      <c r="T420" s="259"/>
      <c r="U420" s="259"/>
      <c r="V420" s="259"/>
      <c r="W420" s="259"/>
      <c r="X420" s="259"/>
      <c r="Y420" s="260"/>
    </row>
    <row r="421" spans="1:25" ht="13">
      <c r="A421" s="261"/>
      <c r="B421" s="261"/>
      <c r="C421" s="261"/>
      <c r="D421" s="265"/>
      <c r="E421" s="265"/>
      <c r="F421" s="265"/>
      <c r="G421" s="265"/>
      <c r="H421" s="265"/>
      <c r="I421" s="265"/>
      <c r="J421" s="265"/>
      <c r="K421" s="259"/>
      <c r="L421" s="265"/>
      <c r="M421" s="265"/>
      <c r="N421" s="265"/>
      <c r="O421" s="265"/>
      <c r="P421" s="259"/>
      <c r="Q421" s="259"/>
      <c r="R421" s="259"/>
      <c r="S421" s="259"/>
      <c r="T421" s="259"/>
      <c r="U421" s="259"/>
      <c r="V421" s="259"/>
      <c r="W421" s="259"/>
      <c r="X421" s="259"/>
      <c r="Y421" s="260"/>
    </row>
    <row r="422" spans="1:25" ht="13">
      <c r="A422" s="261"/>
      <c r="B422" s="261"/>
      <c r="C422" s="261"/>
      <c r="D422" s="265"/>
      <c r="E422" s="265"/>
      <c r="F422" s="265"/>
      <c r="G422" s="265"/>
      <c r="H422" s="265"/>
      <c r="I422" s="265"/>
      <c r="J422" s="265"/>
      <c r="K422" s="259"/>
      <c r="L422" s="265"/>
      <c r="M422" s="265"/>
      <c r="N422" s="265"/>
      <c r="O422" s="265"/>
      <c r="P422" s="259"/>
      <c r="Q422" s="259"/>
      <c r="R422" s="259"/>
      <c r="S422" s="259"/>
      <c r="T422" s="259"/>
      <c r="U422" s="259"/>
      <c r="V422" s="259"/>
      <c r="W422" s="259"/>
      <c r="X422" s="259"/>
      <c r="Y422" s="260"/>
    </row>
    <row r="423" spans="1:25" ht="13">
      <c r="A423" s="261"/>
      <c r="B423" s="261"/>
      <c r="C423" s="261"/>
      <c r="D423" s="265"/>
      <c r="E423" s="265"/>
      <c r="F423" s="265"/>
      <c r="G423" s="265"/>
      <c r="H423" s="265"/>
      <c r="I423" s="265"/>
      <c r="J423" s="265"/>
      <c r="K423" s="259"/>
      <c r="L423" s="265"/>
      <c r="M423" s="265"/>
      <c r="N423" s="265"/>
      <c r="O423" s="265"/>
      <c r="P423" s="259"/>
      <c r="Q423" s="259"/>
      <c r="R423" s="259"/>
      <c r="S423" s="259"/>
      <c r="T423" s="259"/>
      <c r="U423" s="259"/>
      <c r="V423" s="259"/>
      <c r="W423" s="259"/>
      <c r="X423" s="259"/>
      <c r="Y423" s="260"/>
    </row>
    <row r="424" spans="1:25" ht="13">
      <c r="A424" s="261"/>
      <c r="B424" s="261"/>
      <c r="C424" s="261"/>
      <c r="D424" s="265"/>
      <c r="E424" s="265"/>
      <c r="F424" s="265"/>
      <c r="G424" s="265"/>
      <c r="H424" s="265"/>
      <c r="I424" s="265"/>
      <c r="J424" s="265"/>
      <c r="K424" s="259"/>
      <c r="L424" s="265"/>
      <c r="M424" s="265"/>
      <c r="N424" s="265"/>
      <c r="O424" s="265"/>
      <c r="P424" s="259"/>
      <c r="Q424" s="259"/>
      <c r="R424" s="259"/>
      <c r="S424" s="259"/>
      <c r="T424" s="259"/>
      <c r="U424" s="259"/>
      <c r="V424" s="259"/>
      <c r="W424" s="259"/>
      <c r="X424" s="259"/>
      <c r="Y424" s="260"/>
    </row>
    <row r="425" spans="1:25" ht="13">
      <c r="A425" s="261"/>
      <c r="B425" s="261"/>
      <c r="C425" s="261"/>
      <c r="D425" s="265"/>
      <c r="E425" s="265"/>
      <c r="F425" s="265"/>
      <c r="G425" s="265"/>
      <c r="H425" s="265"/>
      <c r="I425" s="265"/>
      <c r="J425" s="265"/>
      <c r="K425" s="259"/>
      <c r="L425" s="265"/>
      <c r="M425" s="265"/>
      <c r="N425" s="265"/>
      <c r="O425" s="265"/>
      <c r="P425" s="259"/>
      <c r="Q425" s="259"/>
      <c r="R425" s="259"/>
      <c r="S425" s="259"/>
      <c r="T425" s="259"/>
      <c r="U425" s="259"/>
      <c r="V425" s="259"/>
      <c r="W425" s="259"/>
      <c r="X425" s="259"/>
      <c r="Y425" s="260"/>
    </row>
    <row r="426" spans="1:25" ht="13">
      <c r="A426" s="261"/>
      <c r="B426" s="261"/>
      <c r="C426" s="261"/>
      <c r="D426" s="265"/>
      <c r="E426" s="265"/>
      <c r="F426" s="265"/>
      <c r="G426" s="265"/>
      <c r="H426" s="265"/>
      <c r="I426" s="265"/>
      <c r="J426" s="265"/>
      <c r="K426" s="259"/>
      <c r="L426" s="265"/>
      <c r="M426" s="265"/>
      <c r="N426" s="265"/>
      <c r="O426" s="265"/>
      <c r="P426" s="259"/>
      <c r="Q426" s="259"/>
      <c r="R426" s="259"/>
      <c r="S426" s="259"/>
      <c r="T426" s="259"/>
      <c r="U426" s="259"/>
      <c r="V426" s="259"/>
      <c r="W426" s="259"/>
      <c r="X426" s="259"/>
      <c r="Y426" s="260"/>
    </row>
    <row r="427" spans="1:25" ht="13">
      <c r="A427" s="261"/>
      <c r="B427" s="261"/>
      <c r="C427" s="261"/>
      <c r="D427" s="265"/>
      <c r="E427" s="265"/>
      <c r="F427" s="265"/>
      <c r="G427" s="265"/>
      <c r="H427" s="265"/>
      <c r="I427" s="265"/>
      <c r="J427" s="265"/>
      <c r="K427" s="259"/>
      <c r="L427" s="265"/>
      <c r="M427" s="265"/>
      <c r="N427" s="265"/>
      <c r="O427" s="265"/>
      <c r="P427" s="259"/>
      <c r="Q427" s="259"/>
      <c r="R427" s="259"/>
      <c r="S427" s="259"/>
      <c r="T427" s="259"/>
      <c r="U427" s="259"/>
      <c r="V427" s="259"/>
      <c r="W427" s="259"/>
      <c r="X427" s="259"/>
      <c r="Y427" s="260"/>
    </row>
    <row r="428" spans="1:25" ht="13">
      <c r="A428" s="261"/>
      <c r="B428" s="261"/>
      <c r="C428" s="261"/>
      <c r="D428" s="265"/>
      <c r="E428" s="265"/>
      <c r="F428" s="265"/>
      <c r="G428" s="265"/>
      <c r="H428" s="265"/>
      <c r="I428" s="265"/>
      <c r="J428" s="265"/>
      <c r="K428" s="259"/>
      <c r="L428" s="265"/>
      <c r="M428" s="265"/>
      <c r="N428" s="265"/>
      <c r="O428" s="265"/>
      <c r="P428" s="259"/>
      <c r="Q428" s="259"/>
      <c r="R428" s="259"/>
      <c r="S428" s="259"/>
      <c r="T428" s="259"/>
      <c r="U428" s="259"/>
      <c r="V428" s="259"/>
      <c r="W428" s="259"/>
      <c r="X428" s="259"/>
      <c r="Y428" s="260"/>
    </row>
    <row r="429" spans="1:25" ht="13">
      <c r="A429" s="261"/>
      <c r="B429" s="261"/>
      <c r="C429" s="261"/>
      <c r="D429" s="265"/>
      <c r="E429" s="265"/>
      <c r="F429" s="265"/>
      <c r="G429" s="265"/>
      <c r="H429" s="265"/>
      <c r="I429" s="265"/>
      <c r="J429" s="265"/>
      <c r="K429" s="259"/>
      <c r="L429" s="265"/>
      <c r="M429" s="265"/>
      <c r="N429" s="265"/>
      <c r="O429" s="265"/>
      <c r="P429" s="259"/>
      <c r="Q429" s="259"/>
      <c r="R429" s="259"/>
      <c r="S429" s="259"/>
      <c r="T429" s="259"/>
      <c r="U429" s="259"/>
      <c r="V429" s="259"/>
      <c r="W429" s="259"/>
      <c r="X429" s="259"/>
      <c r="Y429" s="260"/>
    </row>
    <row r="430" spans="1:25" ht="13">
      <c r="A430" s="261"/>
      <c r="B430" s="261"/>
      <c r="C430" s="261"/>
      <c r="D430" s="265"/>
      <c r="E430" s="265"/>
      <c r="F430" s="265"/>
      <c r="G430" s="265"/>
      <c r="H430" s="265"/>
      <c r="I430" s="265"/>
      <c r="J430" s="265"/>
      <c r="K430" s="259"/>
      <c r="L430" s="265"/>
      <c r="M430" s="265"/>
      <c r="N430" s="265"/>
      <c r="O430" s="265"/>
      <c r="P430" s="259"/>
      <c r="Q430" s="259"/>
      <c r="R430" s="259"/>
      <c r="S430" s="259"/>
      <c r="T430" s="259"/>
      <c r="U430" s="259"/>
      <c r="V430" s="259"/>
      <c r="W430" s="259"/>
      <c r="X430" s="259"/>
      <c r="Y430" s="260"/>
    </row>
    <row r="431" spans="1:25" ht="13">
      <c r="A431" s="261"/>
      <c r="B431" s="261"/>
      <c r="C431" s="261"/>
      <c r="D431" s="265"/>
      <c r="E431" s="265"/>
      <c r="F431" s="265"/>
      <c r="G431" s="265"/>
      <c r="H431" s="265"/>
      <c r="I431" s="265"/>
      <c r="J431" s="265"/>
      <c r="K431" s="259"/>
      <c r="L431" s="265"/>
      <c r="M431" s="265"/>
      <c r="N431" s="265"/>
      <c r="O431" s="265"/>
      <c r="P431" s="259"/>
      <c r="Q431" s="259"/>
      <c r="R431" s="259"/>
      <c r="S431" s="259"/>
      <c r="T431" s="259"/>
      <c r="U431" s="259"/>
      <c r="V431" s="259"/>
      <c r="W431" s="259"/>
      <c r="X431" s="259"/>
      <c r="Y431" s="260"/>
    </row>
    <row r="432" spans="1:25" ht="13">
      <c r="A432" s="261"/>
      <c r="B432" s="261"/>
      <c r="C432" s="261"/>
      <c r="D432" s="265"/>
      <c r="E432" s="265"/>
      <c r="F432" s="265"/>
      <c r="G432" s="265"/>
      <c r="H432" s="265"/>
      <c r="I432" s="265"/>
      <c r="J432" s="265"/>
      <c r="K432" s="259"/>
      <c r="L432" s="265"/>
      <c r="M432" s="265"/>
      <c r="N432" s="265"/>
      <c r="O432" s="265"/>
      <c r="P432" s="259"/>
      <c r="Q432" s="259"/>
      <c r="R432" s="259"/>
      <c r="S432" s="259"/>
      <c r="T432" s="259"/>
      <c r="U432" s="259"/>
      <c r="V432" s="259"/>
      <c r="W432" s="259"/>
      <c r="X432" s="259"/>
      <c r="Y432" s="260"/>
    </row>
    <row r="433" spans="1:25" ht="13">
      <c r="A433" s="261"/>
      <c r="B433" s="261"/>
      <c r="C433" s="261"/>
      <c r="D433" s="265"/>
      <c r="E433" s="265"/>
      <c r="F433" s="265"/>
      <c r="G433" s="265"/>
      <c r="H433" s="265"/>
      <c r="I433" s="265"/>
      <c r="J433" s="265"/>
      <c r="K433" s="259"/>
      <c r="L433" s="265"/>
      <c r="M433" s="265"/>
      <c r="N433" s="265"/>
      <c r="O433" s="265"/>
      <c r="P433" s="259"/>
      <c r="Q433" s="259"/>
      <c r="R433" s="259"/>
      <c r="S433" s="259"/>
      <c r="T433" s="259"/>
      <c r="U433" s="259"/>
      <c r="V433" s="259"/>
      <c r="W433" s="259"/>
      <c r="X433" s="259"/>
      <c r="Y433" s="260"/>
    </row>
    <row r="434" spans="1:25" ht="13">
      <c r="A434" s="261"/>
      <c r="B434" s="261"/>
      <c r="C434" s="261"/>
      <c r="D434" s="265"/>
      <c r="E434" s="265"/>
      <c r="F434" s="265"/>
      <c r="G434" s="265"/>
      <c r="H434" s="265"/>
      <c r="I434" s="265"/>
      <c r="J434" s="265"/>
      <c r="K434" s="259"/>
      <c r="L434" s="265"/>
      <c r="M434" s="265"/>
      <c r="N434" s="265"/>
      <c r="O434" s="265"/>
      <c r="P434" s="259"/>
      <c r="Q434" s="259"/>
      <c r="R434" s="259"/>
      <c r="S434" s="259"/>
      <c r="T434" s="259"/>
      <c r="U434" s="259"/>
      <c r="V434" s="259"/>
      <c r="W434" s="259"/>
      <c r="X434" s="259"/>
      <c r="Y434" s="260"/>
    </row>
    <row r="435" spans="1:25" ht="13">
      <c r="A435" s="261"/>
      <c r="B435" s="261"/>
      <c r="C435" s="261"/>
      <c r="D435" s="265"/>
      <c r="E435" s="265"/>
      <c r="F435" s="265"/>
      <c r="G435" s="265"/>
      <c r="H435" s="265"/>
      <c r="I435" s="265"/>
      <c r="J435" s="265"/>
      <c r="K435" s="259"/>
      <c r="L435" s="265"/>
      <c r="M435" s="265"/>
      <c r="N435" s="265"/>
      <c r="O435" s="265"/>
      <c r="P435" s="259"/>
      <c r="Q435" s="259"/>
      <c r="R435" s="259"/>
      <c r="S435" s="259"/>
      <c r="T435" s="259"/>
      <c r="U435" s="259"/>
      <c r="V435" s="259"/>
      <c r="W435" s="259"/>
      <c r="X435" s="259"/>
      <c r="Y435" s="260"/>
    </row>
    <row r="436" spans="1:25" ht="13">
      <c r="A436" s="261"/>
      <c r="B436" s="261"/>
      <c r="C436" s="261"/>
      <c r="D436" s="265"/>
      <c r="E436" s="265"/>
      <c r="F436" s="265"/>
      <c r="G436" s="265"/>
      <c r="H436" s="265"/>
      <c r="I436" s="265"/>
      <c r="J436" s="265"/>
      <c r="K436" s="259"/>
      <c r="L436" s="265"/>
      <c r="M436" s="265"/>
      <c r="N436" s="265"/>
      <c r="O436" s="265"/>
      <c r="P436" s="259"/>
      <c r="Q436" s="259"/>
      <c r="R436" s="259"/>
      <c r="S436" s="259"/>
      <c r="T436" s="259"/>
      <c r="U436" s="259"/>
      <c r="V436" s="259"/>
      <c r="W436" s="259"/>
      <c r="X436" s="259"/>
      <c r="Y436" s="260"/>
    </row>
    <row r="437" spans="1:25" ht="13">
      <c r="A437" s="261"/>
      <c r="B437" s="261"/>
      <c r="C437" s="261"/>
      <c r="D437" s="265"/>
      <c r="E437" s="265"/>
      <c r="F437" s="265"/>
      <c r="G437" s="265"/>
      <c r="H437" s="265"/>
      <c r="I437" s="265"/>
      <c r="J437" s="265"/>
      <c r="K437" s="259"/>
      <c r="L437" s="265"/>
      <c r="M437" s="265"/>
      <c r="N437" s="265"/>
      <c r="O437" s="265"/>
      <c r="P437" s="259"/>
      <c r="Q437" s="259"/>
      <c r="R437" s="259"/>
      <c r="S437" s="259"/>
      <c r="T437" s="259"/>
      <c r="U437" s="259"/>
      <c r="V437" s="259"/>
      <c r="W437" s="259"/>
      <c r="X437" s="259"/>
      <c r="Y437" s="260"/>
    </row>
    <row r="438" spans="1:25" ht="13">
      <c r="A438" s="261"/>
      <c r="B438" s="261"/>
      <c r="C438" s="261"/>
      <c r="D438" s="265"/>
      <c r="E438" s="265"/>
      <c r="F438" s="265"/>
      <c r="G438" s="265"/>
      <c r="H438" s="265"/>
      <c r="I438" s="265"/>
      <c r="J438" s="265"/>
      <c r="K438" s="259"/>
      <c r="L438" s="265"/>
      <c r="M438" s="265"/>
      <c r="N438" s="265"/>
      <c r="O438" s="265"/>
      <c r="P438" s="259"/>
      <c r="Q438" s="259"/>
      <c r="R438" s="259"/>
      <c r="S438" s="259"/>
      <c r="T438" s="259"/>
      <c r="U438" s="259"/>
      <c r="V438" s="259"/>
      <c r="W438" s="259"/>
      <c r="X438" s="259"/>
      <c r="Y438" s="260"/>
    </row>
    <row r="439" spans="1:25" ht="13">
      <c r="A439" s="261"/>
      <c r="B439" s="261"/>
      <c r="C439" s="261"/>
      <c r="D439" s="265"/>
      <c r="E439" s="265"/>
      <c r="F439" s="265"/>
      <c r="G439" s="265"/>
      <c r="H439" s="265"/>
      <c r="I439" s="265"/>
      <c r="J439" s="265"/>
      <c r="K439" s="259"/>
      <c r="L439" s="265"/>
      <c r="M439" s="265"/>
      <c r="N439" s="265"/>
      <c r="O439" s="265"/>
      <c r="P439" s="259"/>
      <c r="Q439" s="259"/>
      <c r="R439" s="259"/>
      <c r="S439" s="259"/>
      <c r="T439" s="259"/>
      <c r="U439" s="259"/>
      <c r="V439" s="259"/>
      <c r="W439" s="259"/>
      <c r="X439" s="259"/>
      <c r="Y439" s="260"/>
    </row>
    <row r="440" spans="1:25" ht="13">
      <c r="A440" s="261"/>
      <c r="B440" s="261"/>
      <c r="C440" s="261"/>
      <c r="D440" s="265"/>
      <c r="E440" s="265"/>
      <c r="F440" s="265"/>
      <c r="G440" s="265"/>
      <c r="H440" s="265"/>
      <c r="I440" s="265"/>
      <c r="J440" s="265"/>
      <c r="K440" s="259"/>
      <c r="L440" s="265"/>
      <c r="M440" s="265"/>
      <c r="N440" s="265"/>
      <c r="O440" s="265"/>
      <c r="P440" s="259"/>
      <c r="Q440" s="259"/>
      <c r="R440" s="259"/>
      <c r="S440" s="259"/>
      <c r="T440" s="259"/>
      <c r="U440" s="259"/>
      <c r="V440" s="259"/>
      <c r="W440" s="259"/>
      <c r="X440" s="259"/>
      <c r="Y440" s="260"/>
    </row>
    <row r="441" spans="1:25" ht="13">
      <c r="A441" s="261"/>
      <c r="B441" s="261"/>
      <c r="C441" s="261"/>
      <c r="D441" s="265"/>
      <c r="E441" s="265"/>
      <c r="F441" s="265"/>
      <c r="G441" s="265"/>
      <c r="H441" s="265"/>
      <c r="I441" s="265"/>
      <c r="J441" s="265"/>
      <c r="K441" s="259"/>
      <c r="L441" s="265"/>
      <c r="M441" s="265"/>
      <c r="N441" s="265"/>
      <c r="O441" s="265"/>
      <c r="P441" s="259"/>
      <c r="Q441" s="259"/>
      <c r="R441" s="259"/>
      <c r="S441" s="259"/>
      <c r="T441" s="259"/>
      <c r="U441" s="259"/>
      <c r="V441" s="259"/>
      <c r="W441" s="259"/>
      <c r="X441" s="259"/>
      <c r="Y441" s="260"/>
    </row>
    <row r="442" spans="1:25" ht="13">
      <c r="A442" s="261"/>
      <c r="B442" s="261"/>
      <c r="C442" s="261"/>
      <c r="D442" s="265"/>
      <c r="E442" s="265"/>
      <c r="F442" s="265"/>
      <c r="G442" s="265"/>
      <c r="H442" s="265"/>
      <c r="I442" s="265"/>
      <c r="J442" s="265"/>
      <c r="K442" s="259"/>
      <c r="L442" s="265"/>
      <c r="M442" s="265"/>
      <c r="N442" s="265"/>
      <c r="O442" s="265"/>
      <c r="P442" s="259"/>
      <c r="Q442" s="259"/>
      <c r="R442" s="259"/>
      <c r="S442" s="259"/>
      <c r="T442" s="259"/>
      <c r="U442" s="259"/>
      <c r="V442" s="259"/>
      <c r="W442" s="259"/>
      <c r="X442" s="259"/>
      <c r="Y442" s="260"/>
    </row>
    <row r="443" spans="1:25" ht="13">
      <c r="A443" s="261"/>
      <c r="B443" s="261"/>
      <c r="C443" s="261"/>
      <c r="D443" s="265"/>
      <c r="E443" s="265"/>
      <c r="F443" s="265"/>
      <c r="G443" s="265"/>
      <c r="H443" s="265"/>
      <c r="I443" s="265"/>
      <c r="J443" s="265"/>
      <c r="K443" s="259"/>
      <c r="L443" s="265"/>
      <c r="M443" s="265"/>
      <c r="N443" s="265"/>
      <c r="O443" s="265"/>
      <c r="P443" s="259"/>
      <c r="Q443" s="259"/>
      <c r="R443" s="259"/>
      <c r="S443" s="259"/>
      <c r="T443" s="259"/>
      <c r="U443" s="259"/>
      <c r="V443" s="259"/>
      <c r="W443" s="259"/>
      <c r="X443" s="259"/>
      <c r="Y443" s="260"/>
    </row>
    <row r="444" spans="1:25" ht="13">
      <c r="A444" s="261"/>
      <c r="B444" s="261"/>
      <c r="C444" s="261"/>
      <c r="D444" s="265"/>
      <c r="E444" s="265"/>
      <c r="F444" s="265"/>
      <c r="G444" s="265"/>
      <c r="H444" s="265"/>
      <c r="I444" s="265"/>
      <c r="J444" s="265"/>
      <c r="K444" s="259"/>
      <c r="L444" s="265"/>
      <c r="M444" s="265"/>
      <c r="N444" s="265"/>
      <c r="O444" s="265"/>
      <c r="P444" s="259"/>
      <c r="Q444" s="259"/>
      <c r="R444" s="259"/>
      <c r="S444" s="259"/>
      <c r="T444" s="259"/>
      <c r="U444" s="259"/>
      <c r="V444" s="259"/>
      <c r="W444" s="259"/>
      <c r="X444" s="259"/>
      <c r="Y444" s="260"/>
    </row>
    <row r="445" spans="1:25" ht="13">
      <c r="A445" s="261"/>
      <c r="B445" s="261"/>
      <c r="C445" s="261"/>
      <c r="D445" s="265"/>
      <c r="E445" s="265"/>
      <c r="F445" s="265"/>
      <c r="G445" s="265"/>
      <c r="H445" s="265"/>
      <c r="I445" s="265"/>
      <c r="J445" s="265"/>
      <c r="K445" s="259"/>
      <c r="L445" s="265"/>
      <c r="M445" s="265"/>
      <c r="N445" s="265"/>
      <c r="O445" s="265"/>
      <c r="P445" s="259"/>
      <c r="Q445" s="259"/>
      <c r="R445" s="259"/>
      <c r="S445" s="259"/>
      <c r="T445" s="259"/>
      <c r="U445" s="259"/>
      <c r="V445" s="259"/>
      <c r="W445" s="259"/>
      <c r="X445" s="259"/>
      <c r="Y445" s="260"/>
    </row>
    <row r="446" spans="1:25" ht="13">
      <c r="A446" s="261"/>
      <c r="B446" s="261"/>
      <c r="C446" s="261"/>
      <c r="D446" s="265"/>
      <c r="E446" s="265"/>
      <c r="F446" s="265"/>
      <c r="G446" s="265"/>
      <c r="H446" s="265"/>
      <c r="I446" s="265"/>
      <c r="J446" s="265"/>
      <c r="K446" s="259"/>
      <c r="L446" s="265"/>
      <c r="M446" s="265"/>
      <c r="N446" s="265"/>
      <c r="O446" s="265"/>
      <c r="P446" s="259"/>
      <c r="Q446" s="259"/>
      <c r="R446" s="259"/>
      <c r="S446" s="259"/>
      <c r="T446" s="259"/>
      <c r="U446" s="259"/>
      <c r="V446" s="259"/>
      <c r="W446" s="259"/>
      <c r="X446" s="259"/>
      <c r="Y446" s="260"/>
    </row>
    <row r="447" spans="1:25" ht="13">
      <c r="A447" s="261"/>
      <c r="B447" s="261"/>
      <c r="C447" s="261"/>
      <c r="D447" s="265"/>
      <c r="E447" s="265"/>
      <c r="F447" s="265"/>
      <c r="G447" s="265"/>
      <c r="H447" s="265"/>
      <c r="I447" s="265"/>
      <c r="J447" s="265"/>
      <c r="K447" s="259"/>
      <c r="L447" s="265"/>
      <c r="M447" s="265"/>
      <c r="N447" s="265"/>
      <c r="O447" s="265"/>
      <c r="P447" s="259"/>
      <c r="Q447" s="259"/>
      <c r="R447" s="259"/>
      <c r="S447" s="259"/>
      <c r="T447" s="259"/>
      <c r="U447" s="259"/>
      <c r="V447" s="259"/>
      <c r="W447" s="259"/>
      <c r="X447" s="259"/>
      <c r="Y447" s="260"/>
    </row>
    <row r="448" spans="1:25" ht="13">
      <c r="A448" s="261"/>
      <c r="B448" s="261"/>
      <c r="C448" s="261"/>
      <c r="D448" s="265"/>
      <c r="E448" s="265"/>
      <c r="F448" s="265"/>
      <c r="G448" s="265"/>
      <c r="H448" s="265"/>
      <c r="I448" s="265"/>
      <c r="J448" s="265"/>
      <c r="K448" s="259"/>
      <c r="L448" s="265"/>
      <c r="M448" s="265"/>
      <c r="N448" s="265"/>
      <c r="O448" s="265"/>
      <c r="P448" s="259"/>
      <c r="Q448" s="259"/>
      <c r="R448" s="259"/>
      <c r="S448" s="259"/>
      <c r="T448" s="259"/>
      <c r="U448" s="259"/>
      <c r="V448" s="259"/>
      <c r="W448" s="259"/>
      <c r="X448" s="259"/>
      <c r="Y448" s="260"/>
    </row>
    <row r="449" spans="1:25" ht="13">
      <c r="A449" s="261"/>
      <c r="B449" s="261"/>
      <c r="C449" s="261"/>
      <c r="D449" s="265"/>
      <c r="E449" s="265"/>
      <c r="F449" s="265"/>
      <c r="G449" s="265"/>
      <c r="H449" s="265"/>
      <c r="I449" s="265"/>
      <c r="J449" s="265"/>
      <c r="K449" s="259"/>
      <c r="L449" s="265"/>
      <c r="M449" s="265"/>
      <c r="N449" s="265"/>
      <c r="O449" s="265"/>
      <c r="P449" s="259"/>
      <c r="Q449" s="259"/>
      <c r="R449" s="259"/>
      <c r="S449" s="259"/>
      <c r="T449" s="259"/>
      <c r="U449" s="259"/>
      <c r="V449" s="259"/>
      <c r="W449" s="259"/>
      <c r="X449" s="259"/>
      <c r="Y449" s="260"/>
    </row>
    <row r="450" spans="1:25" ht="13">
      <c r="A450" s="261"/>
      <c r="B450" s="261"/>
      <c r="C450" s="261"/>
      <c r="D450" s="265"/>
      <c r="E450" s="265"/>
      <c r="F450" s="265"/>
      <c r="G450" s="265"/>
      <c r="H450" s="265"/>
      <c r="I450" s="265"/>
      <c r="J450" s="265"/>
      <c r="K450" s="259"/>
      <c r="L450" s="265"/>
      <c r="M450" s="265"/>
      <c r="N450" s="265"/>
      <c r="O450" s="265"/>
      <c r="P450" s="259"/>
      <c r="Q450" s="259"/>
      <c r="R450" s="259"/>
      <c r="S450" s="259"/>
      <c r="T450" s="259"/>
      <c r="U450" s="259"/>
      <c r="V450" s="259"/>
      <c r="W450" s="259"/>
      <c r="X450" s="259"/>
      <c r="Y450" s="260"/>
    </row>
    <row r="451" spans="1:25" ht="13">
      <c r="A451" s="261"/>
      <c r="B451" s="261"/>
      <c r="C451" s="261"/>
      <c r="D451" s="265"/>
      <c r="E451" s="265"/>
      <c r="F451" s="265"/>
      <c r="G451" s="265"/>
      <c r="H451" s="265"/>
      <c r="I451" s="265"/>
      <c r="J451" s="265"/>
      <c r="K451" s="259"/>
      <c r="L451" s="265"/>
      <c r="M451" s="265"/>
      <c r="N451" s="265"/>
      <c r="O451" s="265"/>
      <c r="P451" s="259"/>
      <c r="Q451" s="259"/>
      <c r="R451" s="259"/>
      <c r="S451" s="259"/>
      <c r="T451" s="259"/>
      <c r="U451" s="259"/>
      <c r="V451" s="259"/>
      <c r="W451" s="259"/>
      <c r="X451" s="259"/>
      <c r="Y451" s="260"/>
    </row>
    <row r="452" spans="1:25" ht="13">
      <c r="A452" s="261"/>
      <c r="B452" s="261"/>
      <c r="C452" s="261"/>
      <c r="D452" s="265"/>
      <c r="E452" s="265"/>
      <c r="F452" s="265"/>
      <c r="G452" s="265"/>
      <c r="H452" s="265"/>
      <c r="I452" s="265"/>
      <c r="J452" s="265"/>
      <c r="K452" s="259"/>
      <c r="L452" s="265"/>
      <c r="M452" s="265"/>
      <c r="N452" s="265"/>
      <c r="O452" s="265"/>
      <c r="P452" s="259"/>
      <c r="Q452" s="259"/>
      <c r="R452" s="259"/>
      <c r="S452" s="259"/>
      <c r="T452" s="259"/>
      <c r="U452" s="259"/>
      <c r="V452" s="259"/>
      <c r="W452" s="259"/>
      <c r="X452" s="259"/>
      <c r="Y452" s="260"/>
    </row>
    <row r="453" spans="1:25" ht="13">
      <c r="A453" s="261"/>
      <c r="B453" s="261"/>
      <c r="C453" s="261"/>
      <c r="D453" s="265"/>
      <c r="E453" s="265"/>
      <c r="F453" s="265"/>
      <c r="G453" s="265"/>
      <c r="H453" s="265"/>
      <c r="I453" s="265"/>
      <c r="J453" s="265"/>
      <c r="K453" s="259"/>
      <c r="L453" s="265"/>
      <c r="M453" s="265"/>
      <c r="N453" s="265"/>
      <c r="O453" s="265"/>
      <c r="P453" s="259"/>
      <c r="Q453" s="259"/>
      <c r="R453" s="259"/>
      <c r="S453" s="259"/>
      <c r="T453" s="259"/>
      <c r="U453" s="259"/>
      <c r="V453" s="259"/>
      <c r="W453" s="259"/>
      <c r="X453" s="259"/>
      <c r="Y453" s="260"/>
    </row>
    <row r="454" spans="1:25" ht="13">
      <c r="A454" s="261"/>
      <c r="B454" s="261"/>
      <c r="C454" s="261"/>
      <c r="D454" s="265"/>
      <c r="E454" s="265"/>
      <c r="F454" s="265"/>
      <c r="G454" s="265"/>
      <c r="H454" s="265"/>
      <c r="I454" s="265"/>
      <c r="J454" s="265"/>
      <c r="K454" s="259"/>
      <c r="L454" s="265"/>
      <c r="M454" s="265"/>
      <c r="N454" s="265"/>
      <c r="O454" s="265"/>
      <c r="P454" s="259"/>
      <c r="Q454" s="259"/>
      <c r="R454" s="259"/>
      <c r="S454" s="259"/>
      <c r="T454" s="259"/>
      <c r="U454" s="259"/>
      <c r="V454" s="259"/>
      <c r="W454" s="259"/>
      <c r="X454" s="259"/>
      <c r="Y454" s="260"/>
    </row>
    <row r="455" spans="1:25" ht="13">
      <c r="A455" s="261"/>
      <c r="B455" s="261"/>
      <c r="C455" s="261"/>
      <c r="D455" s="265"/>
      <c r="E455" s="265"/>
      <c r="F455" s="265"/>
      <c r="G455" s="265"/>
      <c r="H455" s="265"/>
      <c r="I455" s="265"/>
      <c r="J455" s="265"/>
      <c r="K455" s="259"/>
      <c r="L455" s="265"/>
      <c r="M455" s="265"/>
      <c r="N455" s="265"/>
      <c r="O455" s="265"/>
      <c r="P455" s="259"/>
      <c r="Q455" s="259"/>
      <c r="R455" s="259"/>
      <c r="S455" s="259"/>
      <c r="T455" s="259"/>
      <c r="U455" s="259"/>
      <c r="V455" s="259"/>
      <c r="W455" s="259"/>
      <c r="X455" s="259"/>
      <c r="Y455" s="260"/>
    </row>
    <row r="456" spans="1:25" ht="13">
      <c r="A456" s="261"/>
      <c r="B456" s="261"/>
      <c r="C456" s="261"/>
      <c r="D456" s="265"/>
      <c r="E456" s="265"/>
      <c r="F456" s="265"/>
      <c r="G456" s="265"/>
      <c r="H456" s="265"/>
      <c r="I456" s="265"/>
      <c r="J456" s="265"/>
      <c r="K456" s="259"/>
      <c r="L456" s="265"/>
      <c r="M456" s="265"/>
      <c r="N456" s="265"/>
      <c r="O456" s="265"/>
      <c r="P456" s="259"/>
      <c r="Q456" s="259"/>
      <c r="R456" s="259"/>
      <c r="S456" s="259"/>
      <c r="T456" s="259"/>
      <c r="U456" s="259"/>
      <c r="V456" s="259"/>
      <c r="W456" s="259"/>
      <c r="X456" s="259"/>
      <c r="Y456" s="260"/>
    </row>
    <row r="457" spans="1:25" ht="13">
      <c r="A457" s="261"/>
      <c r="B457" s="261"/>
      <c r="C457" s="261"/>
      <c r="D457" s="265"/>
      <c r="E457" s="265"/>
      <c r="F457" s="265"/>
      <c r="G457" s="265"/>
      <c r="H457" s="265"/>
      <c r="I457" s="265"/>
      <c r="J457" s="265"/>
      <c r="K457" s="259"/>
      <c r="L457" s="265"/>
      <c r="M457" s="265"/>
      <c r="N457" s="265"/>
      <c r="O457" s="265"/>
      <c r="P457" s="259"/>
      <c r="Q457" s="259"/>
      <c r="R457" s="259"/>
      <c r="S457" s="259"/>
      <c r="T457" s="259"/>
      <c r="U457" s="259"/>
      <c r="V457" s="259"/>
      <c r="W457" s="259"/>
      <c r="X457" s="259"/>
      <c r="Y457" s="260"/>
    </row>
    <row r="458" spans="1:25" ht="13">
      <c r="A458" s="261"/>
      <c r="B458" s="261"/>
      <c r="C458" s="261"/>
      <c r="D458" s="265"/>
      <c r="E458" s="265"/>
      <c r="F458" s="265"/>
      <c r="G458" s="265"/>
      <c r="H458" s="265"/>
      <c r="I458" s="265"/>
      <c r="J458" s="265"/>
      <c r="K458" s="259"/>
      <c r="L458" s="265"/>
      <c r="M458" s="265"/>
      <c r="N458" s="265"/>
      <c r="O458" s="265"/>
      <c r="P458" s="259"/>
      <c r="Q458" s="259"/>
      <c r="R458" s="259"/>
      <c r="S458" s="259"/>
      <c r="T458" s="259"/>
      <c r="U458" s="259"/>
      <c r="V458" s="259"/>
      <c r="W458" s="259"/>
      <c r="X458" s="259"/>
      <c r="Y458" s="260"/>
    </row>
    <row r="459" spans="1:25" ht="13">
      <c r="A459" s="261"/>
      <c r="B459" s="261"/>
      <c r="C459" s="261"/>
      <c r="D459" s="265"/>
      <c r="E459" s="265"/>
      <c r="F459" s="265"/>
      <c r="G459" s="265"/>
      <c r="H459" s="265"/>
      <c r="I459" s="265"/>
      <c r="J459" s="265"/>
      <c r="K459" s="259"/>
      <c r="L459" s="265"/>
      <c r="M459" s="265"/>
      <c r="N459" s="265"/>
      <c r="O459" s="265"/>
      <c r="P459" s="259"/>
      <c r="Q459" s="259"/>
      <c r="R459" s="259"/>
      <c r="S459" s="259"/>
      <c r="T459" s="259"/>
      <c r="U459" s="259"/>
      <c r="V459" s="259"/>
      <c r="W459" s="259"/>
      <c r="X459" s="259"/>
      <c r="Y459" s="260"/>
    </row>
    <row r="460" spans="1:25" ht="13">
      <c r="A460" s="261"/>
      <c r="B460" s="261"/>
      <c r="C460" s="261"/>
      <c r="D460" s="265"/>
      <c r="E460" s="265"/>
      <c r="F460" s="265"/>
      <c r="G460" s="265"/>
      <c r="H460" s="265"/>
      <c r="I460" s="265"/>
      <c r="J460" s="265"/>
      <c r="K460" s="259"/>
      <c r="L460" s="265"/>
      <c r="M460" s="265"/>
      <c r="N460" s="265"/>
      <c r="O460" s="265"/>
      <c r="P460" s="259"/>
      <c r="Q460" s="259"/>
      <c r="R460" s="259"/>
      <c r="S460" s="259"/>
      <c r="T460" s="259"/>
      <c r="U460" s="259"/>
      <c r="V460" s="259"/>
      <c r="W460" s="259"/>
      <c r="X460" s="259"/>
      <c r="Y460" s="260"/>
    </row>
    <row r="461" spans="1:25" ht="13">
      <c r="A461" s="261"/>
      <c r="B461" s="261"/>
      <c r="C461" s="261"/>
      <c r="D461" s="265"/>
      <c r="E461" s="265"/>
      <c r="F461" s="265"/>
      <c r="G461" s="265"/>
      <c r="H461" s="265"/>
      <c r="I461" s="265"/>
      <c r="J461" s="265"/>
      <c r="K461" s="259"/>
      <c r="L461" s="265"/>
      <c r="M461" s="265"/>
      <c r="N461" s="265"/>
      <c r="O461" s="265"/>
      <c r="P461" s="259"/>
      <c r="Q461" s="259"/>
      <c r="R461" s="259"/>
      <c r="S461" s="259"/>
      <c r="T461" s="259"/>
      <c r="U461" s="259"/>
      <c r="V461" s="259"/>
      <c r="W461" s="259"/>
      <c r="X461" s="259"/>
      <c r="Y461" s="260"/>
    </row>
    <row r="462" spans="1:25" ht="13">
      <c r="A462" s="261"/>
      <c r="B462" s="261"/>
      <c r="C462" s="261"/>
      <c r="D462" s="265"/>
      <c r="E462" s="265"/>
      <c r="F462" s="265"/>
      <c r="G462" s="265"/>
      <c r="H462" s="265"/>
      <c r="I462" s="265"/>
      <c r="J462" s="265"/>
      <c r="K462" s="259"/>
      <c r="L462" s="265"/>
      <c r="M462" s="265"/>
      <c r="N462" s="265"/>
      <c r="O462" s="265"/>
      <c r="P462" s="259"/>
      <c r="Q462" s="259"/>
      <c r="R462" s="259"/>
      <c r="S462" s="259"/>
      <c r="T462" s="259"/>
      <c r="U462" s="259"/>
      <c r="V462" s="259"/>
      <c r="W462" s="259"/>
      <c r="X462" s="259"/>
      <c r="Y462" s="260"/>
    </row>
    <row r="463" spans="1:25" ht="13">
      <c r="A463" s="261"/>
      <c r="B463" s="261"/>
      <c r="C463" s="261"/>
      <c r="D463" s="265"/>
      <c r="E463" s="265"/>
      <c r="F463" s="265"/>
      <c r="G463" s="265"/>
      <c r="H463" s="265"/>
      <c r="I463" s="265"/>
      <c r="J463" s="265"/>
      <c r="K463" s="259"/>
      <c r="L463" s="265"/>
      <c r="M463" s="265"/>
      <c r="N463" s="265"/>
      <c r="O463" s="265"/>
      <c r="P463" s="259"/>
      <c r="Q463" s="259"/>
      <c r="R463" s="259"/>
      <c r="S463" s="259"/>
      <c r="T463" s="259"/>
      <c r="U463" s="259"/>
      <c r="V463" s="259"/>
      <c r="W463" s="259"/>
      <c r="X463" s="259"/>
      <c r="Y463" s="260"/>
    </row>
    <row r="464" spans="1:25" ht="13">
      <c r="A464" s="261"/>
      <c r="B464" s="261"/>
      <c r="C464" s="261"/>
      <c r="D464" s="265"/>
      <c r="E464" s="265"/>
      <c r="F464" s="265"/>
      <c r="G464" s="265"/>
      <c r="H464" s="265"/>
      <c r="I464" s="265"/>
      <c r="J464" s="265"/>
      <c r="K464" s="259"/>
      <c r="L464" s="265"/>
      <c r="M464" s="265"/>
      <c r="N464" s="265"/>
      <c r="O464" s="265"/>
      <c r="P464" s="259"/>
      <c r="Q464" s="259"/>
      <c r="R464" s="259"/>
      <c r="S464" s="259"/>
      <c r="T464" s="259"/>
      <c r="U464" s="259"/>
      <c r="V464" s="259"/>
      <c r="W464" s="259"/>
      <c r="X464" s="259"/>
      <c r="Y464" s="260"/>
    </row>
    <row r="465" spans="1:25" ht="13">
      <c r="A465" s="261"/>
      <c r="B465" s="261"/>
      <c r="C465" s="261"/>
      <c r="D465" s="265"/>
      <c r="E465" s="265"/>
      <c r="F465" s="265"/>
      <c r="G465" s="265"/>
      <c r="H465" s="265"/>
      <c r="I465" s="265"/>
      <c r="J465" s="265"/>
      <c r="K465" s="259"/>
      <c r="L465" s="265"/>
      <c r="M465" s="265"/>
      <c r="N465" s="265"/>
      <c r="O465" s="265"/>
      <c r="P465" s="259"/>
      <c r="Q465" s="259"/>
      <c r="R465" s="259"/>
      <c r="S465" s="259"/>
      <c r="T465" s="259"/>
      <c r="U465" s="259"/>
      <c r="V465" s="259"/>
      <c r="W465" s="259"/>
      <c r="X465" s="259"/>
      <c r="Y465" s="260"/>
    </row>
    <row r="466" spans="1:25" ht="13">
      <c r="A466" s="261"/>
      <c r="B466" s="261"/>
      <c r="C466" s="261"/>
      <c r="D466" s="265"/>
      <c r="E466" s="265"/>
      <c r="F466" s="265"/>
      <c r="G466" s="265"/>
      <c r="H466" s="265"/>
      <c r="I466" s="265"/>
      <c r="J466" s="265"/>
      <c r="K466" s="259"/>
      <c r="L466" s="265"/>
      <c r="M466" s="265"/>
      <c r="N466" s="265"/>
      <c r="O466" s="265"/>
      <c r="P466" s="259"/>
      <c r="Q466" s="259"/>
      <c r="R466" s="259"/>
      <c r="S466" s="259"/>
      <c r="T466" s="259"/>
      <c r="U466" s="259"/>
      <c r="V466" s="259"/>
      <c r="W466" s="259"/>
      <c r="X466" s="259"/>
      <c r="Y466" s="260"/>
    </row>
    <row r="467" spans="1:25" ht="13">
      <c r="A467" s="261"/>
      <c r="B467" s="261"/>
      <c r="C467" s="261"/>
      <c r="D467" s="265"/>
      <c r="E467" s="265"/>
      <c r="F467" s="265"/>
      <c r="G467" s="265"/>
      <c r="H467" s="265"/>
      <c r="I467" s="265"/>
      <c r="J467" s="265"/>
      <c r="K467" s="259"/>
      <c r="L467" s="265"/>
      <c r="M467" s="265"/>
      <c r="N467" s="265"/>
      <c r="O467" s="265"/>
      <c r="P467" s="259"/>
      <c r="Q467" s="259"/>
      <c r="R467" s="259"/>
      <c r="S467" s="259"/>
      <c r="T467" s="259"/>
      <c r="U467" s="259"/>
      <c r="V467" s="259"/>
      <c r="W467" s="259"/>
      <c r="X467" s="259"/>
      <c r="Y467" s="260"/>
    </row>
    <row r="468" spans="1:25" ht="13">
      <c r="A468" s="261"/>
      <c r="B468" s="261"/>
      <c r="C468" s="261"/>
      <c r="D468" s="265"/>
      <c r="E468" s="265"/>
      <c r="F468" s="265"/>
      <c r="G468" s="265"/>
      <c r="H468" s="265"/>
      <c r="I468" s="265"/>
      <c r="J468" s="265"/>
      <c r="K468" s="259"/>
      <c r="L468" s="265"/>
      <c r="M468" s="265"/>
      <c r="N468" s="265"/>
      <c r="O468" s="265"/>
      <c r="P468" s="259"/>
      <c r="Q468" s="259"/>
      <c r="R468" s="259"/>
      <c r="S468" s="259"/>
      <c r="T468" s="259"/>
      <c r="U468" s="259"/>
      <c r="V468" s="259"/>
      <c r="W468" s="259"/>
      <c r="X468" s="259"/>
      <c r="Y468" s="260"/>
    </row>
    <row r="469" spans="1:25" ht="13">
      <c r="A469" s="261"/>
      <c r="B469" s="261"/>
      <c r="C469" s="261"/>
      <c r="D469" s="265"/>
      <c r="E469" s="265"/>
      <c r="F469" s="265"/>
      <c r="G469" s="265"/>
      <c r="H469" s="265"/>
      <c r="I469" s="265"/>
      <c r="J469" s="265"/>
      <c r="K469" s="259"/>
      <c r="L469" s="265"/>
      <c r="M469" s="265"/>
      <c r="N469" s="265"/>
      <c r="O469" s="265"/>
      <c r="P469" s="259"/>
      <c r="Q469" s="259"/>
      <c r="R469" s="259"/>
      <c r="S469" s="259"/>
      <c r="T469" s="259"/>
      <c r="U469" s="259"/>
      <c r="V469" s="259"/>
      <c r="W469" s="259"/>
      <c r="X469" s="259"/>
      <c r="Y469" s="260"/>
    </row>
    <row r="470" spans="1:25" ht="13">
      <c r="A470" s="261"/>
      <c r="B470" s="261"/>
      <c r="C470" s="261"/>
      <c r="D470" s="265"/>
      <c r="E470" s="265"/>
      <c r="F470" s="265"/>
      <c r="G470" s="265"/>
      <c r="H470" s="265"/>
      <c r="I470" s="265"/>
      <c r="J470" s="265"/>
      <c r="K470" s="259"/>
      <c r="L470" s="265"/>
      <c r="M470" s="265"/>
      <c r="N470" s="265"/>
      <c r="O470" s="265"/>
      <c r="P470" s="259"/>
      <c r="Q470" s="259"/>
      <c r="R470" s="259"/>
      <c r="S470" s="259"/>
      <c r="T470" s="259"/>
      <c r="U470" s="259"/>
      <c r="V470" s="259"/>
      <c r="W470" s="259"/>
      <c r="X470" s="259"/>
      <c r="Y470" s="260"/>
    </row>
    <row r="471" spans="1:25" ht="13">
      <c r="A471" s="261"/>
      <c r="B471" s="261"/>
      <c r="C471" s="261"/>
      <c r="D471" s="265"/>
      <c r="E471" s="265"/>
      <c r="F471" s="265"/>
      <c r="G471" s="265"/>
      <c r="H471" s="265"/>
      <c r="I471" s="265"/>
      <c r="J471" s="265"/>
      <c r="K471" s="259"/>
      <c r="L471" s="265"/>
      <c r="M471" s="265"/>
      <c r="N471" s="265"/>
      <c r="O471" s="265"/>
      <c r="P471" s="259"/>
      <c r="Q471" s="259"/>
      <c r="R471" s="259"/>
      <c r="S471" s="259"/>
      <c r="T471" s="259"/>
      <c r="U471" s="259"/>
      <c r="V471" s="259"/>
      <c r="W471" s="259"/>
      <c r="X471" s="259"/>
      <c r="Y471" s="260"/>
    </row>
    <row r="472" spans="1:25" ht="13">
      <c r="A472" s="261"/>
      <c r="B472" s="261"/>
      <c r="C472" s="261"/>
      <c r="D472" s="265"/>
      <c r="E472" s="265"/>
      <c r="F472" s="265"/>
      <c r="G472" s="265"/>
      <c r="H472" s="265"/>
      <c r="I472" s="265"/>
      <c r="J472" s="265"/>
      <c r="K472" s="259"/>
      <c r="L472" s="265"/>
      <c r="M472" s="265"/>
      <c r="N472" s="265"/>
      <c r="O472" s="265"/>
      <c r="P472" s="259"/>
      <c r="Q472" s="259"/>
      <c r="R472" s="259"/>
      <c r="S472" s="259"/>
      <c r="T472" s="259"/>
      <c r="U472" s="259"/>
      <c r="V472" s="259"/>
      <c r="W472" s="259"/>
      <c r="X472" s="259"/>
      <c r="Y472" s="260"/>
    </row>
    <row r="473" spans="1:25" ht="13">
      <c r="A473" s="261"/>
      <c r="B473" s="261"/>
      <c r="C473" s="261"/>
      <c r="D473" s="265"/>
      <c r="E473" s="265"/>
      <c r="F473" s="265"/>
      <c r="G473" s="265"/>
      <c r="H473" s="265"/>
      <c r="I473" s="265"/>
      <c r="J473" s="265"/>
      <c r="K473" s="259"/>
      <c r="L473" s="265"/>
      <c r="M473" s="265"/>
      <c r="N473" s="265"/>
      <c r="O473" s="265"/>
      <c r="P473" s="259"/>
      <c r="Q473" s="259"/>
      <c r="R473" s="259"/>
      <c r="S473" s="259"/>
      <c r="T473" s="259"/>
      <c r="U473" s="259"/>
      <c r="V473" s="259"/>
      <c r="W473" s="259"/>
      <c r="X473" s="259"/>
      <c r="Y473" s="260"/>
    </row>
    <row r="474" spans="1:25" ht="13">
      <c r="A474" s="261"/>
      <c r="B474" s="261"/>
      <c r="C474" s="261"/>
      <c r="D474" s="265"/>
      <c r="E474" s="265"/>
      <c r="F474" s="265"/>
      <c r="G474" s="265"/>
      <c r="H474" s="265"/>
      <c r="I474" s="265"/>
      <c r="J474" s="265"/>
      <c r="K474" s="259"/>
      <c r="L474" s="265"/>
      <c r="M474" s="265"/>
      <c r="N474" s="265"/>
      <c r="O474" s="265"/>
      <c r="P474" s="259"/>
      <c r="Q474" s="259"/>
      <c r="R474" s="259"/>
      <c r="S474" s="259"/>
      <c r="T474" s="259"/>
      <c r="U474" s="259"/>
      <c r="V474" s="259"/>
      <c r="W474" s="259"/>
      <c r="X474" s="259"/>
      <c r="Y474" s="260"/>
    </row>
    <row r="475" spans="1:25" ht="13">
      <c r="A475" s="261"/>
      <c r="B475" s="261"/>
      <c r="C475" s="261"/>
      <c r="D475" s="265"/>
      <c r="E475" s="265"/>
      <c r="F475" s="265"/>
      <c r="G475" s="265"/>
      <c r="H475" s="265"/>
      <c r="I475" s="265"/>
      <c r="J475" s="265"/>
      <c r="K475" s="259"/>
      <c r="L475" s="265"/>
      <c r="M475" s="265"/>
      <c r="N475" s="265"/>
      <c r="O475" s="265"/>
      <c r="P475" s="259"/>
      <c r="Q475" s="259"/>
      <c r="R475" s="259"/>
      <c r="S475" s="259"/>
      <c r="T475" s="259"/>
      <c r="U475" s="259"/>
      <c r="V475" s="259"/>
      <c r="W475" s="259"/>
      <c r="X475" s="259"/>
      <c r="Y475" s="260"/>
    </row>
    <row r="476" spans="1:25" ht="13">
      <c r="A476" s="261"/>
      <c r="B476" s="261"/>
      <c r="C476" s="261"/>
      <c r="D476" s="265"/>
      <c r="E476" s="265"/>
      <c r="F476" s="265"/>
      <c r="G476" s="265"/>
      <c r="H476" s="265"/>
      <c r="I476" s="265"/>
      <c r="J476" s="265"/>
      <c r="K476" s="259"/>
      <c r="L476" s="265"/>
      <c r="M476" s="265"/>
      <c r="N476" s="265"/>
      <c r="O476" s="265"/>
      <c r="P476" s="259"/>
      <c r="Q476" s="259"/>
      <c r="R476" s="259"/>
      <c r="S476" s="259"/>
      <c r="T476" s="259"/>
      <c r="U476" s="259"/>
      <c r="V476" s="259"/>
      <c r="W476" s="259"/>
      <c r="X476" s="259"/>
      <c r="Y476" s="260"/>
    </row>
    <row r="477" spans="1:25" ht="13">
      <c r="A477" s="261"/>
      <c r="B477" s="261"/>
      <c r="C477" s="261"/>
      <c r="D477" s="265"/>
      <c r="E477" s="265"/>
      <c r="F477" s="265"/>
      <c r="G477" s="265"/>
      <c r="H477" s="265"/>
      <c r="I477" s="265"/>
      <c r="J477" s="265"/>
      <c r="K477" s="259"/>
      <c r="L477" s="265"/>
      <c r="M477" s="265"/>
      <c r="N477" s="265"/>
      <c r="O477" s="265"/>
      <c r="P477" s="259"/>
      <c r="Q477" s="259"/>
      <c r="R477" s="259"/>
      <c r="S477" s="259"/>
      <c r="T477" s="259"/>
      <c r="U477" s="259"/>
      <c r="V477" s="259"/>
      <c r="W477" s="259"/>
      <c r="X477" s="259"/>
      <c r="Y477" s="260"/>
    </row>
    <row r="478" spans="1:25" ht="13">
      <c r="A478" s="261"/>
      <c r="B478" s="261"/>
      <c r="C478" s="261"/>
      <c r="D478" s="265"/>
      <c r="E478" s="265"/>
      <c r="F478" s="265"/>
      <c r="G478" s="265"/>
      <c r="H478" s="265"/>
      <c r="I478" s="265"/>
      <c r="J478" s="265"/>
      <c r="K478" s="259"/>
      <c r="L478" s="265"/>
      <c r="M478" s="265"/>
      <c r="N478" s="265"/>
      <c r="O478" s="265"/>
      <c r="P478" s="259"/>
      <c r="Q478" s="259"/>
      <c r="R478" s="259"/>
      <c r="S478" s="259"/>
      <c r="T478" s="259"/>
      <c r="U478" s="259"/>
      <c r="V478" s="259"/>
      <c r="W478" s="259"/>
      <c r="X478" s="259"/>
      <c r="Y478" s="260"/>
    </row>
    <row r="479" spans="1:25" ht="13">
      <c r="A479" s="261"/>
      <c r="B479" s="261"/>
      <c r="C479" s="261"/>
      <c r="D479" s="265"/>
      <c r="E479" s="265"/>
      <c r="F479" s="265"/>
      <c r="G479" s="265"/>
      <c r="H479" s="265"/>
      <c r="I479" s="265"/>
      <c r="J479" s="265"/>
      <c r="K479" s="259"/>
      <c r="L479" s="265"/>
      <c r="M479" s="265"/>
      <c r="N479" s="265"/>
      <c r="O479" s="265"/>
      <c r="P479" s="259"/>
      <c r="Q479" s="259"/>
      <c r="R479" s="259"/>
      <c r="S479" s="259"/>
      <c r="T479" s="259"/>
      <c r="U479" s="259"/>
      <c r="V479" s="259"/>
      <c r="W479" s="259"/>
      <c r="X479" s="259"/>
      <c r="Y479" s="260"/>
    </row>
    <row r="480" spans="1:25" ht="13">
      <c r="A480" s="261"/>
      <c r="B480" s="261"/>
      <c r="C480" s="261"/>
      <c r="D480" s="265"/>
      <c r="E480" s="265"/>
      <c r="F480" s="265"/>
      <c r="G480" s="265"/>
      <c r="H480" s="265"/>
      <c r="I480" s="265"/>
      <c r="J480" s="265"/>
      <c r="K480" s="259"/>
      <c r="L480" s="265"/>
      <c r="M480" s="265"/>
      <c r="N480" s="265"/>
      <c r="O480" s="265"/>
      <c r="P480" s="259"/>
      <c r="Q480" s="259"/>
      <c r="R480" s="259"/>
      <c r="S480" s="259"/>
      <c r="T480" s="259"/>
      <c r="U480" s="259"/>
      <c r="V480" s="259"/>
      <c r="W480" s="259"/>
      <c r="X480" s="259"/>
      <c r="Y480" s="260"/>
    </row>
    <row r="481" spans="1:25" ht="13">
      <c r="A481" s="261"/>
      <c r="B481" s="261"/>
      <c r="C481" s="261"/>
      <c r="D481" s="265"/>
      <c r="E481" s="265"/>
      <c r="F481" s="265"/>
      <c r="G481" s="265"/>
      <c r="H481" s="265"/>
      <c r="I481" s="265"/>
      <c r="J481" s="265"/>
      <c r="K481" s="259"/>
      <c r="L481" s="265"/>
      <c r="M481" s="265"/>
      <c r="N481" s="265"/>
      <c r="O481" s="265"/>
      <c r="P481" s="259"/>
      <c r="Q481" s="259"/>
      <c r="R481" s="259"/>
      <c r="S481" s="259"/>
      <c r="T481" s="259"/>
      <c r="U481" s="259"/>
      <c r="V481" s="259"/>
      <c r="W481" s="259"/>
      <c r="X481" s="259"/>
      <c r="Y481" s="260"/>
    </row>
    <row r="482" spans="1:25" ht="13">
      <c r="A482" s="261"/>
      <c r="B482" s="261"/>
      <c r="C482" s="261"/>
      <c r="D482" s="265"/>
      <c r="E482" s="265"/>
      <c r="F482" s="265"/>
      <c r="G482" s="265"/>
      <c r="H482" s="265"/>
      <c r="I482" s="265"/>
      <c r="J482" s="265"/>
      <c r="K482" s="259"/>
      <c r="L482" s="265"/>
      <c r="M482" s="265"/>
      <c r="N482" s="265"/>
      <c r="O482" s="265"/>
      <c r="P482" s="259"/>
      <c r="Q482" s="259"/>
      <c r="R482" s="259"/>
      <c r="S482" s="259"/>
      <c r="T482" s="259"/>
      <c r="U482" s="259"/>
      <c r="V482" s="259"/>
      <c r="W482" s="259"/>
      <c r="X482" s="259"/>
      <c r="Y482" s="260"/>
    </row>
    <row r="483" spans="1:25" ht="13">
      <c r="A483" s="261"/>
      <c r="B483" s="261"/>
      <c r="C483" s="261"/>
      <c r="D483" s="265"/>
      <c r="E483" s="265"/>
      <c r="F483" s="265"/>
      <c r="G483" s="265"/>
      <c r="H483" s="265"/>
      <c r="I483" s="265"/>
      <c r="J483" s="265"/>
      <c r="K483" s="259"/>
      <c r="L483" s="265"/>
      <c r="M483" s="265"/>
      <c r="N483" s="265"/>
      <c r="O483" s="265"/>
      <c r="P483" s="259"/>
      <c r="Q483" s="259"/>
      <c r="R483" s="259"/>
      <c r="S483" s="259"/>
      <c r="T483" s="259"/>
      <c r="U483" s="259"/>
      <c r="V483" s="259"/>
      <c r="W483" s="259"/>
      <c r="X483" s="259"/>
      <c r="Y483" s="260"/>
    </row>
    <row r="484" spans="1:25" ht="13">
      <c r="A484" s="261"/>
      <c r="B484" s="261"/>
      <c r="C484" s="261"/>
      <c r="D484" s="265"/>
      <c r="E484" s="265"/>
      <c r="F484" s="265"/>
      <c r="G484" s="265"/>
      <c r="H484" s="265"/>
      <c r="I484" s="265"/>
      <c r="J484" s="265"/>
      <c r="K484" s="259"/>
      <c r="L484" s="265"/>
      <c r="M484" s="265"/>
      <c r="N484" s="265"/>
      <c r="O484" s="265"/>
      <c r="P484" s="259"/>
      <c r="Q484" s="259"/>
      <c r="R484" s="259"/>
      <c r="S484" s="259"/>
      <c r="T484" s="259"/>
      <c r="U484" s="259"/>
      <c r="V484" s="259"/>
      <c r="W484" s="259"/>
      <c r="X484" s="259"/>
      <c r="Y484" s="260"/>
    </row>
    <row r="485" spans="1:25" ht="13">
      <c r="A485" s="261"/>
      <c r="B485" s="261"/>
      <c r="C485" s="261"/>
      <c r="D485" s="265"/>
      <c r="E485" s="265"/>
      <c r="F485" s="265"/>
      <c r="G485" s="265"/>
      <c r="H485" s="265"/>
      <c r="I485" s="265"/>
      <c r="J485" s="265"/>
      <c r="K485" s="259"/>
      <c r="L485" s="265"/>
      <c r="M485" s="265"/>
      <c r="N485" s="265"/>
      <c r="O485" s="265"/>
      <c r="P485" s="259"/>
      <c r="Q485" s="259"/>
      <c r="R485" s="259"/>
      <c r="S485" s="259"/>
      <c r="T485" s="259"/>
      <c r="U485" s="259"/>
      <c r="V485" s="259"/>
      <c r="W485" s="259"/>
      <c r="X485" s="259"/>
      <c r="Y485" s="260"/>
    </row>
    <row r="486" spans="1:25" ht="13">
      <c r="A486" s="261"/>
      <c r="B486" s="261"/>
      <c r="C486" s="261"/>
      <c r="D486" s="265"/>
      <c r="E486" s="265"/>
      <c r="F486" s="265"/>
      <c r="G486" s="265"/>
      <c r="H486" s="265"/>
      <c r="I486" s="265"/>
      <c r="J486" s="265"/>
      <c r="K486" s="259"/>
      <c r="L486" s="265"/>
      <c r="M486" s="265"/>
      <c r="N486" s="265"/>
      <c r="O486" s="265"/>
      <c r="P486" s="259"/>
      <c r="Q486" s="259"/>
      <c r="R486" s="259"/>
      <c r="S486" s="259"/>
      <c r="T486" s="259"/>
      <c r="U486" s="259"/>
      <c r="V486" s="259"/>
      <c r="W486" s="259"/>
      <c r="X486" s="259"/>
      <c r="Y486" s="260"/>
    </row>
    <row r="487" spans="1:25" ht="13">
      <c r="A487" s="261"/>
      <c r="B487" s="261"/>
      <c r="C487" s="261"/>
      <c r="D487" s="265"/>
      <c r="E487" s="265"/>
      <c r="F487" s="265"/>
      <c r="G487" s="265"/>
      <c r="H487" s="265"/>
      <c r="I487" s="265"/>
      <c r="J487" s="265"/>
      <c r="K487" s="259"/>
      <c r="L487" s="265"/>
      <c r="M487" s="265"/>
      <c r="N487" s="265"/>
      <c r="O487" s="265"/>
      <c r="P487" s="259"/>
      <c r="Q487" s="259"/>
      <c r="R487" s="259"/>
      <c r="S487" s="259"/>
      <c r="T487" s="259"/>
      <c r="U487" s="259"/>
      <c r="V487" s="259"/>
      <c r="W487" s="259"/>
      <c r="X487" s="259"/>
      <c r="Y487" s="260"/>
    </row>
    <row r="488" spans="1:25" ht="13">
      <c r="A488" s="261"/>
      <c r="B488" s="261"/>
      <c r="C488" s="261"/>
      <c r="D488" s="265"/>
      <c r="E488" s="265"/>
      <c r="F488" s="265"/>
      <c r="G488" s="265"/>
      <c r="H488" s="265"/>
      <c r="I488" s="265"/>
      <c r="J488" s="265"/>
      <c r="K488" s="259"/>
      <c r="L488" s="265"/>
      <c r="M488" s="265"/>
      <c r="N488" s="265"/>
      <c r="O488" s="265"/>
      <c r="P488" s="259"/>
      <c r="Q488" s="259"/>
      <c r="R488" s="259"/>
      <c r="S488" s="259"/>
      <c r="T488" s="259"/>
      <c r="U488" s="259"/>
      <c r="V488" s="259"/>
      <c r="W488" s="259"/>
      <c r="X488" s="259"/>
      <c r="Y488" s="260"/>
    </row>
    <row r="489" spans="1:25" ht="13">
      <c r="A489" s="261"/>
      <c r="B489" s="261"/>
      <c r="C489" s="261"/>
      <c r="D489" s="265"/>
      <c r="E489" s="265"/>
      <c r="F489" s="265"/>
      <c r="G489" s="265"/>
      <c r="H489" s="265"/>
      <c r="I489" s="265"/>
      <c r="J489" s="265"/>
      <c r="K489" s="259"/>
      <c r="L489" s="265"/>
      <c r="M489" s="265"/>
      <c r="N489" s="265"/>
      <c r="O489" s="265"/>
      <c r="P489" s="259"/>
      <c r="Q489" s="259"/>
      <c r="R489" s="259"/>
      <c r="S489" s="259"/>
      <c r="T489" s="259"/>
      <c r="U489" s="259"/>
      <c r="V489" s="259"/>
      <c r="W489" s="259"/>
      <c r="X489" s="259"/>
      <c r="Y489" s="260"/>
    </row>
    <row r="490" spans="1:25" ht="13">
      <c r="A490" s="261"/>
      <c r="B490" s="261"/>
      <c r="C490" s="261"/>
      <c r="D490" s="265"/>
      <c r="E490" s="265"/>
      <c r="F490" s="265"/>
      <c r="G490" s="265"/>
      <c r="H490" s="265"/>
      <c r="I490" s="265"/>
      <c r="J490" s="265"/>
      <c r="K490" s="259"/>
      <c r="L490" s="265"/>
      <c r="M490" s="265"/>
      <c r="N490" s="265"/>
      <c r="O490" s="265"/>
      <c r="P490" s="259"/>
      <c r="Q490" s="259"/>
      <c r="R490" s="259"/>
      <c r="S490" s="259"/>
      <c r="T490" s="259"/>
      <c r="U490" s="259"/>
      <c r="V490" s="259"/>
      <c r="W490" s="259"/>
      <c r="X490" s="259"/>
      <c r="Y490" s="260"/>
    </row>
    <row r="491" spans="1:25" ht="13">
      <c r="A491" s="261"/>
      <c r="B491" s="261"/>
      <c r="C491" s="261"/>
      <c r="D491" s="265"/>
      <c r="E491" s="265"/>
      <c r="F491" s="265"/>
      <c r="G491" s="265"/>
      <c r="H491" s="265"/>
      <c r="I491" s="265"/>
      <c r="J491" s="265"/>
      <c r="K491" s="259"/>
      <c r="L491" s="265"/>
      <c r="M491" s="265"/>
      <c r="N491" s="265"/>
      <c r="O491" s="265"/>
      <c r="P491" s="259"/>
      <c r="Q491" s="259"/>
      <c r="R491" s="259"/>
      <c r="S491" s="259"/>
      <c r="T491" s="259"/>
      <c r="U491" s="259"/>
      <c r="V491" s="259"/>
      <c r="W491" s="259"/>
      <c r="X491" s="259"/>
      <c r="Y491" s="260"/>
    </row>
    <row r="492" spans="1:25" ht="13">
      <c r="A492" s="261"/>
      <c r="B492" s="261"/>
      <c r="C492" s="261"/>
      <c r="D492" s="265"/>
      <c r="E492" s="265"/>
      <c r="F492" s="265"/>
      <c r="G492" s="265"/>
      <c r="H492" s="265"/>
      <c r="I492" s="265"/>
      <c r="J492" s="265"/>
      <c r="K492" s="259"/>
      <c r="L492" s="265"/>
      <c r="M492" s="265"/>
      <c r="N492" s="265"/>
      <c r="O492" s="265"/>
      <c r="P492" s="259"/>
      <c r="Q492" s="259"/>
      <c r="R492" s="259"/>
      <c r="S492" s="259"/>
      <c r="T492" s="259"/>
      <c r="U492" s="259"/>
      <c r="V492" s="259"/>
      <c r="W492" s="259"/>
      <c r="X492" s="259"/>
      <c r="Y492" s="260"/>
    </row>
    <row r="493" spans="1:25" ht="13">
      <c r="A493" s="261"/>
      <c r="B493" s="261"/>
      <c r="C493" s="261"/>
      <c r="D493" s="265"/>
      <c r="E493" s="265"/>
      <c r="F493" s="265"/>
      <c r="G493" s="265"/>
      <c r="H493" s="265"/>
      <c r="I493" s="265"/>
      <c r="J493" s="265"/>
      <c r="K493" s="259"/>
      <c r="L493" s="265"/>
      <c r="M493" s="265"/>
      <c r="N493" s="265"/>
      <c r="O493" s="265"/>
      <c r="P493" s="259"/>
      <c r="Q493" s="259"/>
      <c r="R493" s="259"/>
      <c r="S493" s="259"/>
      <c r="T493" s="259"/>
      <c r="U493" s="259"/>
      <c r="V493" s="259"/>
      <c r="W493" s="259"/>
      <c r="X493" s="259"/>
      <c r="Y493" s="260"/>
    </row>
    <row r="494" spans="1:25" ht="13">
      <c r="A494" s="261"/>
      <c r="B494" s="261"/>
      <c r="C494" s="261"/>
      <c r="D494" s="265"/>
      <c r="E494" s="265"/>
      <c r="F494" s="265"/>
      <c r="G494" s="265"/>
      <c r="H494" s="265"/>
      <c r="I494" s="265"/>
      <c r="J494" s="265"/>
      <c r="K494" s="259"/>
      <c r="L494" s="265"/>
      <c r="M494" s="265"/>
      <c r="N494" s="265"/>
      <c r="O494" s="265"/>
      <c r="P494" s="259"/>
      <c r="Q494" s="259"/>
      <c r="R494" s="259"/>
      <c r="S494" s="259"/>
      <c r="T494" s="259"/>
      <c r="U494" s="259"/>
      <c r="V494" s="259"/>
      <c r="W494" s="259"/>
      <c r="X494" s="259"/>
      <c r="Y494" s="260"/>
    </row>
    <row r="495" spans="1:25" ht="13">
      <c r="A495" s="261"/>
      <c r="B495" s="261"/>
      <c r="C495" s="261"/>
      <c r="D495" s="265"/>
      <c r="E495" s="265"/>
      <c r="F495" s="265"/>
      <c r="G495" s="265"/>
      <c r="H495" s="265"/>
      <c r="I495" s="265"/>
      <c r="J495" s="265"/>
      <c r="K495" s="259"/>
      <c r="L495" s="265"/>
      <c r="M495" s="265"/>
      <c r="N495" s="265"/>
      <c r="O495" s="265"/>
      <c r="P495" s="259"/>
      <c r="Q495" s="259"/>
      <c r="R495" s="259"/>
      <c r="S495" s="259"/>
      <c r="T495" s="259"/>
      <c r="U495" s="259"/>
      <c r="V495" s="259"/>
      <c r="W495" s="259"/>
      <c r="X495" s="259"/>
      <c r="Y495" s="260"/>
    </row>
    <row r="496" spans="1:25" ht="13">
      <c r="A496" s="261"/>
      <c r="B496" s="261"/>
      <c r="C496" s="261"/>
      <c r="D496" s="265"/>
      <c r="E496" s="265"/>
      <c r="F496" s="265"/>
      <c r="G496" s="265"/>
      <c r="H496" s="265"/>
      <c r="I496" s="265"/>
      <c r="J496" s="265"/>
      <c r="K496" s="259"/>
      <c r="L496" s="265"/>
      <c r="M496" s="265"/>
      <c r="N496" s="265"/>
      <c r="O496" s="265"/>
      <c r="P496" s="259"/>
      <c r="Q496" s="259"/>
      <c r="R496" s="259"/>
      <c r="S496" s="259"/>
      <c r="T496" s="259"/>
      <c r="U496" s="259"/>
      <c r="V496" s="259"/>
      <c r="W496" s="259"/>
      <c r="X496" s="259"/>
      <c r="Y496" s="260"/>
    </row>
    <row r="497" spans="1:25" ht="13">
      <c r="A497" s="261"/>
      <c r="B497" s="261"/>
      <c r="C497" s="261"/>
      <c r="D497" s="265"/>
      <c r="E497" s="265"/>
      <c r="F497" s="265"/>
      <c r="G497" s="265"/>
      <c r="H497" s="265"/>
      <c r="I497" s="265"/>
      <c r="J497" s="265"/>
      <c r="K497" s="259"/>
      <c r="L497" s="265"/>
      <c r="M497" s="265"/>
      <c r="N497" s="265"/>
      <c r="O497" s="265"/>
      <c r="P497" s="259"/>
      <c r="Q497" s="259"/>
      <c r="R497" s="259"/>
      <c r="S497" s="259"/>
      <c r="T497" s="259"/>
      <c r="U497" s="259"/>
      <c r="V497" s="259"/>
      <c r="W497" s="259"/>
      <c r="X497" s="259"/>
      <c r="Y497" s="260"/>
    </row>
    <row r="498" spans="1:25" ht="13">
      <c r="A498" s="261"/>
      <c r="B498" s="261"/>
      <c r="C498" s="261"/>
      <c r="D498" s="265"/>
      <c r="E498" s="265"/>
      <c r="F498" s="265"/>
      <c r="G498" s="265"/>
      <c r="H498" s="265"/>
      <c r="I498" s="265"/>
      <c r="J498" s="265"/>
      <c r="K498" s="259"/>
      <c r="L498" s="265"/>
      <c r="M498" s="265"/>
      <c r="N498" s="265"/>
      <c r="O498" s="265"/>
      <c r="P498" s="259"/>
      <c r="Q498" s="259"/>
      <c r="R498" s="259"/>
      <c r="S498" s="259"/>
      <c r="T498" s="259"/>
      <c r="U498" s="259"/>
      <c r="V498" s="259"/>
      <c r="W498" s="259"/>
      <c r="X498" s="259"/>
      <c r="Y498" s="260"/>
    </row>
    <row r="499" spans="1:25" ht="13">
      <c r="A499" s="261"/>
      <c r="B499" s="261"/>
      <c r="C499" s="261"/>
      <c r="D499" s="265"/>
      <c r="E499" s="265"/>
      <c r="F499" s="265"/>
      <c r="G499" s="265"/>
      <c r="H499" s="265"/>
      <c r="I499" s="265"/>
      <c r="J499" s="265"/>
      <c r="K499" s="259"/>
      <c r="L499" s="265"/>
      <c r="M499" s="265"/>
      <c r="N499" s="265"/>
      <c r="O499" s="265"/>
      <c r="P499" s="259"/>
      <c r="Q499" s="259"/>
      <c r="R499" s="259"/>
      <c r="S499" s="259"/>
      <c r="T499" s="259"/>
      <c r="U499" s="259"/>
      <c r="V499" s="259"/>
      <c r="W499" s="259"/>
      <c r="X499" s="259"/>
      <c r="Y499" s="260"/>
    </row>
    <row r="500" spans="1:25" ht="13">
      <c r="A500" s="261"/>
      <c r="B500" s="261"/>
      <c r="C500" s="261"/>
      <c r="D500" s="265"/>
      <c r="E500" s="265"/>
      <c r="F500" s="265"/>
      <c r="G500" s="265"/>
      <c r="H500" s="265"/>
      <c r="I500" s="265"/>
      <c r="J500" s="265"/>
      <c r="K500" s="259"/>
      <c r="L500" s="265"/>
      <c r="M500" s="265"/>
      <c r="N500" s="265"/>
      <c r="O500" s="265"/>
      <c r="P500" s="259"/>
      <c r="Q500" s="259"/>
      <c r="R500" s="259"/>
      <c r="S500" s="259"/>
      <c r="T500" s="259"/>
      <c r="U500" s="259"/>
      <c r="V500" s="259"/>
      <c r="W500" s="259"/>
      <c r="X500" s="259"/>
      <c r="Y500" s="260"/>
    </row>
    <row r="501" spans="1:25" ht="13">
      <c r="A501" s="261"/>
      <c r="B501" s="261"/>
      <c r="C501" s="261"/>
      <c r="D501" s="265"/>
      <c r="E501" s="265"/>
      <c r="F501" s="265"/>
      <c r="G501" s="265"/>
      <c r="H501" s="265"/>
      <c r="I501" s="265"/>
      <c r="J501" s="265"/>
      <c r="K501" s="259"/>
      <c r="L501" s="265"/>
      <c r="M501" s="265"/>
      <c r="N501" s="265"/>
      <c r="O501" s="265"/>
      <c r="P501" s="259"/>
      <c r="Q501" s="259"/>
      <c r="R501" s="259"/>
      <c r="S501" s="259"/>
      <c r="T501" s="259"/>
      <c r="U501" s="259"/>
      <c r="V501" s="259"/>
      <c r="W501" s="259"/>
      <c r="X501" s="259"/>
      <c r="Y501" s="260"/>
    </row>
    <row r="502" spans="1:25" ht="13">
      <c r="A502" s="261"/>
      <c r="B502" s="261"/>
      <c r="C502" s="261"/>
      <c r="D502" s="265"/>
      <c r="E502" s="265"/>
      <c r="F502" s="265"/>
      <c r="G502" s="265"/>
      <c r="H502" s="265"/>
      <c r="I502" s="265"/>
      <c r="J502" s="265"/>
      <c r="K502" s="259"/>
      <c r="L502" s="265"/>
      <c r="M502" s="265"/>
      <c r="N502" s="265"/>
      <c r="O502" s="265"/>
      <c r="P502" s="259"/>
      <c r="Q502" s="259"/>
      <c r="R502" s="259"/>
      <c r="S502" s="259"/>
      <c r="T502" s="259"/>
      <c r="U502" s="259"/>
      <c r="V502" s="259"/>
      <c r="W502" s="259"/>
      <c r="X502" s="259"/>
      <c r="Y502" s="260"/>
    </row>
    <row r="503" spans="1:25" ht="13">
      <c r="A503" s="261"/>
      <c r="B503" s="261"/>
      <c r="C503" s="261"/>
      <c r="D503" s="265"/>
      <c r="E503" s="265"/>
      <c r="F503" s="265"/>
      <c r="G503" s="265"/>
      <c r="H503" s="265"/>
      <c r="I503" s="265"/>
      <c r="J503" s="265"/>
      <c r="K503" s="259"/>
      <c r="L503" s="265"/>
      <c r="M503" s="265"/>
      <c r="N503" s="265"/>
      <c r="O503" s="265"/>
      <c r="P503" s="259"/>
      <c r="Q503" s="259"/>
      <c r="R503" s="259"/>
      <c r="S503" s="259"/>
      <c r="T503" s="259"/>
      <c r="U503" s="259"/>
      <c r="V503" s="259"/>
      <c r="W503" s="259"/>
      <c r="X503" s="259"/>
      <c r="Y503" s="260"/>
    </row>
    <row r="504" spans="1:25" ht="13">
      <c r="A504" s="261"/>
      <c r="B504" s="261"/>
      <c r="C504" s="261"/>
      <c r="D504" s="265"/>
      <c r="E504" s="265"/>
      <c r="F504" s="265"/>
      <c r="G504" s="265"/>
      <c r="H504" s="265"/>
      <c r="I504" s="265"/>
      <c r="J504" s="265"/>
      <c r="K504" s="259"/>
      <c r="L504" s="265"/>
      <c r="M504" s="265"/>
      <c r="N504" s="265"/>
      <c r="O504" s="265"/>
      <c r="P504" s="259"/>
      <c r="Q504" s="259"/>
      <c r="R504" s="259"/>
      <c r="S504" s="259"/>
      <c r="T504" s="259"/>
      <c r="U504" s="259"/>
      <c r="V504" s="259"/>
      <c r="W504" s="259"/>
      <c r="X504" s="259"/>
      <c r="Y504" s="260"/>
    </row>
    <row r="505" spans="1:25" ht="13">
      <c r="A505" s="261"/>
      <c r="B505" s="261"/>
      <c r="C505" s="261"/>
      <c r="D505" s="265"/>
      <c r="E505" s="265"/>
      <c r="F505" s="265"/>
      <c r="G505" s="265"/>
      <c r="H505" s="265"/>
      <c r="I505" s="265"/>
      <c r="J505" s="265"/>
      <c r="K505" s="259"/>
      <c r="L505" s="265"/>
      <c r="M505" s="265"/>
      <c r="N505" s="265"/>
      <c r="O505" s="265"/>
      <c r="P505" s="259"/>
      <c r="Q505" s="259"/>
      <c r="R505" s="259"/>
      <c r="S505" s="259"/>
      <c r="T505" s="259"/>
      <c r="U505" s="259"/>
      <c r="V505" s="259"/>
      <c r="W505" s="259"/>
      <c r="X505" s="259"/>
      <c r="Y505" s="260"/>
    </row>
    <row r="506" spans="1:25" ht="13">
      <c r="A506" s="261"/>
      <c r="B506" s="261"/>
      <c r="C506" s="261"/>
      <c r="D506" s="265"/>
      <c r="E506" s="265"/>
      <c r="F506" s="265"/>
      <c r="G506" s="265"/>
      <c r="H506" s="265"/>
      <c r="I506" s="265"/>
      <c r="J506" s="265"/>
      <c r="K506" s="259"/>
      <c r="L506" s="265"/>
      <c r="M506" s="265"/>
      <c r="N506" s="265"/>
      <c r="O506" s="265"/>
      <c r="P506" s="259"/>
      <c r="Q506" s="259"/>
      <c r="R506" s="259"/>
      <c r="S506" s="259"/>
      <c r="T506" s="259"/>
      <c r="U506" s="259"/>
      <c r="V506" s="259"/>
      <c r="W506" s="259"/>
      <c r="X506" s="259"/>
      <c r="Y506" s="260"/>
    </row>
    <row r="507" spans="1:25" ht="13">
      <c r="A507" s="261"/>
      <c r="B507" s="261"/>
      <c r="C507" s="261"/>
      <c r="D507" s="265"/>
      <c r="E507" s="265"/>
      <c r="F507" s="265"/>
      <c r="G507" s="265"/>
      <c r="H507" s="265"/>
      <c r="I507" s="265"/>
      <c r="J507" s="265"/>
      <c r="K507" s="259"/>
      <c r="L507" s="265"/>
      <c r="M507" s="265"/>
      <c r="N507" s="265"/>
      <c r="O507" s="265"/>
      <c r="P507" s="259"/>
      <c r="Q507" s="259"/>
      <c r="R507" s="259"/>
      <c r="S507" s="259"/>
      <c r="T507" s="259"/>
      <c r="U507" s="259"/>
      <c r="V507" s="259"/>
      <c r="W507" s="259"/>
      <c r="X507" s="259"/>
      <c r="Y507" s="260"/>
    </row>
    <row r="508" spans="1:25" ht="13">
      <c r="A508" s="261"/>
      <c r="B508" s="261"/>
      <c r="C508" s="261"/>
      <c r="D508" s="265"/>
      <c r="E508" s="265"/>
      <c r="F508" s="265"/>
      <c r="G508" s="265"/>
      <c r="H508" s="265"/>
      <c r="I508" s="265"/>
      <c r="J508" s="265"/>
      <c r="K508" s="259"/>
      <c r="L508" s="265"/>
      <c r="M508" s="265"/>
      <c r="N508" s="265"/>
      <c r="O508" s="265"/>
      <c r="P508" s="259"/>
      <c r="Q508" s="259"/>
      <c r="R508" s="259"/>
      <c r="S508" s="259"/>
      <c r="T508" s="259"/>
      <c r="U508" s="259"/>
      <c r="V508" s="259"/>
      <c r="W508" s="259"/>
      <c r="X508" s="259"/>
      <c r="Y508" s="260"/>
    </row>
    <row r="509" spans="1:25" ht="13">
      <c r="A509" s="261"/>
      <c r="B509" s="261"/>
      <c r="C509" s="261"/>
      <c r="D509" s="265"/>
      <c r="E509" s="265"/>
      <c r="F509" s="265"/>
      <c r="G509" s="265"/>
      <c r="H509" s="265"/>
      <c r="I509" s="265"/>
      <c r="J509" s="265"/>
      <c r="K509" s="259"/>
      <c r="L509" s="265"/>
      <c r="M509" s="265"/>
      <c r="N509" s="265"/>
      <c r="O509" s="265"/>
      <c r="P509" s="259"/>
      <c r="Q509" s="259"/>
      <c r="R509" s="259"/>
      <c r="S509" s="259"/>
      <c r="T509" s="259"/>
      <c r="U509" s="259"/>
      <c r="V509" s="259"/>
      <c r="W509" s="259"/>
      <c r="X509" s="259"/>
      <c r="Y509" s="260"/>
    </row>
    <row r="510" spans="1:25" ht="13">
      <c r="A510" s="261"/>
      <c r="B510" s="261"/>
      <c r="C510" s="261"/>
      <c r="D510" s="265"/>
      <c r="E510" s="265"/>
      <c r="F510" s="265"/>
      <c r="G510" s="265"/>
      <c r="H510" s="265"/>
      <c r="I510" s="265"/>
      <c r="J510" s="265"/>
      <c r="K510" s="259"/>
      <c r="L510" s="265"/>
      <c r="M510" s="265"/>
      <c r="N510" s="265"/>
      <c r="O510" s="265"/>
      <c r="P510" s="259"/>
      <c r="Q510" s="259"/>
      <c r="R510" s="259"/>
      <c r="S510" s="259"/>
      <c r="T510" s="259"/>
      <c r="U510" s="259"/>
      <c r="V510" s="259"/>
      <c r="W510" s="259"/>
      <c r="X510" s="259"/>
      <c r="Y510" s="260"/>
    </row>
    <row r="511" spans="1:25" ht="13">
      <c r="A511" s="261"/>
      <c r="B511" s="261"/>
      <c r="C511" s="261"/>
      <c r="D511" s="265"/>
      <c r="E511" s="265"/>
      <c r="F511" s="265"/>
      <c r="G511" s="265"/>
      <c r="H511" s="265"/>
      <c r="I511" s="265"/>
      <c r="J511" s="265"/>
      <c r="K511" s="259"/>
      <c r="L511" s="265"/>
      <c r="M511" s="265"/>
      <c r="N511" s="265"/>
      <c r="O511" s="265"/>
      <c r="P511" s="259"/>
      <c r="Q511" s="259"/>
      <c r="R511" s="259"/>
      <c r="S511" s="259"/>
      <c r="T511" s="259"/>
      <c r="U511" s="259"/>
      <c r="V511" s="259"/>
      <c r="W511" s="259"/>
      <c r="X511" s="259"/>
      <c r="Y511" s="260"/>
    </row>
    <row r="512" spans="1:25" ht="13">
      <c r="A512" s="261"/>
      <c r="B512" s="261"/>
      <c r="C512" s="261"/>
      <c r="D512" s="265"/>
      <c r="E512" s="265"/>
      <c r="F512" s="265"/>
      <c r="G512" s="265"/>
      <c r="H512" s="265"/>
      <c r="I512" s="265"/>
      <c r="J512" s="265"/>
      <c r="K512" s="259"/>
      <c r="L512" s="265"/>
      <c r="M512" s="265"/>
      <c r="N512" s="265"/>
      <c r="O512" s="265"/>
      <c r="P512" s="259"/>
      <c r="Q512" s="259"/>
      <c r="R512" s="259"/>
      <c r="S512" s="259"/>
      <c r="T512" s="259"/>
      <c r="U512" s="259"/>
      <c r="V512" s="259"/>
      <c r="W512" s="259"/>
      <c r="X512" s="259"/>
      <c r="Y512" s="260"/>
    </row>
    <row r="513" spans="1:25" ht="13">
      <c r="A513" s="261"/>
      <c r="B513" s="261"/>
      <c r="C513" s="261"/>
      <c r="D513" s="265"/>
      <c r="E513" s="265"/>
      <c r="F513" s="265"/>
      <c r="G513" s="265"/>
      <c r="H513" s="265"/>
      <c r="I513" s="265"/>
      <c r="J513" s="265"/>
      <c r="K513" s="259"/>
      <c r="L513" s="265"/>
      <c r="M513" s="265"/>
      <c r="N513" s="265"/>
      <c r="O513" s="265"/>
      <c r="P513" s="259"/>
      <c r="Q513" s="259"/>
      <c r="R513" s="259"/>
      <c r="S513" s="259"/>
      <c r="T513" s="259"/>
      <c r="U513" s="259"/>
      <c r="V513" s="259"/>
      <c r="W513" s="259"/>
      <c r="X513" s="259"/>
      <c r="Y513" s="260"/>
    </row>
    <row r="514" spans="1:25" ht="13">
      <c r="A514" s="261"/>
      <c r="B514" s="261"/>
      <c r="C514" s="261"/>
      <c r="D514" s="265"/>
      <c r="E514" s="265"/>
      <c r="F514" s="265"/>
      <c r="G514" s="265"/>
      <c r="H514" s="265"/>
      <c r="I514" s="265"/>
      <c r="J514" s="265"/>
      <c r="K514" s="259"/>
      <c r="L514" s="265"/>
      <c r="M514" s="265"/>
      <c r="N514" s="265"/>
      <c r="O514" s="265"/>
      <c r="P514" s="259"/>
      <c r="Q514" s="259"/>
      <c r="R514" s="259"/>
      <c r="S514" s="259"/>
      <c r="T514" s="259"/>
      <c r="U514" s="259"/>
      <c r="V514" s="259"/>
      <c r="W514" s="259"/>
      <c r="X514" s="259"/>
      <c r="Y514" s="260"/>
    </row>
    <row r="515" spans="1:25" ht="13">
      <c r="A515" s="261"/>
      <c r="B515" s="261"/>
      <c r="C515" s="261"/>
      <c r="D515" s="265"/>
      <c r="E515" s="265"/>
      <c r="F515" s="265"/>
      <c r="G515" s="265"/>
      <c r="H515" s="265"/>
      <c r="I515" s="265"/>
      <c r="J515" s="265"/>
      <c r="K515" s="259"/>
      <c r="L515" s="265"/>
      <c r="M515" s="265"/>
      <c r="N515" s="265"/>
      <c r="O515" s="265"/>
      <c r="P515" s="259"/>
      <c r="Q515" s="259"/>
      <c r="R515" s="259"/>
      <c r="S515" s="259"/>
      <c r="T515" s="259"/>
      <c r="U515" s="259"/>
      <c r="V515" s="259"/>
      <c r="W515" s="259"/>
      <c r="X515" s="259"/>
      <c r="Y515" s="260"/>
    </row>
    <row r="516" spans="1:25" ht="13">
      <c r="A516" s="261"/>
      <c r="B516" s="261"/>
      <c r="C516" s="261"/>
      <c r="D516" s="265"/>
      <c r="E516" s="265"/>
      <c r="F516" s="265"/>
      <c r="G516" s="265"/>
      <c r="H516" s="265"/>
      <c r="I516" s="265"/>
      <c r="J516" s="265"/>
      <c r="K516" s="259"/>
      <c r="L516" s="265"/>
      <c r="M516" s="265"/>
      <c r="N516" s="265"/>
      <c r="O516" s="265"/>
      <c r="P516" s="259"/>
      <c r="Q516" s="259"/>
      <c r="R516" s="259"/>
      <c r="S516" s="259"/>
      <c r="T516" s="259"/>
      <c r="U516" s="259"/>
      <c r="V516" s="259"/>
      <c r="W516" s="259"/>
      <c r="X516" s="259"/>
      <c r="Y516" s="260"/>
    </row>
    <row r="517" spans="1:25" ht="13">
      <c r="A517" s="261"/>
      <c r="B517" s="261"/>
      <c r="C517" s="261"/>
      <c r="D517" s="265"/>
      <c r="E517" s="265"/>
      <c r="F517" s="265"/>
      <c r="G517" s="265"/>
      <c r="H517" s="265"/>
      <c r="I517" s="265"/>
      <c r="J517" s="265"/>
      <c r="K517" s="259"/>
      <c r="L517" s="265"/>
      <c r="M517" s="265"/>
      <c r="N517" s="265"/>
      <c r="O517" s="265"/>
      <c r="P517" s="259"/>
      <c r="Q517" s="259"/>
      <c r="R517" s="259"/>
      <c r="S517" s="259"/>
      <c r="T517" s="259"/>
      <c r="U517" s="259"/>
      <c r="V517" s="259"/>
      <c r="W517" s="259"/>
      <c r="X517" s="259"/>
      <c r="Y517" s="260"/>
    </row>
    <row r="518" spans="1:25" ht="13">
      <c r="A518" s="261"/>
      <c r="B518" s="261"/>
      <c r="C518" s="261"/>
      <c r="D518" s="265"/>
      <c r="E518" s="265"/>
      <c r="F518" s="265"/>
      <c r="G518" s="265"/>
      <c r="H518" s="265"/>
      <c r="I518" s="265"/>
      <c r="J518" s="265"/>
      <c r="K518" s="259"/>
      <c r="L518" s="265"/>
      <c r="M518" s="265"/>
      <c r="N518" s="265"/>
      <c r="O518" s="265"/>
      <c r="P518" s="259"/>
      <c r="Q518" s="259"/>
      <c r="R518" s="259"/>
      <c r="S518" s="259"/>
      <c r="T518" s="259"/>
      <c r="U518" s="259"/>
      <c r="V518" s="259"/>
      <c r="W518" s="259"/>
      <c r="X518" s="259"/>
      <c r="Y518" s="260"/>
    </row>
    <row r="519" spans="1:25" ht="13">
      <c r="A519" s="261"/>
      <c r="B519" s="261"/>
      <c r="C519" s="261"/>
      <c r="D519" s="265"/>
      <c r="E519" s="265"/>
      <c r="F519" s="265"/>
      <c r="G519" s="265"/>
      <c r="H519" s="265"/>
      <c r="I519" s="265"/>
      <c r="J519" s="265"/>
      <c r="K519" s="259"/>
      <c r="L519" s="265"/>
      <c r="M519" s="265"/>
      <c r="N519" s="265"/>
      <c r="O519" s="265"/>
      <c r="P519" s="259"/>
      <c r="Q519" s="259"/>
      <c r="R519" s="259"/>
      <c r="S519" s="259"/>
      <c r="T519" s="259"/>
      <c r="U519" s="259"/>
      <c r="V519" s="259"/>
      <c r="W519" s="259"/>
      <c r="X519" s="259"/>
      <c r="Y519" s="260"/>
    </row>
    <row r="520" spans="1:25" ht="13">
      <c r="A520" s="261"/>
      <c r="B520" s="261"/>
      <c r="C520" s="261"/>
      <c r="D520" s="265"/>
      <c r="E520" s="265"/>
      <c r="F520" s="265"/>
      <c r="G520" s="265"/>
      <c r="H520" s="265"/>
      <c r="I520" s="265"/>
      <c r="J520" s="265"/>
      <c r="K520" s="259"/>
      <c r="L520" s="265"/>
      <c r="M520" s="265"/>
      <c r="N520" s="265"/>
      <c r="O520" s="265"/>
      <c r="P520" s="259"/>
      <c r="Q520" s="259"/>
      <c r="R520" s="259"/>
      <c r="S520" s="259"/>
      <c r="T520" s="259"/>
      <c r="U520" s="259"/>
      <c r="V520" s="259"/>
      <c r="W520" s="259"/>
      <c r="X520" s="259"/>
      <c r="Y520" s="260"/>
    </row>
    <row r="521" spans="1:25" ht="13">
      <c r="A521" s="261"/>
      <c r="B521" s="261"/>
      <c r="C521" s="261"/>
      <c r="D521" s="265"/>
      <c r="E521" s="265"/>
      <c r="F521" s="265"/>
      <c r="G521" s="265"/>
      <c r="H521" s="265"/>
      <c r="I521" s="265"/>
      <c r="J521" s="265"/>
      <c r="K521" s="259"/>
      <c r="L521" s="265"/>
      <c r="M521" s="265"/>
      <c r="N521" s="265"/>
      <c r="O521" s="265"/>
      <c r="P521" s="259"/>
      <c r="Q521" s="259"/>
      <c r="R521" s="259"/>
      <c r="S521" s="259"/>
      <c r="T521" s="259"/>
      <c r="U521" s="259"/>
      <c r="V521" s="259"/>
      <c r="W521" s="259"/>
      <c r="X521" s="259"/>
      <c r="Y521" s="260"/>
    </row>
    <row r="522" spans="1:25" ht="13">
      <c r="A522" s="261"/>
      <c r="B522" s="261"/>
      <c r="C522" s="261"/>
      <c r="D522" s="265"/>
      <c r="E522" s="265"/>
      <c r="F522" s="265"/>
      <c r="G522" s="265"/>
      <c r="H522" s="265"/>
      <c r="I522" s="265"/>
      <c r="J522" s="265"/>
      <c r="K522" s="259"/>
      <c r="L522" s="265"/>
      <c r="M522" s="265"/>
      <c r="N522" s="265"/>
      <c r="O522" s="265"/>
      <c r="P522" s="259"/>
      <c r="Q522" s="259"/>
      <c r="R522" s="259"/>
      <c r="S522" s="259"/>
      <c r="T522" s="259"/>
      <c r="U522" s="259"/>
      <c r="V522" s="259"/>
      <c r="W522" s="259"/>
      <c r="X522" s="259"/>
      <c r="Y522" s="260"/>
    </row>
    <row r="523" spans="1:25" ht="13">
      <c r="A523" s="261"/>
      <c r="B523" s="261"/>
      <c r="C523" s="261"/>
      <c r="D523" s="265"/>
      <c r="E523" s="265"/>
      <c r="F523" s="265"/>
      <c r="G523" s="265"/>
      <c r="H523" s="265"/>
      <c r="I523" s="265"/>
      <c r="J523" s="265"/>
      <c r="K523" s="259"/>
      <c r="L523" s="265"/>
      <c r="M523" s="265"/>
      <c r="N523" s="265"/>
      <c r="O523" s="265"/>
      <c r="P523" s="259"/>
      <c r="Q523" s="259"/>
      <c r="R523" s="259"/>
      <c r="S523" s="259"/>
      <c r="T523" s="259"/>
      <c r="U523" s="259"/>
      <c r="V523" s="259"/>
      <c r="W523" s="259"/>
      <c r="X523" s="259"/>
      <c r="Y523" s="260"/>
    </row>
    <row r="524" spans="1:25" ht="13">
      <c r="A524" s="261"/>
      <c r="B524" s="261"/>
      <c r="C524" s="261"/>
      <c r="D524" s="265"/>
      <c r="E524" s="265"/>
      <c r="F524" s="265"/>
      <c r="G524" s="265"/>
      <c r="H524" s="265"/>
      <c r="I524" s="265"/>
      <c r="J524" s="265"/>
      <c r="K524" s="259"/>
      <c r="L524" s="265"/>
      <c r="M524" s="265"/>
      <c r="N524" s="265"/>
      <c r="O524" s="265"/>
      <c r="P524" s="259"/>
      <c r="Q524" s="259"/>
      <c r="R524" s="259"/>
      <c r="S524" s="259"/>
      <c r="T524" s="259"/>
      <c r="U524" s="259"/>
      <c r="V524" s="259"/>
      <c r="W524" s="259"/>
      <c r="X524" s="259"/>
      <c r="Y524" s="260"/>
    </row>
    <row r="525" spans="1:25" ht="13">
      <c r="A525" s="261"/>
      <c r="B525" s="261"/>
      <c r="C525" s="261"/>
      <c r="D525" s="265"/>
      <c r="E525" s="265"/>
      <c r="F525" s="265"/>
      <c r="G525" s="265"/>
      <c r="H525" s="265"/>
      <c r="I525" s="265"/>
      <c r="J525" s="265"/>
      <c r="K525" s="259"/>
      <c r="L525" s="265"/>
      <c r="M525" s="265"/>
      <c r="N525" s="265"/>
      <c r="O525" s="265"/>
      <c r="P525" s="259"/>
      <c r="Q525" s="259"/>
      <c r="R525" s="259"/>
      <c r="S525" s="259"/>
      <c r="T525" s="259"/>
      <c r="U525" s="259"/>
      <c r="V525" s="259"/>
      <c r="W525" s="259"/>
      <c r="X525" s="259"/>
      <c r="Y525" s="260"/>
    </row>
    <row r="526" spans="1:25" ht="13">
      <c r="A526" s="261"/>
      <c r="B526" s="261"/>
      <c r="C526" s="261"/>
      <c r="D526" s="265"/>
      <c r="E526" s="265"/>
      <c r="F526" s="265"/>
      <c r="G526" s="265"/>
      <c r="H526" s="265"/>
      <c r="I526" s="265"/>
      <c r="J526" s="265"/>
      <c r="K526" s="259"/>
      <c r="L526" s="265"/>
      <c r="M526" s="265"/>
      <c r="N526" s="265"/>
      <c r="O526" s="265"/>
      <c r="P526" s="259"/>
      <c r="Q526" s="259"/>
      <c r="R526" s="259"/>
      <c r="S526" s="259"/>
      <c r="T526" s="259"/>
      <c r="U526" s="259"/>
      <c r="V526" s="259"/>
      <c r="W526" s="259"/>
      <c r="X526" s="259"/>
      <c r="Y526" s="260"/>
    </row>
    <row r="527" spans="1:25" ht="13">
      <c r="A527" s="261"/>
      <c r="B527" s="261"/>
      <c r="C527" s="261"/>
      <c r="D527" s="265"/>
      <c r="E527" s="265"/>
      <c r="F527" s="265"/>
      <c r="G527" s="265"/>
      <c r="H527" s="265"/>
      <c r="I527" s="265"/>
      <c r="J527" s="265"/>
      <c r="K527" s="259"/>
      <c r="L527" s="265"/>
      <c r="M527" s="265"/>
      <c r="N527" s="265"/>
      <c r="O527" s="265"/>
      <c r="P527" s="259"/>
      <c r="Q527" s="259"/>
      <c r="R527" s="259"/>
      <c r="S527" s="259"/>
      <c r="T527" s="259"/>
      <c r="U527" s="259"/>
      <c r="V527" s="259"/>
      <c r="W527" s="259"/>
      <c r="X527" s="259"/>
      <c r="Y527" s="260"/>
    </row>
    <row r="528" spans="1:25" ht="13">
      <c r="A528" s="261"/>
      <c r="B528" s="261"/>
      <c r="C528" s="261"/>
      <c r="D528" s="265"/>
      <c r="E528" s="265"/>
      <c r="F528" s="265"/>
      <c r="G528" s="265"/>
      <c r="H528" s="265"/>
      <c r="I528" s="265"/>
      <c r="J528" s="265"/>
      <c r="K528" s="259"/>
      <c r="L528" s="265"/>
      <c r="M528" s="265"/>
      <c r="N528" s="265"/>
      <c r="O528" s="265"/>
      <c r="P528" s="259"/>
      <c r="Q528" s="259"/>
      <c r="R528" s="259"/>
      <c r="S528" s="259"/>
      <c r="T528" s="259"/>
      <c r="U528" s="259"/>
      <c r="V528" s="259"/>
      <c r="W528" s="259"/>
      <c r="X528" s="259"/>
      <c r="Y528" s="260"/>
    </row>
    <row r="529" spans="1:25" ht="13">
      <c r="A529" s="261"/>
      <c r="B529" s="261"/>
      <c r="C529" s="261"/>
      <c r="D529" s="265"/>
      <c r="E529" s="265"/>
      <c r="F529" s="265"/>
      <c r="G529" s="265"/>
      <c r="H529" s="265"/>
      <c r="I529" s="265"/>
      <c r="J529" s="265"/>
      <c r="K529" s="259"/>
      <c r="L529" s="265"/>
      <c r="M529" s="265"/>
      <c r="N529" s="265"/>
      <c r="O529" s="265"/>
      <c r="P529" s="259"/>
      <c r="Q529" s="259"/>
      <c r="R529" s="259"/>
      <c r="S529" s="259"/>
      <c r="T529" s="259"/>
      <c r="U529" s="259"/>
      <c r="V529" s="259"/>
      <c r="W529" s="259"/>
      <c r="X529" s="259"/>
      <c r="Y529" s="260"/>
    </row>
    <row r="530" spans="1:25" ht="13">
      <c r="A530" s="261"/>
      <c r="B530" s="261"/>
      <c r="C530" s="261"/>
      <c r="D530" s="265"/>
      <c r="E530" s="265"/>
      <c r="F530" s="265"/>
      <c r="G530" s="265"/>
      <c r="H530" s="265"/>
      <c r="I530" s="265"/>
      <c r="J530" s="265"/>
      <c r="K530" s="259"/>
      <c r="L530" s="265"/>
      <c r="M530" s="265"/>
      <c r="N530" s="265"/>
      <c r="O530" s="265"/>
      <c r="P530" s="259"/>
      <c r="Q530" s="259"/>
      <c r="R530" s="259"/>
      <c r="S530" s="259"/>
      <c r="T530" s="259"/>
      <c r="U530" s="259"/>
      <c r="V530" s="259"/>
      <c r="W530" s="259"/>
      <c r="X530" s="259"/>
      <c r="Y530" s="260"/>
    </row>
    <row r="531" spans="1:25" ht="13">
      <c r="A531" s="261"/>
      <c r="B531" s="261"/>
      <c r="C531" s="261"/>
      <c r="D531" s="265"/>
      <c r="E531" s="265"/>
      <c r="F531" s="265"/>
      <c r="G531" s="265"/>
      <c r="H531" s="265"/>
      <c r="I531" s="265"/>
      <c r="J531" s="265"/>
      <c r="K531" s="259"/>
      <c r="L531" s="265"/>
      <c r="M531" s="265"/>
      <c r="N531" s="265"/>
      <c r="O531" s="265"/>
      <c r="P531" s="259"/>
      <c r="Q531" s="259"/>
      <c r="R531" s="259"/>
      <c r="S531" s="259"/>
      <c r="T531" s="259"/>
      <c r="U531" s="259"/>
      <c r="V531" s="259"/>
      <c r="W531" s="259"/>
      <c r="X531" s="259"/>
      <c r="Y531" s="260"/>
    </row>
    <row r="532" spans="1:25" ht="13">
      <c r="A532" s="261"/>
      <c r="B532" s="261"/>
      <c r="C532" s="261"/>
      <c r="D532" s="265"/>
      <c r="E532" s="265"/>
      <c r="F532" s="265"/>
      <c r="G532" s="265"/>
      <c r="H532" s="265"/>
      <c r="I532" s="265"/>
      <c r="J532" s="265"/>
      <c r="K532" s="259"/>
      <c r="L532" s="265"/>
      <c r="M532" s="265"/>
      <c r="N532" s="265"/>
      <c r="O532" s="265"/>
      <c r="P532" s="259"/>
      <c r="Q532" s="259"/>
      <c r="R532" s="259"/>
      <c r="S532" s="259"/>
      <c r="T532" s="259"/>
      <c r="U532" s="259"/>
      <c r="V532" s="259"/>
      <c r="W532" s="259"/>
      <c r="X532" s="259"/>
      <c r="Y532" s="260"/>
    </row>
    <row r="533" spans="1:25" ht="13">
      <c r="A533" s="261"/>
      <c r="B533" s="261"/>
      <c r="C533" s="261"/>
      <c r="D533" s="265"/>
      <c r="E533" s="265"/>
      <c r="F533" s="265"/>
      <c r="G533" s="265"/>
      <c r="H533" s="265"/>
      <c r="I533" s="265"/>
      <c r="J533" s="265"/>
      <c r="K533" s="259"/>
      <c r="L533" s="265"/>
      <c r="M533" s="265"/>
      <c r="N533" s="265"/>
      <c r="O533" s="265"/>
      <c r="P533" s="259"/>
      <c r="Q533" s="259"/>
      <c r="R533" s="259"/>
      <c r="S533" s="259"/>
      <c r="T533" s="259"/>
      <c r="U533" s="259"/>
      <c r="V533" s="259"/>
      <c r="W533" s="259"/>
      <c r="X533" s="259"/>
      <c r="Y533" s="260"/>
    </row>
    <row r="534" spans="1:25" ht="13">
      <c r="A534" s="261"/>
      <c r="B534" s="261"/>
      <c r="C534" s="261"/>
      <c r="D534" s="265"/>
      <c r="E534" s="265"/>
      <c r="F534" s="265"/>
      <c r="G534" s="265"/>
      <c r="H534" s="265"/>
      <c r="I534" s="265"/>
      <c r="J534" s="265"/>
      <c r="K534" s="259"/>
      <c r="L534" s="265"/>
      <c r="M534" s="265"/>
      <c r="N534" s="265"/>
      <c r="O534" s="265"/>
      <c r="P534" s="259"/>
      <c r="Q534" s="259"/>
      <c r="R534" s="259"/>
      <c r="S534" s="259"/>
      <c r="T534" s="259"/>
      <c r="U534" s="259"/>
      <c r="V534" s="259"/>
      <c r="W534" s="259"/>
      <c r="X534" s="259"/>
      <c r="Y534" s="260"/>
    </row>
    <row r="535" spans="1:25" ht="13">
      <c r="A535" s="261"/>
      <c r="B535" s="261"/>
      <c r="C535" s="261"/>
      <c r="D535" s="265"/>
      <c r="E535" s="265"/>
      <c r="F535" s="265"/>
      <c r="G535" s="265"/>
      <c r="H535" s="265"/>
      <c r="I535" s="265"/>
      <c r="J535" s="265"/>
      <c r="K535" s="259"/>
      <c r="L535" s="265"/>
      <c r="M535" s="265"/>
      <c r="N535" s="265"/>
      <c r="O535" s="265"/>
      <c r="P535" s="259"/>
      <c r="Q535" s="259"/>
      <c r="R535" s="259"/>
      <c r="S535" s="259"/>
      <c r="T535" s="259"/>
      <c r="U535" s="259"/>
      <c r="V535" s="259"/>
      <c r="W535" s="259"/>
      <c r="X535" s="259"/>
      <c r="Y535" s="260"/>
    </row>
    <row r="536" spans="1:25" ht="13">
      <c r="A536" s="261"/>
      <c r="B536" s="261"/>
      <c r="C536" s="261"/>
      <c r="D536" s="265"/>
      <c r="E536" s="265"/>
      <c r="F536" s="265"/>
      <c r="G536" s="265"/>
      <c r="H536" s="265"/>
      <c r="I536" s="265"/>
      <c r="J536" s="265"/>
      <c r="K536" s="259"/>
      <c r="L536" s="265"/>
      <c r="M536" s="265"/>
      <c r="N536" s="265"/>
      <c r="O536" s="265"/>
      <c r="P536" s="259"/>
      <c r="Q536" s="259"/>
      <c r="R536" s="259"/>
      <c r="S536" s="259"/>
      <c r="T536" s="259"/>
      <c r="U536" s="259"/>
      <c r="V536" s="259"/>
      <c r="W536" s="259"/>
      <c r="X536" s="259"/>
      <c r="Y536" s="260"/>
    </row>
    <row r="537" spans="1:25" ht="13">
      <c r="A537" s="261"/>
      <c r="B537" s="261"/>
      <c r="C537" s="261"/>
      <c r="D537" s="265"/>
      <c r="E537" s="265"/>
      <c r="F537" s="265"/>
      <c r="G537" s="265"/>
      <c r="H537" s="265"/>
      <c r="I537" s="265"/>
      <c r="J537" s="265"/>
      <c r="K537" s="259"/>
      <c r="L537" s="265"/>
      <c r="M537" s="265"/>
      <c r="N537" s="265"/>
      <c r="O537" s="265"/>
      <c r="P537" s="259"/>
      <c r="Q537" s="259"/>
      <c r="R537" s="259"/>
      <c r="S537" s="259"/>
      <c r="T537" s="259"/>
      <c r="U537" s="259"/>
      <c r="V537" s="259"/>
      <c r="W537" s="259"/>
      <c r="X537" s="259"/>
      <c r="Y537" s="260"/>
    </row>
    <row r="538" spans="1:25" ht="13">
      <c r="A538" s="261"/>
      <c r="B538" s="261"/>
      <c r="C538" s="261"/>
      <c r="D538" s="265"/>
      <c r="E538" s="265"/>
      <c r="F538" s="265"/>
      <c r="G538" s="265"/>
      <c r="H538" s="265"/>
      <c r="I538" s="265"/>
      <c r="J538" s="265"/>
      <c r="K538" s="259"/>
      <c r="L538" s="265"/>
      <c r="M538" s="265"/>
      <c r="N538" s="265"/>
      <c r="O538" s="265"/>
      <c r="P538" s="259"/>
      <c r="Q538" s="259"/>
      <c r="R538" s="259"/>
      <c r="S538" s="259"/>
      <c r="T538" s="259"/>
      <c r="U538" s="259"/>
      <c r="V538" s="259"/>
      <c r="W538" s="259"/>
      <c r="X538" s="259"/>
      <c r="Y538" s="260"/>
    </row>
    <row r="539" spans="1:25" ht="13">
      <c r="A539" s="261"/>
      <c r="B539" s="261"/>
      <c r="C539" s="261"/>
      <c r="D539" s="265"/>
      <c r="E539" s="265"/>
      <c r="F539" s="265"/>
      <c r="G539" s="265"/>
      <c r="H539" s="265"/>
      <c r="I539" s="265"/>
      <c r="J539" s="265"/>
      <c r="K539" s="259"/>
      <c r="L539" s="265"/>
      <c r="M539" s="265"/>
      <c r="N539" s="265"/>
      <c r="O539" s="265"/>
      <c r="P539" s="259"/>
      <c r="Q539" s="259"/>
      <c r="R539" s="259"/>
      <c r="S539" s="259"/>
      <c r="T539" s="259"/>
      <c r="U539" s="259"/>
      <c r="V539" s="259"/>
      <c r="W539" s="259"/>
      <c r="X539" s="259"/>
      <c r="Y539" s="260"/>
    </row>
    <row r="540" spans="1:25" ht="13">
      <c r="A540" s="261"/>
      <c r="B540" s="261"/>
      <c r="C540" s="261"/>
      <c r="D540" s="265"/>
      <c r="E540" s="265"/>
      <c r="F540" s="265"/>
      <c r="G540" s="265"/>
      <c r="H540" s="265"/>
      <c r="I540" s="265"/>
      <c r="J540" s="265"/>
      <c r="K540" s="259"/>
      <c r="L540" s="265"/>
      <c r="M540" s="265"/>
      <c r="N540" s="265"/>
      <c r="O540" s="265"/>
      <c r="P540" s="259"/>
      <c r="Q540" s="259"/>
      <c r="R540" s="259"/>
      <c r="S540" s="259"/>
      <c r="T540" s="259"/>
      <c r="U540" s="259"/>
      <c r="V540" s="259"/>
      <c r="W540" s="259"/>
      <c r="X540" s="259"/>
      <c r="Y540" s="260"/>
    </row>
    <row r="541" spans="1:25" ht="13">
      <c r="A541" s="261"/>
      <c r="B541" s="261"/>
      <c r="C541" s="261"/>
      <c r="D541" s="265"/>
      <c r="E541" s="265"/>
      <c r="F541" s="265"/>
      <c r="G541" s="265"/>
      <c r="H541" s="265"/>
      <c r="I541" s="265"/>
      <c r="J541" s="265"/>
      <c r="K541" s="259"/>
      <c r="L541" s="265"/>
      <c r="M541" s="265"/>
      <c r="N541" s="265"/>
      <c r="O541" s="265"/>
      <c r="P541" s="259"/>
      <c r="Q541" s="259"/>
      <c r="R541" s="259"/>
      <c r="S541" s="259"/>
      <c r="T541" s="259"/>
      <c r="U541" s="259"/>
      <c r="V541" s="259"/>
      <c r="W541" s="259"/>
      <c r="X541" s="259"/>
      <c r="Y541" s="260"/>
    </row>
    <row r="542" spans="1:25" ht="13">
      <c r="A542" s="261"/>
      <c r="B542" s="261"/>
      <c r="C542" s="261"/>
      <c r="D542" s="265"/>
      <c r="E542" s="265"/>
      <c r="F542" s="265"/>
      <c r="G542" s="265"/>
      <c r="H542" s="265"/>
      <c r="I542" s="265"/>
      <c r="J542" s="265"/>
      <c r="K542" s="259"/>
      <c r="L542" s="265"/>
      <c r="M542" s="265"/>
      <c r="N542" s="265"/>
      <c r="O542" s="265"/>
      <c r="P542" s="259"/>
      <c r="Q542" s="259"/>
      <c r="R542" s="259"/>
      <c r="S542" s="259"/>
      <c r="T542" s="259"/>
      <c r="U542" s="259"/>
      <c r="V542" s="259"/>
      <c r="W542" s="259"/>
      <c r="X542" s="259"/>
      <c r="Y542" s="260"/>
    </row>
    <row r="543" spans="1:25" ht="13">
      <c r="A543" s="261"/>
      <c r="B543" s="261"/>
      <c r="C543" s="261"/>
      <c r="D543" s="265"/>
      <c r="E543" s="265"/>
      <c r="F543" s="265"/>
      <c r="G543" s="265"/>
      <c r="H543" s="265"/>
      <c r="I543" s="265"/>
      <c r="J543" s="265"/>
      <c r="K543" s="259"/>
      <c r="L543" s="265"/>
      <c r="M543" s="265"/>
      <c r="N543" s="265"/>
      <c r="O543" s="265"/>
      <c r="P543" s="259"/>
      <c r="Q543" s="259"/>
      <c r="R543" s="259"/>
      <c r="S543" s="259"/>
      <c r="T543" s="259"/>
      <c r="U543" s="259"/>
      <c r="V543" s="259"/>
      <c r="W543" s="259"/>
      <c r="X543" s="259"/>
      <c r="Y543" s="260"/>
    </row>
    <row r="544" spans="1:25" ht="13">
      <c r="A544" s="261"/>
      <c r="B544" s="261"/>
      <c r="C544" s="261"/>
      <c r="D544" s="265"/>
      <c r="E544" s="265"/>
      <c r="F544" s="265"/>
      <c r="G544" s="265"/>
      <c r="H544" s="265"/>
      <c r="I544" s="265"/>
      <c r="J544" s="265"/>
      <c r="K544" s="259"/>
      <c r="L544" s="265"/>
      <c r="M544" s="265"/>
      <c r="N544" s="265"/>
      <c r="O544" s="265"/>
      <c r="P544" s="259"/>
      <c r="Q544" s="259"/>
      <c r="R544" s="259"/>
      <c r="S544" s="259"/>
      <c r="T544" s="259"/>
      <c r="U544" s="259"/>
      <c r="V544" s="259"/>
      <c r="W544" s="259"/>
      <c r="X544" s="259"/>
      <c r="Y544" s="260"/>
    </row>
    <row r="545" spans="1:25" ht="13">
      <c r="A545" s="261"/>
      <c r="B545" s="261"/>
      <c r="C545" s="261"/>
      <c r="D545" s="265"/>
      <c r="E545" s="265"/>
      <c r="F545" s="265"/>
      <c r="G545" s="265"/>
      <c r="H545" s="265"/>
      <c r="I545" s="265"/>
      <c r="J545" s="265"/>
      <c r="K545" s="259"/>
      <c r="L545" s="265"/>
      <c r="M545" s="265"/>
      <c r="N545" s="265"/>
      <c r="O545" s="265"/>
      <c r="P545" s="259"/>
      <c r="Q545" s="259"/>
      <c r="R545" s="259"/>
      <c r="S545" s="259"/>
      <c r="T545" s="259"/>
      <c r="U545" s="259"/>
      <c r="V545" s="259"/>
      <c r="W545" s="259"/>
      <c r="X545" s="259"/>
      <c r="Y545" s="260"/>
    </row>
    <row r="546" spans="1:25" ht="13">
      <c r="A546" s="261"/>
      <c r="B546" s="261"/>
      <c r="C546" s="261"/>
      <c r="D546" s="265"/>
      <c r="E546" s="265"/>
      <c r="F546" s="265"/>
      <c r="G546" s="265"/>
      <c r="H546" s="265"/>
      <c r="I546" s="265"/>
      <c r="J546" s="265"/>
      <c r="K546" s="259"/>
      <c r="L546" s="265"/>
      <c r="M546" s="265"/>
      <c r="N546" s="265"/>
      <c r="O546" s="265"/>
      <c r="P546" s="259"/>
      <c r="Q546" s="259"/>
      <c r="R546" s="259"/>
      <c r="S546" s="259"/>
      <c r="T546" s="259"/>
      <c r="U546" s="259"/>
      <c r="V546" s="259"/>
      <c r="W546" s="259"/>
      <c r="X546" s="259"/>
      <c r="Y546" s="260"/>
    </row>
    <row r="547" spans="1:25" ht="13">
      <c r="A547" s="261"/>
      <c r="B547" s="261"/>
      <c r="C547" s="261"/>
      <c r="D547" s="265"/>
      <c r="E547" s="265"/>
      <c r="F547" s="265"/>
      <c r="G547" s="265"/>
      <c r="H547" s="265"/>
      <c r="I547" s="265"/>
      <c r="J547" s="265"/>
      <c r="K547" s="259"/>
      <c r="L547" s="265"/>
      <c r="M547" s="265"/>
      <c r="N547" s="265"/>
      <c r="O547" s="265"/>
      <c r="P547" s="259"/>
      <c r="Q547" s="259"/>
      <c r="R547" s="259"/>
      <c r="S547" s="259"/>
      <c r="T547" s="259"/>
      <c r="U547" s="259"/>
      <c r="V547" s="259"/>
      <c r="W547" s="259"/>
      <c r="X547" s="259"/>
      <c r="Y547" s="260"/>
    </row>
    <row r="548" spans="1:25" ht="13">
      <c r="A548" s="261"/>
      <c r="B548" s="261"/>
      <c r="C548" s="261"/>
      <c r="D548" s="265"/>
      <c r="E548" s="265"/>
      <c r="F548" s="265"/>
      <c r="G548" s="265"/>
      <c r="H548" s="265"/>
      <c r="I548" s="265"/>
      <c r="J548" s="265"/>
      <c r="K548" s="259"/>
      <c r="L548" s="265"/>
      <c r="M548" s="265"/>
      <c r="N548" s="265"/>
      <c r="O548" s="265"/>
      <c r="P548" s="259"/>
      <c r="Q548" s="259"/>
      <c r="R548" s="259"/>
      <c r="S548" s="259"/>
      <c r="T548" s="259"/>
      <c r="U548" s="259"/>
      <c r="V548" s="259"/>
      <c r="W548" s="259"/>
      <c r="X548" s="259"/>
      <c r="Y548" s="260"/>
    </row>
    <row r="549" spans="1:25" ht="13">
      <c r="A549" s="261"/>
      <c r="B549" s="261"/>
      <c r="C549" s="261"/>
      <c r="D549" s="265"/>
      <c r="E549" s="265"/>
      <c r="F549" s="265"/>
      <c r="G549" s="265"/>
      <c r="H549" s="265"/>
      <c r="I549" s="265"/>
      <c r="J549" s="265"/>
      <c r="K549" s="259"/>
      <c r="L549" s="265"/>
      <c r="M549" s="265"/>
      <c r="N549" s="265"/>
      <c r="O549" s="265"/>
      <c r="P549" s="259"/>
      <c r="Q549" s="259"/>
      <c r="R549" s="259"/>
      <c r="S549" s="259"/>
      <c r="T549" s="259"/>
      <c r="U549" s="259"/>
      <c r="V549" s="259"/>
      <c r="W549" s="259"/>
      <c r="X549" s="259"/>
      <c r="Y549" s="260"/>
    </row>
    <row r="550" spans="1:25" ht="13">
      <c r="A550" s="261"/>
      <c r="B550" s="261"/>
      <c r="C550" s="261"/>
      <c r="D550" s="265"/>
      <c r="E550" s="265"/>
      <c r="F550" s="265"/>
      <c r="G550" s="265"/>
      <c r="H550" s="265"/>
      <c r="I550" s="265"/>
      <c r="J550" s="265"/>
      <c r="K550" s="259"/>
      <c r="L550" s="265"/>
      <c r="M550" s="265"/>
      <c r="N550" s="265"/>
      <c r="O550" s="265"/>
      <c r="P550" s="259"/>
      <c r="Q550" s="259"/>
      <c r="R550" s="259"/>
      <c r="S550" s="259"/>
      <c r="T550" s="259"/>
      <c r="U550" s="259"/>
      <c r="V550" s="259"/>
      <c r="W550" s="259"/>
      <c r="X550" s="259"/>
      <c r="Y550" s="260"/>
    </row>
    <row r="551" spans="1:25" ht="13">
      <c r="A551" s="261"/>
      <c r="B551" s="261"/>
      <c r="C551" s="261"/>
      <c r="D551" s="265"/>
      <c r="E551" s="265"/>
      <c r="F551" s="265"/>
      <c r="G551" s="265"/>
      <c r="H551" s="265"/>
      <c r="I551" s="265"/>
      <c r="J551" s="265"/>
      <c r="K551" s="259"/>
      <c r="L551" s="265"/>
      <c r="M551" s="265"/>
      <c r="N551" s="265"/>
      <c r="O551" s="265"/>
      <c r="P551" s="259"/>
      <c r="Q551" s="259"/>
      <c r="R551" s="259"/>
      <c r="S551" s="259"/>
      <c r="T551" s="259"/>
      <c r="U551" s="259"/>
      <c r="V551" s="259"/>
      <c r="W551" s="259"/>
      <c r="X551" s="259"/>
      <c r="Y551" s="260"/>
    </row>
    <row r="552" spans="1:25" ht="13">
      <c r="A552" s="261"/>
      <c r="B552" s="261"/>
      <c r="C552" s="261"/>
      <c r="D552" s="265"/>
      <c r="E552" s="265"/>
      <c r="F552" s="265"/>
      <c r="G552" s="265"/>
      <c r="H552" s="265"/>
      <c r="I552" s="265"/>
      <c r="J552" s="265"/>
      <c r="K552" s="259"/>
      <c r="L552" s="265"/>
      <c r="M552" s="265"/>
      <c r="N552" s="265"/>
      <c r="O552" s="265"/>
      <c r="P552" s="259"/>
      <c r="Q552" s="259"/>
      <c r="R552" s="259"/>
      <c r="S552" s="259"/>
      <c r="T552" s="259"/>
      <c r="U552" s="259"/>
      <c r="V552" s="259"/>
      <c r="W552" s="259"/>
      <c r="X552" s="259"/>
      <c r="Y552" s="260"/>
    </row>
    <row r="553" spans="1:25" ht="13">
      <c r="A553" s="261"/>
      <c r="B553" s="261"/>
      <c r="C553" s="261"/>
      <c r="D553" s="265"/>
      <c r="E553" s="265"/>
      <c r="F553" s="265"/>
      <c r="G553" s="265"/>
      <c r="H553" s="265"/>
      <c r="I553" s="265"/>
      <c r="J553" s="265"/>
      <c r="K553" s="259"/>
      <c r="L553" s="265"/>
      <c r="M553" s="265"/>
      <c r="N553" s="265"/>
      <c r="O553" s="265"/>
      <c r="P553" s="259"/>
      <c r="Q553" s="259"/>
      <c r="R553" s="259"/>
      <c r="S553" s="259"/>
      <c r="T553" s="259"/>
      <c r="U553" s="259"/>
      <c r="V553" s="259"/>
      <c r="W553" s="259"/>
      <c r="X553" s="259"/>
      <c r="Y553" s="260"/>
    </row>
    <row r="554" spans="1:25" ht="13">
      <c r="A554" s="261"/>
      <c r="B554" s="261"/>
      <c r="C554" s="261"/>
      <c r="D554" s="265"/>
      <c r="E554" s="265"/>
      <c r="F554" s="265"/>
      <c r="G554" s="265"/>
      <c r="H554" s="265"/>
      <c r="I554" s="265"/>
      <c r="J554" s="265"/>
      <c r="K554" s="259"/>
      <c r="L554" s="265"/>
      <c r="M554" s="265"/>
      <c r="N554" s="265"/>
      <c r="O554" s="265"/>
      <c r="P554" s="259"/>
      <c r="Q554" s="259"/>
      <c r="R554" s="259"/>
      <c r="S554" s="259"/>
      <c r="T554" s="259"/>
      <c r="U554" s="259"/>
      <c r="V554" s="259"/>
      <c r="W554" s="259"/>
      <c r="X554" s="259"/>
      <c r="Y554" s="260"/>
    </row>
    <row r="555" spans="1:25" ht="13">
      <c r="A555" s="261"/>
      <c r="B555" s="261"/>
      <c r="C555" s="261"/>
      <c r="D555" s="265"/>
      <c r="E555" s="265"/>
      <c r="F555" s="265"/>
      <c r="G555" s="265"/>
      <c r="H555" s="265"/>
      <c r="I555" s="265"/>
      <c r="J555" s="265"/>
      <c r="K555" s="259"/>
      <c r="L555" s="265"/>
      <c r="M555" s="265"/>
      <c r="N555" s="265"/>
      <c r="O555" s="265"/>
      <c r="P555" s="259"/>
      <c r="Q555" s="259"/>
      <c r="R555" s="259"/>
      <c r="S555" s="259"/>
      <c r="T555" s="259"/>
      <c r="U555" s="259"/>
      <c r="V555" s="259"/>
      <c r="W555" s="259"/>
      <c r="X555" s="259"/>
      <c r="Y555" s="260"/>
    </row>
    <row r="556" spans="1:25" ht="13">
      <c r="A556" s="261"/>
      <c r="B556" s="261"/>
      <c r="C556" s="261"/>
      <c r="D556" s="265"/>
      <c r="E556" s="265"/>
      <c r="F556" s="265"/>
      <c r="G556" s="265"/>
      <c r="H556" s="265"/>
      <c r="I556" s="265"/>
      <c r="J556" s="265"/>
      <c r="K556" s="259"/>
      <c r="L556" s="265"/>
      <c r="M556" s="265"/>
      <c r="N556" s="265"/>
      <c r="O556" s="265"/>
      <c r="P556" s="259"/>
      <c r="Q556" s="259"/>
      <c r="R556" s="259"/>
      <c r="S556" s="259"/>
      <c r="T556" s="259"/>
      <c r="U556" s="259"/>
      <c r="V556" s="259"/>
      <c r="W556" s="259"/>
      <c r="X556" s="259"/>
      <c r="Y556" s="260"/>
    </row>
    <row r="557" spans="1:25" ht="13">
      <c r="A557" s="261"/>
      <c r="B557" s="261"/>
      <c r="C557" s="261"/>
      <c r="D557" s="265"/>
      <c r="E557" s="265"/>
      <c r="F557" s="265"/>
      <c r="G557" s="265"/>
      <c r="H557" s="265"/>
      <c r="I557" s="265"/>
      <c r="J557" s="265"/>
      <c r="K557" s="259"/>
      <c r="L557" s="265"/>
      <c r="M557" s="265"/>
      <c r="N557" s="265"/>
      <c r="O557" s="265"/>
      <c r="P557" s="259"/>
      <c r="Q557" s="259"/>
      <c r="R557" s="259"/>
      <c r="S557" s="259"/>
      <c r="T557" s="259"/>
      <c r="U557" s="259"/>
      <c r="V557" s="259"/>
      <c r="W557" s="259"/>
      <c r="X557" s="259"/>
      <c r="Y557" s="260"/>
    </row>
    <row r="558" spans="1:25" ht="13">
      <c r="A558" s="261"/>
      <c r="B558" s="261"/>
      <c r="C558" s="261"/>
      <c r="D558" s="265"/>
      <c r="E558" s="265"/>
      <c r="F558" s="265"/>
      <c r="G558" s="265"/>
      <c r="H558" s="265"/>
      <c r="I558" s="265"/>
      <c r="J558" s="265"/>
      <c r="K558" s="259"/>
      <c r="L558" s="265"/>
      <c r="M558" s="265"/>
      <c r="N558" s="265"/>
      <c r="O558" s="265"/>
      <c r="P558" s="259"/>
      <c r="Q558" s="259"/>
      <c r="R558" s="259"/>
      <c r="S558" s="259"/>
      <c r="T558" s="259"/>
      <c r="U558" s="259"/>
      <c r="V558" s="259"/>
      <c r="W558" s="259"/>
      <c r="X558" s="259"/>
      <c r="Y558" s="260"/>
    </row>
    <row r="559" spans="1:25" ht="13">
      <c r="A559" s="261"/>
      <c r="B559" s="261"/>
      <c r="C559" s="261"/>
      <c r="D559" s="265"/>
      <c r="E559" s="265"/>
      <c r="F559" s="265"/>
      <c r="G559" s="265"/>
      <c r="H559" s="265"/>
      <c r="I559" s="265"/>
      <c r="J559" s="265"/>
      <c r="K559" s="259"/>
      <c r="L559" s="265"/>
      <c r="M559" s="265"/>
      <c r="N559" s="265"/>
      <c r="O559" s="265"/>
      <c r="P559" s="259"/>
      <c r="Q559" s="259"/>
      <c r="R559" s="259"/>
      <c r="S559" s="259"/>
      <c r="T559" s="259"/>
      <c r="U559" s="259"/>
      <c r="V559" s="259"/>
      <c r="W559" s="259"/>
      <c r="X559" s="259"/>
      <c r="Y559" s="260"/>
    </row>
    <row r="560" spans="1:25" ht="13">
      <c r="A560" s="261"/>
      <c r="B560" s="261"/>
      <c r="C560" s="261"/>
      <c r="D560" s="265"/>
      <c r="E560" s="265"/>
      <c r="F560" s="265"/>
      <c r="G560" s="265"/>
      <c r="H560" s="265"/>
      <c r="I560" s="265"/>
      <c r="J560" s="265"/>
      <c r="K560" s="259"/>
      <c r="L560" s="265"/>
      <c r="M560" s="265"/>
      <c r="N560" s="265"/>
      <c r="O560" s="265"/>
      <c r="P560" s="259"/>
      <c r="Q560" s="259"/>
      <c r="R560" s="259"/>
      <c r="S560" s="259"/>
      <c r="T560" s="259"/>
      <c r="U560" s="259"/>
      <c r="V560" s="259"/>
      <c r="W560" s="259"/>
      <c r="X560" s="259"/>
      <c r="Y560" s="260"/>
    </row>
    <row r="561" spans="1:25" ht="13">
      <c r="A561" s="261"/>
      <c r="B561" s="261"/>
      <c r="C561" s="261"/>
      <c r="D561" s="265"/>
      <c r="E561" s="265"/>
      <c r="F561" s="265"/>
      <c r="G561" s="265"/>
      <c r="H561" s="265"/>
      <c r="I561" s="265"/>
      <c r="J561" s="265"/>
      <c r="K561" s="259"/>
      <c r="L561" s="265"/>
      <c r="M561" s="265"/>
      <c r="N561" s="265"/>
      <c r="O561" s="265"/>
      <c r="P561" s="259"/>
      <c r="Q561" s="259"/>
      <c r="R561" s="259"/>
      <c r="S561" s="259"/>
      <c r="T561" s="259"/>
      <c r="U561" s="259"/>
      <c r="V561" s="259"/>
      <c r="W561" s="259"/>
      <c r="X561" s="259"/>
      <c r="Y561" s="260"/>
    </row>
    <row r="562" spans="1:25" ht="13">
      <c r="A562" s="261"/>
      <c r="B562" s="261"/>
      <c r="C562" s="261"/>
      <c r="D562" s="265"/>
      <c r="E562" s="265"/>
      <c r="F562" s="265"/>
      <c r="G562" s="265"/>
      <c r="H562" s="265"/>
      <c r="I562" s="265"/>
      <c r="J562" s="265"/>
      <c r="K562" s="259"/>
      <c r="L562" s="265"/>
      <c r="M562" s="265"/>
      <c r="N562" s="265"/>
      <c r="O562" s="265"/>
      <c r="P562" s="259"/>
      <c r="Q562" s="259"/>
      <c r="R562" s="259"/>
      <c r="S562" s="259"/>
      <c r="T562" s="259"/>
      <c r="U562" s="259"/>
      <c r="V562" s="259"/>
      <c r="W562" s="259"/>
      <c r="X562" s="259"/>
      <c r="Y562" s="260"/>
    </row>
    <row r="563" spans="1:25" ht="13">
      <c r="A563" s="261"/>
      <c r="B563" s="261"/>
      <c r="C563" s="261"/>
      <c r="D563" s="265"/>
      <c r="E563" s="265"/>
      <c r="F563" s="265"/>
      <c r="G563" s="265"/>
      <c r="H563" s="265"/>
      <c r="I563" s="265"/>
      <c r="J563" s="265"/>
      <c r="K563" s="259"/>
      <c r="L563" s="265"/>
      <c r="M563" s="265"/>
      <c r="N563" s="265"/>
      <c r="O563" s="265"/>
      <c r="P563" s="259"/>
      <c r="Q563" s="259"/>
      <c r="R563" s="259"/>
      <c r="S563" s="259"/>
      <c r="T563" s="259"/>
      <c r="U563" s="259"/>
      <c r="V563" s="259"/>
      <c r="W563" s="259"/>
      <c r="X563" s="259"/>
      <c r="Y563" s="260"/>
    </row>
    <row r="564" spans="1:25" ht="13">
      <c r="A564" s="261"/>
      <c r="B564" s="261"/>
      <c r="C564" s="261"/>
      <c r="D564" s="265"/>
      <c r="E564" s="265"/>
      <c r="F564" s="265"/>
      <c r="G564" s="265"/>
      <c r="H564" s="265"/>
      <c r="I564" s="265"/>
      <c r="J564" s="265"/>
      <c r="K564" s="259"/>
      <c r="L564" s="265"/>
      <c r="M564" s="265"/>
      <c r="N564" s="265"/>
      <c r="O564" s="265"/>
      <c r="P564" s="259"/>
      <c r="Q564" s="259"/>
      <c r="R564" s="259"/>
      <c r="S564" s="259"/>
      <c r="T564" s="259"/>
      <c r="U564" s="259"/>
      <c r="V564" s="259"/>
      <c r="W564" s="259"/>
      <c r="X564" s="259"/>
      <c r="Y564" s="260"/>
    </row>
    <row r="565" spans="1:25" ht="13">
      <c r="A565" s="261"/>
      <c r="B565" s="261"/>
      <c r="C565" s="261"/>
      <c r="D565" s="265"/>
      <c r="E565" s="265"/>
      <c r="F565" s="265"/>
      <c r="G565" s="265"/>
      <c r="H565" s="265"/>
      <c r="I565" s="265"/>
      <c r="J565" s="265"/>
      <c r="K565" s="259"/>
      <c r="L565" s="265"/>
      <c r="M565" s="265"/>
      <c r="N565" s="265"/>
      <c r="O565" s="265"/>
      <c r="P565" s="259"/>
      <c r="Q565" s="259"/>
      <c r="R565" s="259"/>
      <c r="S565" s="259"/>
      <c r="T565" s="259"/>
      <c r="U565" s="259"/>
      <c r="V565" s="259"/>
      <c r="W565" s="259"/>
      <c r="X565" s="259"/>
      <c r="Y565" s="260"/>
    </row>
    <row r="566" spans="1:25" ht="13">
      <c r="A566" s="261"/>
      <c r="B566" s="261"/>
      <c r="C566" s="261"/>
      <c r="D566" s="265"/>
      <c r="E566" s="265"/>
      <c r="F566" s="265"/>
      <c r="G566" s="265"/>
      <c r="H566" s="265"/>
      <c r="I566" s="265"/>
      <c r="J566" s="265"/>
      <c r="K566" s="259"/>
      <c r="L566" s="265"/>
      <c r="M566" s="265"/>
      <c r="N566" s="265"/>
      <c r="O566" s="265"/>
      <c r="P566" s="259"/>
      <c r="Q566" s="259"/>
      <c r="R566" s="259"/>
      <c r="S566" s="259"/>
      <c r="T566" s="259"/>
      <c r="U566" s="259"/>
      <c r="V566" s="259"/>
      <c r="W566" s="259"/>
      <c r="X566" s="259"/>
      <c r="Y566" s="260"/>
    </row>
    <row r="567" spans="1:25" ht="13">
      <c r="A567" s="261"/>
      <c r="B567" s="261"/>
      <c r="C567" s="261"/>
      <c r="D567" s="265"/>
      <c r="E567" s="265"/>
      <c r="F567" s="265"/>
      <c r="G567" s="265"/>
      <c r="H567" s="265"/>
      <c r="I567" s="265"/>
      <c r="J567" s="265"/>
      <c r="K567" s="259"/>
      <c r="L567" s="265"/>
      <c r="M567" s="265"/>
      <c r="N567" s="265"/>
      <c r="O567" s="265"/>
      <c r="P567" s="259"/>
      <c r="Q567" s="259"/>
      <c r="R567" s="259"/>
      <c r="S567" s="259"/>
      <c r="T567" s="259"/>
      <c r="U567" s="259"/>
      <c r="V567" s="259"/>
      <c r="W567" s="259"/>
      <c r="X567" s="259"/>
      <c r="Y567" s="260"/>
    </row>
    <row r="568" spans="1:25" ht="13">
      <c r="A568" s="261"/>
      <c r="B568" s="261"/>
      <c r="C568" s="261"/>
      <c r="D568" s="265"/>
      <c r="E568" s="265"/>
      <c r="F568" s="265"/>
      <c r="G568" s="265"/>
      <c r="H568" s="265"/>
      <c r="I568" s="265"/>
      <c r="J568" s="265"/>
      <c r="K568" s="259"/>
      <c r="L568" s="265"/>
      <c r="M568" s="265"/>
      <c r="N568" s="265"/>
      <c r="O568" s="265"/>
      <c r="P568" s="259"/>
      <c r="Q568" s="259"/>
      <c r="R568" s="259"/>
      <c r="S568" s="259"/>
      <c r="T568" s="259"/>
      <c r="U568" s="259"/>
      <c r="V568" s="259"/>
      <c r="W568" s="259"/>
      <c r="X568" s="259"/>
      <c r="Y568" s="260"/>
    </row>
    <row r="569" spans="1:25" ht="13">
      <c r="A569" s="261"/>
      <c r="B569" s="261"/>
      <c r="C569" s="261"/>
      <c r="D569" s="265"/>
      <c r="E569" s="265"/>
      <c r="F569" s="265"/>
      <c r="G569" s="265"/>
      <c r="H569" s="265"/>
      <c r="I569" s="265"/>
      <c r="J569" s="265"/>
      <c r="K569" s="259"/>
      <c r="L569" s="265"/>
      <c r="M569" s="265"/>
      <c r="N569" s="265"/>
      <c r="O569" s="265"/>
      <c r="P569" s="259"/>
      <c r="Q569" s="259"/>
      <c r="R569" s="259"/>
      <c r="S569" s="259"/>
      <c r="T569" s="259"/>
      <c r="U569" s="259"/>
      <c r="V569" s="259"/>
      <c r="W569" s="259"/>
      <c r="X569" s="259"/>
      <c r="Y569" s="260"/>
    </row>
    <row r="570" spans="1:25" ht="13">
      <c r="A570" s="261"/>
      <c r="B570" s="261"/>
      <c r="C570" s="261"/>
      <c r="D570" s="265"/>
      <c r="E570" s="265"/>
      <c r="F570" s="265"/>
      <c r="G570" s="265"/>
      <c r="H570" s="265"/>
      <c r="I570" s="265"/>
      <c r="J570" s="265"/>
      <c r="K570" s="259"/>
      <c r="L570" s="265"/>
      <c r="M570" s="265"/>
      <c r="N570" s="265"/>
      <c r="O570" s="265"/>
      <c r="P570" s="259"/>
      <c r="Q570" s="259"/>
      <c r="R570" s="259"/>
      <c r="S570" s="259"/>
      <c r="T570" s="259"/>
      <c r="U570" s="259"/>
      <c r="V570" s="259"/>
      <c r="W570" s="259"/>
      <c r="X570" s="259"/>
      <c r="Y570" s="260"/>
    </row>
    <row r="571" spans="1:25" ht="13">
      <c r="A571" s="261"/>
      <c r="B571" s="261"/>
      <c r="C571" s="261"/>
      <c r="D571" s="265"/>
      <c r="E571" s="265"/>
      <c r="F571" s="265"/>
      <c r="G571" s="265"/>
      <c r="H571" s="265"/>
      <c r="I571" s="265"/>
      <c r="J571" s="265"/>
      <c r="K571" s="259"/>
      <c r="L571" s="265"/>
      <c r="M571" s="265"/>
      <c r="N571" s="265"/>
      <c r="O571" s="265"/>
      <c r="P571" s="259"/>
      <c r="Q571" s="259"/>
      <c r="R571" s="259"/>
      <c r="S571" s="259"/>
      <c r="T571" s="259"/>
      <c r="U571" s="259"/>
      <c r="V571" s="259"/>
      <c r="W571" s="259"/>
      <c r="X571" s="259"/>
      <c r="Y571" s="260"/>
    </row>
    <row r="572" spans="1:25" ht="13">
      <c r="A572" s="261"/>
      <c r="B572" s="261"/>
      <c r="C572" s="261"/>
      <c r="D572" s="265"/>
      <c r="E572" s="265"/>
      <c r="F572" s="265"/>
      <c r="G572" s="265"/>
      <c r="H572" s="265"/>
      <c r="I572" s="265"/>
      <c r="J572" s="265"/>
      <c r="K572" s="259"/>
      <c r="L572" s="265"/>
      <c r="M572" s="265"/>
      <c r="N572" s="265"/>
      <c r="O572" s="265"/>
      <c r="P572" s="259"/>
      <c r="Q572" s="259"/>
      <c r="R572" s="259"/>
      <c r="S572" s="259"/>
      <c r="T572" s="259"/>
      <c r="U572" s="259"/>
      <c r="V572" s="259"/>
      <c r="W572" s="259"/>
      <c r="X572" s="259"/>
      <c r="Y572" s="260"/>
    </row>
    <row r="573" spans="1:25" ht="13">
      <c r="A573" s="261"/>
      <c r="B573" s="261"/>
      <c r="C573" s="261"/>
      <c r="D573" s="265"/>
      <c r="E573" s="265"/>
      <c r="F573" s="265"/>
      <c r="G573" s="265"/>
      <c r="H573" s="265"/>
      <c r="I573" s="265"/>
      <c r="J573" s="265"/>
      <c r="K573" s="259"/>
      <c r="L573" s="265"/>
      <c r="M573" s="265"/>
      <c r="N573" s="265"/>
      <c r="O573" s="265"/>
      <c r="P573" s="259"/>
      <c r="Q573" s="259"/>
      <c r="R573" s="259"/>
      <c r="S573" s="259"/>
      <c r="T573" s="259"/>
      <c r="U573" s="259"/>
      <c r="V573" s="259"/>
      <c r="W573" s="259"/>
      <c r="X573" s="259"/>
      <c r="Y573" s="260"/>
    </row>
    <row r="574" spans="1:25" ht="13">
      <c r="A574" s="261"/>
      <c r="B574" s="261"/>
      <c r="C574" s="261"/>
      <c r="D574" s="265"/>
      <c r="E574" s="265"/>
      <c r="F574" s="265"/>
      <c r="G574" s="265"/>
      <c r="H574" s="265"/>
      <c r="I574" s="265"/>
      <c r="J574" s="265"/>
      <c r="K574" s="259"/>
      <c r="L574" s="265"/>
      <c r="M574" s="265"/>
      <c r="N574" s="265"/>
      <c r="O574" s="265"/>
      <c r="P574" s="259"/>
      <c r="Q574" s="259"/>
      <c r="R574" s="259"/>
      <c r="S574" s="259"/>
      <c r="T574" s="259"/>
      <c r="U574" s="259"/>
      <c r="V574" s="259"/>
      <c r="W574" s="259"/>
      <c r="X574" s="259"/>
      <c r="Y574" s="260"/>
    </row>
    <row r="575" spans="1:25" ht="13">
      <c r="A575" s="261"/>
      <c r="B575" s="261"/>
      <c r="C575" s="261"/>
      <c r="D575" s="265"/>
      <c r="E575" s="265"/>
      <c r="F575" s="265"/>
      <c r="G575" s="265"/>
      <c r="H575" s="265"/>
      <c r="I575" s="265"/>
      <c r="J575" s="265"/>
      <c r="K575" s="259"/>
      <c r="L575" s="265"/>
      <c r="M575" s="265"/>
      <c r="N575" s="265"/>
      <c r="O575" s="265"/>
      <c r="P575" s="259"/>
      <c r="Q575" s="259"/>
      <c r="R575" s="259"/>
      <c r="S575" s="259"/>
      <c r="T575" s="259"/>
      <c r="U575" s="259"/>
      <c r="V575" s="259"/>
      <c r="W575" s="259"/>
      <c r="X575" s="259"/>
      <c r="Y575" s="260"/>
    </row>
    <row r="576" spans="1:25" ht="13">
      <c r="A576" s="261"/>
      <c r="B576" s="261"/>
      <c r="C576" s="261"/>
      <c r="D576" s="265"/>
      <c r="E576" s="265"/>
      <c r="F576" s="265"/>
      <c r="G576" s="265"/>
      <c r="H576" s="265"/>
      <c r="I576" s="265"/>
      <c r="J576" s="265"/>
      <c r="K576" s="259"/>
      <c r="L576" s="265"/>
      <c r="M576" s="265"/>
      <c r="N576" s="265"/>
      <c r="O576" s="265"/>
      <c r="P576" s="259"/>
      <c r="Q576" s="259"/>
      <c r="R576" s="259"/>
      <c r="S576" s="259"/>
      <c r="T576" s="259"/>
      <c r="U576" s="259"/>
      <c r="V576" s="259"/>
      <c r="W576" s="259"/>
      <c r="X576" s="259"/>
      <c r="Y576" s="260"/>
    </row>
    <row r="577" spans="1:25" ht="13">
      <c r="A577" s="261"/>
      <c r="B577" s="261"/>
      <c r="C577" s="261"/>
      <c r="D577" s="265"/>
      <c r="E577" s="265"/>
      <c r="F577" s="265"/>
      <c r="G577" s="265"/>
      <c r="H577" s="265"/>
      <c r="I577" s="265"/>
      <c r="J577" s="265"/>
      <c r="K577" s="259"/>
      <c r="L577" s="265"/>
      <c r="M577" s="265"/>
      <c r="N577" s="265"/>
      <c r="O577" s="265"/>
      <c r="P577" s="259"/>
      <c r="Q577" s="259"/>
      <c r="R577" s="259"/>
      <c r="S577" s="259"/>
      <c r="T577" s="259"/>
      <c r="U577" s="259"/>
      <c r="V577" s="259"/>
      <c r="W577" s="259"/>
      <c r="X577" s="259"/>
      <c r="Y577" s="260"/>
    </row>
    <row r="578" spans="1:25" ht="13">
      <c r="A578" s="261"/>
      <c r="B578" s="261"/>
      <c r="C578" s="261"/>
      <c r="D578" s="265"/>
      <c r="E578" s="265"/>
      <c r="F578" s="265"/>
      <c r="G578" s="265"/>
      <c r="H578" s="265"/>
      <c r="I578" s="265"/>
      <c r="J578" s="265"/>
      <c r="K578" s="259"/>
      <c r="L578" s="265"/>
      <c r="M578" s="265"/>
      <c r="N578" s="265"/>
      <c r="O578" s="265"/>
      <c r="P578" s="259"/>
      <c r="Q578" s="259"/>
      <c r="R578" s="259"/>
      <c r="S578" s="259"/>
      <c r="T578" s="259"/>
      <c r="U578" s="259"/>
      <c r="V578" s="259"/>
      <c r="W578" s="259"/>
      <c r="X578" s="259"/>
      <c r="Y578" s="260"/>
    </row>
    <row r="579" spans="1:25" ht="13">
      <c r="A579" s="261"/>
      <c r="B579" s="261"/>
      <c r="C579" s="261"/>
      <c r="D579" s="265"/>
      <c r="E579" s="265"/>
      <c r="F579" s="265"/>
      <c r="G579" s="265"/>
      <c r="H579" s="265"/>
      <c r="I579" s="265"/>
      <c r="J579" s="265"/>
      <c r="K579" s="259"/>
      <c r="L579" s="265"/>
      <c r="M579" s="265"/>
      <c r="N579" s="265"/>
      <c r="O579" s="265"/>
      <c r="P579" s="259"/>
      <c r="Q579" s="259"/>
      <c r="R579" s="259"/>
      <c r="S579" s="259"/>
      <c r="T579" s="259"/>
      <c r="U579" s="259"/>
      <c r="V579" s="259"/>
      <c r="W579" s="259"/>
      <c r="X579" s="259"/>
      <c r="Y579" s="260"/>
    </row>
    <row r="580" spans="1:25" ht="13">
      <c r="A580" s="261"/>
      <c r="B580" s="261"/>
      <c r="C580" s="261"/>
      <c r="D580" s="265"/>
      <c r="E580" s="265"/>
      <c r="F580" s="265"/>
      <c r="G580" s="265"/>
      <c r="H580" s="265"/>
      <c r="I580" s="265"/>
      <c r="J580" s="265"/>
      <c r="K580" s="259"/>
      <c r="L580" s="265"/>
      <c r="M580" s="265"/>
      <c r="N580" s="265"/>
      <c r="O580" s="265"/>
      <c r="P580" s="259"/>
      <c r="Q580" s="259"/>
      <c r="R580" s="259"/>
      <c r="S580" s="259"/>
      <c r="T580" s="259"/>
      <c r="U580" s="259"/>
      <c r="V580" s="259"/>
      <c r="W580" s="259"/>
      <c r="X580" s="259"/>
      <c r="Y580" s="260"/>
    </row>
    <row r="581" spans="1:25" ht="13">
      <c r="A581" s="261"/>
      <c r="B581" s="261"/>
      <c r="C581" s="261"/>
      <c r="D581" s="265"/>
      <c r="E581" s="265"/>
      <c r="F581" s="265"/>
      <c r="G581" s="265"/>
      <c r="H581" s="265"/>
      <c r="I581" s="265"/>
      <c r="J581" s="265"/>
      <c r="K581" s="259"/>
      <c r="L581" s="265"/>
      <c r="M581" s="265"/>
      <c r="N581" s="265"/>
      <c r="O581" s="265"/>
      <c r="P581" s="259"/>
      <c r="Q581" s="259"/>
      <c r="R581" s="259"/>
      <c r="S581" s="259"/>
      <c r="T581" s="259"/>
      <c r="U581" s="259"/>
      <c r="V581" s="259"/>
      <c r="W581" s="259"/>
      <c r="X581" s="259"/>
      <c r="Y581" s="260"/>
    </row>
    <row r="582" spans="1:25" ht="13">
      <c r="A582" s="261"/>
      <c r="B582" s="261"/>
      <c r="C582" s="261"/>
      <c r="D582" s="265"/>
      <c r="E582" s="265"/>
      <c r="F582" s="265"/>
      <c r="G582" s="265"/>
      <c r="H582" s="265"/>
      <c r="I582" s="265"/>
      <c r="J582" s="265"/>
      <c r="K582" s="259"/>
      <c r="L582" s="265"/>
      <c r="M582" s="265"/>
      <c r="N582" s="265"/>
      <c r="O582" s="265"/>
      <c r="P582" s="259"/>
      <c r="Q582" s="259"/>
      <c r="R582" s="259"/>
      <c r="S582" s="259"/>
      <c r="T582" s="259"/>
      <c r="U582" s="259"/>
      <c r="V582" s="259"/>
      <c r="W582" s="259"/>
      <c r="X582" s="259"/>
      <c r="Y582" s="260"/>
    </row>
    <row r="583" spans="1:25" ht="13">
      <c r="A583" s="261"/>
      <c r="B583" s="261"/>
      <c r="C583" s="261"/>
      <c r="D583" s="265"/>
      <c r="E583" s="265"/>
      <c r="F583" s="265"/>
      <c r="G583" s="265"/>
      <c r="H583" s="265"/>
      <c r="I583" s="265"/>
      <c r="J583" s="265"/>
      <c r="K583" s="259"/>
      <c r="L583" s="265"/>
      <c r="M583" s="265"/>
      <c r="N583" s="265"/>
      <c r="O583" s="265"/>
      <c r="P583" s="259"/>
      <c r="Q583" s="259"/>
      <c r="R583" s="259"/>
      <c r="S583" s="259"/>
      <c r="T583" s="259"/>
      <c r="U583" s="259"/>
      <c r="V583" s="259"/>
      <c r="W583" s="259"/>
      <c r="X583" s="259"/>
      <c r="Y583" s="260"/>
    </row>
    <row r="584" spans="1:25" ht="13">
      <c r="A584" s="261"/>
      <c r="B584" s="261"/>
      <c r="C584" s="261"/>
      <c r="D584" s="265"/>
      <c r="E584" s="265"/>
      <c r="F584" s="265"/>
      <c r="G584" s="265"/>
      <c r="H584" s="265"/>
      <c r="I584" s="265"/>
      <c r="J584" s="265"/>
      <c r="K584" s="259"/>
      <c r="L584" s="265"/>
      <c r="M584" s="265"/>
      <c r="N584" s="265"/>
      <c r="O584" s="265"/>
      <c r="P584" s="259"/>
      <c r="Q584" s="259"/>
      <c r="R584" s="259"/>
      <c r="S584" s="259"/>
      <c r="T584" s="259"/>
      <c r="U584" s="259"/>
      <c r="V584" s="259"/>
      <c r="W584" s="259"/>
      <c r="X584" s="259"/>
      <c r="Y584" s="260"/>
    </row>
    <row r="585" spans="1:25" ht="13">
      <c r="A585" s="261"/>
      <c r="B585" s="261"/>
      <c r="C585" s="261"/>
      <c r="D585" s="265"/>
      <c r="E585" s="265"/>
      <c r="F585" s="265"/>
      <c r="G585" s="265"/>
      <c r="H585" s="265"/>
      <c r="I585" s="265"/>
      <c r="J585" s="265"/>
      <c r="K585" s="259"/>
      <c r="L585" s="265"/>
      <c r="M585" s="265"/>
      <c r="N585" s="265"/>
      <c r="O585" s="265"/>
      <c r="P585" s="259"/>
      <c r="Q585" s="259"/>
      <c r="R585" s="259"/>
      <c r="S585" s="259"/>
      <c r="T585" s="259"/>
      <c r="U585" s="259"/>
      <c r="V585" s="259"/>
      <c r="W585" s="259"/>
      <c r="X585" s="259"/>
      <c r="Y585" s="260"/>
    </row>
    <row r="586" spans="1:25" ht="13">
      <c r="A586" s="261"/>
      <c r="B586" s="261"/>
      <c r="C586" s="261"/>
      <c r="D586" s="265"/>
      <c r="E586" s="265"/>
      <c r="F586" s="265"/>
      <c r="G586" s="265"/>
      <c r="H586" s="265"/>
      <c r="I586" s="265"/>
      <c r="J586" s="265"/>
      <c r="K586" s="259"/>
      <c r="L586" s="265"/>
      <c r="M586" s="265"/>
      <c r="N586" s="265"/>
      <c r="O586" s="265"/>
      <c r="P586" s="259"/>
      <c r="Q586" s="259"/>
      <c r="R586" s="259"/>
      <c r="S586" s="259"/>
      <c r="T586" s="259"/>
      <c r="U586" s="259"/>
      <c r="V586" s="259"/>
      <c r="W586" s="259"/>
      <c r="X586" s="259"/>
      <c r="Y586" s="260"/>
    </row>
    <row r="587" spans="1:25" ht="13">
      <c r="A587" s="261"/>
      <c r="B587" s="261"/>
      <c r="C587" s="261"/>
      <c r="D587" s="265"/>
      <c r="E587" s="265"/>
      <c r="F587" s="265"/>
      <c r="G587" s="265"/>
      <c r="H587" s="265"/>
      <c r="I587" s="265"/>
      <c r="J587" s="265"/>
      <c r="K587" s="259"/>
      <c r="L587" s="265"/>
      <c r="M587" s="265"/>
      <c r="N587" s="265"/>
      <c r="O587" s="265"/>
      <c r="P587" s="259"/>
      <c r="Q587" s="259"/>
      <c r="R587" s="259"/>
      <c r="S587" s="259"/>
      <c r="T587" s="259"/>
      <c r="U587" s="259"/>
      <c r="V587" s="259"/>
      <c r="W587" s="259"/>
      <c r="X587" s="259"/>
      <c r="Y587" s="260"/>
    </row>
    <row r="588" spans="1:25" ht="13">
      <c r="A588" s="261"/>
      <c r="B588" s="261"/>
      <c r="C588" s="261"/>
      <c r="D588" s="265"/>
      <c r="E588" s="265"/>
      <c r="F588" s="265"/>
      <c r="G588" s="265"/>
      <c r="H588" s="265"/>
      <c r="I588" s="265"/>
      <c r="J588" s="265"/>
      <c r="K588" s="259"/>
      <c r="L588" s="265"/>
      <c r="M588" s="265"/>
      <c r="N588" s="265"/>
      <c r="O588" s="265"/>
      <c r="P588" s="259"/>
      <c r="Q588" s="259"/>
      <c r="R588" s="259"/>
      <c r="S588" s="259"/>
      <c r="T588" s="259"/>
      <c r="U588" s="259"/>
      <c r="V588" s="259"/>
      <c r="W588" s="259"/>
      <c r="X588" s="259"/>
      <c r="Y588" s="260"/>
    </row>
    <row r="589" spans="1:25" ht="13">
      <c r="A589" s="261"/>
      <c r="B589" s="261"/>
      <c r="C589" s="261"/>
      <c r="D589" s="265"/>
      <c r="E589" s="265"/>
      <c r="F589" s="265"/>
      <c r="G589" s="265"/>
      <c r="H589" s="265"/>
      <c r="I589" s="265"/>
      <c r="J589" s="265"/>
      <c r="K589" s="259"/>
      <c r="L589" s="265"/>
      <c r="M589" s="265"/>
      <c r="N589" s="265"/>
      <c r="O589" s="265"/>
      <c r="P589" s="259"/>
      <c r="Q589" s="259"/>
      <c r="R589" s="259"/>
      <c r="S589" s="259"/>
      <c r="T589" s="259"/>
      <c r="U589" s="259"/>
      <c r="V589" s="259"/>
      <c r="W589" s="259"/>
      <c r="X589" s="259"/>
      <c r="Y589" s="260"/>
    </row>
    <row r="590" spans="1:25" ht="13">
      <c r="A590" s="261"/>
      <c r="B590" s="261"/>
      <c r="C590" s="261"/>
      <c r="D590" s="265"/>
      <c r="E590" s="265"/>
      <c r="F590" s="265"/>
      <c r="G590" s="265"/>
      <c r="H590" s="265"/>
      <c r="I590" s="265"/>
      <c r="J590" s="265"/>
      <c r="K590" s="259"/>
      <c r="L590" s="265"/>
      <c r="M590" s="265"/>
      <c r="N590" s="265"/>
      <c r="O590" s="265"/>
      <c r="P590" s="259"/>
      <c r="Q590" s="259"/>
      <c r="R590" s="259"/>
      <c r="S590" s="259"/>
      <c r="T590" s="259"/>
      <c r="U590" s="259"/>
      <c r="V590" s="259"/>
      <c r="W590" s="259"/>
      <c r="X590" s="259"/>
      <c r="Y590" s="260"/>
    </row>
    <row r="591" spans="1:25" ht="13">
      <c r="A591" s="261"/>
      <c r="B591" s="261"/>
      <c r="C591" s="261"/>
      <c r="D591" s="265"/>
      <c r="E591" s="265"/>
      <c r="F591" s="265"/>
      <c r="G591" s="265"/>
      <c r="H591" s="265"/>
      <c r="I591" s="265"/>
      <c r="J591" s="265"/>
      <c r="K591" s="259"/>
      <c r="L591" s="265"/>
      <c r="M591" s="265"/>
      <c r="N591" s="265"/>
      <c r="O591" s="265"/>
      <c r="P591" s="259"/>
      <c r="Q591" s="259"/>
      <c r="R591" s="259"/>
      <c r="S591" s="259"/>
      <c r="T591" s="259"/>
      <c r="U591" s="259"/>
      <c r="V591" s="259"/>
      <c r="W591" s="259"/>
      <c r="X591" s="259"/>
      <c r="Y591" s="260"/>
    </row>
    <row r="592" spans="1:25" ht="13">
      <c r="A592" s="261"/>
      <c r="B592" s="261"/>
      <c r="C592" s="261"/>
      <c r="D592" s="265"/>
      <c r="E592" s="265"/>
      <c r="F592" s="265"/>
      <c r="G592" s="265"/>
      <c r="H592" s="265"/>
      <c r="I592" s="265"/>
      <c r="J592" s="265"/>
      <c r="K592" s="259"/>
      <c r="L592" s="265"/>
      <c r="M592" s="265"/>
      <c r="N592" s="265"/>
      <c r="O592" s="265"/>
      <c r="P592" s="259"/>
      <c r="Q592" s="259"/>
      <c r="R592" s="259"/>
      <c r="S592" s="259"/>
      <c r="T592" s="259"/>
      <c r="U592" s="259"/>
      <c r="V592" s="259"/>
      <c r="W592" s="259"/>
      <c r="X592" s="259"/>
      <c r="Y592" s="260"/>
    </row>
    <row r="593" spans="1:25" ht="13">
      <c r="A593" s="261"/>
      <c r="B593" s="261"/>
      <c r="C593" s="261"/>
      <c r="D593" s="265"/>
      <c r="E593" s="265"/>
      <c r="F593" s="265"/>
      <c r="G593" s="265"/>
      <c r="H593" s="265"/>
      <c r="I593" s="265"/>
      <c r="J593" s="265"/>
      <c r="K593" s="259"/>
      <c r="L593" s="265"/>
      <c r="M593" s="265"/>
      <c r="N593" s="265"/>
      <c r="O593" s="265"/>
      <c r="P593" s="259"/>
      <c r="Q593" s="259"/>
      <c r="R593" s="259"/>
      <c r="S593" s="259"/>
      <c r="T593" s="259"/>
      <c r="U593" s="259"/>
      <c r="V593" s="259"/>
      <c r="W593" s="259"/>
      <c r="X593" s="259"/>
      <c r="Y593" s="260"/>
    </row>
    <row r="594" spans="1:25" ht="13">
      <c r="A594" s="261"/>
      <c r="B594" s="261"/>
      <c r="C594" s="261"/>
      <c r="D594" s="265"/>
      <c r="E594" s="265"/>
      <c r="F594" s="265"/>
      <c r="G594" s="265"/>
      <c r="H594" s="265"/>
      <c r="I594" s="265"/>
      <c r="J594" s="265"/>
      <c r="K594" s="259"/>
      <c r="L594" s="265"/>
      <c r="M594" s="265"/>
      <c r="N594" s="265"/>
      <c r="O594" s="265"/>
      <c r="P594" s="259"/>
      <c r="Q594" s="259"/>
      <c r="R594" s="259"/>
      <c r="S594" s="259"/>
      <c r="T594" s="259"/>
      <c r="U594" s="259"/>
      <c r="V594" s="259"/>
      <c r="W594" s="259"/>
      <c r="X594" s="259"/>
      <c r="Y594" s="260"/>
    </row>
    <row r="595" spans="1:25" ht="13">
      <c r="A595" s="261"/>
      <c r="B595" s="261"/>
      <c r="C595" s="261"/>
      <c r="D595" s="265"/>
      <c r="E595" s="265"/>
      <c r="F595" s="265"/>
      <c r="G595" s="265"/>
      <c r="H595" s="265"/>
      <c r="I595" s="265"/>
      <c r="J595" s="265"/>
      <c r="K595" s="259"/>
      <c r="L595" s="265"/>
      <c r="M595" s="265"/>
      <c r="N595" s="265"/>
      <c r="O595" s="265"/>
      <c r="P595" s="259"/>
      <c r="Q595" s="259"/>
      <c r="R595" s="259"/>
      <c r="S595" s="259"/>
      <c r="T595" s="259"/>
      <c r="U595" s="259"/>
      <c r="V595" s="259"/>
      <c r="W595" s="259"/>
      <c r="X595" s="259"/>
      <c r="Y595" s="260"/>
    </row>
    <row r="596" spans="1:25" ht="13">
      <c r="A596" s="261"/>
      <c r="B596" s="261"/>
      <c r="C596" s="261"/>
      <c r="D596" s="265"/>
      <c r="E596" s="265"/>
      <c r="F596" s="265"/>
      <c r="G596" s="265"/>
      <c r="H596" s="265"/>
      <c r="I596" s="265"/>
      <c r="J596" s="265"/>
      <c r="K596" s="259"/>
      <c r="L596" s="265"/>
      <c r="M596" s="265"/>
      <c r="N596" s="265"/>
      <c r="O596" s="265"/>
      <c r="P596" s="259"/>
      <c r="Q596" s="259"/>
      <c r="R596" s="259"/>
      <c r="S596" s="259"/>
      <c r="T596" s="259"/>
      <c r="U596" s="259"/>
      <c r="V596" s="259"/>
      <c r="W596" s="259"/>
      <c r="X596" s="259"/>
      <c r="Y596" s="260"/>
    </row>
    <row r="597" spans="1:25" ht="13">
      <c r="A597" s="261"/>
      <c r="B597" s="261"/>
      <c r="C597" s="261"/>
      <c r="D597" s="265"/>
      <c r="E597" s="265"/>
      <c r="F597" s="265"/>
      <c r="G597" s="265"/>
      <c r="H597" s="265"/>
      <c r="I597" s="265"/>
      <c r="J597" s="265"/>
      <c r="K597" s="259"/>
      <c r="L597" s="265"/>
      <c r="M597" s="265"/>
      <c r="N597" s="265"/>
      <c r="O597" s="265"/>
      <c r="P597" s="259"/>
      <c r="Q597" s="259"/>
      <c r="R597" s="259"/>
      <c r="S597" s="259"/>
      <c r="T597" s="259"/>
      <c r="U597" s="259"/>
      <c r="V597" s="259"/>
      <c r="W597" s="259"/>
      <c r="X597" s="259"/>
      <c r="Y597" s="260"/>
    </row>
    <row r="598" spans="1:25" ht="13">
      <c r="A598" s="261"/>
      <c r="B598" s="261"/>
      <c r="C598" s="261"/>
      <c r="D598" s="265"/>
      <c r="E598" s="265"/>
      <c r="F598" s="265"/>
      <c r="G598" s="265"/>
      <c r="H598" s="265"/>
      <c r="I598" s="265"/>
      <c r="J598" s="265"/>
      <c r="K598" s="259"/>
      <c r="L598" s="265"/>
      <c r="M598" s="265"/>
      <c r="N598" s="265"/>
      <c r="O598" s="265"/>
      <c r="P598" s="259"/>
      <c r="Q598" s="259"/>
      <c r="R598" s="259"/>
      <c r="S598" s="259"/>
      <c r="T598" s="259"/>
      <c r="U598" s="259"/>
      <c r="V598" s="259"/>
      <c r="W598" s="259"/>
      <c r="X598" s="259"/>
      <c r="Y598" s="260"/>
    </row>
    <row r="599" spans="1:25" ht="13">
      <c r="A599" s="261"/>
      <c r="B599" s="261"/>
      <c r="C599" s="261"/>
      <c r="D599" s="265"/>
      <c r="E599" s="265"/>
      <c r="F599" s="265"/>
      <c r="G599" s="265"/>
      <c r="H599" s="265"/>
      <c r="I599" s="265"/>
      <c r="J599" s="265"/>
      <c r="K599" s="259"/>
      <c r="L599" s="265"/>
      <c r="M599" s="265"/>
      <c r="N599" s="265"/>
      <c r="O599" s="265"/>
      <c r="P599" s="259"/>
      <c r="Q599" s="259"/>
      <c r="R599" s="259"/>
      <c r="S599" s="259"/>
      <c r="T599" s="259"/>
      <c r="U599" s="259"/>
      <c r="V599" s="259"/>
      <c r="W599" s="259"/>
      <c r="X599" s="259"/>
      <c r="Y599" s="260"/>
    </row>
    <row r="600" spans="1:25" ht="13">
      <c r="A600" s="261"/>
      <c r="B600" s="261"/>
      <c r="C600" s="261"/>
      <c r="D600" s="265"/>
      <c r="E600" s="265"/>
      <c r="F600" s="265"/>
      <c r="G600" s="265"/>
      <c r="H600" s="265"/>
      <c r="I600" s="265"/>
      <c r="J600" s="265"/>
      <c r="K600" s="259"/>
      <c r="L600" s="265"/>
      <c r="M600" s="265"/>
      <c r="N600" s="265"/>
      <c r="O600" s="265"/>
      <c r="P600" s="259"/>
      <c r="Q600" s="259"/>
      <c r="R600" s="259"/>
      <c r="S600" s="259"/>
      <c r="T600" s="259"/>
      <c r="U600" s="259"/>
      <c r="V600" s="259"/>
      <c r="W600" s="259"/>
      <c r="X600" s="259"/>
      <c r="Y600" s="260"/>
    </row>
    <row r="601" spans="1:25" ht="13">
      <c r="A601" s="261"/>
      <c r="B601" s="261"/>
      <c r="C601" s="261"/>
      <c r="D601" s="265"/>
      <c r="E601" s="265"/>
      <c r="F601" s="265"/>
      <c r="G601" s="265"/>
      <c r="H601" s="265"/>
      <c r="I601" s="265"/>
      <c r="J601" s="265"/>
      <c r="K601" s="259"/>
      <c r="L601" s="265"/>
      <c r="M601" s="265"/>
      <c r="N601" s="265"/>
      <c r="O601" s="265"/>
      <c r="P601" s="259"/>
      <c r="Q601" s="259"/>
      <c r="R601" s="259"/>
      <c r="S601" s="259"/>
      <c r="T601" s="259"/>
      <c r="U601" s="259"/>
      <c r="V601" s="259"/>
      <c r="W601" s="259"/>
      <c r="X601" s="259"/>
      <c r="Y601" s="260"/>
    </row>
    <row r="602" spans="1:25" ht="13">
      <c r="A602" s="261"/>
      <c r="B602" s="261"/>
      <c r="C602" s="261"/>
      <c r="D602" s="265"/>
      <c r="E602" s="265"/>
      <c r="F602" s="265"/>
      <c r="G602" s="265"/>
      <c r="H602" s="265"/>
      <c r="I602" s="265"/>
      <c r="J602" s="265"/>
      <c r="K602" s="259"/>
      <c r="L602" s="265"/>
      <c r="M602" s="265"/>
      <c r="N602" s="265"/>
      <c r="O602" s="265"/>
      <c r="P602" s="259"/>
      <c r="Q602" s="259"/>
      <c r="R602" s="259"/>
      <c r="S602" s="259"/>
      <c r="T602" s="259"/>
      <c r="U602" s="259"/>
      <c r="V602" s="259"/>
      <c r="W602" s="259"/>
      <c r="X602" s="259"/>
      <c r="Y602" s="260"/>
    </row>
    <row r="603" spans="1:25" ht="13">
      <c r="A603" s="261"/>
      <c r="B603" s="261"/>
      <c r="C603" s="261"/>
      <c r="D603" s="265"/>
      <c r="E603" s="265"/>
      <c r="F603" s="265"/>
      <c r="G603" s="265"/>
      <c r="H603" s="265"/>
      <c r="I603" s="265"/>
      <c r="J603" s="265"/>
      <c r="K603" s="259"/>
      <c r="L603" s="265"/>
      <c r="M603" s="265"/>
      <c r="N603" s="265"/>
      <c r="O603" s="265"/>
      <c r="P603" s="259"/>
      <c r="Q603" s="259"/>
      <c r="R603" s="259"/>
      <c r="S603" s="259"/>
      <c r="T603" s="259"/>
      <c r="U603" s="259"/>
      <c r="V603" s="259"/>
      <c r="W603" s="259"/>
      <c r="X603" s="259"/>
      <c r="Y603" s="260"/>
    </row>
    <row r="604" spans="1:25" ht="13">
      <c r="A604" s="261"/>
      <c r="B604" s="261"/>
      <c r="C604" s="261"/>
      <c r="D604" s="265"/>
      <c r="E604" s="265"/>
      <c r="F604" s="265"/>
      <c r="G604" s="265"/>
      <c r="H604" s="265"/>
      <c r="I604" s="265"/>
      <c r="J604" s="265"/>
      <c r="K604" s="259"/>
      <c r="L604" s="265"/>
      <c r="M604" s="265"/>
      <c r="N604" s="265"/>
      <c r="O604" s="265"/>
      <c r="P604" s="259"/>
      <c r="Q604" s="259"/>
      <c r="R604" s="259"/>
      <c r="S604" s="259"/>
      <c r="T604" s="259"/>
      <c r="U604" s="259"/>
      <c r="V604" s="259"/>
      <c r="W604" s="259"/>
      <c r="X604" s="259"/>
      <c r="Y604" s="260"/>
    </row>
    <row r="605" spans="1:25" ht="13">
      <c r="A605" s="261"/>
      <c r="B605" s="261"/>
      <c r="C605" s="261"/>
      <c r="D605" s="265"/>
      <c r="E605" s="265"/>
      <c r="F605" s="265"/>
      <c r="G605" s="265"/>
      <c r="H605" s="265"/>
      <c r="I605" s="265"/>
      <c r="J605" s="265"/>
      <c r="K605" s="259"/>
      <c r="L605" s="265"/>
      <c r="M605" s="265"/>
      <c r="N605" s="265"/>
      <c r="O605" s="265"/>
      <c r="P605" s="259"/>
      <c r="Q605" s="259"/>
      <c r="R605" s="259"/>
      <c r="S605" s="259"/>
      <c r="T605" s="259"/>
      <c r="U605" s="259"/>
      <c r="V605" s="259"/>
      <c r="W605" s="259"/>
      <c r="X605" s="259"/>
      <c r="Y605" s="260"/>
    </row>
    <row r="606" spans="1:25" ht="13">
      <c r="A606" s="261"/>
      <c r="B606" s="261"/>
      <c r="C606" s="261"/>
      <c r="D606" s="265"/>
      <c r="E606" s="265"/>
      <c r="F606" s="265"/>
      <c r="G606" s="265"/>
      <c r="H606" s="265"/>
      <c r="I606" s="265"/>
      <c r="J606" s="265"/>
      <c r="K606" s="259"/>
      <c r="L606" s="265"/>
      <c r="M606" s="265"/>
      <c r="N606" s="265"/>
      <c r="O606" s="265"/>
      <c r="P606" s="259"/>
      <c r="Q606" s="259"/>
      <c r="R606" s="259"/>
      <c r="S606" s="259"/>
      <c r="T606" s="259"/>
      <c r="U606" s="259"/>
      <c r="V606" s="259"/>
      <c r="W606" s="259"/>
      <c r="X606" s="259"/>
      <c r="Y606" s="260"/>
    </row>
    <row r="607" spans="1:25" ht="13">
      <c r="A607" s="261"/>
      <c r="B607" s="261"/>
      <c r="C607" s="261"/>
      <c r="D607" s="265"/>
      <c r="E607" s="265"/>
      <c r="F607" s="265"/>
      <c r="G607" s="265"/>
      <c r="H607" s="265"/>
      <c r="I607" s="265"/>
      <c r="J607" s="265"/>
      <c r="K607" s="259"/>
      <c r="L607" s="265"/>
      <c r="M607" s="265"/>
      <c r="N607" s="265"/>
      <c r="O607" s="265"/>
      <c r="P607" s="259"/>
      <c r="Q607" s="259"/>
      <c r="R607" s="259"/>
      <c r="S607" s="259"/>
      <c r="T607" s="259"/>
      <c r="U607" s="259"/>
      <c r="V607" s="259"/>
      <c r="W607" s="259"/>
      <c r="X607" s="259"/>
      <c r="Y607" s="260"/>
    </row>
    <row r="608" spans="1:25" ht="13">
      <c r="A608" s="261"/>
      <c r="B608" s="261"/>
      <c r="C608" s="261"/>
      <c r="D608" s="265"/>
      <c r="E608" s="265"/>
      <c r="F608" s="265"/>
      <c r="G608" s="265"/>
      <c r="H608" s="265"/>
      <c r="I608" s="265"/>
      <c r="J608" s="265"/>
      <c r="K608" s="259"/>
      <c r="L608" s="265"/>
      <c r="M608" s="265"/>
      <c r="N608" s="265"/>
      <c r="O608" s="265"/>
      <c r="P608" s="259"/>
      <c r="Q608" s="259"/>
      <c r="R608" s="259"/>
      <c r="S608" s="259"/>
      <c r="T608" s="259"/>
      <c r="U608" s="259"/>
      <c r="V608" s="259"/>
      <c r="W608" s="259"/>
      <c r="X608" s="259"/>
      <c r="Y608" s="260"/>
    </row>
    <row r="609" spans="1:25" ht="13">
      <c r="A609" s="261"/>
      <c r="B609" s="261"/>
      <c r="C609" s="261"/>
      <c r="D609" s="265"/>
      <c r="E609" s="265"/>
      <c r="F609" s="265"/>
      <c r="G609" s="265"/>
      <c r="H609" s="265"/>
      <c r="I609" s="265"/>
      <c r="J609" s="265"/>
      <c r="K609" s="259"/>
      <c r="L609" s="265"/>
      <c r="M609" s="265"/>
      <c r="N609" s="265"/>
      <c r="O609" s="265"/>
      <c r="P609" s="259"/>
      <c r="Q609" s="259"/>
      <c r="R609" s="259"/>
      <c r="S609" s="259"/>
      <c r="T609" s="259"/>
      <c r="U609" s="259"/>
      <c r="V609" s="259"/>
      <c r="W609" s="259"/>
      <c r="X609" s="259"/>
      <c r="Y609" s="260"/>
    </row>
    <row r="610" spans="1:25" ht="13">
      <c r="A610" s="261"/>
      <c r="B610" s="261"/>
      <c r="C610" s="261"/>
      <c r="D610" s="265"/>
      <c r="E610" s="265"/>
      <c r="F610" s="265"/>
      <c r="G610" s="265"/>
      <c r="H610" s="265"/>
      <c r="I610" s="265"/>
      <c r="J610" s="265"/>
      <c r="K610" s="259"/>
      <c r="L610" s="265"/>
      <c r="M610" s="265"/>
      <c r="N610" s="265"/>
      <c r="O610" s="265"/>
      <c r="P610" s="259"/>
      <c r="Q610" s="259"/>
      <c r="R610" s="259"/>
      <c r="S610" s="259"/>
      <c r="T610" s="259"/>
      <c r="U610" s="259"/>
      <c r="V610" s="259"/>
      <c r="W610" s="259"/>
      <c r="X610" s="259"/>
      <c r="Y610" s="260"/>
    </row>
    <row r="611" spans="1:25" ht="13">
      <c r="A611" s="261"/>
      <c r="B611" s="261"/>
      <c r="C611" s="261"/>
      <c r="D611" s="265"/>
      <c r="E611" s="265"/>
      <c r="F611" s="265"/>
      <c r="G611" s="265"/>
      <c r="H611" s="265"/>
      <c r="I611" s="265"/>
      <c r="J611" s="265"/>
      <c r="K611" s="259"/>
      <c r="L611" s="265"/>
      <c r="M611" s="265"/>
      <c r="N611" s="265"/>
      <c r="O611" s="265"/>
      <c r="P611" s="259"/>
      <c r="Q611" s="259"/>
      <c r="R611" s="259"/>
      <c r="S611" s="259"/>
      <c r="T611" s="259"/>
      <c r="U611" s="259"/>
      <c r="V611" s="259"/>
      <c r="W611" s="259"/>
      <c r="X611" s="259"/>
      <c r="Y611" s="260"/>
    </row>
    <row r="612" spans="1:25" ht="13">
      <c r="A612" s="261"/>
      <c r="B612" s="261"/>
      <c r="C612" s="261"/>
      <c r="D612" s="265"/>
      <c r="E612" s="265"/>
      <c r="F612" s="265"/>
      <c r="G612" s="265"/>
      <c r="H612" s="265"/>
      <c r="I612" s="265"/>
      <c r="J612" s="265"/>
      <c r="K612" s="259"/>
      <c r="L612" s="265"/>
      <c r="M612" s="265"/>
      <c r="N612" s="265"/>
      <c r="O612" s="265"/>
      <c r="P612" s="259"/>
      <c r="Q612" s="259"/>
      <c r="R612" s="259"/>
      <c r="S612" s="259"/>
      <c r="T612" s="259"/>
      <c r="U612" s="259"/>
      <c r="V612" s="259"/>
      <c r="W612" s="259"/>
      <c r="X612" s="259"/>
      <c r="Y612" s="260"/>
    </row>
    <row r="613" spans="1:25" ht="13">
      <c r="A613" s="261"/>
      <c r="B613" s="261"/>
      <c r="C613" s="261"/>
      <c r="D613" s="265"/>
      <c r="E613" s="265"/>
      <c r="F613" s="265"/>
      <c r="G613" s="265"/>
      <c r="H613" s="265"/>
      <c r="I613" s="265"/>
      <c r="J613" s="265"/>
      <c r="K613" s="259"/>
      <c r="L613" s="265"/>
      <c r="M613" s="265"/>
      <c r="N613" s="265"/>
      <c r="O613" s="265"/>
      <c r="P613" s="259"/>
      <c r="Q613" s="259"/>
      <c r="R613" s="259"/>
      <c r="S613" s="259"/>
      <c r="T613" s="259"/>
      <c r="U613" s="259"/>
      <c r="V613" s="259"/>
      <c r="W613" s="259"/>
      <c r="X613" s="259"/>
      <c r="Y613" s="260"/>
    </row>
    <row r="614" spans="1:25" ht="13">
      <c r="A614" s="261"/>
      <c r="B614" s="261"/>
      <c r="C614" s="261"/>
      <c r="D614" s="265"/>
      <c r="E614" s="265"/>
      <c r="F614" s="265"/>
      <c r="G614" s="265"/>
      <c r="H614" s="265"/>
      <c r="I614" s="265"/>
      <c r="J614" s="265"/>
      <c r="K614" s="259"/>
      <c r="L614" s="265"/>
      <c r="M614" s="265"/>
      <c r="N614" s="265"/>
      <c r="O614" s="265"/>
      <c r="P614" s="259"/>
      <c r="Q614" s="259"/>
      <c r="R614" s="259"/>
      <c r="S614" s="259"/>
      <c r="T614" s="259"/>
      <c r="U614" s="259"/>
      <c r="V614" s="259"/>
      <c r="W614" s="259"/>
      <c r="X614" s="259"/>
      <c r="Y614" s="260"/>
    </row>
    <row r="615" spans="1:25" ht="13">
      <c r="A615" s="261"/>
      <c r="B615" s="261"/>
      <c r="C615" s="261"/>
      <c r="D615" s="265"/>
      <c r="E615" s="265"/>
      <c r="F615" s="265"/>
      <c r="G615" s="265"/>
      <c r="H615" s="265"/>
      <c r="I615" s="265"/>
      <c r="J615" s="265"/>
      <c r="K615" s="259"/>
      <c r="L615" s="265"/>
      <c r="M615" s="265"/>
      <c r="N615" s="265"/>
      <c r="O615" s="265"/>
      <c r="P615" s="259"/>
      <c r="Q615" s="259"/>
      <c r="R615" s="259"/>
      <c r="S615" s="259"/>
      <c r="T615" s="259"/>
      <c r="U615" s="259"/>
      <c r="V615" s="259"/>
      <c r="W615" s="259"/>
      <c r="X615" s="259"/>
      <c r="Y615" s="260"/>
    </row>
    <row r="616" spans="1:25" ht="13">
      <c r="A616" s="261"/>
      <c r="B616" s="261"/>
      <c r="C616" s="261"/>
      <c r="D616" s="265"/>
      <c r="E616" s="265"/>
      <c r="F616" s="265"/>
      <c r="G616" s="265"/>
      <c r="H616" s="265"/>
      <c r="I616" s="265"/>
      <c r="J616" s="265"/>
      <c r="K616" s="259"/>
      <c r="L616" s="265"/>
      <c r="M616" s="265"/>
      <c r="N616" s="265"/>
      <c r="O616" s="265"/>
      <c r="P616" s="259"/>
      <c r="Q616" s="259"/>
      <c r="R616" s="259"/>
      <c r="S616" s="259"/>
      <c r="T616" s="259"/>
      <c r="U616" s="259"/>
      <c r="V616" s="259"/>
      <c r="W616" s="259"/>
      <c r="X616" s="259"/>
      <c r="Y616" s="260"/>
    </row>
    <row r="617" spans="1:25" ht="13">
      <c r="A617" s="261"/>
      <c r="B617" s="261"/>
      <c r="C617" s="261"/>
      <c r="D617" s="265"/>
      <c r="E617" s="265"/>
      <c r="F617" s="265"/>
      <c r="G617" s="265"/>
      <c r="H617" s="265"/>
      <c r="I617" s="265"/>
      <c r="J617" s="265"/>
      <c r="K617" s="259"/>
      <c r="L617" s="265"/>
      <c r="M617" s="265"/>
      <c r="N617" s="265"/>
      <c r="O617" s="265"/>
      <c r="P617" s="259"/>
      <c r="Q617" s="259"/>
      <c r="R617" s="259"/>
      <c r="S617" s="259"/>
      <c r="T617" s="259"/>
      <c r="U617" s="259"/>
      <c r="V617" s="259"/>
      <c r="W617" s="259"/>
      <c r="X617" s="259"/>
      <c r="Y617" s="260"/>
    </row>
    <row r="618" spans="1:25" ht="13">
      <c r="A618" s="261"/>
      <c r="B618" s="261"/>
      <c r="C618" s="261"/>
      <c r="D618" s="265"/>
      <c r="E618" s="265"/>
      <c r="F618" s="265"/>
      <c r="G618" s="265"/>
      <c r="H618" s="265"/>
      <c r="I618" s="265"/>
      <c r="J618" s="265"/>
      <c r="K618" s="259"/>
      <c r="L618" s="265"/>
      <c r="M618" s="265"/>
      <c r="N618" s="265"/>
      <c r="O618" s="265"/>
      <c r="P618" s="259"/>
      <c r="Q618" s="259"/>
      <c r="R618" s="259"/>
      <c r="S618" s="259"/>
      <c r="T618" s="259"/>
      <c r="U618" s="259"/>
      <c r="V618" s="259"/>
      <c r="W618" s="259"/>
      <c r="X618" s="259"/>
      <c r="Y618" s="260"/>
    </row>
    <row r="619" spans="1:25" ht="13">
      <c r="A619" s="261"/>
      <c r="B619" s="261"/>
      <c r="C619" s="261"/>
      <c r="D619" s="265"/>
      <c r="E619" s="265"/>
      <c r="F619" s="265"/>
      <c r="G619" s="265"/>
      <c r="H619" s="265"/>
      <c r="I619" s="265"/>
      <c r="J619" s="265"/>
      <c r="K619" s="259"/>
      <c r="L619" s="265"/>
      <c r="M619" s="265"/>
      <c r="N619" s="265"/>
      <c r="O619" s="265"/>
      <c r="P619" s="259"/>
      <c r="Q619" s="259"/>
      <c r="R619" s="259"/>
      <c r="S619" s="259"/>
      <c r="T619" s="259"/>
      <c r="U619" s="259"/>
      <c r="V619" s="259"/>
      <c r="W619" s="259"/>
      <c r="X619" s="259"/>
      <c r="Y619" s="260"/>
    </row>
    <row r="620" spans="1:25" ht="13">
      <c r="A620" s="261"/>
      <c r="B620" s="261"/>
      <c r="C620" s="261"/>
      <c r="D620" s="265"/>
      <c r="E620" s="265"/>
      <c r="F620" s="265"/>
      <c r="G620" s="265"/>
      <c r="H620" s="265"/>
      <c r="I620" s="265"/>
      <c r="J620" s="265"/>
      <c r="K620" s="259"/>
      <c r="L620" s="265"/>
      <c r="M620" s="265"/>
      <c r="N620" s="265"/>
      <c r="O620" s="265"/>
      <c r="P620" s="259"/>
      <c r="Q620" s="259"/>
      <c r="R620" s="259"/>
      <c r="S620" s="259"/>
      <c r="T620" s="259"/>
      <c r="U620" s="259"/>
      <c r="V620" s="259"/>
      <c r="W620" s="259"/>
      <c r="X620" s="259"/>
      <c r="Y620" s="260"/>
    </row>
    <row r="621" spans="1:25" ht="13">
      <c r="A621" s="261"/>
      <c r="B621" s="261"/>
      <c r="C621" s="261"/>
      <c r="D621" s="265"/>
      <c r="E621" s="265"/>
      <c r="F621" s="265"/>
      <c r="G621" s="265"/>
      <c r="H621" s="265"/>
      <c r="I621" s="265"/>
      <c r="J621" s="265"/>
      <c r="K621" s="259"/>
      <c r="L621" s="265"/>
      <c r="M621" s="265"/>
      <c r="N621" s="265"/>
      <c r="O621" s="265"/>
      <c r="P621" s="259"/>
      <c r="Q621" s="259"/>
      <c r="R621" s="259"/>
      <c r="S621" s="259"/>
      <c r="T621" s="259"/>
      <c r="U621" s="259"/>
      <c r="V621" s="259"/>
      <c r="W621" s="259"/>
      <c r="X621" s="259"/>
      <c r="Y621" s="260"/>
    </row>
    <row r="622" spans="1:25" ht="13">
      <c r="A622" s="261"/>
      <c r="B622" s="261"/>
      <c r="C622" s="261"/>
      <c r="D622" s="265"/>
      <c r="E622" s="265"/>
      <c r="F622" s="265"/>
      <c r="G622" s="265"/>
      <c r="H622" s="265"/>
      <c r="I622" s="265"/>
      <c r="J622" s="265"/>
      <c r="K622" s="259"/>
      <c r="L622" s="265"/>
      <c r="M622" s="265"/>
      <c r="N622" s="265"/>
      <c r="O622" s="265"/>
      <c r="P622" s="259"/>
      <c r="Q622" s="259"/>
      <c r="R622" s="259"/>
      <c r="S622" s="259"/>
      <c r="T622" s="259"/>
      <c r="U622" s="259"/>
      <c r="V622" s="259"/>
      <c r="W622" s="259"/>
      <c r="X622" s="259"/>
      <c r="Y622" s="260"/>
    </row>
    <row r="623" spans="1:25" ht="13">
      <c r="A623" s="261"/>
      <c r="B623" s="261"/>
      <c r="C623" s="261"/>
      <c r="D623" s="265"/>
      <c r="E623" s="265"/>
      <c r="F623" s="265"/>
      <c r="G623" s="265"/>
      <c r="H623" s="265"/>
      <c r="I623" s="265"/>
      <c r="J623" s="265"/>
      <c r="K623" s="259"/>
      <c r="L623" s="265"/>
      <c r="M623" s="265"/>
      <c r="N623" s="265"/>
      <c r="O623" s="265"/>
      <c r="P623" s="259"/>
      <c r="Q623" s="259"/>
      <c r="R623" s="259"/>
      <c r="S623" s="259"/>
      <c r="T623" s="259"/>
      <c r="U623" s="259"/>
      <c r="V623" s="259"/>
      <c r="W623" s="259"/>
      <c r="X623" s="259"/>
      <c r="Y623" s="260"/>
    </row>
    <row r="624" spans="1:25" ht="13">
      <c r="A624" s="261"/>
      <c r="B624" s="261"/>
      <c r="C624" s="261"/>
      <c r="D624" s="265"/>
      <c r="E624" s="265"/>
      <c r="F624" s="265"/>
      <c r="G624" s="265"/>
      <c r="H624" s="265"/>
      <c r="I624" s="265"/>
      <c r="J624" s="265"/>
      <c r="K624" s="259"/>
      <c r="L624" s="265"/>
      <c r="M624" s="265"/>
      <c r="N624" s="265"/>
      <c r="O624" s="265"/>
      <c r="P624" s="259"/>
      <c r="Q624" s="259"/>
      <c r="R624" s="259"/>
      <c r="S624" s="259"/>
      <c r="T624" s="259"/>
      <c r="U624" s="259"/>
      <c r="V624" s="259"/>
      <c r="W624" s="259"/>
      <c r="X624" s="259"/>
      <c r="Y624" s="260"/>
    </row>
    <row r="625" spans="1:25" ht="13">
      <c r="A625" s="261"/>
      <c r="B625" s="261"/>
      <c r="C625" s="261"/>
      <c r="D625" s="265"/>
      <c r="E625" s="265"/>
      <c r="F625" s="265"/>
      <c r="G625" s="265"/>
      <c r="H625" s="265"/>
      <c r="I625" s="265"/>
      <c r="J625" s="265"/>
      <c r="K625" s="259"/>
      <c r="L625" s="265"/>
      <c r="M625" s="265"/>
      <c r="N625" s="265"/>
      <c r="O625" s="265"/>
      <c r="P625" s="259"/>
      <c r="Q625" s="259"/>
      <c r="R625" s="259"/>
      <c r="S625" s="259"/>
      <c r="T625" s="259"/>
      <c r="U625" s="259"/>
      <c r="V625" s="259"/>
      <c r="W625" s="259"/>
      <c r="X625" s="259"/>
      <c r="Y625" s="260"/>
    </row>
    <row r="626" spans="1:25" ht="13">
      <c r="A626" s="261"/>
      <c r="B626" s="261"/>
      <c r="C626" s="261"/>
      <c r="D626" s="265"/>
      <c r="E626" s="265"/>
      <c r="F626" s="265"/>
      <c r="G626" s="265"/>
      <c r="H626" s="265"/>
      <c r="I626" s="265"/>
      <c r="J626" s="265"/>
      <c r="K626" s="259"/>
      <c r="L626" s="265"/>
      <c r="M626" s="265"/>
      <c r="N626" s="265"/>
      <c r="O626" s="265"/>
      <c r="P626" s="259"/>
      <c r="Q626" s="259"/>
      <c r="R626" s="259"/>
      <c r="S626" s="259"/>
      <c r="T626" s="259"/>
      <c r="U626" s="259"/>
      <c r="V626" s="259"/>
      <c r="W626" s="259"/>
      <c r="X626" s="259"/>
      <c r="Y626" s="260"/>
    </row>
    <row r="627" spans="1:25" ht="13">
      <c r="A627" s="261"/>
      <c r="B627" s="261"/>
      <c r="C627" s="261"/>
      <c r="D627" s="265"/>
      <c r="E627" s="265"/>
      <c r="F627" s="265"/>
      <c r="G627" s="265"/>
      <c r="H627" s="265"/>
      <c r="I627" s="265"/>
      <c r="J627" s="265"/>
      <c r="K627" s="259"/>
      <c r="L627" s="265"/>
      <c r="M627" s="265"/>
      <c r="N627" s="265"/>
      <c r="O627" s="265"/>
      <c r="P627" s="259"/>
      <c r="Q627" s="259"/>
      <c r="R627" s="259"/>
      <c r="S627" s="259"/>
      <c r="T627" s="259"/>
      <c r="U627" s="259"/>
      <c r="V627" s="259"/>
      <c r="W627" s="259"/>
      <c r="X627" s="259"/>
      <c r="Y627" s="260"/>
    </row>
    <row r="628" spans="1:25" ht="13">
      <c r="A628" s="261"/>
      <c r="B628" s="261"/>
      <c r="C628" s="261"/>
      <c r="D628" s="265"/>
      <c r="E628" s="265"/>
      <c r="F628" s="265"/>
      <c r="G628" s="265"/>
      <c r="H628" s="265"/>
      <c r="I628" s="265"/>
      <c r="J628" s="265"/>
      <c r="K628" s="259"/>
      <c r="L628" s="265"/>
      <c r="M628" s="265"/>
      <c r="N628" s="265"/>
      <c r="O628" s="265"/>
      <c r="P628" s="259"/>
      <c r="Q628" s="259"/>
      <c r="R628" s="259"/>
      <c r="S628" s="259"/>
      <c r="T628" s="259"/>
      <c r="U628" s="259"/>
      <c r="V628" s="259"/>
      <c r="W628" s="259"/>
      <c r="X628" s="259"/>
      <c r="Y628" s="260"/>
    </row>
    <row r="629" spans="1:25" ht="13">
      <c r="A629" s="261"/>
      <c r="B629" s="261"/>
      <c r="C629" s="261"/>
      <c r="D629" s="265"/>
      <c r="E629" s="265"/>
      <c r="F629" s="265"/>
      <c r="G629" s="265"/>
      <c r="H629" s="265"/>
      <c r="I629" s="265"/>
      <c r="J629" s="265"/>
      <c r="K629" s="259"/>
      <c r="L629" s="265"/>
      <c r="M629" s="265"/>
      <c r="N629" s="265"/>
      <c r="O629" s="265"/>
      <c r="P629" s="259"/>
      <c r="Q629" s="259"/>
      <c r="R629" s="259"/>
      <c r="S629" s="259"/>
      <c r="T629" s="259"/>
      <c r="U629" s="259"/>
      <c r="V629" s="259"/>
      <c r="W629" s="259"/>
      <c r="X629" s="259"/>
      <c r="Y629" s="260"/>
    </row>
    <row r="630" spans="1:25" ht="13">
      <c r="A630" s="261"/>
      <c r="B630" s="261"/>
      <c r="C630" s="261"/>
      <c r="D630" s="265"/>
      <c r="E630" s="265"/>
      <c r="F630" s="265"/>
      <c r="G630" s="265"/>
      <c r="H630" s="265"/>
      <c r="I630" s="265"/>
      <c r="J630" s="265"/>
      <c r="K630" s="259"/>
      <c r="L630" s="265"/>
      <c r="M630" s="265"/>
      <c r="N630" s="265"/>
      <c r="O630" s="265"/>
      <c r="P630" s="259"/>
      <c r="Q630" s="259"/>
      <c r="R630" s="259"/>
      <c r="S630" s="259"/>
      <c r="T630" s="259"/>
      <c r="U630" s="259"/>
      <c r="V630" s="259"/>
      <c r="W630" s="259"/>
      <c r="X630" s="259"/>
      <c r="Y630" s="260"/>
    </row>
    <row r="631" spans="1:25" ht="13">
      <c r="A631" s="261"/>
      <c r="B631" s="261"/>
      <c r="C631" s="261"/>
      <c r="D631" s="265"/>
      <c r="E631" s="265"/>
      <c r="F631" s="265"/>
      <c r="G631" s="265"/>
      <c r="H631" s="265"/>
      <c r="I631" s="265"/>
      <c r="J631" s="265"/>
      <c r="K631" s="259"/>
      <c r="L631" s="265"/>
      <c r="M631" s="265"/>
      <c r="N631" s="265"/>
      <c r="O631" s="265"/>
      <c r="P631" s="259"/>
      <c r="Q631" s="259"/>
      <c r="R631" s="259"/>
      <c r="S631" s="259"/>
      <c r="T631" s="259"/>
      <c r="U631" s="259"/>
      <c r="V631" s="259"/>
      <c r="W631" s="259"/>
      <c r="X631" s="259"/>
      <c r="Y631" s="260"/>
    </row>
    <row r="632" spans="1:25" ht="13">
      <c r="A632" s="261"/>
      <c r="B632" s="261"/>
      <c r="C632" s="261"/>
      <c r="D632" s="265"/>
      <c r="E632" s="265"/>
      <c r="F632" s="265"/>
      <c r="G632" s="265"/>
      <c r="H632" s="265"/>
      <c r="I632" s="265"/>
      <c r="J632" s="265"/>
      <c r="K632" s="259"/>
      <c r="L632" s="265"/>
      <c r="M632" s="265"/>
      <c r="N632" s="265"/>
      <c r="O632" s="265"/>
      <c r="P632" s="259"/>
      <c r="Q632" s="259"/>
      <c r="R632" s="259"/>
      <c r="S632" s="259"/>
      <c r="T632" s="259"/>
      <c r="U632" s="259"/>
      <c r="V632" s="259"/>
      <c r="W632" s="259"/>
      <c r="X632" s="259"/>
      <c r="Y632" s="260"/>
    </row>
    <row r="633" spans="1:25" ht="13">
      <c r="A633" s="261"/>
      <c r="B633" s="261"/>
      <c r="C633" s="261"/>
      <c r="D633" s="265"/>
      <c r="E633" s="265"/>
      <c r="F633" s="265"/>
      <c r="G633" s="265"/>
      <c r="H633" s="265"/>
      <c r="I633" s="265"/>
      <c r="J633" s="265"/>
      <c r="K633" s="259"/>
      <c r="L633" s="265"/>
      <c r="M633" s="265"/>
      <c r="N633" s="265"/>
      <c r="O633" s="265"/>
      <c r="P633" s="259"/>
      <c r="Q633" s="259"/>
      <c r="R633" s="259"/>
      <c r="S633" s="259"/>
      <c r="T633" s="259"/>
      <c r="U633" s="259"/>
      <c r="V633" s="259"/>
      <c r="W633" s="259"/>
      <c r="X633" s="259"/>
      <c r="Y633" s="260"/>
    </row>
    <row r="634" spans="1:25" ht="13">
      <c r="A634" s="261"/>
      <c r="B634" s="261"/>
      <c r="C634" s="261"/>
      <c r="D634" s="265"/>
      <c r="E634" s="265"/>
      <c r="F634" s="265"/>
      <c r="G634" s="265"/>
      <c r="H634" s="265"/>
      <c r="I634" s="265"/>
      <c r="J634" s="265"/>
      <c r="K634" s="259"/>
      <c r="L634" s="265"/>
      <c r="M634" s="265"/>
      <c r="N634" s="265"/>
      <c r="O634" s="265"/>
      <c r="P634" s="259"/>
      <c r="Q634" s="259"/>
      <c r="R634" s="259"/>
      <c r="S634" s="259"/>
      <c r="T634" s="259"/>
      <c r="U634" s="259"/>
      <c r="V634" s="259"/>
      <c r="W634" s="259"/>
      <c r="X634" s="259"/>
      <c r="Y634" s="260"/>
    </row>
    <row r="635" spans="1:25" ht="13">
      <c r="A635" s="261"/>
      <c r="B635" s="261"/>
      <c r="C635" s="261"/>
      <c r="D635" s="265"/>
      <c r="E635" s="265"/>
      <c r="F635" s="265"/>
      <c r="G635" s="265"/>
      <c r="H635" s="265"/>
      <c r="I635" s="265"/>
      <c r="J635" s="265"/>
      <c r="K635" s="259"/>
      <c r="L635" s="265"/>
      <c r="M635" s="265"/>
      <c r="N635" s="265"/>
      <c r="O635" s="265"/>
      <c r="P635" s="259"/>
      <c r="Q635" s="259"/>
      <c r="R635" s="259"/>
      <c r="S635" s="259"/>
      <c r="T635" s="259"/>
      <c r="U635" s="259"/>
      <c r="V635" s="259"/>
      <c r="W635" s="259"/>
      <c r="X635" s="259"/>
      <c r="Y635" s="260"/>
    </row>
    <row r="636" spans="1:25" ht="13">
      <c r="A636" s="261"/>
      <c r="B636" s="261"/>
      <c r="C636" s="261"/>
      <c r="D636" s="265"/>
      <c r="E636" s="265"/>
      <c r="F636" s="265"/>
      <c r="G636" s="265"/>
      <c r="H636" s="265"/>
      <c r="I636" s="265"/>
      <c r="J636" s="265"/>
      <c r="K636" s="259"/>
      <c r="L636" s="265"/>
      <c r="M636" s="265"/>
      <c r="N636" s="265"/>
      <c r="O636" s="265"/>
      <c r="P636" s="259"/>
      <c r="Q636" s="259"/>
      <c r="R636" s="259"/>
      <c r="S636" s="259"/>
      <c r="T636" s="259"/>
      <c r="U636" s="259"/>
      <c r="V636" s="259"/>
      <c r="W636" s="259"/>
      <c r="X636" s="259"/>
      <c r="Y636" s="260"/>
    </row>
    <row r="637" spans="1:25" ht="13">
      <c r="A637" s="261"/>
      <c r="B637" s="261"/>
      <c r="C637" s="261"/>
      <c r="D637" s="265"/>
      <c r="E637" s="265"/>
      <c r="F637" s="265"/>
      <c r="G637" s="265"/>
      <c r="H637" s="265"/>
      <c r="I637" s="265"/>
      <c r="J637" s="265"/>
      <c r="K637" s="259"/>
      <c r="L637" s="265"/>
      <c r="M637" s="265"/>
      <c r="N637" s="265"/>
      <c r="O637" s="265"/>
      <c r="P637" s="259"/>
      <c r="Q637" s="259"/>
      <c r="R637" s="259"/>
      <c r="S637" s="259"/>
      <c r="T637" s="259"/>
      <c r="U637" s="259"/>
      <c r="V637" s="259"/>
      <c r="W637" s="259"/>
      <c r="X637" s="259"/>
      <c r="Y637" s="260"/>
    </row>
    <row r="638" spans="1:25" ht="13">
      <c r="A638" s="261"/>
      <c r="B638" s="261"/>
      <c r="C638" s="261"/>
      <c r="D638" s="265"/>
      <c r="E638" s="265"/>
      <c r="F638" s="265"/>
      <c r="G638" s="265"/>
      <c r="H638" s="265"/>
      <c r="I638" s="265"/>
      <c r="J638" s="265"/>
      <c r="K638" s="259"/>
      <c r="L638" s="265"/>
      <c r="M638" s="265"/>
      <c r="N638" s="265"/>
      <c r="O638" s="265"/>
      <c r="P638" s="259"/>
      <c r="Q638" s="259"/>
      <c r="R638" s="259"/>
      <c r="S638" s="259"/>
      <c r="T638" s="259"/>
      <c r="U638" s="259"/>
      <c r="V638" s="259"/>
      <c r="W638" s="259"/>
      <c r="X638" s="259"/>
      <c r="Y638" s="260"/>
    </row>
    <row r="639" spans="1:25" ht="13">
      <c r="A639" s="261"/>
      <c r="B639" s="261"/>
      <c r="C639" s="261"/>
      <c r="D639" s="265"/>
      <c r="E639" s="265"/>
      <c r="F639" s="265"/>
      <c r="G639" s="265"/>
      <c r="H639" s="265"/>
      <c r="I639" s="265"/>
      <c r="J639" s="265"/>
      <c r="K639" s="259"/>
      <c r="L639" s="265"/>
      <c r="M639" s="265"/>
      <c r="N639" s="265"/>
      <c r="O639" s="265"/>
      <c r="P639" s="259"/>
      <c r="Q639" s="259"/>
      <c r="R639" s="259"/>
      <c r="S639" s="259"/>
      <c r="T639" s="259"/>
      <c r="U639" s="259"/>
      <c r="V639" s="259"/>
      <c r="W639" s="259"/>
      <c r="X639" s="259"/>
      <c r="Y639" s="260"/>
    </row>
    <row r="640" spans="1:25" ht="13">
      <c r="A640" s="261"/>
      <c r="B640" s="261"/>
      <c r="C640" s="261"/>
      <c r="D640" s="265"/>
      <c r="E640" s="265"/>
      <c r="F640" s="265"/>
      <c r="G640" s="265"/>
      <c r="H640" s="265"/>
      <c r="I640" s="265"/>
      <c r="J640" s="265"/>
      <c r="K640" s="259"/>
      <c r="L640" s="265"/>
      <c r="M640" s="265"/>
      <c r="N640" s="265"/>
      <c r="O640" s="265"/>
      <c r="P640" s="259"/>
      <c r="Q640" s="259"/>
      <c r="R640" s="259"/>
      <c r="S640" s="259"/>
      <c r="T640" s="259"/>
      <c r="U640" s="259"/>
      <c r="V640" s="259"/>
      <c r="W640" s="259"/>
      <c r="X640" s="259"/>
      <c r="Y640" s="260"/>
    </row>
    <row r="641" spans="1:25" ht="13">
      <c r="A641" s="261"/>
      <c r="B641" s="261"/>
      <c r="C641" s="261"/>
      <c r="D641" s="265"/>
      <c r="E641" s="265"/>
      <c r="F641" s="265"/>
      <c r="G641" s="265"/>
      <c r="H641" s="265"/>
      <c r="I641" s="265"/>
      <c r="J641" s="265"/>
      <c r="K641" s="259"/>
      <c r="L641" s="265"/>
      <c r="M641" s="265"/>
      <c r="N641" s="265"/>
      <c r="O641" s="265"/>
      <c r="P641" s="259"/>
      <c r="Q641" s="259"/>
      <c r="R641" s="259"/>
      <c r="S641" s="259"/>
      <c r="T641" s="259"/>
      <c r="U641" s="259"/>
      <c r="V641" s="259"/>
      <c r="W641" s="259"/>
      <c r="X641" s="259"/>
      <c r="Y641" s="260"/>
    </row>
    <row r="642" spans="1:25" ht="13">
      <c r="A642" s="261"/>
      <c r="B642" s="261"/>
      <c r="C642" s="261"/>
      <c r="D642" s="265"/>
      <c r="E642" s="265"/>
      <c r="F642" s="265"/>
      <c r="G642" s="265"/>
      <c r="H642" s="265"/>
      <c r="I642" s="265"/>
      <c r="J642" s="265"/>
      <c r="K642" s="259"/>
      <c r="L642" s="265"/>
      <c r="M642" s="265"/>
      <c r="N642" s="265"/>
      <c r="O642" s="265"/>
      <c r="P642" s="259"/>
      <c r="Q642" s="259"/>
      <c r="R642" s="259"/>
      <c r="S642" s="259"/>
      <c r="T642" s="259"/>
      <c r="U642" s="259"/>
      <c r="V642" s="259"/>
      <c r="W642" s="259"/>
      <c r="X642" s="259"/>
      <c r="Y642" s="260"/>
    </row>
    <row r="643" spans="1:25" ht="13">
      <c r="A643" s="261"/>
      <c r="B643" s="261"/>
      <c r="C643" s="261"/>
      <c r="D643" s="265"/>
      <c r="E643" s="265"/>
      <c r="F643" s="265"/>
      <c r="G643" s="265"/>
      <c r="H643" s="265"/>
      <c r="I643" s="265"/>
      <c r="J643" s="265"/>
      <c r="K643" s="259"/>
      <c r="L643" s="265"/>
      <c r="M643" s="265"/>
      <c r="N643" s="265"/>
      <c r="O643" s="265"/>
      <c r="P643" s="259"/>
      <c r="Q643" s="259"/>
      <c r="R643" s="259"/>
      <c r="S643" s="259"/>
      <c r="T643" s="259"/>
      <c r="U643" s="259"/>
      <c r="V643" s="259"/>
      <c r="W643" s="259"/>
      <c r="X643" s="259"/>
      <c r="Y643" s="260"/>
    </row>
    <row r="644" spans="1:25" ht="13">
      <c r="A644" s="261"/>
      <c r="B644" s="261"/>
      <c r="C644" s="261"/>
      <c r="D644" s="265"/>
      <c r="E644" s="265"/>
      <c r="F644" s="265"/>
      <c r="G644" s="265"/>
      <c r="H644" s="265"/>
      <c r="I644" s="265"/>
      <c r="J644" s="265"/>
      <c r="K644" s="259"/>
      <c r="L644" s="265"/>
      <c r="M644" s="265"/>
      <c r="N644" s="265"/>
      <c r="O644" s="265"/>
      <c r="P644" s="259"/>
      <c r="Q644" s="259"/>
      <c r="R644" s="259"/>
      <c r="S644" s="259"/>
      <c r="T644" s="259"/>
      <c r="U644" s="259"/>
      <c r="V644" s="259"/>
      <c r="W644" s="259"/>
      <c r="X644" s="259"/>
      <c r="Y644" s="260"/>
    </row>
    <row r="645" spans="1:25" ht="13">
      <c r="A645" s="261"/>
      <c r="B645" s="261"/>
      <c r="C645" s="261"/>
      <c r="D645" s="265"/>
      <c r="E645" s="265"/>
      <c r="F645" s="265"/>
      <c r="G645" s="265"/>
      <c r="H645" s="265"/>
      <c r="I645" s="265"/>
      <c r="J645" s="265"/>
      <c r="K645" s="259"/>
      <c r="L645" s="265"/>
      <c r="M645" s="265"/>
      <c r="N645" s="265"/>
      <c r="O645" s="265"/>
      <c r="P645" s="259"/>
      <c r="Q645" s="259"/>
      <c r="R645" s="259"/>
      <c r="S645" s="259"/>
      <c r="T645" s="259"/>
      <c r="U645" s="259"/>
      <c r="V645" s="259"/>
      <c r="W645" s="259"/>
      <c r="X645" s="259"/>
      <c r="Y645" s="260"/>
    </row>
    <row r="646" spans="1:25" ht="13">
      <c r="A646" s="261"/>
      <c r="B646" s="261"/>
      <c r="C646" s="261"/>
      <c r="D646" s="265"/>
      <c r="E646" s="265"/>
      <c r="F646" s="265"/>
      <c r="G646" s="265"/>
      <c r="H646" s="265"/>
      <c r="I646" s="265"/>
      <c r="J646" s="265"/>
      <c r="K646" s="259"/>
      <c r="L646" s="265"/>
      <c r="M646" s="265"/>
      <c r="N646" s="265"/>
      <c r="O646" s="265"/>
      <c r="P646" s="259"/>
      <c r="Q646" s="259"/>
      <c r="R646" s="259"/>
      <c r="S646" s="259"/>
      <c r="T646" s="259"/>
      <c r="U646" s="259"/>
      <c r="V646" s="259"/>
      <c r="W646" s="259"/>
      <c r="X646" s="259"/>
      <c r="Y646" s="260"/>
    </row>
    <row r="647" spans="1:25" ht="13">
      <c r="A647" s="261"/>
      <c r="B647" s="261"/>
      <c r="C647" s="261"/>
      <c r="D647" s="265"/>
      <c r="E647" s="265"/>
      <c r="F647" s="265"/>
      <c r="G647" s="265"/>
      <c r="H647" s="265"/>
      <c r="I647" s="265"/>
      <c r="J647" s="265"/>
      <c r="K647" s="259"/>
      <c r="L647" s="265"/>
      <c r="M647" s="265"/>
      <c r="N647" s="265"/>
      <c r="O647" s="265"/>
      <c r="P647" s="259"/>
      <c r="Q647" s="259"/>
      <c r="R647" s="259"/>
      <c r="S647" s="259"/>
      <c r="T647" s="259"/>
      <c r="U647" s="259"/>
      <c r="V647" s="259"/>
      <c r="W647" s="259"/>
      <c r="X647" s="259"/>
      <c r="Y647" s="260"/>
    </row>
    <row r="648" spans="1:25" ht="13">
      <c r="A648" s="261"/>
      <c r="B648" s="261"/>
      <c r="C648" s="261"/>
      <c r="D648" s="265"/>
      <c r="E648" s="265"/>
      <c r="F648" s="265"/>
      <c r="G648" s="265"/>
      <c r="H648" s="265"/>
      <c r="I648" s="265"/>
      <c r="J648" s="265"/>
      <c r="K648" s="259"/>
      <c r="L648" s="265"/>
      <c r="M648" s="265"/>
      <c r="N648" s="265"/>
      <c r="O648" s="265"/>
      <c r="P648" s="259"/>
      <c r="Q648" s="259"/>
      <c r="R648" s="259"/>
      <c r="S648" s="259"/>
      <c r="T648" s="259"/>
      <c r="U648" s="259"/>
      <c r="V648" s="259"/>
      <c r="W648" s="259"/>
      <c r="X648" s="259"/>
      <c r="Y648" s="260"/>
    </row>
    <row r="649" spans="1:25" ht="13">
      <c r="A649" s="261"/>
      <c r="B649" s="261"/>
      <c r="C649" s="261"/>
      <c r="D649" s="265"/>
      <c r="E649" s="265"/>
      <c r="F649" s="265"/>
      <c r="G649" s="265"/>
      <c r="H649" s="265"/>
      <c r="I649" s="265"/>
      <c r="J649" s="265"/>
      <c r="K649" s="259"/>
      <c r="L649" s="265"/>
      <c r="M649" s="265"/>
      <c r="N649" s="265"/>
      <c r="O649" s="265"/>
      <c r="P649" s="259"/>
      <c r="Q649" s="259"/>
      <c r="R649" s="259"/>
      <c r="S649" s="259"/>
      <c r="T649" s="259"/>
      <c r="U649" s="259"/>
      <c r="V649" s="259"/>
      <c r="W649" s="259"/>
      <c r="X649" s="259"/>
      <c r="Y649" s="260"/>
    </row>
    <row r="650" spans="1:25" ht="13">
      <c r="A650" s="261"/>
      <c r="B650" s="261"/>
      <c r="C650" s="261"/>
      <c r="D650" s="265"/>
      <c r="E650" s="265"/>
      <c r="F650" s="265"/>
      <c r="G650" s="265"/>
      <c r="H650" s="265"/>
      <c r="I650" s="265"/>
      <c r="J650" s="265"/>
      <c r="K650" s="259"/>
      <c r="L650" s="265"/>
      <c r="M650" s="265"/>
      <c r="N650" s="265"/>
      <c r="O650" s="265"/>
      <c r="P650" s="259"/>
      <c r="Q650" s="259"/>
      <c r="R650" s="259"/>
      <c r="S650" s="259"/>
      <c r="T650" s="259"/>
      <c r="U650" s="259"/>
      <c r="V650" s="259"/>
      <c r="W650" s="259"/>
      <c r="X650" s="259"/>
      <c r="Y650" s="260"/>
    </row>
    <row r="651" spans="1:25" ht="13">
      <c r="A651" s="261"/>
      <c r="B651" s="261"/>
      <c r="C651" s="261"/>
      <c r="D651" s="265"/>
      <c r="E651" s="265"/>
      <c r="F651" s="265"/>
      <c r="G651" s="265"/>
      <c r="H651" s="265"/>
      <c r="I651" s="265"/>
      <c r="J651" s="265"/>
      <c r="K651" s="259"/>
      <c r="L651" s="265"/>
      <c r="M651" s="265"/>
      <c r="N651" s="265"/>
      <c r="O651" s="265"/>
      <c r="P651" s="259"/>
      <c r="Q651" s="259"/>
      <c r="R651" s="259"/>
      <c r="S651" s="259"/>
      <c r="T651" s="259"/>
      <c r="U651" s="259"/>
      <c r="V651" s="259"/>
      <c r="W651" s="259"/>
      <c r="X651" s="259"/>
      <c r="Y651" s="260"/>
    </row>
    <row r="652" spans="1:25" ht="13">
      <c r="A652" s="261"/>
      <c r="B652" s="261"/>
      <c r="C652" s="261"/>
      <c r="D652" s="265"/>
      <c r="E652" s="265"/>
      <c r="F652" s="265"/>
      <c r="G652" s="265"/>
      <c r="H652" s="265"/>
      <c r="I652" s="265"/>
      <c r="J652" s="265"/>
      <c r="K652" s="259"/>
      <c r="L652" s="265"/>
      <c r="M652" s="265"/>
      <c r="N652" s="265"/>
      <c r="O652" s="265"/>
      <c r="P652" s="259"/>
      <c r="Q652" s="259"/>
      <c r="R652" s="259"/>
      <c r="S652" s="259"/>
      <c r="T652" s="259"/>
      <c r="U652" s="259"/>
      <c r="V652" s="259"/>
      <c r="W652" s="259"/>
      <c r="X652" s="259"/>
      <c r="Y652" s="260"/>
    </row>
    <row r="653" spans="1:25" ht="13">
      <c r="A653" s="261"/>
      <c r="B653" s="261"/>
      <c r="C653" s="261"/>
      <c r="D653" s="265"/>
      <c r="E653" s="265"/>
      <c r="F653" s="265"/>
      <c r="G653" s="265"/>
      <c r="H653" s="265"/>
      <c r="I653" s="265"/>
      <c r="J653" s="265"/>
      <c r="K653" s="259"/>
      <c r="L653" s="265"/>
      <c r="M653" s="265"/>
      <c r="N653" s="265"/>
      <c r="O653" s="265"/>
      <c r="P653" s="259"/>
      <c r="Q653" s="259"/>
      <c r="R653" s="259"/>
      <c r="S653" s="259"/>
      <c r="T653" s="259"/>
      <c r="U653" s="259"/>
      <c r="V653" s="259"/>
      <c r="W653" s="259"/>
      <c r="X653" s="259"/>
      <c r="Y653" s="260"/>
    </row>
    <row r="654" spans="1:25" ht="13">
      <c r="A654" s="261"/>
      <c r="B654" s="261"/>
      <c r="C654" s="261"/>
      <c r="D654" s="265"/>
      <c r="E654" s="265"/>
      <c r="F654" s="265"/>
      <c r="G654" s="265"/>
      <c r="H654" s="265"/>
      <c r="I654" s="265"/>
      <c r="J654" s="265"/>
      <c r="K654" s="259"/>
      <c r="L654" s="265"/>
      <c r="M654" s="265"/>
      <c r="N654" s="265"/>
      <c r="O654" s="265"/>
      <c r="P654" s="259"/>
      <c r="Q654" s="259"/>
      <c r="R654" s="259"/>
      <c r="S654" s="259"/>
      <c r="T654" s="259"/>
      <c r="U654" s="259"/>
      <c r="V654" s="259"/>
      <c r="W654" s="259"/>
      <c r="X654" s="259"/>
      <c r="Y654" s="260"/>
    </row>
    <row r="655" spans="1:25" ht="13">
      <c r="A655" s="261"/>
      <c r="B655" s="261"/>
      <c r="C655" s="261"/>
      <c r="D655" s="265"/>
      <c r="E655" s="265"/>
      <c r="F655" s="265"/>
      <c r="G655" s="265"/>
      <c r="H655" s="265"/>
      <c r="I655" s="265"/>
      <c r="J655" s="265"/>
      <c r="K655" s="259"/>
      <c r="L655" s="265"/>
      <c r="M655" s="265"/>
      <c r="N655" s="265"/>
      <c r="O655" s="265"/>
      <c r="P655" s="259"/>
      <c r="Q655" s="259"/>
      <c r="R655" s="259"/>
      <c r="S655" s="259"/>
      <c r="T655" s="259"/>
      <c r="U655" s="259"/>
      <c r="V655" s="259"/>
      <c r="W655" s="259"/>
      <c r="X655" s="259"/>
      <c r="Y655" s="260"/>
    </row>
    <row r="656" spans="1:25" ht="13">
      <c r="A656" s="261"/>
      <c r="B656" s="261"/>
      <c r="C656" s="261"/>
      <c r="D656" s="265"/>
      <c r="E656" s="265"/>
      <c r="F656" s="265"/>
      <c r="G656" s="265"/>
      <c r="H656" s="265"/>
      <c r="I656" s="265"/>
      <c r="J656" s="265"/>
      <c r="K656" s="259"/>
      <c r="L656" s="265"/>
      <c r="M656" s="265"/>
      <c r="N656" s="265"/>
      <c r="O656" s="265"/>
      <c r="P656" s="259"/>
      <c r="Q656" s="259"/>
      <c r="R656" s="259"/>
      <c r="S656" s="259"/>
      <c r="T656" s="259"/>
      <c r="U656" s="259"/>
      <c r="V656" s="259"/>
      <c r="W656" s="259"/>
      <c r="X656" s="259"/>
      <c r="Y656" s="260"/>
    </row>
    <row r="657" spans="1:25" ht="13">
      <c r="A657" s="261"/>
      <c r="B657" s="261"/>
      <c r="C657" s="261"/>
      <c r="D657" s="265"/>
      <c r="E657" s="265"/>
      <c r="F657" s="265"/>
      <c r="G657" s="265"/>
      <c r="H657" s="265"/>
      <c r="I657" s="265"/>
      <c r="J657" s="265"/>
      <c r="K657" s="259"/>
      <c r="L657" s="265"/>
      <c r="M657" s="265"/>
      <c r="N657" s="265"/>
      <c r="O657" s="265"/>
      <c r="P657" s="259"/>
      <c r="Q657" s="259"/>
      <c r="R657" s="259"/>
      <c r="S657" s="259"/>
      <c r="T657" s="259"/>
      <c r="U657" s="259"/>
      <c r="V657" s="259"/>
      <c r="W657" s="259"/>
      <c r="X657" s="259"/>
      <c r="Y657" s="260"/>
    </row>
    <row r="658" spans="1:25" ht="13">
      <c r="A658" s="261"/>
      <c r="B658" s="261"/>
      <c r="C658" s="261"/>
      <c r="D658" s="265"/>
      <c r="E658" s="265"/>
      <c r="F658" s="265"/>
      <c r="G658" s="265"/>
      <c r="H658" s="265"/>
      <c r="I658" s="265"/>
      <c r="J658" s="265"/>
      <c r="K658" s="259"/>
      <c r="L658" s="265"/>
      <c r="M658" s="265"/>
      <c r="N658" s="265"/>
      <c r="O658" s="265"/>
      <c r="P658" s="259"/>
      <c r="Q658" s="259"/>
      <c r="R658" s="259"/>
      <c r="S658" s="259"/>
      <c r="T658" s="259"/>
      <c r="U658" s="259"/>
      <c r="V658" s="259"/>
      <c r="W658" s="259"/>
      <c r="X658" s="259"/>
      <c r="Y658" s="260"/>
    </row>
    <row r="659" spans="1:25" ht="13">
      <c r="A659" s="261"/>
      <c r="B659" s="261"/>
      <c r="C659" s="261"/>
      <c r="D659" s="265"/>
      <c r="E659" s="265"/>
      <c r="F659" s="265"/>
      <c r="G659" s="265"/>
      <c r="H659" s="265"/>
      <c r="I659" s="265"/>
      <c r="J659" s="265"/>
      <c r="K659" s="259"/>
      <c r="L659" s="265"/>
      <c r="M659" s="265"/>
      <c r="N659" s="265"/>
      <c r="O659" s="265"/>
      <c r="P659" s="259"/>
      <c r="Q659" s="259"/>
      <c r="R659" s="259"/>
      <c r="S659" s="259"/>
      <c r="T659" s="259"/>
      <c r="U659" s="259"/>
      <c r="V659" s="259"/>
      <c r="W659" s="259"/>
      <c r="X659" s="259"/>
      <c r="Y659" s="260"/>
    </row>
    <row r="660" spans="1:25" ht="13">
      <c r="A660" s="261"/>
      <c r="B660" s="261"/>
      <c r="C660" s="261"/>
      <c r="D660" s="265"/>
      <c r="E660" s="265"/>
      <c r="F660" s="265"/>
      <c r="G660" s="265"/>
      <c r="H660" s="265"/>
      <c r="I660" s="265"/>
      <c r="J660" s="265"/>
      <c r="K660" s="259"/>
      <c r="L660" s="265"/>
      <c r="M660" s="265"/>
      <c r="N660" s="265"/>
      <c r="O660" s="265"/>
      <c r="P660" s="259"/>
      <c r="Q660" s="259"/>
      <c r="R660" s="259"/>
      <c r="S660" s="259"/>
      <c r="T660" s="259"/>
      <c r="U660" s="259"/>
      <c r="V660" s="259"/>
      <c r="W660" s="259"/>
      <c r="X660" s="259"/>
      <c r="Y660" s="260"/>
    </row>
    <row r="661" spans="1:25" ht="13">
      <c r="A661" s="261"/>
      <c r="B661" s="261"/>
      <c r="C661" s="261"/>
      <c r="D661" s="265"/>
      <c r="E661" s="265"/>
      <c r="F661" s="265"/>
      <c r="G661" s="265"/>
      <c r="H661" s="265"/>
      <c r="I661" s="265"/>
      <c r="J661" s="265"/>
      <c r="K661" s="259"/>
      <c r="L661" s="265"/>
      <c r="M661" s="265"/>
      <c r="N661" s="265"/>
      <c r="O661" s="265"/>
      <c r="P661" s="259"/>
      <c r="Q661" s="259"/>
      <c r="R661" s="259"/>
      <c r="S661" s="259"/>
      <c r="T661" s="259"/>
      <c r="U661" s="259"/>
      <c r="V661" s="259"/>
      <c r="W661" s="259"/>
      <c r="X661" s="259"/>
      <c r="Y661" s="260"/>
    </row>
    <row r="662" spans="1:25" ht="13">
      <c r="A662" s="261"/>
      <c r="B662" s="261"/>
      <c r="C662" s="261"/>
      <c r="D662" s="265"/>
      <c r="E662" s="265"/>
      <c r="F662" s="265"/>
      <c r="G662" s="265"/>
      <c r="H662" s="265"/>
      <c r="I662" s="265"/>
      <c r="J662" s="265"/>
      <c r="K662" s="259"/>
      <c r="L662" s="265"/>
      <c r="M662" s="265"/>
      <c r="N662" s="265"/>
      <c r="O662" s="265"/>
      <c r="P662" s="259"/>
      <c r="Q662" s="259"/>
      <c r="R662" s="259"/>
      <c r="S662" s="259"/>
      <c r="T662" s="259"/>
      <c r="U662" s="259"/>
      <c r="V662" s="259"/>
      <c r="W662" s="259"/>
      <c r="X662" s="259"/>
      <c r="Y662" s="260"/>
    </row>
    <row r="663" spans="1:25" ht="13">
      <c r="A663" s="261"/>
      <c r="B663" s="261"/>
      <c r="C663" s="261"/>
      <c r="D663" s="265"/>
      <c r="E663" s="265"/>
      <c r="F663" s="265"/>
      <c r="G663" s="265"/>
      <c r="H663" s="265"/>
      <c r="I663" s="265"/>
      <c r="J663" s="265"/>
      <c r="K663" s="259"/>
      <c r="L663" s="265"/>
      <c r="M663" s="265"/>
      <c r="N663" s="265"/>
      <c r="O663" s="265"/>
      <c r="P663" s="259"/>
      <c r="Q663" s="259"/>
      <c r="R663" s="259"/>
      <c r="S663" s="259"/>
      <c r="T663" s="259"/>
      <c r="U663" s="259"/>
      <c r="V663" s="259"/>
      <c r="W663" s="259"/>
      <c r="X663" s="259"/>
      <c r="Y663" s="260"/>
    </row>
    <row r="664" spans="1:25" ht="13">
      <c r="A664" s="261"/>
      <c r="B664" s="261"/>
      <c r="C664" s="261"/>
      <c r="D664" s="265"/>
      <c r="E664" s="265"/>
      <c r="F664" s="265"/>
      <c r="G664" s="265"/>
      <c r="H664" s="265"/>
      <c r="I664" s="265"/>
      <c r="J664" s="265"/>
      <c r="K664" s="259"/>
      <c r="L664" s="265"/>
      <c r="M664" s="265"/>
      <c r="N664" s="265"/>
      <c r="O664" s="265"/>
      <c r="P664" s="259"/>
      <c r="Q664" s="259"/>
      <c r="R664" s="259"/>
      <c r="S664" s="259"/>
      <c r="T664" s="259"/>
      <c r="U664" s="259"/>
      <c r="V664" s="259"/>
      <c r="W664" s="259"/>
      <c r="X664" s="259"/>
      <c r="Y664" s="260"/>
    </row>
    <row r="665" spans="1:25" ht="13">
      <c r="A665" s="261"/>
      <c r="B665" s="261"/>
      <c r="C665" s="261"/>
      <c r="D665" s="265"/>
      <c r="E665" s="265"/>
      <c r="F665" s="265"/>
      <c r="G665" s="265"/>
      <c r="H665" s="265"/>
      <c r="I665" s="265"/>
      <c r="J665" s="265"/>
      <c r="K665" s="259"/>
      <c r="L665" s="265"/>
      <c r="M665" s="265"/>
      <c r="N665" s="265"/>
      <c r="O665" s="265"/>
      <c r="P665" s="259"/>
      <c r="Q665" s="259"/>
      <c r="R665" s="259"/>
      <c r="S665" s="259"/>
      <c r="T665" s="259"/>
      <c r="U665" s="259"/>
      <c r="V665" s="259"/>
      <c r="W665" s="259"/>
      <c r="X665" s="259"/>
      <c r="Y665" s="260"/>
    </row>
    <row r="666" spans="1:25" ht="13">
      <c r="A666" s="261"/>
      <c r="B666" s="261"/>
      <c r="C666" s="261"/>
      <c r="D666" s="265"/>
      <c r="E666" s="265"/>
      <c r="F666" s="265"/>
      <c r="G666" s="265"/>
      <c r="H666" s="265"/>
      <c r="I666" s="265"/>
      <c r="J666" s="265"/>
      <c r="K666" s="259"/>
      <c r="L666" s="265"/>
      <c r="M666" s="265"/>
      <c r="N666" s="265"/>
      <c r="O666" s="265"/>
      <c r="P666" s="259"/>
      <c r="Q666" s="259"/>
      <c r="R666" s="259"/>
      <c r="S666" s="259"/>
      <c r="T666" s="259"/>
      <c r="U666" s="259"/>
      <c r="V666" s="259"/>
      <c r="W666" s="259"/>
      <c r="X666" s="259"/>
      <c r="Y666" s="260"/>
    </row>
    <row r="667" spans="1:25" ht="13">
      <c r="A667" s="261"/>
      <c r="B667" s="261"/>
      <c r="C667" s="261"/>
      <c r="D667" s="265"/>
      <c r="E667" s="265"/>
      <c r="F667" s="265"/>
      <c r="G667" s="265"/>
      <c r="H667" s="265"/>
      <c r="I667" s="265"/>
      <c r="J667" s="265"/>
      <c r="K667" s="259"/>
      <c r="L667" s="265"/>
      <c r="M667" s="265"/>
      <c r="N667" s="265"/>
      <c r="O667" s="265"/>
      <c r="P667" s="259"/>
      <c r="Q667" s="259"/>
      <c r="R667" s="259"/>
      <c r="S667" s="259"/>
      <c r="T667" s="259"/>
      <c r="U667" s="259"/>
      <c r="V667" s="259"/>
      <c r="W667" s="259"/>
      <c r="X667" s="259"/>
      <c r="Y667" s="260"/>
    </row>
    <row r="668" spans="1:25" ht="13">
      <c r="A668" s="261"/>
      <c r="B668" s="261"/>
      <c r="C668" s="261"/>
      <c r="D668" s="265"/>
      <c r="E668" s="265"/>
      <c r="F668" s="265"/>
      <c r="G668" s="265"/>
      <c r="H668" s="265"/>
      <c r="I668" s="265"/>
      <c r="J668" s="265"/>
      <c r="K668" s="259"/>
      <c r="L668" s="265"/>
      <c r="M668" s="265"/>
      <c r="N668" s="265"/>
      <c r="O668" s="265"/>
      <c r="P668" s="259"/>
      <c r="Q668" s="259"/>
      <c r="R668" s="259"/>
      <c r="S668" s="259"/>
      <c r="T668" s="259"/>
      <c r="U668" s="259"/>
      <c r="V668" s="259"/>
      <c r="W668" s="259"/>
      <c r="X668" s="259"/>
      <c r="Y668" s="260"/>
    </row>
    <row r="669" spans="1:25" ht="13">
      <c r="A669" s="261"/>
      <c r="B669" s="261"/>
      <c r="C669" s="261"/>
      <c r="D669" s="265"/>
      <c r="E669" s="265"/>
      <c r="F669" s="265"/>
      <c r="G669" s="265"/>
      <c r="H669" s="265"/>
      <c r="I669" s="265"/>
      <c r="J669" s="265"/>
      <c r="K669" s="259"/>
      <c r="L669" s="265"/>
      <c r="M669" s="265"/>
      <c r="N669" s="265"/>
      <c r="O669" s="265"/>
      <c r="P669" s="259"/>
      <c r="Q669" s="259"/>
      <c r="R669" s="259"/>
      <c r="S669" s="259"/>
      <c r="T669" s="259"/>
      <c r="U669" s="259"/>
      <c r="V669" s="259"/>
      <c r="W669" s="259"/>
      <c r="X669" s="259"/>
      <c r="Y669" s="260"/>
    </row>
    <row r="670" spans="1:25" ht="13">
      <c r="A670" s="261"/>
      <c r="B670" s="261"/>
      <c r="C670" s="261"/>
      <c r="D670" s="265"/>
      <c r="E670" s="265"/>
      <c r="F670" s="265"/>
      <c r="G670" s="265"/>
      <c r="H670" s="265"/>
      <c r="I670" s="265"/>
      <c r="J670" s="265"/>
      <c r="K670" s="259"/>
      <c r="L670" s="265"/>
      <c r="M670" s="265"/>
      <c r="N670" s="265"/>
      <c r="O670" s="265"/>
      <c r="P670" s="259"/>
      <c r="Q670" s="259"/>
      <c r="R670" s="259"/>
      <c r="S670" s="259"/>
      <c r="T670" s="259"/>
      <c r="U670" s="259"/>
      <c r="V670" s="259"/>
      <c r="W670" s="259"/>
      <c r="X670" s="259"/>
      <c r="Y670" s="260"/>
    </row>
    <row r="671" spans="1:25" ht="13">
      <c r="A671" s="261"/>
      <c r="B671" s="261"/>
      <c r="C671" s="261"/>
      <c r="D671" s="265"/>
      <c r="E671" s="265"/>
      <c r="F671" s="265"/>
      <c r="G671" s="265"/>
      <c r="H671" s="265"/>
      <c r="I671" s="265"/>
      <c r="J671" s="265"/>
      <c r="K671" s="259"/>
      <c r="L671" s="265"/>
      <c r="M671" s="265"/>
      <c r="N671" s="265"/>
      <c r="O671" s="265"/>
      <c r="P671" s="259"/>
      <c r="Q671" s="259"/>
      <c r="R671" s="259"/>
      <c r="S671" s="259"/>
      <c r="T671" s="259"/>
      <c r="U671" s="259"/>
      <c r="V671" s="259"/>
      <c r="W671" s="259"/>
      <c r="X671" s="259"/>
      <c r="Y671" s="260"/>
    </row>
    <row r="672" spans="1:25" ht="13">
      <c r="A672" s="261"/>
      <c r="B672" s="261"/>
      <c r="C672" s="261"/>
      <c r="D672" s="265"/>
      <c r="E672" s="265"/>
      <c r="F672" s="265"/>
      <c r="G672" s="265"/>
      <c r="H672" s="265"/>
      <c r="I672" s="265"/>
      <c r="J672" s="265"/>
      <c r="K672" s="259"/>
      <c r="L672" s="265"/>
      <c r="M672" s="265"/>
      <c r="N672" s="265"/>
      <c r="O672" s="265"/>
      <c r="P672" s="259"/>
      <c r="Q672" s="259"/>
      <c r="R672" s="259"/>
      <c r="S672" s="259"/>
      <c r="T672" s="259"/>
      <c r="U672" s="259"/>
      <c r="V672" s="259"/>
      <c r="W672" s="259"/>
      <c r="X672" s="259"/>
      <c r="Y672" s="260"/>
    </row>
    <row r="673" spans="1:25" ht="13">
      <c r="A673" s="261"/>
      <c r="B673" s="261"/>
      <c r="C673" s="261"/>
      <c r="D673" s="265"/>
      <c r="E673" s="265"/>
      <c r="F673" s="265"/>
      <c r="G673" s="265"/>
      <c r="H673" s="265"/>
      <c r="I673" s="265"/>
      <c r="J673" s="265"/>
      <c r="K673" s="259"/>
      <c r="L673" s="265"/>
      <c r="M673" s="265"/>
      <c r="N673" s="265"/>
      <c r="O673" s="265"/>
      <c r="P673" s="259"/>
      <c r="Q673" s="259"/>
      <c r="R673" s="259"/>
      <c r="S673" s="259"/>
      <c r="T673" s="259"/>
      <c r="U673" s="259"/>
      <c r="V673" s="259"/>
      <c r="W673" s="259"/>
      <c r="X673" s="259"/>
      <c r="Y673" s="260"/>
    </row>
    <row r="674" spans="1:25" ht="13">
      <c r="A674" s="261"/>
      <c r="B674" s="261"/>
      <c r="C674" s="261"/>
      <c r="D674" s="265"/>
      <c r="E674" s="265"/>
      <c r="F674" s="265"/>
      <c r="G674" s="265"/>
      <c r="H674" s="265"/>
      <c r="I674" s="265"/>
      <c r="J674" s="265"/>
      <c r="K674" s="259"/>
      <c r="L674" s="265"/>
      <c r="M674" s="265"/>
      <c r="N674" s="265"/>
      <c r="O674" s="265"/>
      <c r="P674" s="259"/>
      <c r="Q674" s="259"/>
      <c r="R674" s="259"/>
      <c r="S674" s="259"/>
      <c r="T674" s="259"/>
      <c r="U674" s="259"/>
      <c r="V674" s="259"/>
      <c r="W674" s="259"/>
      <c r="X674" s="259"/>
      <c r="Y674" s="260"/>
    </row>
    <row r="675" spans="1:25" ht="13">
      <c r="A675" s="261"/>
      <c r="B675" s="261"/>
      <c r="C675" s="261"/>
      <c r="D675" s="265"/>
      <c r="E675" s="265"/>
      <c r="F675" s="265"/>
      <c r="G675" s="265"/>
      <c r="H675" s="265"/>
      <c r="I675" s="265"/>
      <c r="J675" s="265"/>
      <c r="K675" s="259"/>
      <c r="L675" s="265"/>
      <c r="M675" s="265"/>
      <c r="N675" s="265"/>
      <c r="O675" s="265"/>
      <c r="P675" s="259"/>
      <c r="Q675" s="259"/>
      <c r="R675" s="259"/>
      <c r="S675" s="259"/>
      <c r="T675" s="259"/>
      <c r="U675" s="259"/>
      <c r="V675" s="259"/>
      <c r="W675" s="259"/>
      <c r="X675" s="259"/>
      <c r="Y675" s="260"/>
    </row>
    <row r="676" spans="1:25" ht="13">
      <c r="A676" s="261"/>
      <c r="B676" s="261"/>
      <c r="C676" s="261"/>
      <c r="D676" s="265"/>
      <c r="E676" s="265"/>
      <c r="F676" s="265"/>
      <c r="G676" s="265"/>
      <c r="H676" s="265"/>
      <c r="I676" s="265"/>
      <c r="J676" s="265"/>
      <c r="K676" s="259"/>
      <c r="L676" s="265"/>
      <c r="M676" s="265"/>
      <c r="N676" s="265"/>
      <c r="O676" s="265"/>
      <c r="P676" s="259"/>
      <c r="Q676" s="259"/>
      <c r="R676" s="259"/>
      <c r="S676" s="259"/>
      <c r="T676" s="259"/>
      <c r="U676" s="259"/>
      <c r="V676" s="259"/>
      <c r="W676" s="259"/>
      <c r="X676" s="259"/>
      <c r="Y676" s="260"/>
    </row>
    <row r="677" spans="1:25" ht="13">
      <c r="A677" s="261"/>
      <c r="B677" s="261"/>
      <c r="C677" s="261"/>
      <c r="D677" s="265"/>
      <c r="E677" s="265"/>
      <c r="F677" s="265"/>
      <c r="G677" s="265"/>
      <c r="H677" s="265"/>
      <c r="I677" s="265"/>
      <c r="J677" s="265"/>
      <c r="K677" s="259"/>
      <c r="L677" s="265"/>
      <c r="M677" s="265"/>
      <c r="N677" s="265"/>
      <c r="O677" s="265"/>
      <c r="P677" s="259"/>
      <c r="Q677" s="259"/>
      <c r="R677" s="259"/>
      <c r="S677" s="259"/>
      <c r="T677" s="259"/>
      <c r="U677" s="259"/>
      <c r="V677" s="259"/>
      <c r="W677" s="259"/>
      <c r="X677" s="259"/>
      <c r="Y677" s="260"/>
    </row>
    <row r="678" spans="1:25" ht="13">
      <c r="A678" s="261"/>
      <c r="B678" s="261"/>
      <c r="C678" s="261"/>
      <c r="D678" s="265"/>
      <c r="E678" s="265"/>
      <c r="F678" s="265"/>
      <c r="G678" s="265"/>
      <c r="H678" s="265"/>
      <c r="I678" s="265"/>
      <c r="J678" s="265"/>
      <c r="K678" s="259"/>
      <c r="L678" s="265"/>
      <c r="M678" s="265"/>
      <c r="N678" s="265"/>
      <c r="O678" s="265"/>
      <c r="P678" s="259"/>
      <c r="Q678" s="259"/>
      <c r="R678" s="259"/>
      <c r="S678" s="259"/>
      <c r="T678" s="259"/>
      <c r="U678" s="259"/>
      <c r="V678" s="259"/>
      <c r="W678" s="259"/>
      <c r="X678" s="259"/>
      <c r="Y678" s="260"/>
    </row>
    <row r="679" spans="1:25" ht="13">
      <c r="A679" s="261"/>
      <c r="B679" s="261"/>
      <c r="C679" s="261"/>
      <c r="D679" s="265"/>
      <c r="E679" s="265"/>
      <c r="F679" s="265"/>
      <c r="G679" s="265"/>
      <c r="H679" s="265"/>
      <c r="I679" s="265"/>
      <c r="J679" s="265"/>
      <c r="K679" s="259"/>
      <c r="L679" s="265"/>
      <c r="M679" s="265"/>
      <c r="N679" s="265"/>
      <c r="O679" s="265"/>
      <c r="P679" s="259"/>
      <c r="Q679" s="259"/>
      <c r="R679" s="259"/>
      <c r="S679" s="259"/>
      <c r="T679" s="259"/>
      <c r="U679" s="259"/>
      <c r="V679" s="259"/>
      <c r="W679" s="259"/>
      <c r="X679" s="259"/>
      <c r="Y679" s="260"/>
    </row>
    <row r="680" spans="1:25" ht="13">
      <c r="A680" s="261"/>
      <c r="B680" s="261"/>
      <c r="C680" s="261"/>
      <c r="D680" s="265"/>
      <c r="E680" s="265"/>
      <c r="F680" s="265"/>
      <c r="G680" s="265"/>
      <c r="H680" s="265"/>
      <c r="I680" s="265"/>
      <c r="J680" s="265"/>
      <c r="K680" s="259"/>
      <c r="L680" s="265"/>
      <c r="M680" s="265"/>
      <c r="N680" s="265"/>
      <c r="O680" s="265"/>
      <c r="P680" s="259"/>
      <c r="Q680" s="259"/>
      <c r="R680" s="259"/>
      <c r="S680" s="259"/>
      <c r="T680" s="259"/>
      <c r="U680" s="259"/>
      <c r="V680" s="259"/>
      <c r="W680" s="259"/>
      <c r="X680" s="259"/>
      <c r="Y680" s="260"/>
    </row>
    <row r="681" spans="1:25" ht="13">
      <c r="A681" s="261"/>
      <c r="B681" s="261"/>
      <c r="C681" s="261"/>
      <c r="D681" s="265"/>
      <c r="E681" s="265"/>
      <c r="F681" s="265"/>
      <c r="G681" s="265"/>
      <c r="H681" s="265"/>
      <c r="I681" s="265"/>
      <c r="J681" s="265"/>
      <c r="K681" s="259"/>
      <c r="L681" s="265"/>
      <c r="M681" s="265"/>
      <c r="N681" s="265"/>
      <c r="O681" s="265"/>
      <c r="P681" s="259"/>
      <c r="Q681" s="259"/>
      <c r="R681" s="259"/>
      <c r="S681" s="259"/>
      <c r="T681" s="259"/>
      <c r="U681" s="259"/>
      <c r="V681" s="259"/>
      <c r="W681" s="259"/>
      <c r="X681" s="259"/>
      <c r="Y681" s="260"/>
    </row>
    <row r="682" spans="1:25" ht="13">
      <c r="A682" s="261"/>
      <c r="B682" s="261"/>
      <c r="C682" s="261"/>
      <c r="D682" s="265"/>
      <c r="E682" s="265"/>
      <c r="F682" s="265"/>
      <c r="G682" s="265"/>
      <c r="H682" s="265"/>
      <c r="I682" s="265"/>
      <c r="J682" s="265"/>
      <c r="K682" s="259"/>
      <c r="L682" s="265"/>
      <c r="M682" s="265"/>
      <c r="N682" s="265"/>
      <c r="O682" s="265"/>
      <c r="P682" s="259"/>
      <c r="Q682" s="259"/>
      <c r="R682" s="259"/>
      <c r="S682" s="259"/>
      <c r="T682" s="259"/>
      <c r="U682" s="259"/>
      <c r="V682" s="259"/>
      <c r="W682" s="259"/>
      <c r="X682" s="259"/>
      <c r="Y682" s="260"/>
    </row>
    <row r="683" spans="1:25" ht="13">
      <c r="A683" s="261"/>
      <c r="B683" s="261"/>
      <c r="C683" s="261"/>
      <c r="D683" s="265"/>
      <c r="E683" s="265"/>
      <c r="F683" s="265"/>
      <c r="G683" s="265"/>
      <c r="H683" s="265"/>
      <c r="I683" s="265"/>
      <c r="J683" s="265"/>
      <c r="K683" s="259"/>
      <c r="L683" s="265"/>
      <c r="M683" s="265"/>
      <c r="N683" s="265"/>
      <c r="O683" s="265"/>
      <c r="P683" s="259"/>
      <c r="Q683" s="259"/>
      <c r="R683" s="259"/>
      <c r="S683" s="259"/>
      <c r="T683" s="259"/>
      <c r="U683" s="259"/>
      <c r="V683" s="259"/>
      <c r="W683" s="259"/>
      <c r="X683" s="259"/>
      <c r="Y683" s="260"/>
    </row>
    <row r="684" spans="1:25" ht="13">
      <c r="A684" s="261"/>
      <c r="B684" s="261"/>
      <c r="C684" s="261"/>
      <c r="D684" s="265"/>
      <c r="E684" s="265"/>
      <c r="F684" s="265"/>
      <c r="G684" s="265"/>
      <c r="H684" s="265"/>
      <c r="I684" s="265"/>
      <c r="J684" s="265"/>
      <c r="K684" s="259"/>
      <c r="L684" s="265"/>
      <c r="M684" s="265"/>
      <c r="N684" s="265"/>
      <c r="O684" s="265"/>
      <c r="P684" s="259"/>
      <c r="Q684" s="259"/>
      <c r="R684" s="259"/>
      <c r="S684" s="259"/>
      <c r="T684" s="259"/>
      <c r="U684" s="259"/>
      <c r="V684" s="259"/>
      <c r="W684" s="259"/>
      <c r="X684" s="259"/>
      <c r="Y684" s="260"/>
    </row>
    <row r="685" spans="1:25" ht="13">
      <c r="A685" s="261"/>
      <c r="B685" s="261"/>
      <c r="C685" s="261"/>
      <c r="D685" s="265"/>
      <c r="E685" s="265"/>
      <c r="F685" s="265"/>
      <c r="G685" s="265"/>
      <c r="H685" s="265"/>
      <c r="I685" s="265"/>
      <c r="J685" s="265"/>
      <c r="K685" s="259"/>
      <c r="L685" s="265"/>
      <c r="M685" s="265"/>
      <c r="N685" s="265"/>
      <c r="O685" s="265"/>
      <c r="P685" s="259"/>
      <c r="Q685" s="259"/>
      <c r="R685" s="259"/>
      <c r="S685" s="259"/>
      <c r="T685" s="259"/>
      <c r="U685" s="259"/>
      <c r="V685" s="259"/>
      <c r="W685" s="259"/>
      <c r="X685" s="259"/>
      <c r="Y685" s="260"/>
    </row>
    <row r="686" spans="1:25" ht="13">
      <c r="A686" s="261"/>
      <c r="B686" s="261"/>
      <c r="C686" s="261"/>
      <c r="D686" s="265"/>
      <c r="E686" s="265"/>
      <c r="F686" s="265"/>
      <c r="G686" s="265"/>
      <c r="H686" s="265"/>
      <c r="I686" s="265"/>
      <c r="J686" s="265"/>
      <c r="K686" s="259"/>
      <c r="L686" s="265"/>
      <c r="M686" s="265"/>
      <c r="N686" s="265"/>
      <c r="O686" s="265"/>
      <c r="P686" s="259"/>
      <c r="Q686" s="259"/>
      <c r="R686" s="259"/>
      <c r="S686" s="259"/>
      <c r="T686" s="259"/>
      <c r="U686" s="259"/>
      <c r="V686" s="259"/>
      <c r="W686" s="259"/>
      <c r="X686" s="259"/>
      <c r="Y686" s="260"/>
    </row>
    <row r="687" spans="1:25" ht="13">
      <c r="A687" s="261"/>
      <c r="B687" s="261"/>
      <c r="C687" s="261"/>
      <c r="D687" s="265"/>
      <c r="E687" s="265"/>
      <c r="F687" s="265"/>
      <c r="G687" s="265"/>
      <c r="H687" s="265"/>
      <c r="I687" s="265"/>
      <c r="J687" s="265"/>
      <c r="K687" s="259"/>
      <c r="L687" s="265"/>
      <c r="M687" s="265"/>
      <c r="N687" s="265"/>
      <c r="O687" s="265"/>
      <c r="P687" s="259"/>
      <c r="Q687" s="259"/>
      <c r="R687" s="259"/>
      <c r="S687" s="259"/>
      <c r="T687" s="259"/>
      <c r="U687" s="259"/>
      <c r="V687" s="259"/>
      <c r="W687" s="259"/>
      <c r="X687" s="259"/>
      <c r="Y687" s="260"/>
    </row>
    <row r="688" spans="1:25" ht="13">
      <c r="A688" s="261"/>
      <c r="B688" s="261"/>
      <c r="C688" s="261"/>
      <c r="D688" s="265"/>
      <c r="E688" s="265"/>
      <c r="F688" s="265"/>
      <c r="G688" s="265"/>
      <c r="H688" s="265"/>
      <c r="I688" s="265"/>
      <c r="J688" s="265"/>
      <c r="K688" s="259"/>
      <c r="L688" s="265"/>
      <c r="M688" s="265"/>
      <c r="N688" s="265"/>
      <c r="O688" s="265"/>
      <c r="P688" s="259"/>
      <c r="Q688" s="259"/>
      <c r="R688" s="259"/>
      <c r="S688" s="259"/>
      <c r="T688" s="259"/>
      <c r="U688" s="259"/>
      <c r="V688" s="259"/>
      <c r="W688" s="259"/>
      <c r="X688" s="259"/>
      <c r="Y688" s="260"/>
    </row>
    <row r="689" spans="1:25" ht="13">
      <c r="A689" s="261"/>
      <c r="B689" s="261"/>
      <c r="C689" s="261"/>
      <c r="D689" s="265"/>
      <c r="E689" s="265"/>
      <c r="F689" s="265"/>
      <c r="G689" s="265"/>
      <c r="H689" s="265"/>
      <c r="I689" s="265"/>
      <c r="J689" s="265"/>
      <c r="K689" s="259"/>
      <c r="L689" s="265"/>
      <c r="M689" s="265"/>
      <c r="N689" s="265"/>
      <c r="O689" s="265"/>
      <c r="P689" s="259"/>
      <c r="Q689" s="259"/>
      <c r="R689" s="259"/>
      <c r="S689" s="259"/>
      <c r="T689" s="259"/>
      <c r="U689" s="259"/>
      <c r="V689" s="259"/>
      <c r="W689" s="259"/>
      <c r="X689" s="259"/>
      <c r="Y689" s="260"/>
    </row>
    <row r="690" spans="1:25" ht="13">
      <c r="A690" s="261"/>
      <c r="B690" s="261"/>
      <c r="C690" s="261"/>
      <c r="D690" s="265"/>
      <c r="E690" s="265"/>
      <c r="F690" s="265"/>
      <c r="G690" s="265"/>
      <c r="H690" s="265"/>
      <c r="I690" s="265"/>
      <c r="J690" s="265"/>
      <c r="K690" s="259"/>
      <c r="L690" s="265"/>
      <c r="M690" s="265"/>
      <c r="N690" s="265"/>
      <c r="O690" s="265"/>
      <c r="P690" s="259"/>
      <c r="Q690" s="259"/>
      <c r="R690" s="259"/>
      <c r="S690" s="259"/>
      <c r="T690" s="259"/>
      <c r="U690" s="259"/>
      <c r="V690" s="259"/>
      <c r="W690" s="259"/>
      <c r="X690" s="259"/>
      <c r="Y690" s="260"/>
    </row>
    <row r="691" spans="1:25" ht="13">
      <c r="A691" s="261"/>
      <c r="B691" s="261"/>
      <c r="C691" s="261"/>
      <c r="D691" s="265"/>
      <c r="E691" s="265"/>
      <c r="F691" s="265"/>
      <c r="G691" s="265"/>
      <c r="H691" s="265"/>
      <c r="I691" s="265"/>
      <c r="J691" s="265"/>
      <c r="K691" s="259"/>
      <c r="L691" s="265"/>
      <c r="M691" s="265"/>
      <c r="N691" s="265"/>
      <c r="O691" s="265"/>
      <c r="P691" s="259"/>
      <c r="Q691" s="259"/>
      <c r="R691" s="259"/>
      <c r="S691" s="259"/>
      <c r="T691" s="259"/>
      <c r="U691" s="259"/>
      <c r="V691" s="259"/>
      <c r="W691" s="259"/>
      <c r="X691" s="259"/>
      <c r="Y691" s="260"/>
    </row>
    <row r="692" spans="1:25" ht="13">
      <c r="A692" s="261"/>
      <c r="B692" s="261"/>
      <c r="C692" s="261"/>
      <c r="D692" s="265"/>
      <c r="E692" s="265"/>
      <c r="F692" s="265"/>
      <c r="G692" s="265"/>
      <c r="H692" s="265"/>
      <c r="I692" s="265"/>
      <c r="J692" s="265"/>
      <c r="K692" s="259"/>
      <c r="L692" s="265"/>
      <c r="M692" s="265"/>
      <c r="N692" s="265"/>
      <c r="O692" s="265"/>
      <c r="P692" s="259"/>
      <c r="Q692" s="259"/>
      <c r="R692" s="259"/>
      <c r="S692" s="259"/>
      <c r="T692" s="259"/>
      <c r="U692" s="259"/>
      <c r="V692" s="259"/>
      <c r="W692" s="259"/>
      <c r="X692" s="259"/>
      <c r="Y692" s="260"/>
    </row>
    <row r="693" spans="1:25" ht="13">
      <c r="A693" s="261"/>
      <c r="B693" s="261"/>
      <c r="C693" s="261"/>
      <c r="D693" s="265"/>
      <c r="E693" s="265"/>
      <c r="F693" s="265"/>
      <c r="G693" s="265"/>
      <c r="H693" s="265"/>
      <c r="I693" s="265"/>
      <c r="J693" s="265"/>
      <c r="K693" s="259"/>
      <c r="L693" s="265"/>
      <c r="M693" s="265"/>
      <c r="N693" s="265"/>
      <c r="O693" s="265"/>
      <c r="P693" s="259"/>
      <c r="Q693" s="259"/>
      <c r="R693" s="259"/>
      <c r="S693" s="259"/>
      <c r="T693" s="259"/>
      <c r="U693" s="259"/>
      <c r="V693" s="259"/>
      <c r="W693" s="259"/>
      <c r="X693" s="259"/>
      <c r="Y693" s="260"/>
    </row>
    <row r="694" spans="1:25" ht="13">
      <c r="A694" s="261"/>
      <c r="B694" s="261"/>
      <c r="C694" s="261"/>
      <c r="D694" s="265"/>
      <c r="E694" s="265"/>
      <c r="F694" s="265"/>
      <c r="G694" s="265"/>
      <c r="H694" s="265"/>
      <c r="I694" s="265"/>
      <c r="J694" s="265"/>
      <c r="K694" s="259"/>
      <c r="L694" s="265"/>
      <c r="M694" s="265"/>
      <c r="N694" s="265"/>
      <c r="O694" s="265"/>
      <c r="P694" s="259"/>
      <c r="Q694" s="259"/>
      <c r="R694" s="259"/>
      <c r="S694" s="259"/>
      <c r="T694" s="259"/>
      <c r="U694" s="259"/>
      <c r="V694" s="259"/>
      <c r="W694" s="259"/>
      <c r="X694" s="259"/>
      <c r="Y694" s="260"/>
    </row>
    <row r="695" spans="1:25" ht="13">
      <c r="A695" s="261"/>
      <c r="B695" s="261"/>
      <c r="C695" s="261"/>
      <c r="D695" s="265"/>
      <c r="E695" s="265"/>
      <c r="F695" s="265"/>
      <c r="G695" s="265"/>
      <c r="H695" s="265"/>
      <c r="I695" s="265"/>
      <c r="J695" s="265"/>
      <c r="K695" s="259"/>
      <c r="L695" s="265"/>
      <c r="M695" s="265"/>
      <c r="N695" s="265"/>
      <c r="O695" s="265"/>
      <c r="P695" s="259"/>
      <c r="Q695" s="259"/>
      <c r="R695" s="259"/>
      <c r="S695" s="259"/>
      <c r="T695" s="259"/>
      <c r="U695" s="259"/>
      <c r="V695" s="259"/>
      <c r="W695" s="259"/>
      <c r="X695" s="259"/>
      <c r="Y695" s="260"/>
    </row>
    <row r="696" spans="1:25" ht="13">
      <c r="A696" s="261"/>
      <c r="B696" s="261"/>
      <c r="C696" s="261"/>
      <c r="D696" s="265"/>
      <c r="E696" s="265"/>
      <c r="F696" s="265"/>
      <c r="G696" s="265"/>
      <c r="H696" s="265"/>
      <c r="I696" s="265"/>
      <c r="J696" s="265"/>
      <c r="K696" s="259"/>
      <c r="L696" s="265"/>
      <c r="M696" s="265"/>
      <c r="N696" s="265"/>
      <c r="O696" s="265"/>
      <c r="P696" s="259"/>
      <c r="Q696" s="259"/>
      <c r="R696" s="259"/>
      <c r="S696" s="259"/>
      <c r="T696" s="259"/>
      <c r="U696" s="259"/>
      <c r="V696" s="259"/>
      <c r="W696" s="259"/>
      <c r="X696" s="259"/>
      <c r="Y696" s="260"/>
    </row>
    <row r="697" spans="1:25" ht="13">
      <c r="A697" s="261"/>
      <c r="B697" s="261"/>
      <c r="C697" s="261"/>
      <c r="D697" s="265"/>
      <c r="E697" s="265"/>
      <c r="F697" s="265"/>
      <c r="G697" s="265"/>
      <c r="H697" s="265"/>
      <c r="I697" s="265"/>
      <c r="J697" s="265"/>
      <c r="K697" s="259"/>
      <c r="L697" s="265"/>
      <c r="M697" s="265"/>
      <c r="N697" s="265"/>
      <c r="O697" s="265"/>
      <c r="P697" s="259"/>
      <c r="Q697" s="259"/>
      <c r="R697" s="259"/>
      <c r="S697" s="259"/>
      <c r="T697" s="259"/>
      <c r="U697" s="259"/>
      <c r="V697" s="259"/>
      <c r="W697" s="259"/>
      <c r="X697" s="259"/>
      <c r="Y697" s="260"/>
    </row>
    <row r="698" spans="1:25" ht="13">
      <c r="A698" s="261"/>
      <c r="B698" s="261"/>
      <c r="C698" s="261"/>
      <c r="D698" s="265"/>
      <c r="E698" s="265"/>
      <c r="F698" s="265"/>
      <c r="G698" s="265"/>
      <c r="H698" s="265"/>
      <c r="I698" s="265"/>
      <c r="J698" s="265"/>
      <c r="K698" s="259"/>
      <c r="L698" s="265"/>
      <c r="M698" s="265"/>
      <c r="N698" s="265"/>
      <c r="O698" s="265"/>
      <c r="P698" s="259"/>
      <c r="Q698" s="259"/>
      <c r="R698" s="259"/>
      <c r="S698" s="259"/>
      <c r="T698" s="259"/>
      <c r="U698" s="259"/>
      <c r="V698" s="259"/>
      <c r="W698" s="259"/>
      <c r="X698" s="259"/>
      <c r="Y698" s="260"/>
    </row>
    <row r="699" spans="1:25" ht="13">
      <c r="A699" s="261"/>
      <c r="B699" s="261"/>
      <c r="C699" s="261"/>
      <c r="D699" s="265"/>
      <c r="E699" s="265"/>
      <c r="F699" s="265"/>
      <c r="G699" s="265"/>
      <c r="H699" s="265"/>
      <c r="I699" s="265"/>
      <c r="J699" s="265"/>
      <c r="K699" s="259"/>
      <c r="L699" s="265"/>
      <c r="M699" s="265"/>
      <c r="N699" s="265"/>
      <c r="O699" s="265"/>
      <c r="P699" s="259"/>
      <c r="Q699" s="259"/>
      <c r="R699" s="259"/>
      <c r="S699" s="259"/>
      <c r="T699" s="259"/>
      <c r="U699" s="259"/>
      <c r="V699" s="259"/>
      <c r="W699" s="259"/>
      <c r="X699" s="259"/>
      <c r="Y699" s="260"/>
    </row>
    <row r="700" spans="1:25" ht="13">
      <c r="A700" s="261"/>
      <c r="B700" s="261"/>
      <c r="C700" s="261"/>
      <c r="D700" s="265"/>
      <c r="E700" s="265"/>
      <c r="F700" s="265"/>
      <c r="G700" s="265"/>
      <c r="H700" s="265"/>
      <c r="I700" s="265"/>
      <c r="J700" s="265"/>
      <c r="K700" s="259"/>
      <c r="L700" s="265"/>
      <c r="M700" s="265"/>
      <c r="N700" s="265"/>
      <c r="O700" s="265"/>
      <c r="P700" s="259"/>
      <c r="Q700" s="259"/>
      <c r="R700" s="259"/>
      <c r="S700" s="259"/>
      <c r="T700" s="259"/>
      <c r="U700" s="259"/>
      <c r="V700" s="259"/>
      <c r="W700" s="259"/>
      <c r="X700" s="259"/>
      <c r="Y700" s="260"/>
    </row>
    <row r="701" spans="1:25" ht="13">
      <c r="A701" s="261"/>
      <c r="B701" s="261"/>
      <c r="C701" s="261"/>
      <c r="D701" s="265"/>
      <c r="E701" s="265"/>
      <c r="F701" s="265"/>
      <c r="G701" s="265"/>
      <c r="H701" s="265"/>
      <c r="I701" s="265"/>
      <c r="J701" s="265"/>
      <c r="K701" s="259"/>
      <c r="L701" s="265"/>
      <c r="M701" s="265"/>
      <c r="N701" s="265"/>
      <c r="O701" s="265"/>
      <c r="P701" s="259"/>
      <c r="Q701" s="259"/>
      <c r="R701" s="259"/>
      <c r="S701" s="259"/>
      <c r="T701" s="259"/>
      <c r="U701" s="259"/>
      <c r="V701" s="259"/>
      <c r="W701" s="259"/>
      <c r="X701" s="259"/>
      <c r="Y701" s="260"/>
    </row>
    <row r="702" spans="1:25" ht="13">
      <c r="A702" s="261"/>
      <c r="B702" s="261"/>
      <c r="C702" s="261"/>
      <c r="D702" s="265"/>
      <c r="E702" s="265"/>
      <c r="F702" s="265"/>
      <c r="G702" s="265"/>
      <c r="H702" s="265"/>
      <c r="I702" s="265"/>
      <c r="J702" s="265"/>
      <c r="K702" s="259"/>
      <c r="L702" s="265"/>
      <c r="M702" s="265"/>
      <c r="N702" s="265"/>
      <c r="O702" s="265"/>
      <c r="P702" s="259"/>
      <c r="Q702" s="259"/>
      <c r="R702" s="259"/>
      <c r="S702" s="259"/>
      <c r="T702" s="259"/>
      <c r="U702" s="259"/>
      <c r="V702" s="259"/>
      <c r="W702" s="259"/>
      <c r="X702" s="259"/>
      <c r="Y702" s="260"/>
    </row>
    <row r="703" spans="1:25" ht="13">
      <c r="A703" s="261"/>
      <c r="B703" s="261"/>
      <c r="C703" s="261"/>
      <c r="D703" s="265"/>
      <c r="E703" s="265"/>
      <c r="F703" s="265"/>
      <c r="G703" s="265"/>
      <c r="H703" s="265"/>
      <c r="I703" s="265"/>
      <c r="J703" s="265"/>
      <c r="K703" s="259"/>
      <c r="L703" s="265"/>
      <c r="M703" s="265"/>
      <c r="N703" s="265"/>
      <c r="O703" s="265"/>
      <c r="P703" s="259"/>
      <c r="Q703" s="259"/>
      <c r="R703" s="259"/>
      <c r="S703" s="259"/>
      <c r="T703" s="259"/>
      <c r="U703" s="259"/>
      <c r="V703" s="259"/>
      <c r="W703" s="259"/>
      <c r="X703" s="259"/>
      <c r="Y703" s="260"/>
    </row>
    <row r="704" spans="1:25" ht="13">
      <c r="A704" s="261"/>
      <c r="B704" s="261"/>
      <c r="C704" s="261"/>
      <c r="D704" s="265"/>
      <c r="E704" s="265"/>
      <c r="F704" s="265"/>
      <c r="G704" s="265"/>
      <c r="H704" s="265"/>
      <c r="I704" s="265"/>
      <c r="J704" s="265"/>
      <c r="K704" s="259"/>
      <c r="L704" s="265"/>
      <c r="M704" s="265"/>
      <c r="N704" s="265"/>
      <c r="O704" s="265"/>
      <c r="P704" s="259"/>
      <c r="Q704" s="259"/>
      <c r="R704" s="259"/>
      <c r="S704" s="259"/>
      <c r="T704" s="259"/>
      <c r="U704" s="259"/>
      <c r="V704" s="259"/>
      <c r="W704" s="259"/>
      <c r="X704" s="259"/>
      <c r="Y704" s="260"/>
    </row>
    <row r="705" spans="1:25" ht="13">
      <c r="A705" s="261"/>
      <c r="B705" s="261"/>
      <c r="C705" s="261"/>
      <c r="D705" s="265"/>
      <c r="E705" s="265"/>
      <c r="F705" s="265"/>
      <c r="G705" s="265"/>
      <c r="H705" s="265"/>
      <c r="I705" s="265"/>
      <c r="J705" s="265"/>
      <c r="K705" s="259"/>
      <c r="L705" s="265"/>
      <c r="M705" s="265"/>
      <c r="N705" s="265"/>
      <c r="O705" s="265"/>
      <c r="P705" s="259"/>
      <c r="Q705" s="259"/>
      <c r="R705" s="259"/>
      <c r="S705" s="259"/>
      <c r="T705" s="259"/>
      <c r="U705" s="259"/>
      <c r="V705" s="259"/>
      <c r="W705" s="259"/>
      <c r="X705" s="259"/>
      <c r="Y705" s="260"/>
    </row>
    <row r="706" spans="1:25" ht="13">
      <c r="A706" s="261"/>
      <c r="B706" s="261"/>
      <c r="C706" s="261"/>
      <c r="D706" s="265"/>
      <c r="E706" s="265"/>
      <c r="F706" s="265"/>
      <c r="G706" s="265"/>
      <c r="H706" s="265"/>
      <c r="I706" s="265"/>
      <c r="J706" s="265"/>
      <c r="K706" s="259"/>
      <c r="L706" s="265"/>
      <c r="M706" s="265"/>
      <c r="N706" s="265"/>
      <c r="O706" s="265"/>
      <c r="P706" s="259"/>
      <c r="Q706" s="259"/>
      <c r="R706" s="259"/>
      <c r="S706" s="259"/>
      <c r="T706" s="259"/>
      <c r="U706" s="259"/>
      <c r="V706" s="259"/>
      <c r="W706" s="259"/>
      <c r="X706" s="259"/>
      <c r="Y706" s="260"/>
    </row>
    <row r="707" spans="1:25" ht="13">
      <c r="A707" s="261"/>
      <c r="B707" s="261"/>
      <c r="C707" s="261"/>
      <c r="D707" s="265"/>
      <c r="E707" s="265"/>
      <c r="F707" s="265"/>
      <c r="G707" s="265"/>
      <c r="H707" s="265"/>
      <c r="I707" s="265"/>
      <c r="J707" s="265"/>
      <c r="K707" s="259"/>
      <c r="L707" s="265"/>
      <c r="M707" s="265"/>
      <c r="N707" s="265"/>
      <c r="O707" s="265"/>
      <c r="P707" s="259"/>
      <c r="Q707" s="259"/>
      <c r="R707" s="259"/>
      <c r="S707" s="259"/>
      <c r="T707" s="259"/>
      <c r="U707" s="259"/>
      <c r="V707" s="259"/>
      <c r="W707" s="259"/>
      <c r="X707" s="259"/>
      <c r="Y707" s="260"/>
    </row>
    <row r="708" spans="1:25" ht="13">
      <c r="A708" s="261"/>
      <c r="B708" s="261"/>
      <c r="C708" s="261"/>
      <c r="D708" s="265"/>
      <c r="E708" s="265"/>
      <c r="F708" s="265"/>
      <c r="G708" s="265"/>
      <c r="H708" s="265"/>
      <c r="I708" s="265"/>
      <c r="J708" s="265"/>
      <c r="K708" s="259"/>
      <c r="L708" s="265"/>
      <c r="M708" s="265"/>
      <c r="N708" s="265"/>
      <c r="O708" s="265"/>
      <c r="P708" s="259"/>
      <c r="Q708" s="259"/>
      <c r="R708" s="259"/>
      <c r="S708" s="259"/>
      <c r="T708" s="259"/>
      <c r="U708" s="259"/>
      <c r="V708" s="259"/>
      <c r="W708" s="259"/>
      <c r="X708" s="259"/>
      <c r="Y708" s="260"/>
    </row>
    <row r="709" spans="1:25" ht="13">
      <c r="A709" s="261"/>
      <c r="B709" s="261"/>
      <c r="C709" s="261"/>
      <c r="D709" s="265"/>
      <c r="E709" s="265"/>
      <c r="F709" s="265"/>
      <c r="G709" s="265"/>
      <c r="H709" s="265"/>
      <c r="I709" s="265"/>
      <c r="J709" s="265"/>
      <c r="K709" s="259"/>
      <c r="L709" s="265"/>
      <c r="M709" s="265"/>
      <c r="N709" s="265"/>
      <c r="O709" s="265"/>
      <c r="P709" s="259"/>
      <c r="Q709" s="259"/>
      <c r="R709" s="259"/>
      <c r="S709" s="259"/>
      <c r="T709" s="259"/>
      <c r="U709" s="259"/>
      <c r="V709" s="259"/>
      <c r="W709" s="259"/>
      <c r="X709" s="259"/>
      <c r="Y709" s="260"/>
    </row>
    <row r="710" spans="1:25" ht="13">
      <c r="A710" s="261"/>
      <c r="B710" s="261"/>
      <c r="C710" s="261"/>
      <c r="D710" s="265"/>
      <c r="E710" s="265"/>
      <c r="F710" s="265"/>
      <c r="G710" s="265"/>
      <c r="H710" s="265"/>
      <c r="I710" s="265"/>
      <c r="J710" s="265"/>
      <c r="K710" s="259"/>
      <c r="L710" s="265"/>
      <c r="M710" s="265"/>
      <c r="N710" s="265"/>
      <c r="O710" s="265"/>
      <c r="P710" s="259"/>
      <c r="Q710" s="259"/>
      <c r="R710" s="259"/>
      <c r="S710" s="259"/>
      <c r="T710" s="259"/>
      <c r="U710" s="259"/>
      <c r="V710" s="259"/>
      <c r="W710" s="259"/>
      <c r="X710" s="259"/>
      <c r="Y710" s="260"/>
    </row>
    <row r="711" spans="1:25" ht="13">
      <c r="A711" s="261"/>
      <c r="B711" s="261"/>
      <c r="C711" s="261"/>
      <c r="D711" s="265"/>
      <c r="E711" s="265"/>
      <c r="F711" s="265"/>
      <c r="G711" s="265"/>
      <c r="H711" s="265"/>
      <c r="I711" s="265"/>
      <c r="J711" s="265"/>
      <c r="K711" s="259"/>
      <c r="L711" s="265"/>
      <c r="M711" s="265"/>
      <c r="N711" s="265"/>
      <c r="O711" s="265"/>
      <c r="P711" s="259"/>
      <c r="Q711" s="259"/>
      <c r="R711" s="259"/>
      <c r="S711" s="259"/>
      <c r="T711" s="259"/>
      <c r="U711" s="259"/>
      <c r="V711" s="259"/>
      <c r="W711" s="259"/>
      <c r="X711" s="259"/>
      <c r="Y711" s="260"/>
    </row>
    <row r="712" spans="1:25" ht="13">
      <c r="A712" s="261"/>
      <c r="B712" s="261"/>
      <c r="C712" s="261"/>
      <c r="D712" s="265"/>
      <c r="E712" s="265"/>
      <c r="F712" s="265"/>
      <c r="G712" s="265"/>
      <c r="H712" s="265"/>
      <c r="I712" s="265"/>
      <c r="J712" s="265"/>
      <c r="K712" s="259"/>
      <c r="L712" s="265"/>
      <c r="M712" s="265"/>
      <c r="N712" s="265"/>
      <c r="O712" s="265"/>
      <c r="P712" s="259"/>
      <c r="Q712" s="259"/>
      <c r="R712" s="259"/>
      <c r="S712" s="259"/>
      <c r="T712" s="259"/>
      <c r="U712" s="259"/>
      <c r="V712" s="259"/>
      <c r="W712" s="259"/>
      <c r="X712" s="259"/>
      <c r="Y712" s="260"/>
    </row>
    <row r="713" spans="1:25" ht="13">
      <c r="A713" s="261"/>
      <c r="B713" s="261"/>
      <c r="C713" s="261"/>
      <c r="D713" s="265"/>
      <c r="E713" s="265"/>
      <c r="F713" s="265"/>
      <c r="G713" s="265"/>
      <c r="H713" s="265"/>
      <c r="I713" s="265"/>
      <c r="J713" s="265"/>
      <c r="K713" s="259"/>
      <c r="L713" s="265"/>
      <c r="M713" s="265"/>
      <c r="N713" s="265"/>
      <c r="O713" s="265"/>
      <c r="P713" s="259"/>
      <c r="Q713" s="259"/>
      <c r="R713" s="259"/>
      <c r="S713" s="259"/>
      <c r="T713" s="259"/>
      <c r="U713" s="259"/>
      <c r="V713" s="259"/>
      <c r="W713" s="259"/>
      <c r="X713" s="259"/>
      <c r="Y713" s="260"/>
    </row>
    <row r="714" spans="1:25" ht="13">
      <c r="A714" s="261"/>
      <c r="B714" s="261"/>
      <c r="C714" s="261"/>
      <c r="D714" s="265"/>
      <c r="E714" s="265"/>
      <c r="F714" s="265"/>
      <c r="G714" s="265"/>
      <c r="H714" s="265"/>
      <c r="I714" s="265"/>
      <c r="J714" s="265"/>
      <c r="K714" s="259"/>
      <c r="L714" s="265"/>
      <c r="M714" s="265"/>
      <c r="N714" s="265"/>
      <c r="O714" s="265"/>
      <c r="P714" s="259"/>
      <c r="Q714" s="259"/>
      <c r="R714" s="259"/>
      <c r="S714" s="259"/>
      <c r="T714" s="259"/>
      <c r="U714" s="259"/>
      <c r="V714" s="259"/>
      <c r="W714" s="259"/>
      <c r="X714" s="259"/>
      <c r="Y714" s="260"/>
    </row>
    <row r="715" spans="1:25" ht="13">
      <c r="A715" s="261"/>
      <c r="B715" s="261"/>
      <c r="C715" s="261"/>
      <c r="D715" s="265"/>
      <c r="E715" s="265"/>
      <c r="F715" s="265"/>
      <c r="G715" s="265"/>
      <c r="H715" s="265"/>
      <c r="I715" s="265"/>
      <c r="J715" s="265"/>
      <c r="K715" s="259"/>
      <c r="L715" s="265"/>
      <c r="M715" s="265"/>
      <c r="N715" s="265"/>
      <c r="O715" s="265"/>
      <c r="P715" s="259"/>
      <c r="Q715" s="259"/>
      <c r="R715" s="259"/>
      <c r="S715" s="259"/>
      <c r="T715" s="259"/>
      <c r="U715" s="259"/>
      <c r="V715" s="259"/>
      <c r="W715" s="259"/>
      <c r="X715" s="259"/>
      <c r="Y715" s="260"/>
    </row>
    <row r="716" spans="1:25" ht="13">
      <c r="A716" s="261"/>
      <c r="B716" s="261"/>
      <c r="C716" s="261"/>
      <c r="D716" s="265"/>
      <c r="E716" s="265"/>
      <c r="F716" s="265"/>
      <c r="G716" s="265"/>
      <c r="H716" s="265"/>
      <c r="I716" s="265"/>
      <c r="J716" s="265"/>
      <c r="K716" s="259"/>
      <c r="L716" s="265"/>
      <c r="M716" s="265"/>
      <c r="N716" s="265"/>
      <c r="O716" s="265"/>
      <c r="P716" s="259"/>
      <c r="Q716" s="259"/>
      <c r="R716" s="259"/>
      <c r="S716" s="259"/>
      <c r="T716" s="259"/>
      <c r="U716" s="259"/>
      <c r="V716" s="259"/>
      <c r="W716" s="259"/>
      <c r="X716" s="259"/>
      <c r="Y716" s="260"/>
    </row>
    <row r="717" spans="1:25" ht="13">
      <c r="A717" s="261"/>
      <c r="B717" s="261"/>
      <c r="C717" s="261"/>
      <c r="D717" s="265"/>
      <c r="E717" s="265"/>
      <c r="F717" s="265"/>
      <c r="G717" s="265"/>
      <c r="H717" s="265"/>
      <c r="I717" s="265"/>
      <c r="J717" s="265"/>
      <c r="K717" s="259"/>
      <c r="L717" s="265"/>
      <c r="M717" s="265"/>
      <c r="N717" s="265"/>
      <c r="O717" s="265"/>
      <c r="P717" s="259"/>
      <c r="Q717" s="259"/>
      <c r="R717" s="259"/>
      <c r="S717" s="259"/>
      <c r="T717" s="259"/>
      <c r="U717" s="259"/>
      <c r="V717" s="259"/>
      <c r="W717" s="259"/>
      <c r="X717" s="259"/>
      <c r="Y717" s="260"/>
    </row>
    <row r="718" spans="1:25" ht="13">
      <c r="A718" s="261"/>
      <c r="B718" s="261"/>
      <c r="C718" s="261"/>
      <c r="D718" s="265"/>
      <c r="E718" s="265"/>
      <c r="F718" s="265"/>
      <c r="G718" s="265"/>
      <c r="H718" s="265"/>
      <c r="I718" s="265"/>
      <c r="J718" s="265"/>
      <c r="K718" s="259"/>
      <c r="L718" s="265"/>
      <c r="M718" s="265"/>
      <c r="N718" s="265"/>
      <c r="O718" s="265"/>
      <c r="P718" s="259"/>
      <c r="Q718" s="259"/>
      <c r="R718" s="259"/>
      <c r="S718" s="259"/>
      <c r="T718" s="259"/>
      <c r="U718" s="259"/>
      <c r="V718" s="259"/>
      <c r="W718" s="259"/>
      <c r="X718" s="259"/>
      <c r="Y718" s="260"/>
    </row>
    <row r="719" spans="1:25" ht="13">
      <c r="A719" s="261"/>
      <c r="B719" s="261"/>
      <c r="C719" s="261"/>
      <c r="D719" s="265"/>
      <c r="E719" s="265"/>
      <c r="F719" s="265"/>
      <c r="G719" s="265"/>
      <c r="H719" s="265"/>
      <c r="I719" s="265"/>
      <c r="J719" s="265"/>
      <c r="K719" s="259"/>
      <c r="L719" s="265"/>
      <c r="M719" s="265"/>
      <c r="N719" s="265"/>
      <c r="O719" s="265"/>
      <c r="P719" s="259"/>
      <c r="Q719" s="259"/>
      <c r="R719" s="259"/>
      <c r="S719" s="259"/>
      <c r="T719" s="259"/>
      <c r="U719" s="259"/>
      <c r="V719" s="259"/>
      <c r="W719" s="259"/>
      <c r="X719" s="259"/>
      <c r="Y719" s="260"/>
    </row>
    <row r="720" spans="1:25" ht="13">
      <c r="A720" s="261"/>
      <c r="B720" s="261"/>
      <c r="C720" s="261"/>
      <c r="D720" s="265"/>
      <c r="E720" s="265"/>
      <c r="F720" s="265"/>
      <c r="G720" s="265"/>
      <c r="H720" s="265"/>
      <c r="I720" s="265"/>
      <c r="J720" s="265"/>
      <c r="K720" s="259"/>
      <c r="L720" s="265"/>
      <c r="M720" s="265"/>
      <c r="N720" s="265"/>
      <c r="O720" s="265"/>
      <c r="P720" s="259"/>
      <c r="Q720" s="259"/>
      <c r="R720" s="259"/>
      <c r="S720" s="259"/>
      <c r="T720" s="259"/>
      <c r="U720" s="259"/>
      <c r="V720" s="259"/>
      <c r="W720" s="259"/>
      <c r="X720" s="259"/>
      <c r="Y720" s="260"/>
    </row>
    <row r="721" spans="1:25" ht="13">
      <c r="A721" s="261"/>
      <c r="B721" s="261"/>
      <c r="C721" s="261"/>
      <c r="D721" s="265"/>
      <c r="E721" s="265"/>
      <c r="F721" s="265"/>
      <c r="G721" s="265"/>
      <c r="H721" s="265"/>
      <c r="I721" s="265"/>
      <c r="J721" s="265"/>
      <c r="K721" s="259"/>
      <c r="L721" s="265"/>
      <c r="M721" s="265"/>
      <c r="N721" s="265"/>
      <c r="O721" s="265"/>
      <c r="P721" s="259"/>
      <c r="Q721" s="259"/>
      <c r="R721" s="259"/>
      <c r="S721" s="259"/>
      <c r="T721" s="259"/>
      <c r="U721" s="259"/>
      <c r="V721" s="259"/>
      <c r="W721" s="259"/>
      <c r="X721" s="259"/>
      <c r="Y721" s="260"/>
    </row>
    <row r="722" spans="1:25" ht="13">
      <c r="A722" s="261"/>
      <c r="B722" s="261"/>
      <c r="C722" s="261"/>
      <c r="D722" s="265"/>
      <c r="E722" s="265"/>
      <c r="F722" s="265"/>
      <c r="G722" s="265"/>
      <c r="H722" s="265"/>
      <c r="I722" s="265"/>
      <c r="J722" s="265"/>
      <c r="K722" s="259"/>
      <c r="L722" s="265"/>
      <c r="M722" s="265"/>
      <c r="N722" s="265"/>
      <c r="O722" s="265"/>
      <c r="P722" s="259"/>
      <c r="Q722" s="259"/>
      <c r="R722" s="259"/>
      <c r="S722" s="259"/>
      <c r="T722" s="259"/>
      <c r="U722" s="259"/>
      <c r="V722" s="259"/>
      <c r="W722" s="259"/>
      <c r="X722" s="259"/>
      <c r="Y722" s="260"/>
    </row>
    <row r="723" spans="1:25" ht="13">
      <c r="A723" s="261"/>
      <c r="B723" s="261"/>
      <c r="C723" s="261"/>
      <c r="D723" s="265"/>
      <c r="E723" s="265"/>
      <c r="F723" s="265"/>
      <c r="G723" s="265"/>
      <c r="H723" s="265"/>
      <c r="I723" s="265"/>
      <c r="J723" s="265"/>
      <c r="K723" s="259"/>
      <c r="L723" s="265"/>
      <c r="M723" s="265"/>
      <c r="N723" s="265"/>
      <c r="O723" s="265"/>
      <c r="P723" s="259"/>
      <c r="Q723" s="259"/>
      <c r="R723" s="259"/>
      <c r="S723" s="259"/>
      <c r="T723" s="259"/>
      <c r="U723" s="259"/>
      <c r="V723" s="259"/>
      <c r="W723" s="259"/>
      <c r="X723" s="259"/>
      <c r="Y723" s="260"/>
    </row>
    <row r="724" spans="1:25" ht="13">
      <c r="A724" s="261"/>
      <c r="B724" s="261"/>
      <c r="C724" s="261"/>
      <c r="D724" s="265"/>
      <c r="E724" s="265"/>
      <c r="F724" s="265"/>
      <c r="G724" s="265"/>
      <c r="H724" s="265"/>
      <c r="I724" s="265"/>
      <c r="J724" s="265"/>
      <c r="K724" s="259"/>
      <c r="L724" s="265"/>
      <c r="M724" s="265"/>
      <c r="N724" s="265"/>
      <c r="O724" s="265"/>
      <c r="P724" s="259"/>
      <c r="Q724" s="259"/>
      <c r="R724" s="259"/>
      <c r="S724" s="259"/>
      <c r="T724" s="259"/>
      <c r="U724" s="259"/>
      <c r="V724" s="259"/>
      <c r="W724" s="259"/>
      <c r="X724" s="259"/>
      <c r="Y724" s="260"/>
    </row>
    <row r="725" spans="1:25" ht="13">
      <c r="A725" s="261"/>
      <c r="B725" s="261"/>
      <c r="C725" s="261"/>
      <c r="D725" s="265"/>
      <c r="E725" s="265"/>
      <c r="F725" s="265"/>
      <c r="G725" s="265"/>
      <c r="H725" s="265"/>
      <c r="I725" s="265"/>
      <c r="J725" s="265"/>
      <c r="K725" s="259"/>
      <c r="L725" s="265"/>
      <c r="M725" s="265"/>
      <c r="N725" s="265"/>
      <c r="O725" s="265"/>
      <c r="P725" s="259"/>
      <c r="Q725" s="259"/>
      <c r="R725" s="259"/>
      <c r="S725" s="259"/>
      <c r="T725" s="259"/>
      <c r="U725" s="259"/>
      <c r="V725" s="259"/>
      <c r="W725" s="259"/>
      <c r="X725" s="259"/>
      <c r="Y725" s="260"/>
    </row>
    <row r="726" spans="1:25" ht="13">
      <c r="A726" s="261"/>
      <c r="B726" s="261"/>
      <c r="C726" s="261"/>
      <c r="D726" s="265"/>
      <c r="E726" s="265"/>
      <c r="F726" s="265"/>
      <c r="G726" s="265"/>
      <c r="H726" s="265"/>
      <c r="I726" s="265"/>
      <c r="J726" s="265"/>
      <c r="K726" s="259"/>
      <c r="L726" s="265"/>
      <c r="M726" s="265"/>
      <c r="N726" s="265"/>
      <c r="O726" s="265"/>
      <c r="P726" s="259"/>
      <c r="Q726" s="259"/>
      <c r="R726" s="259"/>
      <c r="S726" s="259"/>
      <c r="T726" s="259"/>
      <c r="U726" s="259"/>
      <c r="V726" s="259"/>
      <c r="W726" s="259"/>
      <c r="X726" s="259"/>
      <c r="Y726" s="260"/>
    </row>
    <row r="727" spans="1:25" ht="13">
      <c r="A727" s="261"/>
      <c r="B727" s="261"/>
      <c r="C727" s="261"/>
      <c r="D727" s="265"/>
      <c r="E727" s="265"/>
      <c r="F727" s="265"/>
      <c r="G727" s="265"/>
      <c r="H727" s="265"/>
      <c r="I727" s="265"/>
      <c r="J727" s="265"/>
      <c r="K727" s="259"/>
      <c r="L727" s="265"/>
      <c r="M727" s="265"/>
      <c r="N727" s="265"/>
      <c r="O727" s="265"/>
      <c r="P727" s="259"/>
      <c r="Q727" s="259"/>
      <c r="R727" s="259"/>
      <c r="S727" s="259"/>
      <c r="T727" s="259"/>
      <c r="U727" s="259"/>
      <c r="V727" s="259"/>
      <c r="W727" s="259"/>
      <c r="X727" s="259"/>
      <c r="Y727" s="260"/>
    </row>
    <row r="728" spans="1:25" ht="13">
      <c r="A728" s="261"/>
      <c r="B728" s="261"/>
      <c r="C728" s="261"/>
      <c r="D728" s="265"/>
      <c r="E728" s="265"/>
      <c r="F728" s="265"/>
      <c r="G728" s="265"/>
      <c r="H728" s="265"/>
      <c r="I728" s="265"/>
      <c r="J728" s="265"/>
      <c r="K728" s="259"/>
      <c r="L728" s="265"/>
      <c r="M728" s="265"/>
      <c r="N728" s="265"/>
      <c r="O728" s="265"/>
      <c r="P728" s="259"/>
      <c r="Q728" s="259"/>
      <c r="R728" s="259"/>
      <c r="S728" s="259"/>
      <c r="T728" s="259"/>
      <c r="U728" s="259"/>
      <c r="V728" s="259"/>
      <c r="W728" s="259"/>
      <c r="X728" s="259"/>
      <c r="Y728" s="260"/>
    </row>
    <row r="729" spans="1:25" ht="13">
      <c r="A729" s="261"/>
      <c r="B729" s="261"/>
      <c r="C729" s="261"/>
      <c r="D729" s="265"/>
      <c r="E729" s="265"/>
      <c r="F729" s="265"/>
      <c r="G729" s="265"/>
      <c r="H729" s="265"/>
      <c r="I729" s="265"/>
      <c r="J729" s="265"/>
      <c r="K729" s="259"/>
      <c r="L729" s="265"/>
      <c r="M729" s="265"/>
      <c r="N729" s="265"/>
      <c r="O729" s="265"/>
      <c r="P729" s="259"/>
      <c r="Q729" s="259"/>
      <c r="R729" s="259"/>
      <c r="S729" s="259"/>
      <c r="T729" s="259"/>
      <c r="U729" s="259"/>
      <c r="V729" s="259"/>
      <c r="W729" s="259"/>
      <c r="X729" s="259"/>
      <c r="Y729" s="260"/>
    </row>
    <row r="730" spans="1:25" ht="13">
      <c r="A730" s="261"/>
      <c r="B730" s="261"/>
      <c r="C730" s="261"/>
      <c r="D730" s="265"/>
      <c r="E730" s="265"/>
      <c r="F730" s="265"/>
      <c r="G730" s="265"/>
      <c r="H730" s="265"/>
      <c r="I730" s="265"/>
      <c r="J730" s="265"/>
      <c r="K730" s="259"/>
      <c r="L730" s="265"/>
      <c r="M730" s="265"/>
      <c r="N730" s="265"/>
      <c r="O730" s="265"/>
      <c r="P730" s="259"/>
      <c r="Q730" s="259"/>
      <c r="R730" s="259"/>
      <c r="S730" s="259"/>
      <c r="T730" s="259"/>
      <c r="U730" s="259"/>
      <c r="V730" s="259"/>
      <c r="W730" s="259"/>
      <c r="X730" s="259"/>
      <c r="Y730" s="260"/>
    </row>
    <row r="731" spans="1:25" ht="13">
      <c r="A731" s="261"/>
      <c r="B731" s="261"/>
      <c r="C731" s="261"/>
      <c r="D731" s="265"/>
      <c r="E731" s="265"/>
      <c r="F731" s="265"/>
      <c r="G731" s="265"/>
      <c r="H731" s="265"/>
      <c r="I731" s="265"/>
      <c r="J731" s="265"/>
      <c r="K731" s="259"/>
      <c r="L731" s="265"/>
      <c r="M731" s="265"/>
      <c r="N731" s="265"/>
      <c r="O731" s="265"/>
      <c r="P731" s="259"/>
      <c r="Q731" s="259"/>
      <c r="R731" s="259"/>
      <c r="S731" s="259"/>
      <c r="T731" s="259"/>
      <c r="U731" s="259"/>
      <c r="V731" s="259"/>
      <c r="W731" s="259"/>
      <c r="X731" s="259"/>
      <c r="Y731" s="260"/>
    </row>
    <row r="732" spans="1:25" ht="13">
      <c r="A732" s="261"/>
      <c r="B732" s="261"/>
      <c r="C732" s="261"/>
      <c r="D732" s="265"/>
      <c r="E732" s="265"/>
      <c r="F732" s="265"/>
      <c r="G732" s="265"/>
      <c r="H732" s="265"/>
      <c r="I732" s="265"/>
      <c r="J732" s="265"/>
      <c r="K732" s="259"/>
      <c r="L732" s="265"/>
      <c r="M732" s="265"/>
      <c r="N732" s="265"/>
      <c r="O732" s="265"/>
      <c r="P732" s="259"/>
      <c r="Q732" s="259"/>
      <c r="R732" s="259"/>
      <c r="S732" s="259"/>
      <c r="T732" s="259"/>
      <c r="U732" s="259"/>
      <c r="V732" s="259"/>
      <c r="W732" s="259"/>
      <c r="X732" s="259"/>
      <c r="Y732" s="260"/>
    </row>
    <row r="733" spans="1:25" ht="13">
      <c r="A733" s="261"/>
      <c r="B733" s="261"/>
      <c r="C733" s="261"/>
      <c r="D733" s="265"/>
      <c r="E733" s="265"/>
      <c r="F733" s="265"/>
      <c r="G733" s="265"/>
      <c r="H733" s="265"/>
      <c r="I733" s="265"/>
      <c r="J733" s="265"/>
      <c r="K733" s="259"/>
      <c r="L733" s="265"/>
      <c r="M733" s="265"/>
      <c r="N733" s="265"/>
      <c r="O733" s="265"/>
      <c r="P733" s="259"/>
      <c r="Q733" s="259"/>
      <c r="R733" s="259"/>
      <c r="S733" s="259"/>
      <c r="T733" s="259"/>
      <c r="U733" s="259"/>
      <c r="V733" s="259"/>
      <c r="W733" s="259"/>
      <c r="X733" s="259"/>
      <c r="Y733" s="260"/>
    </row>
    <row r="734" spans="1:25" ht="13">
      <c r="A734" s="261"/>
      <c r="B734" s="261"/>
      <c r="C734" s="261"/>
      <c r="D734" s="265"/>
      <c r="E734" s="265"/>
      <c r="F734" s="265"/>
      <c r="G734" s="265"/>
      <c r="H734" s="265"/>
      <c r="I734" s="265"/>
      <c r="J734" s="265"/>
      <c r="K734" s="259"/>
      <c r="L734" s="265"/>
      <c r="M734" s="265"/>
      <c r="N734" s="265"/>
      <c r="O734" s="265"/>
      <c r="P734" s="259"/>
      <c r="Q734" s="259"/>
      <c r="R734" s="259"/>
      <c r="S734" s="259"/>
      <c r="T734" s="259"/>
      <c r="U734" s="259"/>
      <c r="V734" s="259"/>
      <c r="W734" s="259"/>
      <c r="X734" s="259"/>
      <c r="Y734" s="260"/>
    </row>
    <row r="735" spans="1:25" ht="13">
      <c r="A735" s="261"/>
      <c r="B735" s="261"/>
      <c r="C735" s="261"/>
      <c r="D735" s="265"/>
      <c r="E735" s="265"/>
      <c r="F735" s="265"/>
      <c r="G735" s="265"/>
      <c r="H735" s="265"/>
      <c r="I735" s="265"/>
      <c r="J735" s="265"/>
      <c r="K735" s="259"/>
      <c r="L735" s="265"/>
      <c r="M735" s="265"/>
      <c r="N735" s="265"/>
      <c r="O735" s="265"/>
      <c r="P735" s="259"/>
      <c r="Q735" s="259"/>
      <c r="R735" s="259"/>
      <c r="S735" s="259"/>
      <c r="T735" s="259"/>
      <c r="U735" s="259"/>
      <c r="V735" s="259"/>
      <c r="W735" s="259"/>
      <c r="X735" s="259"/>
      <c r="Y735" s="260"/>
    </row>
    <row r="736" spans="1:25" ht="13">
      <c r="A736" s="261"/>
      <c r="B736" s="261"/>
      <c r="C736" s="261"/>
      <c r="D736" s="265"/>
      <c r="E736" s="265"/>
      <c r="F736" s="265"/>
      <c r="G736" s="265"/>
      <c r="H736" s="265"/>
      <c r="I736" s="265"/>
      <c r="J736" s="265"/>
      <c r="K736" s="259"/>
      <c r="L736" s="265"/>
      <c r="M736" s="265"/>
      <c r="N736" s="265"/>
      <c r="O736" s="265"/>
      <c r="P736" s="259"/>
      <c r="Q736" s="259"/>
      <c r="R736" s="259"/>
      <c r="S736" s="259"/>
      <c r="T736" s="259"/>
      <c r="U736" s="259"/>
      <c r="V736" s="259"/>
      <c r="W736" s="259"/>
      <c r="X736" s="259"/>
      <c r="Y736" s="260"/>
    </row>
    <row r="737" spans="1:25" ht="13">
      <c r="A737" s="261"/>
      <c r="B737" s="261"/>
      <c r="C737" s="261"/>
      <c r="D737" s="265"/>
      <c r="E737" s="265"/>
      <c r="F737" s="265"/>
      <c r="G737" s="265"/>
      <c r="H737" s="265"/>
      <c r="I737" s="265"/>
      <c r="J737" s="265"/>
      <c r="K737" s="259"/>
      <c r="L737" s="265"/>
      <c r="M737" s="265"/>
      <c r="N737" s="265"/>
      <c r="O737" s="265"/>
      <c r="P737" s="259"/>
      <c r="Q737" s="259"/>
      <c r="R737" s="259"/>
      <c r="S737" s="259"/>
      <c r="T737" s="259"/>
      <c r="U737" s="259"/>
      <c r="V737" s="259"/>
      <c r="W737" s="259"/>
      <c r="X737" s="259"/>
      <c r="Y737" s="260"/>
    </row>
    <row r="738" spans="1:25" ht="13">
      <c r="A738" s="261"/>
      <c r="B738" s="261"/>
      <c r="C738" s="261"/>
      <c r="D738" s="265"/>
      <c r="E738" s="265"/>
      <c r="F738" s="265"/>
      <c r="G738" s="265"/>
      <c r="H738" s="265"/>
      <c r="I738" s="265"/>
      <c r="J738" s="265"/>
      <c r="K738" s="259"/>
      <c r="L738" s="265"/>
      <c r="M738" s="265"/>
      <c r="N738" s="265"/>
      <c r="O738" s="265"/>
      <c r="P738" s="259"/>
      <c r="Q738" s="259"/>
      <c r="R738" s="259"/>
      <c r="S738" s="259"/>
      <c r="T738" s="259"/>
      <c r="U738" s="259"/>
      <c r="V738" s="259"/>
      <c r="W738" s="259"/>
      <c r="X738" s="259"/>
      <c r="Y738" s="260"/>
    </row>
    <row r="739" spans="1:25" ht="13">
      <c r="A739" s="261"/>
      <c r="B739" s="261"/>
      <c r="C739" s="261"/>
      <c r="D739" s="265"/>
      <c r="E739" s="265"/>
      <c r="F739" s="265"/>
      <c r="G739" s="265"/>
      <c r="H739" s="265"/>
      <c r="I739" s="265"/>
      <c r="J739" s="265"/>
      <c r="K739" s="259"/>
      <c r="L739" s="265"/>
      <c r="M739" s="265"/>
      <c r="N739" s="265"/>
      <c r="O739" s="265"/>
      <c r="P739" s="259"/>
      <c r="Q739" s="259"/>
      <c r="R739" s="259"/>
      <c r="S739" s="259"/>
      <c r="T739" s="259"/>
      <c r="U739" s="259"/>
      <c r="V739" s="259"/>
      <c r="W739" s="259"/>
      <c r="X739" s="259"/>
      <c r="Y739" s="260"/>
    </row>
    <row r="740" spans="1:25" ht="13">
      <c r="A740" s="261"/>
      <c r="B740" s="261"/>
      <c r="C740" s="261"/>
      <c r="D740" s="265"/>
      <c r="E740" s="265"/>
      <c r="F740" s="265"/>
      <c r="G740" s="265"/>
      <c r="H740" s="265"/>
      <c r="I740" s="265"/>
      <c r="J740" s="265"/>
      <c r="K740" s="259"/>
      <c r="L740" s="265"/>
      <c r="M740" s="265"/>
      <c r="N740" s="265"/>
      <c r="O740" s="265"/>
      <c r="P740" s="259"/>
      <c r="Q740" s="259"/>
      <c r="R740" s="259"/>
      <c r="S740" s="259"/>
      <c r="T740" s="259"/>
      <c r="U740" s="259"/>
      <c r="V740" s="259"/>
      <c r="W740" s="259"/>
      <c r="X740" s="259"/>
      <c r="Y740" s="260"/>
    </row>
    <row r="741" spans="1:25" ht="13">
      <c r="A741" s="261"/>
      <c r="B741" s="261"/>
      <c r="C741" s="261"/>
      <c r="D741" s="265"/>
      <c r="E741" s="265"/>
      <c r="F741" s="265"/>
      <c r="G741" s="265"/>
      <c r="H741" s="265"/>
      <c r="I741" s="265"/>
      <c r="J741" s="265"/>
      <c r="K741" s="259"/>
      <c r="L741" s="265"/>
      <c r="M741" s="265"/>
      <c r="N741" s="265"/>
      <c r="O741" s="265"/>
      <c r="P741" s="259"/>
      <c r="Q741" s="259"/>
      <c r="R741" s="259"/>
      <c r="S741" s="259"/>
      <c r="T741" s="259"/>
      <c r="U741" s="259"/>
      <c r="V741" s="259"/>
      <c r="W741" s="259"/>
      <c r="X741" s="259"/>
      <c r="Y741" s="260"/>
    </row>
    <row r="742" spans="1:25" ht="13">
      <c r="A742" s="261"/>
      <c r="B742" s="261"/>
      <c r="C742" s="261"/>
      <c r="D742" s="265"/>
      <c r="E742" s="265"/>
      <c r="F742" s="265"/>
      <c r="G742" s="265"/>
      <c r="H742" s="265"/>
      <c r="I742" s="265"/>
      <c r="J742" s="265"/>
      <c r="K742" s="259"/>
      <c r="L742" s="265"/>
      <c r="M742" s="265"/>
      <c r="N742" s="265"/>
      <c r="O742" s="265"/>
      <c r="P742" s="259"/>
      <c r="Q742" s="259"/>
      <c r="R742" s="259"/>
      <c r="S742" s="259"/>
      <c r="T742" s="259"/>
      <c r="U742" s="259"/>
      <c r="V742" s="259"/>
      <c r="W742" s="259"/>
      <c r="X742" s="259"/>
      <c r="Y742" s="260"/>
    </row>
    <row r="743" spans="1:25" ht="13">
      <c r="A743" s="261"/>
      <c r="B743" s="261"/>
      <c r="C743" s="261"/>
      <c r="D743" s="265"/>
      <c r="E743" s="265"/>
      <c r="F743" s="265"/>
      <c r="G743" s="265"/>
      <c r="H743" s="265"/>
      <c r="I743" s="265"/>
      <c r="J743" s="265"/>
      <c r="K743" s="259"/>
      <c r="L743" s="265"/>
      <c r="M743" s="265"/>
      <c r="N743" s="265"/>
      <c r="O743" s="265"/>
      <c r="P743" s="259"/>
      <c r="Q743" s="259"/>
      <c r="R743" s="259"/>
      <c r="S743" s="259"/>
      <c r="T743" s="259"/>
      <c r="U743" s="259"/>
      <c r="V743" s="259"/>
      <c r="W743" s="259"/>
      <c r="X743" s="259"/>
      <c r="Y743" s="260"/>
    </row>
    <row r="744" spans="1:25" ht="13">
      <c r="A744" s="261"/>
      <c r="B744" s="261"/>
      <c r="C744" s="261"/>
      <c r="D744" s="265"/>
      <c r="E744" s="265"/>
      <c r="F744" s="265"/>
      <c r="G744" s="265"/>
      <c r="H744" s="265"/>
      <c r="I744" s="265"/>
      <c r="J744" s="265"/>
      <c r="K744" s="259"/>
      <c r="L744" s="265"/>
      <c r="M744" s="265"/>
      <c r="N744" s="265"/>
      <c r="O744" s="265"/>
      <c r="P744" s="259"/>
      <c r="Q744" s="259"/>
      <c r="R744" s="259"/>
      <c r="S744" s="259"/>
      <c r="T744" s="259"/>
      <c r="U744" s="259"/>
      <c r="V744" s="259"/>
      <c r="W744" s="259"/>
      <c r="X744" s="259"/>
      <c r="Y744" s="260"/>
    </row>
    <row r="745" spans="1:25" ht="13">
      <c r="A745" s="261"/>
      <c r="B745" s="261"/>
      <c r="C745" s="261"/>
      <c r="D745" s="265"/>
      <c r="E745" s="265"/>
      <c r="F745" s="265"/>
      <c r="G745" s="265"/>
      <c r="H745" s="265"/>
      <c r="I745" s="265"/>
      <c r="J745" s="265"/>
      <c r="K745" s="259"/>
      <c r="L745" s="265"/>
      <c r="M745" s="265"/>
      <c r="N745" s="265"/>
      <c r="O745" s="265"/>
      <c r="P745" s="259"/>
      <c r="Q745" s="259"/>
      <c r="R745" s="259"/>
      <c r="S745" s="259"/>
      <c r="T745" s="259"/>
      <c r="U745" s="259"/>
      <c r="V745" s="259"/>
      <c r="W745" s="259"/>
      <c r="X745" s="259"/>
      <c r="Y745" s="260"/>
    </row>
    <row r="746" spans="1:25" ht="13">
      <c r="A746" s="261"/>
      <c r="B746" s="261"/>
      <c r="C746" s="261"/>
      <c r="D746" s="265"/>
      <c r="E746" s="265"/>
      <c r="F746" s="265"/>
      <c r="G746" s="265"/>
      <c r="H746" s="265"/>
      <c r="I746" s="265"/>
      <c r="J746" s="265"/>
      <c r="K746" s="259"/>
      <c r="L746" s="265"/>
      <c r="M746" s="265"/>
      <c r="N746" s="265"/>
      <c r="O746" s="265"/>
      <c r="P746" s="259"/>
      <c r="Q746" s="259"/>
      <c r="R746" s="259"/>
      <c r="S746" s="259"/>
      <c r="T746" s="259"/>
      <c r="U746" s="259"/>
      <c r="V746" s="259"/>
      <c r="W746" s="259"/>
      <c r="X746" s="259"/>
      <c r="Y746" s="260"/>
    </row>
    <row r="747" spans="1:25" ht="13">
      <c r="A747" s="261"/>
      <c r="B747" s="261"/>
      <c r="C747" s="261"/>
      <c r="D747" s="265"/>
      <c r="E747" s="265"/>
      <c r="F747" s="265"/>
      <c r="G747" s="265"/>
      <c r="H747" s="265"/>
      <c r="I747" s="265"/>
      <c r="J747" s="265"/>
      <c r="K747" s="259"/>
      <c r="L747" s="265"/>
      <c r="M747" s="265"/>
      <c r="N747" s="265"/>
      <c r="O747" s="265"/>
      <c r="P747" s="259"/>
      <c r="Q747" s="259"/>
      <c r="R747" s="259"/>
      <c r="S747" s="259"/>
      <c r="T747" s="259"/>
      <c r="U747" s="259"/>
      <c r="V747" s="259"/>
      <c r="W747" s="259"/>
      <c r="X747" s="259"/>
      <c r="Y747" s="260"/>
    </row>
    <row r="748" spans="1:25" ht="13">
      <c r="A748" s="261"/>
      <c r="B748" s="261"/>
      <c r="C748" s="261"/>
      <c r="D748" s="265"/>
      <c r="E748" s="265"/>
      <c r="F748" s="265"/>
      <c r="G748" s="265"/>
      <c r="H748" s="265"/>
      <c r="I748" s="265"/>
      <c r="J748" s="265"/>
      <c r="K748" s="259"/>
      <c r="L748" s="265"/>
      <c r="M748" s="265"/>
      <c r="N748" s="265"/>
      <c r="O748" s="265"/>
      <c r="P748" s="259"/>
      <c r="Q748" s="259"/>
      <c r="R748" s="259"/>
      <c r="S748" s="259"/>
      <c r="T748" s="259"/>
      <c r="U748" s="259"/>
      <c r="V748" s="259"/>
      <c r="W748" s="259"/>
      <c r="X748" s="259"/>
      <c r="Y748" s="260"/>
    </row>
    <row r="749" spans="1:25" ht="13">
      <c r="A749" s="261"/>
      <c r="B749" s="261"/>
      <c r="C749" s="261"/>
      <c r="D749" s="265"/>
      <c r="E749" s="265"/>
      <c r="F749" s="265"/>
      <c r="G749" s="265"/>
      <c r="H749" s="265"/>
      <c r="I749" s="265"/>
      <c r="J749" s="265"/>
      <c r="K749" s="259"/>
      <c r="L749" s="265"/>
      <c r="M749" s="265"/>
      <c r="N749" s="265"/>
      <c r="O749" s="265"/>
      <c r="P749" s="259"/>
      <c r="Q749" s="259"/>
      <c r="R749" s="259"/>
      <c r="S749" s="259"/>
      <c r="T749" s="259"/>
      <c r="U749" s="259"/>
      <c r="V749" s="259"/>
      <c r="W749" s="259"/>
      <c r="X749" s="259"/>
      <c r="Y749" s="260"/>
    </row>
    <row r="750" spans="1:25" ht="13">
      <c r="A750" s="261"/>
      <c r="B750" s="261"/>
      <c r="C750" s="261"/>
      <c r="D750" s="265"/>
      <c r="E750" s="265"/>
      <c r="F750" s="265"/>
      <c r="G750" s="265"/>
      <c r="H750" s="265"/>
      <c r="I750" s="265"/>
      <c r="J750" s="265"/>
      <c r="K750" s="259"/>
      <c r="L750" s="265"/>
      <c r="M750" s="265"/>
      <c r="N750" s="265"/>
      <c r="O750" s="265"/>
      <c r="P750" s="259"/>
      <c r="Q750" s="259"/>
      <c r="R750" s="259"/>
      <c r="S750" s="259"/>
      <c r="T750" s="259"/>
      <c r="U750" s="259"/>
      <c r="V750" s="259"/>
      <c r="W750" s="259"/>
      <c r="X750" s="259"/>
      <c r="Y750" s="260"/>
    </row>
    <row r="751" spans="1:25" ht="13">
      <c r="A751" s="261"/>
      <c r="B751" s="261"/>
      <c r="C751" s="261"/>
      <c r="D751" s="265"/>
      <c r="E751" s="265"/>
      <c r="F751" s="265"/>
      <c r="G751" s="265"/>
      <c r="H751" s="265"/>
      <c r="I751" s="265"/>
      <c r="J751" s="265"/>
      <c r="K751" s="259"/>
      <c r="L751" s="265"/>
      <c r="M751" s="265"/>
      <c r="N751" s="265"/>
      <c r="O751" s="265"/>
      <c r="P751" s="259"/>
      <c r="Q751" s="259"/>
      <c r="R751" s="259"/>
      <c r="S751" s="259"/>
      <c r="T751" s="259"/>
      <c r="U751" s="259"/>
      <c r="V751" s="259"/>
      <c r="W751" s="259"/>
      <c r="X751" s="259"/>
      <c r="Y751" s="260"/>
    </row>
    <row r="752" spans="1:25" ht="13">
      <c r="A752" s="261"/>
      <c r="B752" s="261"/>
      <c r="C752" s="261"/>
      <c r="D752" s="265"/>
      <c r="E752" s="265"/>
      <c r="F752" s="265"/>
      <c r="G752" s="265"/>
      <c r="H752" s="265"/>
      <c r="I752" s="265"/>
      <c r="J752" s="265"/>
      <c r="K752" s="259"/>
      <c r="L752" s="265"/>
      <c r="M752" s="265"/>
      <c r="N752" s="265"/>
      <c r="O752" s="265"/>
      <c r="P752" s="259"/>
      <c r="Q752" s="259"/>
      <c r="R752" s="259"/>
      <c r="S752" s="259"/>
      <c r="T752" s="259"/>
      <c r="U752" s="259"/>
      <c r="V752" s="259"/>
      <c r="W752" s="259"/>
      <c r="X752" s="259"/>
      <c r="Y752" s="260"/>
    </row>
    <row r="753" spans="1:25" ht="13">
      <c r="A753" s="261"/>
      <c r="B753" s="261"/>
      <c r="C753" s="261"/>
      <c r="D753" s="265"/>
      <c r="E753" s="265"/>
      <c r="F753" s="265"/>
      <c r="G753" s="265"/>
      <c r="H753" s="265"/>
      <c r="I753" s="265"/>
      <c r="J753" s="265"/>
      <c r="K753" s="259"/>
      <c r="L753" s="265"/>
      <c r="M753" s="265"/>
      <c r="N753" s="265"/>
      <c r="O753" s="265"/>
      <c r="P753" s="259"/>
      <c r="Q753" s="259"/>
      <c r="R753" s="259"/>
      <c r="S753" s="259"/>
      <c r="T753" s="259"/>
      <c r="U753" s="259"/>
      <c r="V753" s="259"/>
      <c r="W753" s="259"/>
      <c r="X753" s="259"/>
      <c r="Y753" s="260"/>
    </row>
    <row r="754" spans="1:25" ht="13">
      <c r="A754" s="261"/>
      <c r="B754" s="261"/>
      <c r="C754" s="261"/>
      <c r="D754" s="265"/>
      <c r="E754" s="265"/>
      <c r="F754" s="265"/>
      <c r="G754" s="265"/>
      <c r="H754" s="265"/>
      <c r="I754" s="265"/>
      <c r="J754" s="265"/>
      <c r="K754" s="259"/>
      <c r="L754" s="265"/>
      <c r="M754" s="265"/>
      <c r="N754" s="265"/>
      <c r="O754" s="265"/>
      <c r="P754" s="259"/>
      <c r="Q754" s="259"/>
      <c r="R754" s="259"/>
      <c r="S754" s="259"/>
      <c r="T754" s="259"/>
      <c r="U754" s="259"/>
      <c r="V754" s="259"/>
      <c r="W754" s="259"/>
      <c r="X754" s="259"/>
      <c r="Y754" s="260"/>
    </row>
    <row r="755" spans="1:25" ht="13">
      <c r="A755" s="261"/>
      <c r="B755" s="261"/>
      <c r="C755" s="261"/>
      <c r="D755" s="265"/>
      <c r="E755" s="265"/>
      <c r="F755" s="265"/>
      <c r="G755" s="265"/>
      <c r="H755" s="265"/>
      <c r="I755" s="265"/>
      <c r="J755" s="265"/>
      <c r="K755" s="259"/>
      <c r="L755" s="265"/>
      <c r="M755" s="265"/>
      <c r="N755" s="265"/>
      <c r="O755" s="265"/>
      <c r="P755" s="259"/>
      <c r="Q755" s="259"/>
      <c r="R755" s="259"/>
      <c r="S755" s="259"/>
      <c r="T755" s="259"/>
      <c r="U755" s="259"/>
      <c r="V755" s="259"/>
      <c r="W755" s="259"/>
      <c r="X755" s="259"/>
      <c r="Y755" s="260"/>
    </row>
    <row r="756" spans="1:25" ht="13">
      <c r="A756" s="261"/>
      <c r="B756" s="261"/>
      <c r="C756" s="261"/>
      <c r="D756" s="265"/>
      <c r="E756" s="265"/>
      <c r="F756" s="265"/>
      <c r="G756" s="265"/>
      <c r="H756" s="265"/>
      <c r="I756" s="265"/>
      <c r="J756" s="265"/>
      <c r="K756" s="259"/>
      <c r="L756" s="265"/>
      <c r="M756" s="265"/>
      <c r="N756" s="265"/>
      <c r="O756" s="265"/>
      <c r="P756" s="259"/>
      <c r="Q756" s="259"/>
      <c r="R756" s="259"/>
      <c r="S756" s="259"/>
      <c r="T756" s="259"/>
      <c r="U756" s="259"/>
      <c r="V756" s="259"/>
      <c r="W756" s="259"/>
      <c r="X756" s="259"/>
      <c r="Y756" s="260"/>
    </row>
    <row r="757" spans="1:25" ht="13">
      <c r="A757" s="261"/>
      <c r="B757" s="261"/>
      <c r="C757" s="261"/>
      <c r="D757" s="265"/>
      <c r="E757" s="265"/>
      <c r="F757" s="265"/>
      <c r="G757" s="265"/>
      <c r="H757" s="265"/>
      <c r="I757" s="265"/>
      <c r="J757" s="265"/>
      <c r="K757" s="259"/>
      <c r="L757" s="265"/>
      <c r="M757" s="265"/>
      <c r="N757" s="265"/>
      <c r="O757" s="265"/>
      <c r="P757" s="259"/>
      <c r="Q757" s="259"/>
      <c r="R757" s="259"/>
      <c r="S757" s="259"/>
      <c r="T757" s="259"/>
      <c r="U757" s="259"/>
      <c r="V757" s="259"/>
      <c r="W757" s="259"/>
      <c r="X757" s="259"/>
      <c r="Y757" s="260"/>
    </row>
    <row r="758" spans="1:25" ht="13">
      <c r="A758" s="261"/>
      <c r="B758" s="261"/>
      <c r="C758" s="261"/>
      <c r="D758" s="265"/>
      <c r="E758" s="265"/>
      <c r="F758" s="265"/>
      <c r="G758" s="265"/>
      <c r="H758" s="265"/>
      <c r="I758" s="265"/>
      <c r="J758" s="265"/>
      <c r="K758" s="259"/>
      <c r="L758" s="265"/>
      <c r="M758" s="265"/>
      <c r="N758" s="265"/>
      <c r="O758" s="265"/>
      <c r="P758" s="259"/>
      <c r="Q758" s="259"/>
      <c r="R758" s="259"/>
      <c r="S758" s="259"/>
      <c r="T758" s="259"/>
      <c r="U758" s="259"/>
      <c r="V758" s="259"/>
      <c r="W758" s="259"/>
      <c r="X758" s="259"/>
      <c r="Y758" s="260"/>
    </row>
    <row r="759" spans="1:25" ht="13">
      <c r="A759" s="261"/>
      <c r="B759" s="261"/>
      <c r="C759" s="261"/>
      <c r="D759" s="265"/>
      <c r="E759" s="265"/>
      <c r="F759" s="265"/>
      <c r="G759" s="265"/>
      <c r="H759" s="265"/>
      <c r="I759" s="265"/>
      <c r="J759" s="265"/>
      <c r="K759" s="259"/>
      <c r="L759" s="265"/>
      <c r="M759" s="265"/>
      <c r="N759" s="265"/>
      <c r="O759" s="265"/>
      <c r="P759" s="259"/>
      <c r="Q759" s="259"/>
      <c r="R759" s="259"/>
      <c r="S759" s="259"/>
      <c r="T759" s="259"/>
      <c r="U759" s="259"/>
      <c r="V759" s="259"/>
      <c r="W759" s="259"/>
      <c r="X759" s="259"/>
      <c r="Y759" s="260"/>
    </row>
    <row r="760" spans="1:25" ht="13">
      <c r="A760" s="261"/>
      <c r="B760" s="261"/>
      <c r="C760" s="261"/>
      <c r="D760" s="265"/>
      <c r="E760" s="265"/>
      <c r="F760" s="265"/>
      <c r="G760" s="265"/>
      <c r="H760" s="265"/>
      <c r="I760" s="265"/>
      <c r="J760" s="265"/>
      <c r="K760" s="259"/>
      <c r="L760" s="265"/>
      <c r="M760" s="265"/>
      <c r="N760" s="265"/>
      <c r="O760" s="265"/>
      <c r="P760" s="259"/>
      <c r="Q760" s="259"/>
      <c r="R760" s="259"/>
      <c r="S760" s="259"/>
      <c r="T760" s="259"/>
      <c r="U760" s="259"/>
      <c r="V760" s="259"/>
      <c r="W760" s="259"/>
      <c r="X760" s="259"/>
      <c r="Y760" s="260"/>
    </row>
    <row r="761" spans="1:25" ht="13">
      <c r="A761" s="261"/>
      <c r="B761" s="261"/>
      <c r="C761" s="261"/>
      <c r="D761" s="265"/>
      <c r="E761" s="265"/>
      <c r="F761" s="265"/>
      <c r="G761" s="265"/>
      <c r="H761" s="265"/>
      <c r="I761" s="265"/>
      <c r="J761" s="265"/>
      <c r="K761" s="259"/>
      <c r="L761" s="265"/>
      <c r="M761" s="265"/>
      <c r="N761" s="265"/>
      <c r="O761" s="265"/>
      <c r="P761" s="259"/>
      <c r="Q761" s="259"/>
      <c r="R761" s="259"/>
      <c r="S761" s="259"/>
      <c r="T761" s="259"/>
      <c r="U761" s="259"/>
      <c r="V761" s="259"/>
      <c r="W761" s="259"/>
      <c r="X761" s="259"/>
      <c r="Y761" s="260"/>
    </row>
    <row r="762" spans="1:25" ht="13">
      <c r="A762" s="261"/>
      <c r="B762" s="261"/>
      <c r="C762" s="261"/>
      <c r="D762" s="265"/>
      <c r="E762" s="265"/>
      <c r="F762" s="265"/>
      <c r="G762" s="265"/>
      <c r="H762" s="265"/>
      <c r="I762" s="265"/>
      <c r="J762" s="265"/>
      <c r="K762" s="259"/>
      <c r="L762" s="265"/>
      <c r="M762" s="265"/>
      <c r="N762" s="265"/>
      <c r="O762" s="265"/>
      <c r="P762" s="259"/>
      <c r="Q762" s="259"/>
      <c r="R762" s="259"/>
      <c r="S762" s="259"/>
      <c r="T762" s="259"/>
      <c r="U762" s="259"/>
      <c r="V762" s="259"/>
      <c r="W762" s="259"/>
      <c r="X762" s="259"/>
      <c r="Y762" s="260"/>
    </row>
    <row r="763" spans="1:25" ht="13">
      <c r="A763" s="261"/>
      <c r="B763" s="261"/>
      <c r="C763" s="261"/>
      <c r="D763" s="265"/>
      <c r="E763" s="265"/>
      <c r="F763" s="265"/>
      <c r="G763" s="265"/>
      <c r="H763" s="265"/>
      <c r="I763" s="265"/>
      <c r="J763" s="265"/>
      <c r="K763" s="259"/>
      <c r="L763" s="265"/>
      <c r="M763" s="265"/>
      <c r="N763" s="265"/>
      <c r="O763" s="265"/>
      <c r="P763" s="259"/>
      <c r="Q763" s="259"/>
      <c r="R763" s="259"/>
      <c r="S763" s="259"/>
      <c r="T763" s="259"/>
      <c r="U763" s="259"/>
      <c r="V763" s="259"/>
      <c r="W763" s="259"/>
      <c r="X763" s="259"/>
      <c r="Y763" s="260"/>
    </row>
    <row r="764" spans="1:25" ht="13">
      <c r="A764" s="261"/>
      <c r="B764" s="261"/>
      <c r="C764" s="261"/>
      <c r="D764" s="265"/>
      <c r="E764" s="265"/>
      <c r="F764" s="265"/>
      <c r="G764" s="265"/>
      <c r="H764" s="265"/>
      <c r="I764" s="265"/>
      <c r="J764" s="265"/>
      <c r="K764" s="259"/>
      <c r="L764" s="265"/>
      <c r="M764" s="265"/>
      <c r="N764" s="265"/>
      <c r="O764" s="265"/>
      <c r="P764" s="259"/>
      <c r="Q764" s="259"/>
      <c r="R764" s="259"/>
      <c r="S764" s="259"/>
      <c r="T764" s="259"/>
      <c r="U764" s="259"/>
      <c r="V764" s="259"/>
      <c r="W764" s="259"/>
      <c r="X764" s="259"/>
      <c r="Y764" s="260"/>
    </row>
    <row r="765" spans="1:25" ht="13">
      <c r="A765" s="261"/>
      <c r="B765" s="261"/>
      <c r="C765" s="261"/>
      <c r="D765" s="265"/>
      <c r="E765" s="265"/>
      <c r="F765" s="265"/>
      <c r="G765" s="265"/>
      <c r="H765" s="265"/>
      <c r="I765" s="265"/>
      <c r="J765" s="265"/>
      <c r="K765" s="259"/>
      <c r="L765" s="265"/>
      <c r="M765" s="265"/>
      <c r="N765" s="265"/>
      <c r="O765" s="265"/>
      <c r="P765" s="259"/>
      <c r="Q765" s="259"/>
      <c r="R765" s="259"/>
      <c r="S765" s="259"/>
      <c r="T765" s="259"/>
      <c r="U765" s="259"/>
      <c r="V765" s="259"/>
      <c r="W765" s="259"/>
      <c r="X765" s="259"/>
      <c r="Y765" s="260"/>
    </row>
    <row r="766" spans="1:25" ht="13">
      <c r="A766" s="261"/>
      <c r="B766" s="261"/>
      <c r="C766" s="261"/>
      <c r="D766" s="265"/>
      <c r="E766" s="265"/>
      <c r="F766" s="265"/>
      <c r="G766" s="265"/>
      <c r="H766" s="265"/>
      <c r="I766" s="265"/>
      <c r="J766" s="265"/>
      <c r="K766" s="259"/>
      <c r="L766" s="265"/>
      <c r="M766" s="265"/>
      <c r="N766" s="265"/>
      <c r="O766" s="265"/>
      <c r="P766" s="259"/>
      <c r="Q766" s="259"/>
      <c r="R766" s="259"/>
      <c r="S766" s="259"/>
      <c r="T766" s="259"/>
      <c r="U766" s="259"/>
      <c r="V766" s="259"/>
      <c r="W766" s="259"/>
      <c r="X766" s="259"/>
      <c r="Y766" s="260"/>
    </row>
    <row r="767" spans="1:25" ht="13">
      <c r="A767" s="261"/>
      <c r="B767" s="261"/>
      <c r="C767" s="261"/>
      <c r="D767" s="265"/>
      <c r="E767" s="265"/>
      <c r="F767" s="265"/>
      <c r="G767" s="265"/>
      <c r="H767" s="265"/>
      <c r="I767" s="265"/>
      <c r="J767" s="265"/>
      <c r="K767" s="259"/>
      <c r="L767" s="265"/>
      <c r="M767" s="265"/>
      <c r="N767" s="265"/>
      <c r="O767" s="265"/>
      <c r="P767" s="259"/>
      <c r="Q767" s="259"/>
      <c r="R767" s="259"/>
      <c r="S767" s="259"/>
      <c r="T767" s="259"/>
      <c r="U767" s="259"/>
      <c r="V767" s="259"/>
      <c r="W767" s="259"/>
      <c r="X767" s="259"/>
      <c r="Y767" s="260"/>
    </row>
    <row r="768" spans="1:25" ht="13">
      <c r="A768" s="261"/>
      <c r="B768" s="261"/>
      <c r="C768" s="261"/>
      <c r="D768" s="265"/>
      <c r="E768" s="265"/>
      <c r="F768" s="265"/>
      <c r="G768" s="265"/>
      <c r="H768" s="265"/>
      <c r="I768" s="265"/>
      <c r="J768" s="265"/>
      <c r="K768" s="259"/>
      <c r="L768" s="265"/>
      <c r="M768" s="265"/>
      <c r="N768" s="265"/>
      <c r="O768" s="265"/>
      <c r="P768" s="259"/>
      <c r="Q768" s="259"/>
      <c r="R768" s="259"/>
      <c r="S768" s="259"/>
      <c r="T768" s="259"/>
      <c r="U768" s="259"/>
      <c r="V768" s="259"/>
      <c r="W768" s="259"/>
      <c r="X768" s="259"/>
      <c r="Y768" s="260"/>
    </row>
    <row r="769" spans="1:25" ht="13">
      <c r="A769" s="261"/>
      <c r="B769" s="261"/>
      <c r="C769" s="261"/>
      <c r="D769" s="265"/>
      <c r="E769" s="265"/>
      <c r="F769" s="265"/>
      <c r="G769" s="265"/>
      <c r="H769" s="265"/>
      <c r="I769" s="265"/>
      <c r="J769" s="265"/>
      <c r="K769" s="259"/>
      <c r="L769" s="265"/>
      <c r="M769" s="265"/>
      <c r="N769" s="265"/>
      <c r="O769" s="265"/>
      <c r="P769" s="259"/>
      <c r="Q769" s="259"/>
      <c r="R769" s="259"/>
      <c r="S769" s="259"/>
      <c r="T769" s="259"/>
      <c r="U769" s="259"/>
      <c r="V769" s="259"/>
      <c r="W769" s="259"/>
      <c r="X769" s="259"/>
      <c r="Y769" s="260"/>
    </row>
    <row r="770" spans="1:25" ht="13">
      <c r="A770" s="261"/>
      <c r="B770" s="261"/>
      <c r="C770" s="261"/>
      <c r="D770" s="265"/>
      <c r="E770" s="265"/>
      <c r="F770" s="265"/>
      <c r="G770" s="265"/>
      <c r="H770" s="265"/>
      <c r="I770" s="265"/>
      <c r="J770" s="265"/>
      <c r="K770" s="259"/>
      <c r="L770" s="265"/>
      <c r="M770" s="265"/>
      <c r="N770" s="265"/>
      <c r="O770" s="265"/>
      <c r="P770" s="259"/>
      <c r="Q770" s="259"/>
      <c r="R770" s="259"/>
      <c r="S770" s="259"/>
      <c r="T770" s="259"/>
      <c r="U770" s="259"/>
      <c r="V770" s="259"/>
      <c r="W770" s="259"/>
      <c r="X770" s="259"/>
      <c r="Y770" s="260"/>
    </row>
    <row r="771" spans="1:25" ht="13">
      <c r="A771" s="261"/>
      <c r="B771" s="261"/>
      <c r="C771" s="261"/>
      <c r="D771" s="265"/>
      <c r="E771" s="265"/>
      <c r="F771" s="265"/>
      <c r="G771" s="265"/>
      <c r="H771" s="265"/>
      <c r="I771" s="265"/>
      <c r="J771" s="265"/>
      <c r="K771" s="259"/>
      <c r="L771" s="265"/>
      <c r="M771" s="265"/>
      <c r="N771" s="265"/>
      <c r="O771" s="265"/>
      <c r="P771" s="259"/>
      <c r="Q771" s="259"/>
      <c r="R771" s="259"/>
      <c r="S771" s="259"/>
      <c r="T771" s="259"/>
      <c r="U771" s="259"/>
      <c r="V771" s="259"/>
      <c r="W771" s="259"/>
      <c r="X771" s="259"/>
      <c r="Y771" s="260"/>
    </row>
    <row r="772" spans="1:25" ht="13">
      <c r="A772" s="261"/>
      <c r="B772" s="261"/>
      <c r="C772" s="261"/>
      <c r="D772" s="265"/>
      <c r="E772" s="265"/>
      <c r="F772" s="265"/>
      <c r="G772" s="265"/>
      <c r="H772" s="265"/>
      <c r="I772" s="265"/>
      <c r="J772" s="265"/>
      <c r="K772" s="259"/>
      <c r="L772" s="265"/>
      <c r="M772" s="265"/>
      <c r="N772" s="265"/>
      <c r="O772" s="265"/>
      <c r="P772" s="259"/>
      <c r="Q772" s="259"/>
      <c r="R772" s="259"/>
      <c r="S772" s="259"/>
      <c r="T772" s="259"/>
      <c r="U772" s="259"/>
      <c r="V772" s="259"/>
      <c r="W772" s="259"/>
      <c r="X772" s="259"/>
      <c r="Y772" s="260"/>
    </row>
    <row r="773" spans="1:25" ht="13">
      <c r="A773" s="261"/>
      <c r="B773" s="261"/>
      <c r="C773" s="261"/>
      <c r="D773" s="265"/>
      <c r="E773" s="265"/>
      <c r="F773" s="265"/>
      <c r="G773" s="265"/>
      <c r="H773" s="265"/>
      <c r="I773" s="265"/>
      <c r="J773" s="265"/>
      <c r="K773" s="259"/>
      <c r="L773" s="265"/>
      <c r="M773" s="265"/>
      <c r="N773" s="265"/>
      <c r="O773" s="265"/>
      <c r="P773" s="259"/>
      <c r="Q773" s="259"/>
      <c r="R773" s="259"/>
      <c r="S773" s="259"/>
      <c r="T773" s="259"/>
      <c r="U773" s="259"/>
      <c r="V773" s="259"/>
      <c r="W773" s="259"/>
      <c r="X773" s="259"/>
      <c r="Y773" s="260"/>
    </row>
    <row r="774" spans="1:25" ht="13">
      <c r="A774" s="261"/>
      <c r="B774" s="261"/>
      <c r="C774" s="261"/>
      <c r="D774" s="265"/>
      <c r="E774" s="265"/>
      <c r="F774" s="265"/>
      <c r="G774" s="265"/>
      <c r="H774" s="265"/>
      <c r="I774" s="265"/>
      <c r="J774" s="265"/>
      <c r="K774" s="259"/>
      <c r="L774" s="265"/>
      <c r="M774" s="265"/>
      <c r="N774" s="265"/>
      <c r="O774" s="265"/>
      <c r="P774" s="259"/>
      <c r="Q774" s="259"/>
      <c r="R774" s="259"/>
      <c r="S774" s="259"/>
      <c r="T774" s="259"/>
      <c r="U774" s="259"/>
      <c r="V774" s="259"/>
      <c r="W774" s="259"/>
      <c r="X774" s="259"/>
      <c r="Y774" s="260"/>
    </row>
    <row r="775" spans="1:25" ht="13">
      <c r="A775" s="261"/>
      <c r="B775" s="261"/>
      <c r="C775" s="261"/>
      <c r="D775" s="265"/>
      <c r="E775" s="265"/>
      <c r="F775" s="265"/>
      <c r="G775" s="265"/>
      <c r="H775" s="265"/>
      <c r="I775" s="265"/>
      <c r="J775" s="265"/>
      <c r="K775" s="259"/>
      <c r="L775" s="265"/>
      <c r="M775" s="265"/>
      <c r="N775" s="265"/>
      <c r="O775" s="265"/>
      <c r="P775" s="259"/>
      <c r="Q775" s="259"/>
      <c r="R775" s="259"/>
      <c r="S775" s="259"/>
      <c r="T775" s="259"/>
      <c r="U775" s="259"/>
      <c r="V775" s="259"/>
      <c r="W775" s="259"/>
      <c r="X775" s="259"/>
      <c r="Y775" s="260"/>
    </row>
    <row r="776" spans="1:25" ht="13">
      <c r="A776" s="261"/>
      <c r="B776" s="261"/>
      <c r="C776" s="261"/>
      <c r="D776" s="265"/>
      <c r="E776" s="265"/>
      <c r="F776" s="265"/>
      <c r="G776" s="265"/>
      <c r="H776" s="265"/>
      <c r="I776" s="265"/>
      <c r="J776" s="265"/>
      <c r="K776" s="259"/>
      <c r="L776" s="265"/>
      <c r="M776" s="265"/>
      <c r="N776" s="265"/>
      <c r="O776" s="265"/>
      <c r="P776" s="259"/>
      <c r="Q776" s="259"/>
      <c r="R776" s="259"/>
      <c r="S776" s="259"/>
      <c r="T776" s="259"/>
      <c r="U776" s="259"/>
      <c r="V776" s="259"/>
      <c r="W776" s="259"/>
      <c r="X776" s="259"/>
      <c r="Y776" s="260"/>
    </row>
    <row r="777" spans="1:25" ht="13">
      <c r="A777" s="261"/>
      <c r="B777" s="261"/>
      <c r="C777" s="261"/>
      <c r="D777" s="265"/>
      <c r="E777" s="265"/>
      <c r="F777" s="265"/>
      <c r="G777" s="265"/>
      <c r="H777" s="265"/>
      <c r="I777" s="265"/>
      <c r="J777" s="265"/>
      <c r="K777" s="259"/>
      <c r="L777" s="265"/>
      <c r="M777" s="265"/>
      <c r="N777" s="265"/>
      <c r="O777" s="265"/>
      <c r="P777" s="259"/>
      <c r="Q777" s="259"/>
      <c r="R777" s="259"/>
      <c r="S777" s="259"/>
      <c r="T777" s="259"/>
      <c r="U777" s="259"/>
      <c r="V777" s="259"/>
      <c r="W777" s="259"/>
      <c r="X777" s="259"/>
      <c r="Y777" s="260"/>
    </row>
    <row r="778" spans="1:25" ht="13">
      <c r="A778" s="261"/>
      <c r="B778" s="261"/>
      <c r="C778" s="261"/>
      <c r="D778" s="265"/>
      <c r="E778" s="265"/>
      <c r="F778" s="265"/>
      <c r="G778" s="265"/>
      <c r="H778" s="265"/>
      <c r="I778" s="265"/>
      <c r="J778" s="265"/>
      <c r="K778" s="259"/>
      <c r="L778" s="265"/>
      <c r="M778" s="265"/>
      <c r="N778" s="265"/>
      <c r="O778" s="265"/>
      <c r="P778" s="259"/>
      <c r="Q778" s="259"/>
      <c r="R778" s="259"/>
      <c r="S778" s="259"/>
      <c r="T778" s="259"/>
      <c r="U778" s="259"/>
      <c r="V778" s="259"/>
      <c r="W778" s="259"/>
      <c r="X778" s="259"/>
      <c r="Y778" s="260"/>
    </row>
    <row r="779" spans="1:25" ht="13">
      <c r="A779" s="261"/>
      <c r="B779" s="261"/>
      <c r="C779" s="261"/>
      <c r="D779" s="265"/>
      <c r="E779" s="265"/>
      <c r="F779" s="265"/>
      <c r="G779" s="265"/>
      <c r="H779" s="265"/>
      <c r="I779" s="265"/>
      <c r="J779" s="265"/>
      <c r="K779" s="259"/>
      <c r="L779" s="265"/>
      <c r="M779" s="265"/>
      <c r="N779" s="265"/>
      <c r="O779" s="265"/>
      <c r="P779" s="259"/>
      <c r="Q779" s="259"/>
      <c r="R779" s="259"/>
      <c r="S779" s="259"/>
      <c r="T779" s="259"/>
      <c r="U779" s="259"/>
      <c r="V779" s="259"/>
      <c r="W779" s="259"/>
      <c r="X779" s="259"/>
      <c r="Y779" s="260"/>
    </row>
    <row r="780" spans="1:25" ht="13">
      <c r="A780" s="261"/>
      <c r="B780" s="261"/>
      <c r="C780" s="261"/>
      <c r="D780" s="265"/>
      <c r="E780" s="265"/>
      <c r="F780" s="265"/>
      <c r="G780" s="265"/>
      <c r="H780" s="265"/>
      <c r="I780" s="265"/>
      <c r="J780" s="265"/>
      <c r="K780" s="259"/>
      <c r="L780" s="265"/>
      <c r="M780" s="265"/>
      <c r="N780" s="265"/>
      <c r="O780" s="265"/>
      <c r="P780" s="259"/>
      <c r="Q780" s="259"/>
      <c r="R780" s="259"/>
      <c r="S780" s="259"/>
      <c r="T780" s="259"/>
      <c r="U780" s="259"/>
      <c r="V780" s="259"/>
      <c r="W780" s="259"/>
      <c r="X780" s="259"/>
      <c r="Y780" s="260"/>
    </row>
    <row r="781" spans="1:25" ht="13">
      <c r="A781" s="261"/>
      <c r="B781" s="261"/>
      <c r="C781" s="261"/>
      <c r="D781" s="265"/>
      <c r="E781" s="265"/>
      <c r="F781" s="265"/>
      <c r="G781" s="265"/>
      <c r="H781" s="265"/>
      <c r="I781" s="265"/>
      <c r="J781" s="265"/>
      <c r="K781" s="259"/>
      <c r="L781" s="265"/>
      <c r="M781" s="265"/>
      <c r="N781" s="265"/>
      <c r="O781" s="265"/>
      <c r="P781" s="259"/>
      <c r="Q781" s="259"/>
      <c r="R781" s="259"/>
      <c r="S781" s="259"/>
      <c r="T781" s="259"/>
      <c r="U781" s="259"/>
      <c r="V781" s="259"/>
      <c r="W781" s="259"/>
      <c r="X781" s="259"/>
      <c r="Y781" s="260"/>
    </row>
    <row r="782" spans="1:25" ht="13">
      <c r="A782" s="261"/>
      <c r="B782" s="261"/>
      <c r="C782" s="261"/>
      <c r="D782" s="265"/>
      <c r="E782" s="265"/>
      <c r="F782" s="265"/>
      <c r="G782" s="265"/>
      <c r="H782" s="265"/>
      <c r="I782" s="265"/>
      <c r="J782" s="265"/>
      <c r="K782" s="259"/>
      <c r="L782" s="265"/>
      <c r="M782" s="265"/>
      <c r="N782" s="265"/>
      <c r="O782" s="265"/>
      <c r="P782" s="259"/>
      <c r="Q782" s="259"/>
      <c r="R782" s="259"/>
      <c r="S782" s="259"/>
      <c r="T782" s="259"/>
      <c r="U782" s="259"/>
      <c r="V782" s="259"/>
      <c r="W782" s="259"/>
      <c r="X782" s="259"/>
      <c r="Y782" s="260"/>
    </row>
    <row r="783" spans="1:25" ht="13">
      <c r="A783" s="261"/>
      <c r="B783" s="261"/>
      <c r="C783" s="261"/>
      <c r="D783" s="265"/>
      <c r="E783" s="265"/>
      <c r="F783" s="265"/>
      <c r="G783" s="265"/>
      <c r="H783" s="265"/>
      <c r="I783" s="265"/>
      <c r="J783" s="265"/>
      <c r="K783" s="259"/>
      <c r="L783" s="265"/>
      <c r="M783" s="265"/>
      <c r="N783" s="265"/>
      <c r="O783" s="265"/>
      <c r="P783" s="259"/>
      <c r="Q783" s="259"/>
      <c r="R783" s="259"/>
      <c r="S783" s="259"/>
      <c r="T783" s="259"/>
      <c r="U783" s="259"/>
      <c r="V783" s="259"/>
      <c r="W783" s="259"/>
      <c r="X783" s="259"/>
      <c r="Y783" s="260"/>
    </row>
    <row r="784" spans="1:25" ht="13">
      <c r="A784" s="261"/>
      <c r="B784" s="261"/>
      <c r="C784" s="261"/>
      <c r="D784" s="265"/>
      <c r="E784" s="265"/>
      <c r="F784" s="265"/>
      <c r="G784" s="265"/>
      <c r="H784" s="265"/>
      <c r="I784" s="265"/>
      <c r="J784" s="265"/>
      <c r="K784" s="259"/>
      <c r="L784" s="265"/>
      <c r="M784" s="265"/>
      <c r="N784" s="265"/>
      <c r="O784" s="265"/>
      <c r="P784" s="259"/>
      <c r="Q784" s="259"/>
      <c r="R784" s="259"/>
      <c r="S784" s="259"/>
      <c r="T784" s="259"/>
      <c r="U784" s="259"/>
      <c r="V784" s="259"/>
      <c r="W784" s="259"/>
      <c r="X784" s="259"/>
      <c r="Y784" s="260"/>
    </row>
    <row r="785" spans="1:25" ht="13">
      <c r="A785" s="261"/>
      <c r="B785" s="261"/>
      <c r="C785" s="261"/>
      <c r="D785" s="265"/>
      <c r="E785" s="265"/>
      <c r="F785" s="265"/>
      <c r="G785" s="265"/>
      <c r="H785" s="265"/>
      <c r="I785" s="265"/>
      <c r="J785" s="265"/>
      <c r="K785" s="259"/>
      <c r="L785" s="265"/>
      <c r="M785" s="265"/>
      <c r="N785" s="265"/>
      <c r="O785" s="265"/>
      <c r="P785" s="259"/>
      <c r="Q785" s="259"/>
      <c r="R785" s="259"/>
      <c r="S785" s="259"/>
      <c r="T785" s="259"/>
      <c r="U785" s="259"/>
      <c r="V785" s="259"/>
      <c r="W785" s="259"/>
      <c r="X785" s="259"/>
      <c r="Y785" s="260"/>
    </row>
    <row r="786" spans="1:25" ht="13">
      <c r="A786" s="261"/>
      <c r="B786" s="261"/>
      <c r="C786" s="261"/>
      <c r="D786" s="265"/>
      <c r="E786" s="265"/>
      <c r="F786" s="265"/>
      <c r="G786" s="265"/>
      <c r="H786" s="265"/>
      <c r="I786" s="265"/>
      <c r="J786" s="265"/>
      <c r="K786" s="259"/>
      <c r="L786" s="265"/>
      <c r="M786" s="265"/>
      <c r="N786" s="265"/>
      <c r="O786" s="265"/>
      <c r="P786" s="259"/>
      <c r="Q786" s="259"/>
      <c r="R786" s="259"/>
      <c r="S786" s="259"/>
      <c r="T786" s="259"/>
      <c r="U786" s="259"/>
      <c r="V786" s="259"/>
      <c r="W786" s="259"/>
      <c r="X786" s="259"/>
      <c r="Y786" s="260"/>
    </row>
    <row r="787" spans="1:25" ht="13">
      <c r="A787" s="261"/>
      <c r="B787" s="261"/>
      <c r="C787" s="261"/>
      <c r="D787" s="265"/>
      <c r="E787" s="265"/>
      <c r="F787" s="265"/>
      <c r="G787" s="265"/>
      <c r="H787" s="265"/>
      <c r="I787" s="265"/>
      <c r="J787" s="265"/>
      <c r="K787" s="259"/>
      <c r="L787" s="265"/>
      <c r="M787" s="265"/>
      <c r="N787" s="265"/>
      <c r="O787" s="265"/>
      <c r="P787" s="259"/>
      <c r="Q787" s="259"/>
      <c r="R787" s="259"/>
      <c r="S787" s="259"/>
      <c r="T787" s="259"/>
      <c r="U787" s="259"/>
      <c r="V787" s="259"/>
      <c r="W787" s="259"/>
      <c r="X787" s="259"/>
      <c r="Y787" s="260"/>
    </row>
    <row r="788" spans="1:25" ht="13">
      <c r="A788" s="261"/>
      <c r="B788" s="261"/>
      <c r="C788" s="261"/>
      <c r="D788" s="265"/>
      <c r="E788" s="265"/>
      <c r="F788" s="265"/>
      <c r="G788" s="265"/>
      <c r="H788" s="265"/>
      <c r="I788" s="265"/>
      <c r="J788" s="265"/>
      <c r="K788" s="259"/>
      <c r="L788" s="265"/>
      <c r="M788" s="265"/>
      <c r="N788" s="265"/>
      <c r="O788" s="265"/>
      <c r="P788" s="259"/>
      <c r="Q788" s="259"/>
      <c r="R788" s="259"/>
      <c r="S788" s="259"/>
      <c r="T788" s="259"/>
      <c r="U788" s="259"/>
      <c r="V788" s="259"/>
      <c r="W788" s="259"/>
      <c r="X788" s="259"/>
      <c r="Y788" s="260"/>
    </row>
    <row r="789" spans="1:25" ht="13">
      <c r="A789" s="261"/>
      <c r="B789" s="261"/>
      <c r="C789" s="261"/>
      <c r="D789" s="265"/>
      <c r="E789" s="265"/>
      <c r="F789" s="265"/>
      <c r="G789" s="265"/>
      <c r="H789" s="265"/>
      <c r="I789" s="265"/>
      <c r="J789" s="265"/>
      <c r="K789" s="259"/>
      <c r="L789" s="265"/>
      <c r="M789" s="265"/>
      <c r="N789" s="265"/>
      <c r="O789" s="265"/>
      <c r="P789" s="259"/>
      <c r="Q789" s="259"/>
      <c r="R789" s="259"/>
      <c r="S789" s="259"/>
      <c r="T789" s="259"/>
      <c r="U789" s="259"/>
      <c r="V789" s="259"/>
      <c r="W789" s="259"/>
      <c r="X789" s="259"/>
      <c r="Y789" s="260"/>
    </row>
    <row r="790" spans="1:25" ht="13">
      <c r="A790" s="261"/>
      <c r="B790" s="261"/>
      <c r="C790" s="261"/>
      <c r="D790" s="265"/>
      <c r="E790" s="265"/>
      <c r="F790" s="265"/>
      <c r="G790" s="265"/>
      <c r="H790" s="265"/>
      <c r="I790" s="265"/>
      <c r="J790" s="265"/>
      <c r="K790" s="259"/>
      <c r="L790" s="265"/>
      <c r="M790" s="265"/>
      <c r="N790" s="265"/>
      <c r="O790" s="265"/>
      <c r="P790" s="259"/>
      <c r="Q790" s="259"/>
      <c r="R790" s="259"/>
      <c r="S790" s="259"/>
      <c r="T790" s="259"/>
      <c r="U790" s="259"/>
      <c r="V790" s="259"/>
      <c r="W790" s="259"/>
      <c r="X790" s="259"/>
      <c r="Y790" s="260"/>
    </row>
    <row r="791" spans="1:25" ht="13">
      <c r="A791" s="261"/>
      <c r="B791" s="261"/>
      <c r="C791" s="261"/>
      <c r="D791" s="265"/>
      <c r="E791" s="265"/>
      <c r="F791" s="265"/>
      <c r="G791" s="265"/>
      <c r="H791" s="265"/>
      <c r="I791" s="265"/>
      <c r="J791" s="265"/>
      <c r="K791" s="259"/>
      <c r="L791" s="265"/>
      <c r="M791" s="265"/>
      <c r="N791" s="265"/>
      <c r="O791" s="265"/>
      <c r="P791" s="259"/>
      <c r="Q791" s="259"/>
      <c r="R791" s="259"/>
      <c r="S791" s="259"/>
      <c r="T791" s="259"/>
      <c r="U791" s="259"/>
      <c r="V791" s="259"/>
      <c r="W791" s="259"/>
      <c r="X791" s="259"/>
      <c r="Y791" s="260"/>
    </row>
    <row r="792" spans="1:25" ht="13">
      <c r="A792" s="261"/>
      <c r="B792" s="261"/>
      <c r="C792" s="261"/>
      <c r="D792" s="265"/>
      <c r="E792" s="265"/>
      <c r="F792" s="265"/>
      <c r="G792" s="265"/>
      <c r="H792" s="265"/>
      <c r="I792" s="265"/>
      <c r="J792" s="265"/>
      <c r="K792" s="259"/>
      <c r="L792" s="265"/>
      <c r="M792" s="265"/>
      <c r="N792" s="265"/>
      <c r="O792" s="265"/>
      <c r="P792" s="259"/>
      <c r="Q792" s="259"/>
      <c r="R792" s="259"/>
      <c r="S792" s="259"/>
      <c r="T792" s="259"/>
      <c r="U792" s="259"/>
      <c r="V792" s="259"/>
      <c r="W792" s="259"/>
      <c r="X792" s="259"/>
      <c r="Y792" s="260"/>
    </row>
    <row r="793" spans="1:25" ht="13">
      <c r="A793" s="261"/>
      <c r="B793" s="261"/>
      <c r="C793" s="261"/>
      <c r="D793" s="265"/>
      <c r="E793" s="265"/>
      <c r="F793" s="265"/>
      <c r="G793" s="265"/>
      <c r="H793" s="265"/>
      <c r="I793" s="265"/>
      <c r="J793" s="265"/>
      <c r="K793" s="259"/>
      <c r="L793" s="265"/>
      <c r="M793" s="265"/>
      <c r="N793" s="265"/>
      <c r="O793" s="265"/>
      <c r="P793" s="259"/>
      <c r="Q793" s="259"/>
      <c r="R793" s="259"/>
      <c r="S793" s="259"/>
      <c r="T793" s="259"/>
      <c r="U793" s="259"/>
      <c r="V793" s="259"/>
      <c r="W793" s="259"/>
      <c r="X793" s="259"/>
      <c r="Y793" s="260"/>
    </row>
    <row r="794" spans="1:25" ht="13">
      <c r="A794" s="261"/>
      <c r="B794" s="261"/>
      <c r="C794" s="261"/>
      <c r="D794" s="265"/>
      <c r="E794" s="265"/>
      <c r="F794" s="265"/>
      <c r="G794" s="265"/>
      <c r="H794" s="265"/>
      <c r="I794" s="265"/>
      <c r="J794" s="265"/>
      <c r="K794" s="259"/>
      <c r="L794" s="265"/>
      <c r="M794" s="265"/>
      <c r="N794" s="265"/>
      <c r="O794" s="265"/>
      <c r="P794" s="259"/>
      <c r="Q794" s="259"/>
      <c r="R794" s="259"/>
      <c r="S794" s="259"/>
      <c r="T794" s="259"/>
      <c r="U794" s="259"/>
      <c r="V794" s="259"/>
      <c r="W794" s="259"/>
      <c r="X794" s="259"/>
      <c r="Y794" s="260"/>
    </row>
    <row r="795" spans="1:25" ht="13">
      <c r="A795" s="261"/>
      <c r="B795" s="261"/>
      <c r="C795" s="261"/>
      <c r="D795" s="265"/>
      <c r="E795" s="265"/>
      <c r="F795" s="265"/>
      <c r="G795" s="265"/>
      <c r="H795" s="265"/>
      <c r="I795" s="265"/>
      <c r="J795" s="265"/>
      <c r="K795" s="259"/>
      <c r="L795" s="265"/>
      <c r="M795" s="265"/>
      <c r="N795" s="265"/>
      <c r="O795" s="265"/>
      <c r="P795" s="259"/>
      <c r="Q795" s="259"/>
      <c r="R795" s="259"/>
      <c r="S795" s="259"/>
      <c r="T795" s="259"/>
      <c r="U795" s="259"/>
      <c r="V795" s="259"/>
      <c r="W795" s="259"/>
      <c r="X795" s="259"/>
      <c r="Y795" s="260"/>
    </row>
    <row r="796" spans="1:25" ht="13">
      <c r="A796" s="261"/>
      <c r="B796" s="261"/>
      <c r="C796" s="261"/>
      <c r="D796" s="265"/>
      <c r="E796" s="265"/>
      <c r="F796" s="265"/>
      <c r="G796" s="265"/>
      <c r="H796" s="265"/>
      <c r="I796" s="265"/>
      <c r="J796" s="265"/>
      <c r="K796" s="259"/>
      <c r="L796" s="265"/>
      <c r="M796" s="265"/>
      <c r="N796" s="265"/>
      <c r="O796" s="265"/>
      <c r="P796" s="259"/>
      <c r="Q796" s="259"/>
      <c r="R796" s="259"/>
      <c r="S796" s="259"/>
      <c r="T796" s="259"/>
      <c r="U796" s="259"/>
      <c r="V796" s="259"/>
      <c r="W796" s="259"/>
      <c r="X796" s="259"/>
      <c r="Y796" s="260"/>
    </row>
    <row r="797" spans="1:25" ht="13">
      <c r="A797" s="261"/>
      <c r="B797" s="261"/>
      <c r="C797" s="261"/>
      <c r="D797" s="265"/>
      <c r="E797" s="265"/>
      <c r="F797" s="265"/>
      <c r="G797" s="265"/>
      <c r="H797" s="265"/>
      <c r="I797" s="265"/>
      <c r="J797" s="265"/>
      <c r="K797" s="259"/>
      <c r="L797" s="265"/>
      <c r="M797" s="265"/>
      <c r="N797" s="265"/>
      <c r="O797" s="265"/>
      <c r="P797" s="259"/>
      <c r="Q797" s="259"/>
      <c r="R797" s="259"/>
      <c r="S797" s="259"/>
      <c r="T797" s="259"/>
      <c r="U797" s="259"/>
      <c r="V797" s="259"/>
      <c r="W797" s="259"/>
      <c r="X797" s="259"/>
      <c r="Y797" s="260"/>
    </row>
    <row r="798" spans="1:25" ht="13">
      <c r="A798" s="261"/>
      <c r="B798" s="261"/>
      <c r="C798" s="261"/>
      <c r="D798" s="265"/>
      <c r="E798" s="265"/>
      <c r="F798" s="265"/>
      <c r="G798" s="265"/>
      <c r="H798" s="265"/>
      <c r="I798" s="265"/>
      <c r="J798" s="265"/>
      <c r="K798" s="259"/>
      <c r="L798" s="265"/>
      <c r="M798" s="265"/>
      <c r="N798" s="265"/>
      <c r="O798" s="265"/>
      <c r="P798" s="259"/>
      <c r="Q798" s="259"/>
      <c r="R798" s="259"/>
      <c r="S798" s="259"/>
      <c r="T798" s="259"/>
      <c r="U798" s="259"/>
      <c r="V798" s="259"/>
      <c r="W798" s="259"/>
      <c r="X798" s="259"/>
      <c r="Y798" s="260"/>
    </row>
    <row r="799" spans="1:25" ht="13">
      <c r="A799" s="261"/>
      <c r="B799" s="261"/>
      <c r="C799" s="261"/>
      <c r="D799" s="265"/>
      <c r="E799" s="265"/>
      <c r="F799" s="265"/>
      <c r="G799" s="265"/>
      <c r="H799" s="265"/>
      <c r="I799" s="265"/>
      <c r="J799" s="265"/>
      <c r="K799" s="259"/>
      <c r="L799" s="265"/>
      <c r="M799" s="265"/>
      <c r="N799" s="265"/>
      <c r="O799" s="265"/>
      <c r="P799" s="259"/>
      <c r="Q799" s="259"/>
      <c r="R799" s="259"/>
      <c r="S799" s="259"/>
      <c r="T799" s="259"/>
      <c r="U799" s="259"/>
      <c r="V799" s="259"/>
      <c r="W799" s="259"/>
      <c r="X799" s="259"/>
      <c r="Y799" s="260"/>
    </row>
    <row r="800" spans="1:25" ht="13">
      <c r="A800" s="261"/>
      <c r="B800" s="261"/>
      <c r="C800" s="261"/>
      <c r="D800" s="265"/>
      <c r="E800" s="265"/>
      <c r="F800" s="265"/>
      <c r="G800" s="265"/>
      <c r="H800" s="265"/>
      <c r="I800" s="265"/>
      <c r="J800" s="265"/>
      <c r="K800" s="259"/>
      <c r="L800" s="265"/>
      <c r="M800" s="265"/>
      <c r="N800" s="265"/>
      <c r="O800" s="265"/>
      <c r="P800" s="259"/>
      <c r="Q800" s="259"/>
      <c r="R800" s="259"/>
      <c r="S800" s="259"/>
      <c r="T800" s="259"/>
      <c r="U800" s="259"/>
      <c r="V800" s="259"/>
      <c r="W800" s="259"/>
      <c r="X800" s="259"/>
      <c r="Y800" s="260"/>
    </row>
    <row r="801" spans="1:25" ht="13">
      <c r="A801" s="261"/>
      <c r="B801" s="261"/>
      <c r="C801" s="261"/>
      <c r="D801" s="265"/>
      <c r="E801" s="265"/>
      <c r="F801" s="265"/>
      <c r="G801" s="265"/>
      <c r="H801" s="265"/>
      <c r="I801" s="265"/>
      <c r="J801" s="265"/>
      <c r="K801" s="259"/>
      <c r="L801" s="265"/>
      <c r="M801" s="265"/>
      <c r="N801" s="265"/>
      <c r="O801" s="265"/>
      <c r="P801" s="259"/>
      <c r="Q801" s="259"/>
      <c r="R801" s="259"/>
      <c r="S801" s="259"/>
      <c r="T801" s="259"/>
      <c r="U801" s="259"/>
      <c r="V801" s="259"/>
      <c r="W801" s="259"/>
      <c r="X801" s="259"/>
      <c r="Y801" s="260"/>
    </row>
    <row r="802" spans="1:25" ht="13">
      <c r="A802" s="261"/>
      <c r="B802" s="261"/>
      <c r="C802" s="261"/>
      <c r="D802" s="265"/>
      <c r="E802" s="265"/>
      <c r="F802" s="265"/>
      <c r="G802" s="265"/>
      <c r="H802" s="265"/>
      <c r="I802" s="265"/>
      <c r="J802" s="265"/>
      <c r="K802" s="259"/>
      <c r="L802" s="265"/>
      <c r="M802" s="265"/>
      <c r="N802" s="265"/>
      <c r="O802" s="265"/>
      <c r="P802" s="259"/>
      <c r="Q802" s="259"/>
      <c r="R802" s="259"/>
      <c r="S802" s="259"/>
      <c r="T802" s="259"/>
      <c r="U802" s="259"/>
      <c r="V802" s="259"/>
      <c r="W802" s="259"/>
      <c r="X802" s="259"/>
      <c r="Y802" s="260"/>
    </row>
    <row r="803" spans="1:25" ht="13">
      <c r="A803" s="261"/>
      <c r="B803" s="261"/>
      <c r="C803" s="261"/>
      <c r="D803" s="265"/>
      <c r="E803" s="265"/>
      <c r="F803" s="265"/>
      <c r="G803" s="265"/>
      <c r="H803" s="265"/>
      <c r="I803" s="265"/>
      <c r="J803" s="265"/>
      <c r="K803" s="259"/>
      <c r="L803" s="265"/>
      <c r="M803" s="265"/>
      <c r="N803" s="265"/>
      <c r="O803" s="265"/>
      <c r="P803" s="259"/>
      <c r="Q803" s="259"/>
      <c r="R803" s="259"/>
      <c r="S803" s="259"/>
      <c r="T803" s="259"/>
      <c r="U803" s="259"/>
      <c r="V803" s="259"/>
      <c r="W803" s="259"/>
      <c r="X803" s="259"/>
      <c r="Y803" s="260"/>
    </row>
    <row r="804" spans="1:25" ht="13">
      <c r="A804" s="261"/>
      <c r="B804" s="261"/>
      <c r="C804" s="261"/>
      <c r="D804" s="265"/>
      <c r="E804" s="265"/>
      <c r="F804" s="265"/>
      <c r="G804" s="265"/>
      <c r="H804" s="265"/>
      <c r="I804" s="265"/>
      <c r="J804" s="265"/>
      <c r="K804" s="259"/>
      <c r="L804" s="265"/>
      <c r="M804" s="265"/>
      <c r="N804" s="265"/>
      <c r="O804" s="265"/>
      <c r="P804" s="259"/>
      <c r="Q804" s="259"/>
      <c r="R804" s="259"/>
      <c r="S804" s="259"/>
      <c r="T804" s="259"/>
      <c r="U804" s="259"/>
      <c r="V804" s="259"/>
      <c r="W804" s="259"/>
      <c r="X804" s="259"/>
      <c r="Y804" s="260"/>
    </row>
    <row r="805" spans="1:25" ht="13">
      <c r="A805" s="261"/>
      <c r="B805" s="261"/>
      <c r="C805" s="261"/>
      <c r="D805" s="265"/>
      <c r="E805" s="265"/>
      <c r="F805" s="265"/>
      <c r="G805" s="265"/>
      <c r="H805" s="265"/>
      <c r="I805" s="265"/>
      <c r="J805" s="265"/>
      <c r="K805" s="259"/>
      <c r="L805" s="265"/>
      <c r="M805" s="265"/>
      <c r="N805" s="265"/>
      <c r="O805" s="265"/>
      <c r="P805" s="259"/>
      <c r="Q805" s="259"/>
      <c r="R805" s="259"/>
      <c r="S805" s="259"/>
      <c r="T805" s="259"/>
      <c r="U805" s="259"/>
      <c r="V805" s="259"/>
      <c r="W805" s="259"/>
      <c r="X805" s="259"/>
      <c r="Y805" s="260"/>
    </row>
    <row r="806" spans="1:25" ht="13">
      <c r="A806" s="261"/>
      <c r="B806" s="261"/>
      <c r="C806" s="261"/>
      <c r="D806" s="265"/>
      <c r="E806" s="265"/>
      <c r="F806" s="265"/>
      <c r="G806" s="265"/>
      <c r="H806" s="265"/>
      <c r="I806" s="265"/>
      <c r="J806" s="265"/>
      <c r="K806" s="259"/>
      <c r="L806" s="265"/>
      <c r="M806" s="265"/>
      <c r="N806" s="265"/>
      <c r="O806" s="265"/>
      <c r="P806" s="259"/>
      <c r="Q806" s="259"/>
      <c r="R806" s="259"/>
      <c r="S806" s="259"/>
      <c r="T806" s="259"/>
      <c r="U806" s="259"/>
      <c r="V806" s="259"/>
      <c r="W806" s="259"/>
      <c r="X806" s="259"/>
      <c r="Y806" s="260"/>
    </row>
    <row r="807" spans="1:25" ht="13">
      <c r="A807" s="261"/>
      <c r="B807" s="261"/>
      <c r="C807" s="261"/>
      <c r="D807" s="265"/>
      <c r="E807" s="265"/>
      <c r="F807" s="265"/>
      <c r="G807" s="265"/>
      <c r="H807" s="265"/>
      <c r="I807" s="265"/>
      <c r="J807" s="265"/>
      <c r="K807" s="259"/>
      <c r="L807" s="265"/>
      <c r="M807" s="265"/>
      <c r="N807" s="265"/>
      <c r="O807" s="265"/>
      <c r="P807" s="259"/>
      <c r="Q807" s="259"/>
      <c r="R807" s="259"/>
      <c r="S807" s="259"/>
      <c r="T807" s="259"/>
      <c r="U807" s="259"/>
      <c r="V807" s="259"/>
      <c r="W807" s="259"/>
      <c r="X807" s="259"/>
      <c r="Y807" s="260"/>
    </row>
    <row r="808" spans="1:25" ht="13">
      <c r="A808" s="261"/>
      <c r="B808" s="261"/>
      <c r="C808" s="261"/>
      <c r="D808" s="265"/>
      <c r="E808" s="265"/>
      <c r="F808" s="265"/>
      <c r="G808" s="265"/>
      <c r="H808" s="265"/>
      <c r="I808" s="265"/>
      <c r="J808" s="265"/>
      <c r="K808" s="259"/>
      <c r="L808" s="265"/>
      <c r="M808" s="265"/>
      <c r="N808" s="265"/>
      <c r="O808" s="265"/>
      <c r="P808" s="259"/>
      <c r="Q808" s="259"/>
      <c r="R808" s="259"/>
      <c r="S808" s="259"/>
      <c r="T808" s="259"/>
      <c r="U808" s="259"/>
      <c r="V808" s="259"/>
      <c r="W808" s="259"/>
      <c r="X808" s="259"/>
      <c r="Y808" s="260"/>
    </row>
    <row r="809" spans="1:25" ht="13">
      <c r="A809" s="261"/>
      <c r="B809" s="261"/>
      <c r="C809" s="261"/>
      <c r="D809" s="265"/>
      <c r="E809" s="265"/>
      <c r="F809" s="265"/>
      <c r="G809" s="265"/>
      <c r="H809" s="265"/>
      <c r="I809" s="265"/>
      <c r="J809" s="265"/>
      <c r="K809" s="259"/>
      <c r="L809" s="265"/>
      <c r="M809" s="265"/>
      <c r="N809" s="265"/>
      <c r="O809" s="265"/>
      <c r="P809" s="259"/>
      <c r="Q809" s="259"/>
      <c r="R809" s="259"/>
      <c r="S809" s="259"/>
      <c r="T809" s="259"/>
      <c r="U809" s="259"/>
      <c r="V809" s="259"/>
      <c r="W809" s="259"/>
      <c r="X809" s="259"/>
      <c r="Y809" s="260"/>
    </row>
    <row r="810" spans="1:25" ht="13">
      <c r="A810" s="261"/>
      <c r="B810" s="261"/>
      <c r="C810" s="261"/>
      <c r="D810" s="265"/>
      <c r="E810" s="265"/>
      <c r="F810" s="265"/>
      <c r="G810" s="265"/>
      <c r="H810" s="265"/>
      <c r="I810" s="265"/>
      <c r="J810" s="265"/>
      <c r="K810" s="259"/>
      <c r="L810" s="265"/>
      <c r="M810" s="265"/>
      <c r="N810" s="265"/>
      <c r="O810" s="265"/>
      <c r="P810" s="259"/>
      <c r="Q810" s="259"/>
      <c r="R810" s="259"/>
      <c r="S810" s="259"/>
      <c r="T810" s="259"/>
      <c r="U810" s="259"/>
      <c r="V810" s="259"/>
      <c r="W810" s="259"/>
      <c r="X810" s="259"/>
      <c r="Y810" s="260"/>
    </row>
    <row r="811" spans="1:25" ht="13">
      <c r="A811" s="261"/>
      <c r="B811" s="261"/>
      <c r="C811" s="261"/>
      <c r="D811" s="265"/>
      <c r="E811" s="265"/>
      <c r="F811" s="265"/>
      <c r="G811" s="265"/>
      <c r="H811" s="265"/>
      <c r="I811" s="265"/>
      <c r="J811" s="265"/>
      <c r="K811" s="259"/>
      <c r="L811" s="265"/>
      <c r="M811" s="265"/>
      <c r="N811" s="265"/>
      <c r="O811" s="265"/>
      <c r="P811" s="259"/>
      <c r="Q811" s="259"/>
      <c r="R811" s="259"/>
      <c r="S811" s="259"/>
      <c r="T811" s="259"/>
      <c r="U811" s="259"/>
      <c r="V811" s="259"/>
      <c r="W811" s="259"/>
      <c r="X811" s="259"/>
      <c r="Y811" s="260"/>
    </row>
    <row r="812" spans="1:25" ht="13">
      <c r="A812" s="261"/>
      <c r="B812" s="261"/>
      <c r="C812" s="261"/>
      <c r="D812" s="265"/>
      <c r="E812" s="265"/>
      <c r="F812" s="265"/>
      <c r="G812" s="265"/>
      <c r="H812" s="265"/>
      <c r="I812" s="265"/>
      <c r="J812" s="265"/>
      <c r="K812" s="259"/>
      <c r="L812" s="265"/>
      <c r="M812" s="265"/>
      <c r="N812" s="265"/>
      <c r="O812" s="265"/>
      <c r="P812" s="259"/>
      <c r="Q812" s="259"/>
      <c r="R812" s="259"/>
      <c r="S812" s="259"/>
      <c r="T812" s="259"/>
      <c r="U812" s="259"/>
      <c r="V812" s="259"/>
      <c r="W812" s="259"/>
      <c r="X812" s="259"/>
      <c r="Y812" s="260"/>
    </row>
    <row r="813" spans="1:25" ht="13">
      <c r="A813" s="261"/>
      <c r="B813" s="261"/>
      <c r="C813" s="261"/>
      <c r="D813" s="265"/>
      <c r="E813" s="265"/>
      <c r="F813" s="265"/>
      <c r="G813" s="265"/>
      <c r="H813" s="265"/>
      <c r="I813" s="265"/>
      <c r="J813" s="265"/>
      <c r="K813" s="259"/>
      <c r="L813" s="265"/>
      <c r="M813" s="265"/>
      <c r="N813" s="265"/>
      <c r="O813" s="265"/>
      <c r="P813" s="259"/>
      <c r="Q813" s="259"/>
      <c r="R813" s="259"/>
      <c r="S813" s="259"/>
      <c r="T813" s="259"/>
      <c r="U813" s="259"/>
      <c r="V813" s="259"/>
      <c r="W813" s="259"/>
      <c r="X813" s="259"/>
      <c r="Y813" s="260"/>
    </row>
    <row r="814" spans="1:25" ht="13">
      <c r="A814" s="261"/>
      <c r="B814" s="261"/>
      <c r="C814" s="261"/>
      <c r="D814" s="265"/>
      <c r="E814" s="265"/>
      <c r="F814" s="265"/>
      <c r="G814" s="265"/>
      <c r="H814" s="265"/>
      <c r="I814" s="265"/>
      <c r="J814" s="265"/>
      <c r="K814" s="259"/>
      <c r="L814" s="265"/>
      <c r="M814" s="265"/>
      <c r="N814" s="265"/>
      <c r="O814" s="265"/>
      <c r="P814" s="259"/>
      <c r="Q814" s="259"/>
      <c r="R814" s="259"/>
      <c r="S814" s="259"/>
      <c r="T814" s="259"/>
      <c r="U814" s="259"/>
      <c r="V814" s="259"/>
      <c r="W814" s="259"/>
      <c r="X814" s="259"/>
      <c r="Y814" s="260"/>
    </row>
    <row r="815" spans="1:25" ht="13">
      <c r="A815" s="261"/>
      <c r="B815" s="261"/>
      <c r="C815" s="261"/>
      <c r="D815" s="265"/>
      <c r="E815" s="265"/>
      <c r="F815" s="265"/>
      <c r="G815" s="265"/>
      <c r="H815" s="265"/>
      <c r="I815" s="265"/>
      <c r="J815" s="265"/>
      <c r="K815" s="259"/>
      <c r="L815" s="265"/>
      <c r="M815" s="265"/>
      <c r="N815" s="265"/>
      <c r="O815" s="265"/>
      <c r="P815" s="259"/>
      <c r="Q815" s="259"/>
      <c r="R815" s="259"/>
      <c r="S815" s="259"/>
      <c r="T815" s="259"/>
      <c r="U815" s="259"/>
      <c r="V815" s="259"/>
      <c r="W815" s="259"/>
      <c r="X815" s="259"/>
      <c r="Y815" s="260"/>
    </row>
    <row r="816" spans="1:25" ht="13">
      <c r="A816" s="261"/>
      <c r="B816" s="261"/>
      <c r="C816" s="261"/>
      <c r="D816" s="265"/>
      <c r="E816" s="265"/>
      <c r="F816" s="265"/>
      <c r="G816" s="265"/>
      <c r="H816" s="265"/>
      <c r="I816" s="265"/>
      <c r="J816" s="265"/>
      <c r="K816" s="259"/>
      <c r="L816" s="265"/>
      <c r="M816" s="265"/>
      <c r="N816" s="265"/>
      <c r="O816" s="265"/>
      <c r="P816" s="259"/>
      <c r="Q816" s="259"/>
      <c r="R816" s="259"/>
      <c r="S816" s="259"/>
      <c r="T816" s="259"/>
      <c r="U816" s="259"/>
      <c r="V816" s="259"/>
      <c r="W816" s="259"/>
      <c r="X816" s="259"/>
      <c r="Y816" s="260"/>
    </row>
    <row r="817" spans="1:25" ht="13">
      <c r="A817" s="261"/>
      <c r="B817" s="261"/>
      <c r="C817" s="261"/>
      <c r="D817" s="265"/>
      <c r="E817" s="265"/>
      <c r="F817" s="265"/>
      <c r="G817" s="265"/>
      <c r="H817" s="265"/>
      <c r="I817" s="265"/>
      <c r="J817" s="265"/>
      <c r="K817" s="259"/>
      <c r="L817" s="265"/>
      <c r="M817" s="265"/>
      <c r="N817" s="265"/>
      <c r="O817" s="265"/>
      <c r="P817" s="259"/>
      <c r="Q817" s="259"/>
      <c r="R817" s="259"/>
      <c r="S817" s="259"/>
      <c r="T817" s="259"/>
      <c r="U817" s="259"/>
      <c r="V817" s="259"/>
      <c r="W817" s="259"/>
      <c r="X817" s="259"/>
      <c r="Y817" s="260"/>
    </row>
    <row r="818" spans="1:25" ht="13">
      <c r="A818" s="261"/>
      <c r="B818" s="261"/>
      <c r="C818" s="261"/>
      <c r="D818" s="265"/>
      <c r="E818" s="265"/>
      <c r="F818" s="265"/>
      <c r="G818" s="265"/>
      <c r="H818" s="265"/>
      <c r="I818" s="265"/>
      <c r="J818" s="265"/>
      <c r="K818" s="259"/>
      <c r="L818" s="265"/>
      <c r="M818" s="265"/>
      <c r="N818" s="265"/>
      <c r="O818" s="265"/>
      <c r="P818" s="259"/>
      <c r="Q818" s="259"/>
      <c r="R818" s="259"/>
      <c r="S818" s="259"/>
      <c r="T818" s="259"/>
      <c r="U818" s="259"/>
      <c r="V818" s="259"/>
      <c r="W818" s="259"/>
      <c r="X818" s="259"/>
      <c r="Y818" s="260"/>
    </row>
    <row r="819" spans="1:25" ht="13">
      <c r="A819" s="261"/>
      <c r="B819" s="261"/>
      <c r="C819" s="261"/>
      <c r="D819" s="265"/>
      <c r="E819" s="265"/>
      <c r="F819" s="265"/>
      <c r="G819" s="265"/>
      <c r="H819" s="265"/>
      <c r="I819" s="265"/>
      <c r="J819" s="265"/>
      <c r="K819" s="259"/>
      <c r="L819" s="265"/>
      <c r="M819" s="265"/>
      <c r="N819" s="265"/>
      <c r="O819" s="265"/>
      <c r="P819" s="259"/>
      <c r="Q819" s="259"/>
      <c r="R819" s="259"/>
      <c r="S819" s="259"/>
      <c r="T819" s="259"/>
      <c r="U819" s="259"/>
      <c r="V819" s="259"/>
      <c r="W819" s="259"/>
      <c r="X819" s="259"/>
      <c r="Y819" s="260"/>
    </row>
    <row r="820" spans="1:25" ht="13">
      <c r="A820" s="261"/>
      <c r="B820" s="261"/>
      <c r="C820" s="261"/>
      <c r="D820" s="265"/>
      <c r="E820" s="265"/>
      <c r="F820" s="265"/>
      <c r="G820" s="265"/>
      <c r="H820" s="265"/>
      <c r="I820" s="265"/>
      <c r="J820" s="265"/>
      <c r="K820" s="259"/>
      <c r="L820" s="265"/>
      <c r="M820" s="265"/>
      <c r="N820" s="265"/>
      <c r="O820" s="265"/>
      <c r="P820" s="259"/>
      <c r="Q820" s="259"/>
      <c r="R820" s="259"/>
      <c r="S820" s="259"/>
      <c r="T820" s="259"/>
      <c r="U820" s="259"/>
      <c r="V820" s="259"/>
      <c r="W820" s="259"/>
      <c r="X820" s="259"/>
      <c r="Y820" s="260"/>
    </row>
    <row r="821" spans="1:25" ht="13">
      <c r="A821" s="261"/>
      <c r="B821" s="261"/>
      <c r="C821" s="261"/>
      <c r="D821" s="265"/>
      <c r="E821" s="265"/>
      <c r="F821" s="265"/>
      <c r="G821" s="265"/>
      <c r="H821" s="265"/>
      <c r="I821" s="265"/>
      <c r="J821" s="265"/>
      <c r="K821" s="259"/>
      <c r="L821" s="265"/>
      <c r="M821" s="265"/>
      <c r="N821" s="265"/>
      <c r="O821" s="265"/>
      <c r="P821" s="259"/>
      <c r="Q821" s="259"/>
      <c r="R821" s="259"/>
      <c r="S821" s="259"/>
      <c r="T821" s="259"/>
      <c r="U821" s="259"/>
      <c r="V821" s="259"/>
      <c r="W821" s="259"/>
      <c r="X821" s="259"/>
      <c r="Y821" s="260"/>
    </row>
    <row r="822" spans="1:25" ht="13">
      <c r="A822" s="261"/>
      <c r="B822" s="261"/>
      <c r="C822" s="261"/>
      <c r="D822" s="265"/>
      <c r="E822" s="265"/>
      <c r="F822" s="265"/>
      <c r="G822" s="265"/>
      <c r="H822" s="265"/>
      <c r="I822" s="265"/>
      <c r="J822" s="265"/>
      <c r="K822" s="259"/>
      <c r="L822" s="265"/>
      <c r="M822" s="265"/>
      <c r="N822" s="265"/>
      <c r="O822" s="265"/>
      <c r="P822" s="259"/>
      <c r="Q822" s="259"/>
      <c r="R822" s="259"/>
      <c r="S822" s="259"/>
      <c r="T822" s="259"/>
      <c r="U822" s="259"/>
      <c r="V822" s="259"/>
      <c r="W822" s="259"/>
      <c r="X822" s="259"/>
      <c r="Y822" s="260"/>
    </row>
    <row r="823" spans="1:25" ht="13">
      <c r="A823" s="261"/>
      <c r="B823" s="261"/>
      <c r="C823" s="261"/>
      <c r="D823" s="265"/>
      <c r="E823" s="265"/>
      <c r="F823" s="265"/>
      <c r="G823" s="265"/>
      <c r="H823" s="265"/>
      <c r="I823" s="265"/>
      <c r="J823" s="265"/>
      <c r="K823" s="259"/>
      <c r="L823" s="265"/>
      <c r="M823" s="265"/>
      <c r="N823" s="265"/>
      <c r="O823" s="265"/>
      <c r="P823" s="259"/>
      <c r="Q823" s="259"/>
      <c r="R823" s="259"/>
      <c r="S823" s="259"/>
      <c r="T823" s="259"/>
      <c r="U823" s="259"/>
      <c r="V823" s="259"/>
      <c r="W823" s="259"/>
      <c r="X823" s="259"/>
      <c r="Y823" s="260"/>
    </row>
    <row r="824" spans="1:25" ht="13">
      <c r="A824" s="261"/>
      <c r="B824" s="261"/>
      <c r="C824" s="261"/>
      <c r="D824" s="265"/>
      <c r="E824" s="265"/>
      <c r="F824" s="265"/>
      <c r="G824" s="265"/>
      <c r="H824" s="265"/>
      <c r="I824" s="265"/>
      <c r="J824" s="265"/>
      <c r="K824" s="259"/>
      <c r="L824" s="265"/>
      <c r="M824" s="265"/>
      <c r="N824" s="265"/>
      <c r="O824" s="265"/>
      <c r="P824" s="259"/>
      <c r="Q824" s="259"/>
      <c r="R824" s="259"/>
      <c r="S824" s="259"/>
      <c r="T824" s="259"/>
      <c r="U824" s="259"/>
      <c r="V824" s="259"/>
      <c r="W824" s="259"/>
      <c r="X824" s="259"/>
      <c r="Y824" s="260"/>
    </row>
    <row r="825" spans="1:25" ht="13">
      <c r="A825" s="261"/>
      <c r="B825" s="261"/>
      <c r="C825" s="261"/>
      <c r="D825" s="265"/>
      <c r="E825" s="265"/>
      <c r="F825" s="265"/>
      <c r="G825" s="265"/>
      <c r="H825" s="265"/>
      <c r="I825" s="265"/>
      <c r="J825" s="265"/>
      <c r="K825" s="259"/>
      <c r="L825" s="265"/>
      <c r="M825" s="265"/>
      <c r="N825" s="265"/>
      <c r="O825" s="265"/>
      <c r="P825" s="259"/>
      <c r="Q825" s="259"/>
      <c r="R825" s="259"/>
      <c r="S825" s="259"/>
      <c r="T825" s="259"/>
      <c r="U825" s="259"/>
      <c r="V825" s="259"/>
      <c r="W825" s="259"/>
      <c r="X825" s="259"/>
      <c r="Y825" s="260"/>
    </row>
    <row r="826" spans="1:25" ht="13">
      <c r="A826" s="261"/>
      <c r="B826" s="261"/>
      <c r="C826" s="261"/>
      <c r="D826" s="265"/>
      <c r="E826" s="265"/>
      <c r="F826" s="265"/>
      <c r="G826" s="265"/>
      <c r="H826" s="265"/>
      <c r="I826" s="265"/>
      <c r="J826" s="265"/>
      <c r="K826" s="259"/>
      <c r="L826" s="265"/>
      <c r="M826" s="265"/>
      <c r="N826" s="265"/>
      <c r="O826" s="265"/>
      <c r="P826" s="259"/>
      <c r="Q826" s="259"/>
      <c r="R826" s="259"/>
      <c r="S826" s="259"/>
      <c r="T826" s="259"/>
      <c r="U826" s="259"/>
      <c r="V826" s="259"/>
      <c r="W826" s="259"/>
      <c r="X826" s="259"/>
      <c r="Y826" s="260"/>
    </row>
    <row r="827" spans="1:25" ht="13">
      <c r="A827" s="261"/>
      <c r="B827" s="261"/>
      <c r="C827" s="261"/>
      <c r="D827" s="265"/>
      <c r="E827" s="265"/>
      <c r="F827" s="265"/>
      <c r="G827" s="265"/>
      <c r="H827" s="265"/>
      <c r="I827" s="265"/>
      <c r="J827" s="265"/>
      <c r="K827" s="259"/>
      <c r="L827" s="265"/>
      <c r="M827" s="265"/>
      <c r="N827" s="265"/>
      <c r="O827" s="265"/>
      <c r="P827" s="259"/>
      <c r="Q827" s="259"/>
      <c r="R827" s="259"/>
      <c r="S827" s="259"/>
      <c r="T827" s="259"/>
      <c r="U827" s="259"/>
      <c r="V827" s="259"/>
      <c r="W827" s="259"/>
      <c r="X827" s="259"/>
      <c r="Y827" s="260"/>
    </row>
    <row r="828" spans="1:25" ht="13">
      <c r="A828" s="261"/>
      <c r="B828" s="261"/>
      <c r="C828" s="261"/>
      <c r="D828" s="265"/>
      <c r="E828" s="265"/>
      <c r="F828" s="265"/>
      <c r="G828" s="265"/>
      <c r="H828" s="265"/>
      <c r="I828" s="265"/>
      <c r="J828" s="265"/>
      <c r="K828" s="259"/>
      <c r="L828" s="265"/>
      <c r="M828" s="265"/>
      <c r="N828" s="265"/>
      <c r="O828" s="265"/>
      <c r="P828" s="259"/>
      <c r="Q828" s="259"/>
      <c r="R828" s="259"/>
      <c r="S828" s="259"/>
      <c r="T828" s="259"/>
      <c r="U828" s="259"/>
      <c r="V828" s="259"/>
      <c r="W828" s="259"/>
      <c r="X828" s="259"/>
      <c r="Y828" s="260"/>
    </row>
    <row r="829" spans="1:25" ht="13">
      <c r="A829" s="261"/>
      <c r="B829" s="261"/>
      <c r="C829" s="261"/>
      <c r="D829" s="265"/>
      <c r="E829" s="265"/>
      <c r="F829" s="265"/>
      <c r="G829" s="265"/>
      <c r="H829" s="265"/>
      <c r="I829" s="265"/>
      <c r="J829" s="265"/>
      <c r="K829" s="259"/>
      <c r="L829" s="265"/>
      <c r="M829" s="265"/>
      <c r="N829" s="265"/>
      <c r="O829" s="265"/>
      <c r="P829" s="259"/>
      <c r="Q829" s="259"/>
      <c r="R829" s="259"/>
      <c r="S829" s="259"/>
      <c r="T829" s="259"/>
      <c r="U829" s="259"/>
      <c r="V829" s="259"/>
      <c r="W829" s="259"/>
      <c r="X829" s="259"/>
      <c r="Y829" s="260"/>
    </row>
    <row r="830" spans="1:25" ht="13">
      <c r="A830" s="261"/>
      <c r="B830" s="261"/>
      <c r="C830" s="261"/>
      <c r="D830" s="265"/>
      <c r="E830" s="265"/>
      <c r="F830" s="265"/>
      <c r="G830" s="265"/>
      <c r="H830" s="265"/>
      <c r="I830" s="265"/>
      <c r="J830" s="265"/>
      <c r="K830" s="259"/>
      <c r="L830" s="265"/>
      <c r="M830" s="265"/>
      <c r="N830" s="265"/>
      <c r="O830" s="265"/>
      <c r="P830" s="259"/>
      <c r="Q830" s="259"/>
      <c r="R830" s="259"/>
      <c r="S830" s="259"/>
      <c r="T830" s="259"/>
      <c r="U830" s="259"/>
      <c r="V830" s="259"/>
      <c r="W830" s="259"/>
      <c r="X830" s="259"/>
      <c r="Y830" s="260"/>
    </row>
    <row r="831" spans="1:25" ht="13">
      <c r="A831" s="261"/>
      <c r="B831" s="261"/>
      <c r="C831" s="261"/>
      <c r="D831" s="265"/>
      <c r="E831" s="265"/>
      <c r="F831" s="265"/>
      <c r="G831" s="265"/>
      <c r="H831" s="265"/>
      <c r="I831" s="265"/>
      <c r="J831" s="265"/>
      <c r="K831" s="259"/>
      <c r="L831" s="265"/>
      <c r="M831" s="265"/>
      <c r="N831" s="265"/>
      <c r="O831" s="265"/>
      <c r="P831" s="259"/>
      <c r="Q831" s="259"/>
      <c r="R831" s="259"/>
      <c r="S831" s="259"/>
      <c r="T831" s="259"/>
      <c r="U831" s="259"/>
      <c r="V831" s="259"/>
      <c r="W831" s="259"/>
      <c r="X831" s="259"/>
      <c r="Y831" s="260"/>
    </row>
    <row r="832" spans="1:25" ht="13">
      <c r="A832" s="261"/>
      <c r="B832" s="261"/>
      <c r="C832" s="261"/>
      <c r="D832" s="265"/>
      <c r="E832" s="265"/>
      <c r="F832" s="265"/>
      <c r="G832" s="265"/>
      <c r="H832" s="265"/>
      <c r="I832" s="265"/>
      <c r="J832" s="265"/>
      <c r="K832" s="259"/>
      <c r="L832" s="265"/>
      <c r="M832" s="265"/>
      <c r="N832" s="265"/>
      <c r="O832" s="265"/>
      <c r="P832" s="259"/>
      <c r="Q832" s="259"/>
      <c r="R832" s="259"/>
      <c r="S832" s="259"/>
      <c r="T832" s="259"/>
      <c r="U832" s="259"/>
      <c r="V832" s="259"/>
      <c r="W832" s="259"/>
      <c r="X832" s="259"/>
      <c r="Y832" s="260"/>
    </row>
    <row r="833" spans="1:25" ht="13">
      <c r="A833" s="261"/>
      <c r="B833" s="261"/>
      <c r="C833" s="261"/>
      <c r="D833" s="265"/>
      <c r="E833" s="265"/>
      <c r="F833" s="265"/>
      <c r="G833" s="265"/>
      <c r="H833" s="265"/>
      <c r="I833" s="265"/>
      <c r="J833" s="265"/>
      <c r="K833" s="259"/>
      <c r="L833" s="265"/>
      <c r="M833" s="265"/>
      <c r="N833" s="265"/>
      <c r="O833" s="265"/>
      <c r="P833" s="259"/>
      <c r="Q833" s="259"/>
      <c r="R833" s="259"/>
      <c r="S833" s="259"/>
      <c r="T833" s="259"/>
      <c r="U833" s="259"/>
      <c r="V833" s="259"/>
      <c r="W833" s="259"/>
      <c r="X833" s="259"/>
      <c r="Y833" s="260"/>
    </row>
    <row r="834" spans="1:25" ht="13">
      <c r="A834" s="261"/>
      <c r="B834" s="261"/>
      <c r="C834" s="261"/>
      <c r="D834" s="265"/>
      <c r="E834" s="265"/>
      <c r="F834" s="265"/>
      <c r="G834" s="265"/>
      <c r="H834" s="265"/>
      <c r="I834" s="265"/>
      <c r="J834" s="265"/>
      <c r="K834" s="259"/>
      <c r="L834" s="265"/>
      <c r="M834" s="265"/>
      <c r="N834" s="265"/>
      <c r="O834" s="265"/>
      <c r="P834" s="259"/>
      <c r="Q834" s="259"/>
      <c r="R834" s="259"/>
      <c r="S834" s="259"/>
      <c r="T834" s="259"/>
      <c r="U834" s="259"/>
      <c r="V834" s="259"/>
      <c r="W834" s="259"/>
      <c r="X834" s="259"/>
      <c r="Y834" s="260"/>
    </row>
    <row r="835" spans="1:25" ht="13">
      <c r="A835" s="261"/>
      <c r="B835" s="261"/>
      <c r="C835" s="261"/>
      <c r="D835" s="265"/>
      <c r="E835" s="265"/>
      <c r="F835" s="265"/>
      <c r="G835" s="265"/>
      <c r="H835" s="265"/>
      <c r="I835" s="265"/>
      <c r="J835" s="265"/>
      <c r="K835" s="259"/>
      <c r="L835" s="265"/>
      <c r="M835" s="265"/>
      <c r="N835" s="265"/>
      <c r="O835" s="265"/>
      <c r="P835" s="259"/>
      <c r="Q835" s="259"/>
      <c r="R835" s="259"/>
      <c r="S835" s="259"/>
      <c r="T835" s="259"/>
      <c r="U835" s="259"/>
      <c r="V835" s="259"/>
      <c r="W835" s="259"/>
      <c r="X835" s="259"/>
      <c r="Y835" s="260"/>
    </row>
    <row r="836" spans="1:25" ht="13">
      <c r="A836" s="261"/>
      <c r="B836" s="261"/>
      <c r="C836" s="261"/>
      <c r="D836" s="265"/>
      <c r="E836" s="265"/>
      <c r="F836" s="265"/>
      <c r="G836" s="265"/>
      <c r="H836" s="265"/>
      <c r="I836" s="265"/>
      <c r="J836" s="265"/>
      <c r="K836" s="259"/>
      <c r="L836" s="265"/>
      <c r="M836" s="265"/>
      <c r="N836" s="265"/>
      <c r="O836" s="265"/>
      <c r="P836" s="259"/>
      <c r="Q836" s="259"/>
      <c r="R836" s="259"/>
      <c r="S836" s="259"/>
      <c r="T836" s="259"/>
      <c r="U836" s="259"/>
      <c r="V836" s="259"/>
      <c r="W836" s="259"/>
      <c r="X836" s="259"/>
      <c r="Y836" s="260"/>
    </row>
    <row r="837" spans="1:25" ht="13">
      <c r="A837" s="261"/>
      <c r="B837" s="261"/>
      <c r="C837" s="261"/>
      <c r="D837" s="265"/>
      <c r="E837" s="265"/>
      <c r="F837" s="265"/>
      <c r="G837" s="265"/>
      <c r="H837" s="265"/>
      <c r="I837" s="265"/>
      <c r="J837" s="265"/>
      <c r="K837" s="259"/>
      <c r="L837" s="265"/>
      <c r="M837" s="265"/>
      <c r="N837" s="265"/>
      <c r="O837" s="265"/>
      <c r="P837" s="259"/>
      <c r="Q837" s="259"/>
      <c r="R837" s="259"/>
      <c r="S837" s="259"/>
      <c r="T837" s="259"/>
      <c r="U837" s="259"/>
      <c r="V837" s="259"/>
      <c r="W837" s="259"/>
      <c r="X837" s="259"/>
      <c r="Y837" s="260"/>
    </row>
    <row r="838" spans="1:25" ht="13">
      <c r="A838" s="261"/>
      <c r="B838" s="261"/>
      <c r="C838" s="261"/>
      <c r="D838" s="265"/>
      <c r="E838" s="265"/>
      <c r="F838" s="265"/>
      <c r="G838" s="265"/>
      <c r="H838" s="265"/>
      <c r="I838" s="265"/>
      <c r="J838" s="265"/>
      <c r="K838" s="259"/>
      <c r="L838" s="265"/>
      <c r="M838" s="265"/>
      <c r="N838" s="265"/>
      <c r="O838" s="265"/>
      <c r="P838" s="259"/>
      <c r="Q838" s="259"/>
      <c r="R838" s="259"/>
      <c r="S838" s="259"/>
      <c r="T838" s="259"/>
      <c r="U838" s="259"/>
      <c r="V838" s="259"/>
      <c r="W838" s="259"/>
      <c r="X838" s="259"/>
      <c r="Y838" s="260"/>
    </row>
    <row r="839" spans="1:25" ht="13">
      <c r="A839" s="261"/>
      <c r="B839" s="261"/>
      <c r="C839" s="261"/>
      <c r="D839" s="265"/>
      <c r="E839" s="265"/>
      <c r="F839" s="265"/>
      <c r="G839" s="265"/>
      <c r="H839" s="265"/>
      <c r="I839" s="265"/>
      <c r="J839" s="265"/>
      <c r="K839" s="259"/>
      <c r="L839" s="265"/>
      <c r="M839" s="265"/>
      <c r="N839" s="265"/>
      <c r="O839" s="265"/>
      <c r="P839" s="259"/>
      <c r="Q839" s="259"/>
      <c r="R839" s="259"/>
      <c r="S839" s="259"/>
      <c r="T839" s="259"/>
      <c r="U839" s="259"/>
      <c r="V839" s="259"/>
      <c r="W839" s="259"/>
      <c r="X839" s="259"/>
      <c r="Y839" s="260"/>
    </row>
    <row r="840" spans="1:25" ht="13">
      <c r="A840" s="261"/>
      <c r="B840" s="261"/>
      <c r="C840" s="261"/>
      <c r="D840" s="265"/>
      <c r="E840" s="265"/>
      <c r="F840" s="265"/>
      <c r="G840" s="265"/>
      <c r="H840" s="265"/>
      <c r="I840" s="265"/>
      <c r="J840" s="265"/>
      <c r="K840" s="259"/>
      <c r="L840" s="265"/>
      <c r="M840" s="265"/>
      <c r="N840" s="265"/>
      <c r="O840" s="265"/>
      <c r="P840" s="259"/>
      <c r="Q840" s="259"/>
      <c r="R840" s="259"/>
      <c r="S840" s="259"/>
      <c r="T840" s="259"/>
      <c r="U840" s="259"/>
      <c r="V840" s="259"/>
      <c r="W840" s="259"/>
      <c r="X840" s="259"/>
      <c r="Y840" s="260"/>
    </row>
    <row r="841" spans="1:25" ht="13">
      <c r="A841" s="261"/>
      <c r="B841" s="261"/>
      <c r="C841" s="261"/>
      <c r="D841" s="265"/>
      <c r="E841" s="265"/>
      <c r="F841" s="265"/>
      <c r="G841" s="265"/>
      <c r="H841" s="265"/>
      <c r="I841" s="265"/>
      <c r="J841" s="265"/>
      <c r="K841" s="259"/>
      <c r="L841" s="265"/>
      <c r="M841" s="265"/>
      <c r="N841" s="265"/>
      <c r="O841" s="265"/>
      <c r="P841" s="259"/>
      <c r="Q841" s="259"/>
      <c r="R841" s="259"/>
      <c r="S841" s="259"/>
      <c r="T841" s="259"/>
      <c r="U841" s="259"/>
      <c r="V841" s="259"/>
      <c r="W841" s="259"/>
      <c r="X841" s="259"/>
      <c r="Y841" s="260"/>
    </row>
    <row r="842" spans="1:25" ht="13">
      <c r="A842" s="261"/>
      <c r="B842" s="261"/>
      <c r="C842" s="261"/>
      <c r="D842" s="265"/>
      <c r="E842" s="265"/>
      <c r="F842" s="265"/>
      <c r="G842" s="265"/>
      <c r="H842" s="265"/>
      <c r="I842" s="265"/>
      <c r="J842" s="265"/>
      <c r="K842" s="259"/>
      <c r="L842" s="265"/>
      <c r="M842" s="265"/>
      <c r="N842" s="265"/>
      <c r="O842" s="265"/>
      <c r="P842" s="259"/>
      <c r="Q842" s="259"/>
      <c r="R842" s="259"/>
      <c r="S842" s="259"/>
      <c r="T842" s="259"/>
      <c r="U842" s="259"/>
      <c r="V842" s="259"/>
      <c r="W842" s="259"/>
      <c r="X842" s="259"/>
      <c r="Y842" s="260"/>
    </row>
    <row r="843" spans="1:25" ht="13">
      <c r="A843" s="261"/>
      <c r="B843" s="261"/>
      <c r="C843" s="261"/>
      <c r="D843" s="265"/>
      <c r="E843" s="265"/>
      <c r="F843" s="265"/>
      <c r="G843" s="265"/>
      <c r="H843" s="265"/>
      <c r="I843" s="265"/>
      <c r="J843" s="265"/>
      <c r="K843" s="259"/>
      <c r="L843" s="265"/>
      <c r="M843" s="265"/>
      <c r="N843" s="265"/>
      <c r="O843" s="265"/>
      <c r="P843" s="259"/>
      <c r="Q843" s="259"/>
      <c r="R843" s="259"/>
      <c r="S843" s="259"/>
      <c r="T843" s="259"/>
      <c r="U843" s="259"/>
      <c r="V843" s="259"/>
      <c r="W843" s="259"/>
      <c r="X843" s="259"/>
      <c r="Y843" s="260"/>
    </row>
    <row r="844" spans="1:25" ht="13">
      <c r="A844" s="261"/>
      <c r="B844" s="261"/>
      <c r="C844" s="261"/>
      <c r="D844" s="265"/>
      <c r="E844" s="265"/>
      <c r="F844" s="265"/>
      <c r="G844" s="265"/>
      <c r="H844" s="265"/>
      <c r="I844" s="265"/>
      <c r="J844" s="265"/>
      <c r="K844" s="259"/>
      <c r="L844" s="265"/>
      <c r="M844" s="265"/>
      <c r="N844" s="265"/>
      <c r="O844" s="265"/>
      <c r="P844" s="259"/>
      <c r="Q844" s="259"/>
      <c r="R844" s="259"/>
      <c r="S844" s="259"/>
      <c r="T844" s="259"/>
      <c r="U844" s="259"/>
      <c r="V844" s="259"/>
      <c r="W844" s="259"/>
      <c r="X844" s="259"/>
      <c r="Y844" s="260"/>
    </row>
    <row r="845" spans="1:25" ht="13">
      <c r="A845" s="261"/>
      <c r="B845" s="261"/>
      <c r="C845" s="261"/>
      <c r="D845" s="265"/>
      <c r="E845" s="265"/>
      <c r="F845" s="265"/>
      <c r="G845" s="265"/>
      <c r="H845" s="265"/>
      <c r="I845" s="265"/>
      <c r="J845" s="265"/>
      <c r="K845" s="259"/>
      <c r="L845" s="265"/>
      <c r="M845" s="265"/>
      <c r="N845" s="265"/>
      <c r="O845" s="265"/>
      <c r="P845" s="259"/>
      <c r="Q845" s="259"/>
      <c r="R845" s="259"/>
      <c r="S845" s="259"/>
      <c r="T845" s="259"/>
      <c r="U845" s="259"/>
      <c r="V845" s="259"/>
      <c r="W845" s="259"/>
      <c r="X845" s="259"/>
      <c r="Y845" s="260"/>
    </row>
    <row r="846" spans="1:25" ht="13">
      <c r="A846" s="261"/>
      <c r="B846" s="261"/>
      <c r="C846" s="261"/>
      <c r="D846" s="265"/>
      <c r="E846" s="265"/>
      <c r="F846" s="265"/>
      <c r="G846" s="265"/>
      <c r="H846" s="265"/>
      <c r="I846" s="265"/>
      <c r="J846" s="265"/>
      <c r="K846" s="259"/>
      <c r="L846" s="265"/>
      <c r="M846" s="265"/>
      <c r="N846" s="265"/>
      <c r="O846" s="265"/>
      <c r="P846" s="259"/>
      <c r="Q846" s="259"/>
      <c r="R846" s="259"/>
      <c r="S846" s="259"/>
      <c r="T846" s="259"/>
      <c r="U846" s="259"/>
      <c r="V846" s="259"/>
      <c r="W846" s="259"/>
      <c r="X846" s="259"/>
      <c r="Y846" s="260"/>
    </row>
    <row r="847" spans="1:25" ht="13">
      <c r="A847" s="261"/>
      <c r="B847" s="261"/>
      <c r="C847" s="261"/>
      <c r="D847" s="265"/>
      <c r="E847" s="265"/>
      <c r="F847" s="265"/>
      <c r="G847" s="265"/>
      <c r="H847" s="265"/>
      <c r="I847" s="265"/>
      <c r="J847" s="265"/>
      <c r="K847" s="259"/>
      <c r="L847" s="265"/>
      <c r="M847" s="265"/>
      <c r="N847" s="265"/>
      <c r="O847" s="265"/>
      <c r="P847" s="259"/>
      <c r="Q847" s="259"/>
      <c r="R847" s="259"/>
      <c r="S847" s="259"/>
      <c r="T847" s="259"/>
      <c r="U847" s="259"/>
      <c r="V847" s="259"/>
      <c r="W847" s="259"/>
      <c r="X847" s="259"/>
      <c r="Y847" s="260"/>
    </row>
    <row r="848" spans="1:25" ht="13">
      <c r="A848" s="261"/>
      <c r="B848" s="261"/>
      <c r="C848" s="261"/>
      <c r="D848" s="265"/>
      <c r="E848" s="265"/>
      <c r="F848" s="265"/>
      <c r="G848" s="265"/>
      <c r="H848" s="265"/>
      <c r="I848" s="265"/>
      <c r="J848" s="265"/>
      <c r="K848" s="259"/>
      <c r="L848" s="265"/>
      <c r="M848" s="265"/>
      <c r="N848" s="265"/>
      <c r="O848" s="265"/>
      <c r="P848" s="259"/>
      <c r="Q848" s="259"/>
      <c r="R848" s="259"/>
      <c r="S848" s="259"/>
      <c r="T848" s="259"/>
      <c r="U848" s="259"/>
      <c r="V848" s="259"/>
      <c r="W848" s="259"/>
      <c r="X848" s="259"/>
      <c r="Y848" s="260"/>
    </row>
    <row r="849" spans="1:25" ht="13">
      <c r="A849" s="261"/>
      <c r="B849" s="261"/>
      <c r="C849" s="261"/>
      <c r="D849" s="265"/>
      <c r="E849" s="265"/>
      <c r="F849" s="265"/>
      <c r="G849" s="265"/>
      <c r="H849" s="265"/>
      <c r="I849" s="265"/>
      <c r="J849" s="265"/>
      <c r="K849" s="259"/>
      <c r="L849" s="265"/>
      <c r="M849" s="265"/>
      <c r="N849" s="265"/>
      <c r="O849" s="265"/>
      <c r="P849" s="259"/>
      <c r="Q849" s="259"/>
      <c r="R849" s="259"/>
      <c r="S849" s="259"/>
      <c r="T849" s="259"/>
      <c r="U849" s="259"/>
      <c r="V849" s="259"/>
      <c r="W849" s="259"/>
      <c r="X849" s="259"/>
      <c r="Y849" s="260"/>
    </row>
    <row r="850" spans="1:25" ht="13">
      <c r="A850" s="261"/>
      <c r="B850" s="261"/>
      <c r="C850" s="261"/>
      <c r="D850" s="265"/>
      <c r="E850" s="265"/>
      <c r="F850" s="265"/>
      <c r="G850" s="265"/>
      <c r="H850" s="265"/>
      <c r="I850" s="265"/>
      <c r="J850" s="265"/>
      <c r="K850" s="259"/>
      <c r="L850" s="265"/>
      <c r="M850" s="265"/>
      <c r="N850" s="265"/>
      <c r="O850" s="265"/>
      <c r="P850" s="259"/>
      <c r="Q850" s="259"/>
      <c r="R850" s="259"/>
      <c r="S850" s="259"/>
      <c r="T850" s="259"/>
      <c r="U850" s="259"/>
      <c r="V850" s="259"/>
      <c r="W850" s="259"/>
      <c r="X850" s="259"/>
      <c r="Y850" s="260"/>
    </row>
    <row r="851" spans="1:25" ht="13">
      <c r="A851" s="261"/>
      <c r="B851" s="261"/>
      <c r="C851" s="261"/>
      <c r="D851" s="265"/>
      <c r="E851" s="265"/>
      <c r="F851" s="265"/>
      <c r="G851" s="265"/>
      <c r="H851" s="265"/>
      <c r="I851" s="265"/>
      <c r="J851" s="265"/>
      <c r="K851" s="259"/>
      <c r="L851" s="265"/>
      <c r="M851" s="265"/>
      <c r="N851" s="265"/>
      <c r="O851" s="265"/>
      <c r="P851" s="259"/>
      <c r="Q851" s="259"/>
      <c r="R851" s="259"/>
      <c r="S851" s="259"/>
      <c r="T851" s="259"/>
      <c r="U851" s="259"/>
      <c r="V851" s="259"/>
      <c r="W851" s="259"/>
      <c r="X851" s="259"/>
      <c r="Y851" s="260"/>
    </row>
    <row r="852" spans="1:25" ht="13">
      <c r="A852" s="261"/>
      <c r="B852" s="261"/>
      <c r="C852" s="261"/>
      <c r="D852" s="265"/>
      <c r="E852" s="265"/>
      <c r="F852" s="265"/>
      <c r="G852" s="265"/>
      <c r="H852" s="265"/>
      <c r="I852" s="265"/>
      <c r="J852" s="265"/>
      <c r="K852" s="259"/>
      <c r="L852" s="265"/>
      <c r="M852" s="265"/>
      <c r="N852" s="265"/>
      <c r="O852" s="265"/>
      <c r="P852" s="259"/>
      <c r="Q852" s="259"/>
      <c r="R852" s="259"/>
      <c r="S852" s="259"/>
      <c r="T852" s="259"/>
      <c r="U852" s="259"/>
      <c r="V852" s="259"/>
      <c r="W852" s="259"/>
      <c r="X852" s="259"/>
      <c r="Y852" s="260"/>
    </row>
    <row r="853" spans="1:25" ht="13">
      <c r="A853" s="261"/>
      <c r="B853" s="261"/>
      <c r="C853" s="261"/>
      <c r="D853" s="265"/>
      <c r="E853" s="265"/>
      <c r="F853" s="265"/>
      <c r="G853" s="265"/>
      <c r="H853" s="265"/>
      <c r="I853" s="265"/>
      <c r="J853" s="265"/>
      <c r="K853" s="259"/>
      <c r="L853" s="265"/>
      <c r="M853" s="265"/>
      <c r="N853" s="265"/>
      <c r="O853" s="265"/>
      <c r="P853" s="259"/>
      <c r="Q853" s="259"/>
      <c r="R853" s="259"/>
      <c r="S853" s="259"/>
      <c r="T853" s="259"/>
      <c r="U853" s="259"/>
      <c r="V853" s="259"/>
      <c r="W853" s="259"/>
      <c r="X853" s="259"/>
      <c r="Y853" s="260"/>
    </row>
    <row r="854" spans="1:25" ht="13">
      <c r="A854" s="261"/>
      <c r="B854" s="261"/>
      <c r="C854" s="261"/>
      <c r="D854" s="265"/>
      <c r="E854" s="265"/>
      <c r="F854" s="265"/>
      <c r="G854" s="265"/>
      <c r="H854" s="265"/>
      <c r="I854" s="265"/>
      <c r="J854" s="265"/>
      <c r="K854" s="259"/>
      <c r="L854" s="265"/>
      <c r="M854" s="265"/>
      <c r="N854" s="265"/>
      <c r="O854" s="265"/>
      <c r="P854" s="259"/>
      <c r="Q854" s="259"/>
      <c r="R854" s="259"/>
      <c r="S854" s="259"/>
      <c r="T854" s="259"/>
      <c r="U854" s="259"/>
      <c r="V854" s="259"/>
      <c r="W854" s="259"/>
      <c r="X854" s="259"/>
      <c r="Y854" s="260"/>
    </row>
    <row r="855" spans="1:25" ht="13">
      <c r="A855" s="261"/>
      <c r="B855" s="261"/>
      <c r="C855" s="261"/>
      <c r="D855" s="265"/>
      <c r="E855" s="265"/>
      <c r="F855" s="265"/>
      <c r="G855" s="265"/>
      <c r="H855" s="265"/>
      <c r="I855" s="265"/>
      <c r="J855" s="265"/>
      <c r="K855" s="259"/>
      <c r="L855" s="265"/>
      <c r="M855" s="265"/>
      <c r="N855" s="265"/>
      <c r="O855" s="265"/>
      <c r="P855" s="259"/>
      <c r="Q855" s="259"/>
      <c r="R855" s="259"/>
      <c r="S855" s="259"/>
      <c r="T855" s="259"/>
      <c r="U855" s="259"/>
      <c r="V855" s="259"/>
      <c r="W855" s="259"/>
      <c r="X855" s="259"/>
      <c r="Y855" s="260"/>
    </row>
    <row r="856" spans="1:25" ht="13">
      <c r="A856" s="261"/>
      <c r="B856" s="261"/>
      <c r="C856" s="261"/>
      <c r="D856" s="265"/>
      <c r="E856" s="265"/>
      <c r="F856" s="265"/>
      <c r="G856" s="265"/>
      <c r="H856" s="265"/>
      <c r="I856" s="265"/>
      <c r="J856" s="265"/>
      <c r="K856" s="259"/>
      <c r="L856" s="265"/>
      <c r="M856" s="265"/>
      <c r="N856" s="265"/>
      <c r="O856" s="265"/>
      <c r="P856" s="259"/>
      <c r="Q856" s="259"/>
      <c r="R856" s="259"/>
      <c r="S856" s="259"/>
      <c r="T856" s="259"/>
      <c r="U856" s="259"/>
      <c r="V856" s="259"/>
      <c r="W856" s="259"/>
      <c r="X856" s="259"/>
      <c r="Y856" s="260"/>
    </row>
    <row r="857" spans="1:25" ht="13">
      <c r="A857" s="261"/>
      <c r="B857" s="261"/>
      <c r="C857" s="261"/>
      <c r="D857" s="265"/>
      <c r="E857" s="265"/>
      <c r="F857" s="265"/>
      <c r="G857" s="265"/>
      <c r="H857" s="265"/>
      <c r="I857" s="265"/>
      <c r="J857" s="265"/>
      <c r="K857" s="259"/>
      <c r="L857" s="265"/>
      <c r="M857" s="265"/>
      <c r="N857" s="265"/>
      <c r="O857" s="265"/>
      <c r="P857" s="259"/>
      <c r="Q857" s="259"/>
      <c r="R857" s="259"/>
      <c r="S857" s="259"/>
      <c r="T857" s="259"/>
      <c r="U857" s="259"/>
      <c r="V857" s="259"/>
      <c r="W857" s="259"/>
      <c r="X857" s="259"/>
      <c r="Y857" s="260"/>
    </row>
    <row r="858" spans="1:25" ht="13">
      <c r="A858" s="261"/>
      <c r="B858" s="261"/>
      <c r="C858" s="261"/>
      <c r="D858" s="265"/>
      <c r="E858" s="265"/>
      <c r="F858" s="265"/>
      <c r="G858" s="265"/>
      <c r="H858" s="265"/>
      <c r="I858" s="265"/>
      <c r="J858" s="265"/>
      <c r="K858" s="259"/>
      <c r="L858" s="265"/>
      <c r="M858" s="265"/>
      <c r="N858" s="265"/>
      <c r="O858" s="265"/>
      <c r="P858" s="259"/>
      <c r="Q858" s="259"/>
      <c r="R858" s="259"/>
      <c r="S858" s="259"/>
      <c r="T858" s="259"/>
      <c r="U858" s="259"/>
      <c r="V858" s="259"/>
      <c r="W858" s="259"/>
      <c r="X858" s="259"/>
      <c r="Y858" s="260"/>
    </row>
    <row r="859" spans="1:25" ht="13">
      <c r="A859" s="261"/>
      <c r="B859" s="261"/>
      <c r="C859" s="261"/>
      <c r="D859" s="265"/>
      <c r="E859" s="265"/>
      <c r="F859" s="265"/>
      <c r="G859" s="265"/>
      <c r="H859" s="265"/>
      <c r="I859" s="265"/>
      <c r="J859" s="265"/>
      <c r="K859" s="259"/>
      <c r="L859" s="265"/>
      <c r="M859" s="265"/>
      <c r="N859" s="265"/>
      <c r="O859" s="265"/>
      <c r="P859" s="259"/>
      <c r="Q859" s="259"/>
      <c r="R859" s="259"/>
      <c r="S859" s="259"/>
      <c r="T859" s="259"/>
      <c r="U859" s="259"/>
      <c r="V859" s="259"/>
      <c r="W859" s="259"/>
      <c r="X859" s="259"/>
      <c r="Y859" s="260"/>
    </row>
    <row r="860" spans="1:25" ht="13">
      <c r="A860" s="261"/>
      <c r="B860" s="261"/>
      <c r="C860" s="261"/>
      <c r="D860" s="265"/>
      <c r="E860" s="265"/>
      <c r="F860" s="265"/>
      <c r="G860" s="265"/>
      <c r="H860" s="265"/>
      <c r="I860" s="265"/>
      <c r="J860" s="265"/>
      <c r="K860" s="259"/>
      <c r="L860" s="265"/>
      <c r="M860" s="265"/>
      <c r="N860" s="265"/>
      <c r="O860" s="265"/>
      <c r="P860" s="259"/>
      <c r="Q860" s="259"/>
      <c r="R860" s="259"/>
      <c r="S860" s="259"/>
      <c r="T860" s="259"/>
      <c r="U860" s="259"/>
      <c r="V860" s="259"/>
      <c r="W860" s="259"/>
      <c r="X860" s="259"/>
      <c r="Y860" s="260"/>
    </row>
    <row r="861" spans="1:25" ht="13">
      <c r="A861" s="261"/>
      <c r="B861" s="261"/>
      <c r="C861" s="261"/>
      <c r="D861" s="265"/>
      <c r="E861" s="265"/>
      <c r="F861" s="265"/>
      <c r="G861" s="265"/>
      <c r="H861" s="265"/>
      <c r="I861" s="265"/>
      <c r="J861" s="265"/>
      <c r="K861" s="259"/>
      <c r="L861" s="265"/>
      <c r="M861" s="265"/>
      <c r="N861" s="265"/>
      <c r="O861" s="265"/>
      <c r="P861" s="259"/>
      <c r="Q861" s="259"/>
      <c r="R861" s="259"/>
      <c r="S861" s="259"/>
      <c r="T861" s="259"/>
      <c r="U861" s="259"/>
      <c r="V861" s="259"/>
      <c r="W861" s="259"/>
      <c r="X861" s="259"/>
      <c r="Y861" s="260"/>
    </row>
    <row r="862" spans="1:25" ht="13">
      <c r="A862" s="261"/>
      <c r="B862" s="261"/>
      <c r="C862" s="261"/>
      <c r="D862" s="265"/>
      <c r="E862" s="265"/>
      <c r="F862" s="265"/>
      <c r="G862" s="265"/>
      <c r="H862" s="265"/>
      <c r="I862" s="265"/>
      <c r="J862" s="265"/>
      <c r="K862" s="259"/>
      <c r="L862" s="265"/>
      <c r="M862" s="265"/>
      <c r="N862" s="265"/>
      <c r="O862" s="265"/>
      <c r="P862" s="259"/>
      <c r="Q862" s="259"/>
      <c r="R862" s="259"/>
      <c r="S862" s="259"/>
      <c r="T862" s="259"/>
      <c r="U862" s="259"/>
      <c r="V862" s="259"/>
      <c r="W862" s="259"/>
      <c r="X862" s="259"/>
      <c r="Y862" s="260"/>
    </row>
    <row r="863" spans="1:25" ht="13">
      <c r="A863" s="261"/>
      <c r="B863" s="261"/>
      <c r="C863" s="261"/>
      <c r="D863" s="265"/>
      <c r="E863" s="265"/>
      <c r="F863" s="265"/>
      <c r="G863" s="265"/>
      <c r="H863" s="265"/>
      <c r="I863" s="265"/>
      <c r="J863" s="265"/>
      <c r="K863" s="259"/>
      <c r="L863" s="265"/>
      <c r="M863" s="265"/>
      <c r="N863" s="265"/>
      <c r="O863" s="265"/>
      <c r="P863" s="259"/>
      <c r="Q863" s="259"/>
      <c r="R863" s="259"/>
      <c r="S863" s="259"/>
      <c r="T863" s="259"/>
      <c r="U863" s="259"/>
      <c r="V863" s="259"/>
      <c r="W863" s="259"/>
      <c r="X863" s="259"/>
      <c r="Y863" s="260"/>
    </row>
    <row r="864" spans="1:25" ht="13">
      <c r="A864" s="261"/>
      <c r="B864" s="261"/>
      <c r="C864" s="261"/>
      <c r="D864" s="265"/>
      <c r="E864" s="265"/>
      <c r="F864" s="265"/>
      <c r="G864" s="265"/>
      <c r="H864" s="265"/>
      <c r="I864" s="265"/>
      <c r="J864" s="265"/>
      <c r="K864" s="259"/>
      <c r="L864" s="265"/>
      <c r="M864" s="265"/>
      <c r="N864" s="265"/>
      <c r="O864" s="265"/>
      <c r="P864" s="259"/>
      <c r="Q864" s="259"/>
      <c r="R864" s="259"/>
      <c r="S864" s="259"/>
      <c r="T864" s="259"/>
      <c r="U864" s="259"/>
      <c r="V864" s="259"/>
      <c r="W864" s="259"/>
      <c r="X864" s="259"/>
      <c r="Y864" s="260"/>
    </row>
    <row r="865" spans="1:25" ht="13">
      <c r="A865" s="261"/>
      <c r="B865" s="261"/>
      <c r="C865" s="261"/>
      <c r="D865" s="265"/>
      <c r="E865" s="265"/>
      <c r="F865" s="265"/>
      <c r="G865" s="265"/>
      <c r="H865" s="265"/>
      <c r="I865" s="265"/>
      <c r="J865" s="265"/>
      <c r="K865" s="259"/>
      <c r="L865" s="265"/>
      <c r="M865" s="265"/>
      <c r="N865" s="265"/>
      <c r="O865" s="265"/>
      <c r="P865" s="259"/>
      <c r="Q865" s="259"/>
      <c r="R865" s="259"/>
      <c r="S865" s="259"/>
      <c r="T865" s="259"/>
      <c r="U865" s="259"/>
      <c r="V865" s="259"/>
      <c r="W865" s="259"/>
      <c r="X865" s="259"/>
      <c r="Y865" s="260"/>
    </row>
    <row r="866" spans="1:25" ht="13">
      <c r="A866" s="261"/>
      <c r="B866" s="261"/>
      <c r="C866" s="261"/>
      <c r="D866" s="265"/>
      <c r="E866" s="265"/>
      <c r="F866" s="265"/>
      <c r="G866" s="265"/>
      <c r="H866" s="265"/>
      <c r="I866" s="265"/>
      <c r="J866" s="265"/>
      <c r="K866" s="259"/>
      <c r="L866" s="265"/>
      <c r="M866" s="265"/>
      <c r="N866" s="265"/>
      <c r="O866" s="265"/>
      <c r="P866" s="259"/>
      <c r="Q866" s="259"/>
      <c r="R866" s="259"/>
      <c r="S866" s="259"/>
      <c r="T866" s="259"/>
      <c r="U866" s="259"/>
      <c r="V866" s="259"/>
      <c r="W866" s="259"/>
      <c r="X866" s="259"/>
      <c r="Y866" s="260"/>
    </row>
    <row r="867" spans="1:25" ht="13">
      <c r="A867" s="261"/>
      <c r="B867" s="261"/>
      <c r="C867" s="261"/>
      <c r="D867" s="265"/>
      <c r="E867" s="265"/>
      <c r="F867" s="265"/>
      <c r="G867" s="265"/>
      <c r="H867" s="265"/>
      <c r="I867" s="265"/>
      <c r="J867" s="265"/>
      <c r="K867" s="259"/>
      <c r="L867" s="265"/>
      <c r="M867" s="265"/>
      <c r="N867" s="265"/>
      <c r="O867" s="265"/>
      <c r="P867" s="259"/>
      <c r="Q867" s="259"/>
      <c r="R867" s="259"/>
      <c r="S867" s="259"/>
      <c r="T867" s="259"/>
      <c r="U867" s="259"/>
      <c r="V867" s="259"/>
      <c r="W867" s="259"/>
      <c r="X867" s="259"/>
      <c r="Y867" s="260"/>
    </row>
    <row r="868" spans="1:25" ht="13">
      <c r="A868" s="261"/>
      <c r="B868" s="261"/>
      <c r="C868" s="261"/>
      <c r="D868" s="265"/>
      <c r="E868" s="265"/>
      <c r="F868" s="265"/>
      <c r="G868" s="265"/>
      <c r="H868" s="265"/>
      <c r="I868" s="265"/>
      <c r="J868" s="265"/>
      <c r="K868" s="259"/>
      <c r="L868" s="265"/>
      <c r="M868" s="265"/>
      <c r="N868" s="265"/>
      <c r="O868" s="265"/>
      <c r="P868" s="259"/>
      <c r="Q868" s="259"/>
      <c r="R868" s="259"/>
      <c r="S868" s="259"/>
      <c r="T868" s="259"/>
      <c r="U868" s="259"/>
      <c r="V868" s="259"/>
      <c r="W868" s="259"/>
      <c r="X868" s="259"/>
      <c r="Y868" s="260"/>
    </row>
    <row r="869" spans="1:25" ht="13">
      <c r="A869" s="261"/>
      <c r="B869" s="261"/>
      <c r="C869" s="261"/>
      <c r="D869" s="265"/>
      <c r="E869" s="265"/>
      <c r="F869" s="265"/>
      <c r="G869" s="265"/>
      <c r="H869" s="265"/>
      <c r="I869" s="265"/>
      <c r="J869" s="265"/>
      <c r="K869" s="259"/>
      <c r="L869" s="265"/>
      <c r="M869" s="265"/>
      <c r="N869" s="265"/>
      <c r="O869" s="265"/>
      <c r="P869" s="259"/>
      <c r="Q869" s="259"/>
      <c r="R869" s="259"/>
      <c r="S869" s="259"/>
      <c r="T869" s="259"/>
      <c r="U869" s="259"/>
      <c r="V869" s="259"/>
      <c r="W869" s="259"/>
      <c r="X869" s="259"/>
      <c r="Y869" s="260"/>
    </row>
    <row r="870" spans="1:25" ht="13">
      <c r="A870" s="261"/>
      <c r="B870" s="261"/>
      <c r="C870" s="261"/>
      <c r="D870" s="265"/>
      <c r="E870" s="265"/>
      <c r="F870" s="265"/>
      <c r="G870" s="265"/>
      <c r="H870" s="265"/>
      <c r="I870" s="265"/>
      <c r="J870" s="265"/>
      <c r="K870" s="259"/>
      <c r="L870" s="265"/>
      <c r="M870" s="265"/>
      <c r="N870" s="265"/>
      <c r="O870" s="265"/>
      <c r="P870" s="259"/>
      <c r="Q870" s="259"/>
      <c r="R870" s="259"/>
      <c r="S870" s="259"/>
      <c r="T870" s="259"/>
      <c r="U870" s="259"/>
      <c r="V870" s="259"/>
      <c r="W870" s="259"/>
      <c r="X870" s="259"/>
      <c r="Y870" s="260"/>
    </row>
    <row r="871" spans="1:25" ht="13">
      <c r="A871" s="261"/>
      <c r="B871" s="261"/>
      <c r="C871" s="261"/>
      <c r="D871" s="265"/>
      <c r="E871" s="265"/>
      <c r="F871" s="265"/>
      <c r="G871" s="265"/>
      <c r="H871" s="265"/>
      <c r="I871" s="265"/>
      <c r="J871" s="265"/>
      <c r="K871" s="259"/>
      <c r="L871" s="265"/>
      <c r="M871" s="265"/>
      <c r="N871" s="265"/>
      <c r="O871" s="265"/>
      <c r="P871" s="259"/>
      <c r="Q871" s="259"/>
      <c r="R871" s="259"/>
      <c r="S871" s="259"/>
      <c r="T871" s="259"/>
      <c r="U871" s="259"/>
      <c r="V871" s="259"/>
      <c r="W871" s="259"/>
      <c r="X871" s="259"/>
      <c r="Y871" s="260"/>
    </row>
    <row r="872" spans="1:25" ht="13">
      <c r="A872" s="261"/>
      <c r="B872" s="261"/>
      <c r="C872" s="261"/>
      <c r="D872" s="265"/>
      <c r="E872" s="265"/>
      <c r="F872" s="265"/>
      <c r="G872" s="265"/>
      <c r="H872" s="265"/>
      <c r="I872" s="265"/>
      <c r="J872" s="265"/>
      <c r="K872" s="259"/>
      <c r="L872" s="265"/>
      <c r="M872" s="265"/>
      <c r="N872" s="265"/>
      <c r="O872" s="265"/>
      <c r="P872" s="259"/>
      <c r="Q872" s="259"/>
      <c r="R872" s="259"/>
      <c r="S872" s="259"/>
      <c r="T872" s="259"/>
      <c r="U872" s="259"/>
      <c r="V872" s="259"/>
      <c r="W872" s="259"/>
      <c r="X872" s="259"/>
      <c r="Y872" s="260"/>
    </row>
    <row r="873" spans="1:25" ht="13">
      <c r="A873" s="261"/>
      <c r="B873" s="261"/>
      <c r="C873" s="261"/>
      <c r="D873" s="265"/>
      <c r="E873" s="265"/>
      <c r="F873" s="265"/>
      <c r="G873" s="265"/>
      <c r="H873" s="265"/>
      <c r="I873" s="265"/>
      <c r="J873" s="265"/>
      <c r="K873" s="259"/>
      <c r="L873" s="265"/>
      <c r="M873" s="265"/>
      <c r="N873" s="265"/>
      <c r="O873" s="265"/>
      <c r="P873" s="259"/>
      <c r="Q873" s="259"/>
      <c r="R873" s="259"/>
      <c r="S873" s="259"/>
      <c r="T873" s="259"/>
      <c r="U873" s="259"/>
      <c r="V873" s="259"/>
      <c r="W873" s="259"/>
      <c r="X873" s="259"/>
      <c r="Y873" s="260"/>
    </row>
    <row r="874" spans="1:25" ht="13">
      <c r="A874" s="261"/>
      <c r="B874" s="261"/>
      <c r="C874" s="261"/>
      <c r="D874" s="265"/>
      <c r="E874" s="265"/>
      <c r="F874" s="265"/>
      <c r="G874" s="265"/>
      <c r="H874" s="265"/>
      <c r="I874" s="265"/>
      <c r="J874" s="265"/>
      <c r="K874" s="259"/>
      <c r="L874" s="265"/>
      <c r="M874" s="265"/>
      <c r="N874" s="265"/>
      <c r="O874" s="265"/>
      <c r="P874" s="259"/>
      <c r="Q874" s="259"/>
      <c r="R874" s="259"/>
      <c r="S874" s="259"/>
      <c r="T874" s="259"/>
      <c r="U874" s="259"/>
      <c r="V874" s="259"/>
      <c r="W874" s="259"/>
      <c r="X874" s="259"/>
      <c r="Y874" s="260"/>
    </row>
    <row r="875" spans="1:25" ht="13">
      <c r="A875" s="261"/>
      <c r="B875" s="261"/>
      <c r="C875" s="261"/>
      <c r="D875" s="265"/>
      <c r="E875" s="265"/>
      <c r="F875" s="265"/>
      <c r="G875" s="265"/>
      <c r="H875" s="265"/>
      <c r="I875" s="265"/>
      <c r="J875" s="265"/>
      <c r="K875" s="259"/>
      <c r="L875" s="265"/>
      <c r="M875" s="265"/>
      <c r="N875" s="265"/>
      <c r="O875" s="265"/>
      <c r="P875" s="259"/>
      <c r="Q875" s="259"/>
      <c r="R875" s="259"/>
      <c r="S875" s="259"/>
      <c r="T875" s="259"/>
      <c r="U875" s="259"/>
      <c r="V875" s="259"/>
      <c r="W875" s="259"/>
      <c r="X875" s="259"/>
      <c r="Y875" s="260"/>
    </row>
    <row r="876" spans="1:25" ht="13">
      <c r="A876" s="261"/>
      <c r="B876" s="261"/>
      <c r="C876" s="261"/>
      <c r="D876" s="265"/>
      <c r="E876" s="265"/>
      <c r="F876" s="265"/>
      <c r="G876" s="265"/>
      <c r="H876" s="265"/>
      <c r="I876" s="265"/>
      <c r="J876" s="265"/>
      <c r="K876" s="259"/>
      <c r="L876" s="265"/>
      <c r="M876" s="265"/>
      <c r="N876" s="265"/>
      <c r="O876" s="265"/>
      <c r="P876" s="259"/>
      <c r="Q876" s="259"/>
      <c r="R876" s="259"/>
      <c r="S876" s="259"/>
      <c r="T876" s="259"/>
      <c r="U876" s="259"/>
      <c r="V876" s="259"/>
      <c r="W876" s="259"/>
      <c r="X876" s="259"/>
      <c r="Y876" s="260"/>
    </row>
    <row r="877" spans="1:25" ht="13">
      <c r="A877" s="261"/>
      <c r="B877" s="261"/>
      <c r="C877" s="261"/>
      <c r="D877" s="265"/>
      <c r="E877" s="265"/>
      <c r="F877" s="265"/>
      <c r="G877" s="265"/>
      <c r="H877" s="265"/>
      <c r="I877" s="265"/>
      <c r="J877" s="265"/>
      <c r="K877" s="259"/>
      <c r="L877" s="265"/>
      <c r="M877" s="265"/>
      <c r="N877" s="265"/>
      <c r="O877" s="265"/>
      <c r="P877" s="259"/>
      <c r="Q877" s="259"/>
      <c r="R877" s="259"/>
      <c r="S877" s="259"/>
      <c r="T877" s="259"/>
      <c r="U877" s="259"/>
      <c r="V877" s="259"/>
      <c r="W877" s="259"/>
      <c r="X877" s="259"/>
      <c r="Y877" s="260"/>
    </row>
    <row r="878" spans="1:25" ht="13">
      <c r="A878" s="261"/>
      <c r="B878" s="261"/>
      <c r="C878" s="261"/>
      <c r="D878" s="265"/>
      <c r="E878" s="265"/>
      <c r="F878" s="265"/>
      <c r="G878" s="265"/>
      <c r="H878" s="265"/>
      <c r="I878" s="265"/>
      <c r="J878" s="265"/>
      <c r="K878" s="259"/>
      <c r="L878" s="265"/>
      <c r="M878" s="265"/>
      <c r="N878" s="265"/>
      <c r="O878" s="265"/>
      <c r="P878" s="259"/>
      <c r="Q878" s="259"/>
      <c r="R878" s="259"/>
      <c r="S878" s="259"/>
      <c r="T878" s="259"/>
      <c r="U878" s="259"/>
      <c r="V878" s="259"/>
      <c r="W878" s="259"/>
      <c r="X878" s="259"/>
      <c r="Y878" s="260"/>
    </row>
    <row r="879" spans="1:25" ht="13">
      <c r="A879" s="261"/>
      <c r="B879" s="261"/>
      <c r="C879" s="261"/>
      <c r="D879" s="265"/>
      <c r="E879" s="265"/>
      <c r="F879" s="265"/>
      <c r="G879" s="265"/>
      <c r="H879" s="265"/>
      <c r="I879" s="265"/>
      <c r="J879" s="265"/>
      <c r="K879" s="259"/>
      <c r="L879" s="265"/>
      <c r="M879" s="265"/>
      <c r="N879" s="265"/>
      <c r="O879" s="265"/>
      <c r="P879" s="259"/>
      <c r="Q879" s="259"/>
      <c r="R879" s="259"/>
      <c r="S879" s="259"/>
      <c r="T879" s="259"/>
      <c r="U879" s="259"/>
      <c r="V879" s="259"/>
      <c r="W879" s="259"/>
      <c r="X879" s="259"/>
      <c r="Y879" s="260"/>
    </row>
    <row r="880" spans="1:25" ht="13">
      <c r="A880" s="261"/>
      <c r="B880" s="261"/>
      <c r="C880" s="261"/>
      <c r="D880" s="265"/>
      <c r="E880" s="265"/>
      <c r="F880" s="265"/>
      <c r="G880" s="265"/>
      <c r="H880" s="265"/>
      <c r="I880" s="265"/>
      <c r="J880" s="265"/>
      <c r="K880" s="259"/>
      <c r="L880" s="265"/>
      <c r="M880" s="265"/>
      <c r="N880" s="265"/>
      <c r="O880" s="265"/>
      <c r="P880" s="259"/>
      <c r="Q880" s="259"/>
      <c r="R880" s="259"/>
      <c r="S880" s="259"/>
      <c r="T880" s="259"/>
      <c r="U880" s="259"/>
      <c r="V880" s="259"/>
      <c r="W880" s="259"/>
      <c r="X880" s="259"/>
      <c r="Y880" s="260"/>
    </row>
    <row r="881" spans="1:25" ht="13">
      <c r="A881" s="261"/>
      <c r="B881" s="261"/>
      <c r="C881" s="261"/>
      <c r="D881" s="265"/>
      <c r="E881" s="265"/>
      <c r="F881" s="265"/>
      <c r="G881" s="265"/>
      <c r="H881" s="265"/>
      <c r="I881" s="265"/>
      <c r="J881" s="265"/>
      <c r="K881" s="259"/>
      <c r="L881" s="265"/>
      <c r="M881" s="265"/>
      <c r="N881" s="265"/>
      <c r="O881" s="265"/>
      <c r="P881" s="259"/>
      <c r="Q881" s="259"/>
      <c r="R881" s="259"/>
      <c r="S881" s="259"/>
      <c r="T881" s="259"/>
      <c r="U881" s="259"/>
      <c r="V881" s="259"/>
      <c r="W881" s="259"/>
      <c r="X881" s="259"/>
      <c r="Y881" s="260"/>
    </row>
    <row r="882" spans="1:25" ht="13">
      <c r="A882" s="261"/>
      <c r="B882" s="261"/>
      <c r="C882" s="261"/>
      <c r="D882" s="265"/>
      <c r="E882" s="265"/>
      <c r="F882" s="265"/>
      <c r="G882" s="265"/>
      <c r="H882" s="265"/>
      <c r="I882" s="265"/>
      <c r="J882" s="265"/>
      <c r="K882" s="259"/>
      <c r="L882" s="265"/>
      <c r="M882" s="265"/>
      <c r="N882" s="265"/>
      <c r="O882" s="265"/>
      <c r="P882" s="259"/>
      <c r="Q882" s="259"/>
      <c r="R882" s="259"/>
      <c r="S882" s="259"/>
      <c r="T882" s="259"/>
      <c r="U882" s="259"/>
      <c r="V882" s="259"/>
      <c r="W882" s="259"/>
      <c r="X882" s="259"/>
      <c r="Y882" s="260"/>
    </row>
    <row r="883" spans="1:25" ht="13">
      <c r="A883" s="261"/>
      <c r="B883" s="261"/>
      <c r="C883" s="261"/>
      <c r="D883" s="265"/>
      <c r="E883" s="265"/>
      <c r="F883" s="265"/>
      <c r="G883" s="265"/>
      <c r="H883" s="265"/>
      <c r="I883" s="265"/>
      <c r="J883" s="265"/>
      <c r="K883" s="259"/>
      <c r="L883" s="265"/>
      <c r="M883" s="265"/>
      <c r="N883" s="265"/>
      <c r="O883" s="265"/>
      <c r="P883" s="259"/>
      <c r="Q883" s="259"/>
      <c r="R883" s="259"/>
      <c r="S883" s="259"/>
      <c r="T883" s="259"/>
      <c r="U883" s="259"/>
      <c r="V883" s="259"/>
      <c r="W883" s="259"/>
      <c r="X883" s="259"/>
      <c r="Y883" s="260"/>
    </row>
    <row r="884" spans="1:25" ht="13">
      <c r="A884" s="261"/>
      <c r="B884" s="261"/>
      <c r="C884" s="261"/>
      <c r="D884" s="265"/>
      <c r="E884" s="265"/>
      <c r="F884" s="265"/>
      <c r="G884" s="265"/>
      <c r="H884" s="265"/>
      <c r="I884" s="265"/>
      <c r="J884" s="265"/>
      <c r="K884" s="259"/>
      <c r="L884" s="265"/>
      <c r="M884" s="265"/>
      <c r="N884" s="265"/>
      <c r="O884" s="265"/>
      <c r="P884" s="259"/>
      <c r="Q884" s="259"/>
      <c r="R884" s="259"/>
      <c r="S884" s="259"/>
      <c r="T884" s="259"/>
      <c r="U884" s="259"/>
      <c r="V884" s="259"/>
      <c r="W884" s="259"/>
      <c r="X884" s="259"/>
      <c r="Y884" s="260"/>
    </row>
    <row r="885" spans="1:25" ht="13">
      <c r="A885" s="261"/>
      <c r="B885" s="261"/>
      <c r="C885" s="261"/>
      <c r="D885" s="265"/>
      <c r="E885" s="265"/>
      <c r="F885" s="265"/>
      <c r="G885" s="265"/>
      <c r="H885" s="265"/>
      <c r="I885" s="265"/>
      <c r="J885" s="265"/>
      <c r="K885" s="259"/>
      <c r="L885" s="265"/>
      <c r="M885" s="265"/>
      <c r="N885" s="265"/>
      <c r="O885" s="265"/>
      <c r="P885" s="259"/>
      <c r="Q885" s="259"/>
      <c r="R885" s="259"/>
      <c r="S885" s="259"/>
      <c r="T885" s="259"/>
      <c r="U885" s="259"/>
      <c r="V885" s="259"/>
      <c r="W885" s="259"/>
      <c r="X885" s="259"/>
      <c r="Y885" s="260"/>
    </row>
    <row r="886" spans="1:25" ht="13">
      <c r="A886" s="261"/>
      <c r="B886" s="261"/>
      <c r="C886" s="261"/>
      <c r="D886" s="265"/>
      <c r="E886" s="265"/>
      <c r="F886" s="265"/>
      <c r="G886" s="265"/>
      <c r="H886" s="265"/>
      <c r="I886" s="265"/>
      <c r="J886" s="265"/>
      <c r="K886" s="259"/>
      <c r="L886" s="265"/>
      <c r="M886" s="265"/>
      <c r="N886" s="265"/>
      <c r="O886" s="265"/>
      <c r="P886" s="259"/>
      <c r="Q886" s="259"/>
      <c r="R886" s="259"/>
      <c r="S886" s="259"/>
      <c r="T886" s="259"/>
      <c r="U886" s="259"/>
      <c r="V886" s="259"/>
      <c r="W886" s="259"/>
      <c r="X886" s="259"/>
      <c r="Y886" s="260"/>
    </row>
    <row r="887" spans="1:25" ht="13">
      <c r="A887" s="261"/>
      <c r="B887" s="261"/>
      <c r="C887" s="261"/>
      <c r="D887" s="265"/>
      <c r="E887" s="265"/>
      <c r="F887" s="265"/>
      <c r="G887" s="265"/>
      <c r="H887" s="265"/>
      <c r="I887" s="265"/>
      <c r="J887" s="265"/>
      <c r="K887" s="259"/>
      <c r="L887" s="265"/>
      <c r="M887" s="265"/>
      <c r="N887" s="265"/>
      <c r="O887" s="265"/>
      <c r="P887" s="259"/>
      <c r="Q887" s="259"/>
      <c r="R887" s="259"/>
      <c r="S887" s="259"/>
      <c r="T887" s="259"/>
      <c r="U887" s="259"/>
      <c r="V887" s="259"/>
      <c r="W887" s="259"/>
      <c r="X887" s="259"/>
      <c r="Y887" s="260"/>
    </row>
    <row r="888" spans="1:25" ht="13">
      <c r="A888" s="261"/>
      <c r="B888" s="261"/>
      <c r="C888" s="261"/>
      <c r="D888" s="265"/>
      <c r="E888" s="265"/>
      <c r="F888" s="265"/>
      <c r="G888" s="265"/>
      <c r="H888" s="265"/>
      <c r="I888" s="265"/>
      <c r="J888" s="265"/>
      <c r="K888" s="259"/>
      <c r="L888" s="265"/>
      <c r="M888" s="265"/>
      <c r="N888" s="265"/>
      <c r="O888" s="265"/>
      <c r="P888" s="259"/>
      <c r="Q888" s="259"/>
      <c r="R888" s="259"/>
      <c r="S888" s="259"/>
      <c r="T888" s="259"/>
      <c r="U888" s="259"/>
      <c r="V888" s="259"/>
      <c r="W888" s="259"/>
      <c r="X888" s="259"/>
      <c r="Y888" s="260"/>
    </row>
    <row r="889" spans="1:25" ht="13">
      <c r="A889" s="261"/>
      <c r="B889" s="261"/>
      <c r="C889" s="261"/>
      <c r="D889" s="265"/>
      <c r="E889" s="265"/>
      <c r="F889" s="265"/>
      <c r="G889" s="265"/>
      <c r="H889" s="265"/>
      <c r="I889" s="265"/>
      <c r="J889" s="265"/>
      <c r="K889" s="259"/>
      <c r="L889" s="265"/>
      <c r="M889" s="265"/>
      <c r="N889" s="265"/>
      <c r="O889" s="265"/>
      <c r="P889" s="259"/>
      <c r="Q889" s="259"/>
      <c r="R889" s="259"/>
      <c r="S889" s="259"/>
      <c r="T889" s="259"/>
      <c r="U889" s="259"/>
      <c r="V889" s="259"/>
      <c r="W889" s="259"/>
      <c r="X889" s="259"/>
      <c r="Y889" s="260"/>
    </row>
    <row r="890" spans="1:25" ht="13">
      <c r="A890" s="261"/>
      <c r="B890" s="261"/>
      <c r="C890" s="261"/>
      <c r="D890" s="265"/>
      <c r="E890" s="265"/>
      <c r="F890" s="265"/>
      <c r="G890" s="265"/>
      <c r="H890" s="265"/>
      <c r="I890" s="265"/>
      <c r="J890" s="265"/>
      <c r="K890" s="259"/>
      <c r="L890" s="265"/>
      <c r="M890" s="265"/>
      <c r="N890" s="265"/>
      <c r="O890" s="265"/>
      <c r="P890" s="259"/>
      <c r="Q890" s="259"/>
      <c r="R890" s="259"/>
      <c r="S890" s="259"/>
      <c r="T890" s="259"/>
      <c r="U890" s="259"/>
      <c r="V890" s="259"/>
      <c r="W890" s="259"/>
      <c r="X890" s="259"/>
      <c r="Y890" s="260"/>
    </row>
    <row r="891" spans="1:25" ht="13">
      <c r="A891" s="261"/>
      <c r="B891" s="261"/>
      <c r="C891" s="261"/>
      <c r="D891" s="265"/>
      <c r="E891" s="265"/>
      <c r="F891" s="265"/>
      <c r="G891" s="265"/>
      <c r="H891" s="265"/>
      <c r="I891" s="265"/>
      <c r="J891" s="265"/>
      <c r="K891" s="259"/>
      <c r="L891" s="265"/>
      <c r="M891" s="265"/>
      <c r="N891" s="265"/>
      <c r="O891" s="265"/>
      <c r="P891" s="259"/>
      <c r="Q891" s="259"/>
      <c r="R891" s="259"/>
      <c r="S891" s="259"/>
      <c r="T891" s="259"/>
      <c r="U891" s="259"/>
      <c r="V891" s="259"/>
      <c r="W891" s="259"/>
      <c r="X891" s="259"/>
      <c r="Y891" s="260"/>
    </row>
    <row r="892" spans="1:25" ht="13">
      <c r="A892" s="261"/>
      <c r="B892" s="261"/>
      <c r="C892" s="261"/>
      <c r="D892" s="265"/>
      <c r="E892" s="265"/>
      <c r="F892" s="265"/>
      <c r="G892" s="265"/>
      <c r="H892" s="265"/>
      <c r="I892" s="265"/>
      <c r="J892" s="265"/>
      <c r="K892" s="259"/>
      <c r="L892" s="265"/>
      <c r="M892" s="265"/>
      <c r="N892" s="265"/>
      <c r="O892" s="265"/>
      <c r="P892" s="259"/>
      <c r="Q892" s="259"/>
      <c r="R892" s="259"/>
      <c r="S892" s="259"/>
      <c r="T892" s="259"/>
      <c r="U892" s="259"/>
      <c r="V892" s="259"/>
      <c r="W892" s="259"/>
      <c r="X892" s="259"/>
      <c r="Y892" s="260"/>
    </row>
    <row r="893" spans="1:25" ht="13">
      <c r="A893" s="261"/>
      <c r="B893" s="261"/>
      <c r="C893" s="261"/>
      <c r="D893" s="265"/>
      <c r="E893" s="265"/>
      <c r="F893" s="265"/>
      <c r="G893" s="265"/>
      <c r="H893" s="265"/>
      <c r="I893" s="265"/>
      <c r="J893" s="265"/>
      <c r="K893" s="259"/>
      <c r="L893" s="265"/>
      <c r="M893" s="265"/>
      <c r="N893" s="265"/>
      <c r="O893" s="265"/>
      <c r="P893" s="259"/>
      <c r="Q893" s="259"/>
      <c r="R893" s="259"/>
      <c r="S893" s="259"/>
      <c r="T893" s="259"/>
      <c r="U893" s="259"/>
      <c r="V893" s="259"/>
      <c r="W893" s="259"/>
      <c r="X893" s="259"/>
      <c r="Y893" s="260"/>
    </row>
    <row r="894" spans="1:25" ht="13">
      <c r="A894" s="261"/>
      <c r="B894" s="261"/>
      <c r="C894" s="261"/>
      <c r="D894" s="265"/>
      <c r="E894" s="265"/>
      <c r="F894" s="265"/>
      <c r="G894" s="265"/>
      <c r="H894" s="265"/>
      <c r="I894" s="265"/>
      <c r="J894" s="265"/>
      <c r="K894" s="259"/>
      <c r="L894" s="265"/>
      <c r="M894" s="265"/>
      <c r="N894" s="265"/>
      <c r="O894" s="265"/>
      <c r="P894" s="259"/>
      <c r="Q894" s="259"/>
      <c r="R894" s="259"/>
      <c r="S894" s="259"/>
      <c r="T894" s="259"/>
      <c r="U894" s="259"/>
      <c r="V894" s="259"/>
      <c r="W894" s="259"/>
      <c r="X894" s="259"/>
      <c r="Y894" s="260"/>
    </row>
    <row r="895" spans="1:25" ht="13">
      <c r="A895" s="261"/>
      <c r="B895" s="261"/>
      <c r="C895" s="261"/>
      <c r="D895" s="265"/>
      <c r="E895" s="265"/>
      <c r="F895" s="265"/>
      <c r="G895" s="265"/>
      <c r="H895" s="265"/>
      <c r="I895" s="265"/>
      <c r="J895" s="265"/>
      <c r="K895" s="259"/>
      <c r="L895" s="265"/>
      <c r="M895" s="265"/>
      <c r="N895" s="265"/>
      <c r="O895" s="265"/>
      <c r="P895" s="259"/>
      <c r="Q895" s="259"/>
      <c r="R895" s="259"/>
      <c r="S895" s="259"/>
      <c r="T895" s="259"/>
      <c r="U895" s="259"/>
      <c r="V895" s="259"/>
      <c r="W895" s="259"/>
      <c r="X895" s="259"/>
      <c r="Y895" s="260"/>
    </row>
    <row r="896" spans="1:25" ht="13">
      <c r="A896" s="261"/>
      <c r="B896" s="261"/>
      <c r="C896" s="261"/>
      <c r="D896" s="265"/>
      <c r="E896" s="265"/>
      <c r="F896" s="265"/>
      <c r="G896" s="265"/>
      <c r="H896" s="265"/>
      <c r="I896" s="265"/>
      <c r="J896" s="265"/>
      <c r="K896" s="259"/>
      <c r="L896" s="265"/>
      <c r="M896" s="265"/>
      <c r="N896" s="265"/>
      <c r="O896" s="265"/>
      <c r="P896" s="259"/>
      <c r="Q896" s="259"/>
      <c r="R896" s="259"/>
      <c r="S896" s="259"/>
      <c r="T896" s="259"/>
      <c r="U896" s="259"/>
      <c r="V896" s="259"/>
      <c r="W896" s="259"/>
      <c r="X896" s="259"/>
      <c r="Y896" s="260"/>
    </row>
    <row r="897" spans="1:25" ht="13">
      <c r="A897" s="261"/>
      <c r="B897" s="261"/>
      <c r="C897" s="261"/>
      <c r="D897" s="265"/>
      <c r="E897" s="265"/>
      <c r="F897" s="265"/>
      <c r="G897" s="265"/>
      <c r="H897" s="265"/>
      <c r="I897" s="265"/>
      <c r="J897" s="265"/>
      <c r="K897" s="259"/>
      <c r="L897" s="265"/>
      <c r="M897" s="265"/>
      <c r="N897" s="265"/>
      <c r="O897" s="265"/>
      <c r="P897" s="259"/>
      <c r="Q897" s="259"/>
      <c r="R897" s="259"/>
      <c r="S897" s="259"/>
      <c r="T897" s="259"/>
      <c r="U897" s="259"/>
      <c r="V897" s="259"/>
      <c r="W897" s="259"/>
      <c r="X897" s="259"/>
      <c r="Y897" s="260"/>
    </row>
    <row r="898" spans="1:25" ht="13">
      <c r="A898" s="261"/>
      <c r="B898" s="261"/>
      <c r="C898" s="261"/>
      <c r="D898" s="265"/>
      <c r="E898" s="265"/>
      <c r="F898" s="265"/>
      <c r="G898" s="265"/>
      <c r="H898" s="265"/>
      <c r="I898" s="265"/>
      <c r="J898" s="265"/>
      <c r="K898" s="259"/>
      <c r="L898" s="265"/>
      <c r="M898" s="265"/>
      <c r="N898" s="265"/>
      <c r="O898" s="265"/>
      <c r="P898" s="259"/>
      <c r="Q898" s="259"/>
      <c r="R898" s="259"/>
      <c r="S898" s="259"/>
      <c r="T898" s="259"/>
      <c r="U898" s="259"/>
      <c r="V898" s="259"/>
      <c r="W898" s="259"/>
      <c r="X898" s="259"/>
      <c r="Y898" s="260"/>
    </row>
    <row r="899" spans="1:25" ht="13">
      <c r="A899" s="261"/>
      <c r="B899" s="261"/>
      <c r="C899" s="261"/>
      <c r="D899" s="265"/>
      <c r="E899" s="265"/>
      <c r="F899" s="265"/>
      <c r="G899" s="265"/>
      <c r="H899" s="265"/>
      <c r="I899" s="265"/>
      <c r="J899" s="265"/>
      <c r="K899" s="259"/>
      <c r="L899" s="265"/>
      <c r="M899" s="265"/>
      <c r="N899" s="265"/>
      <c r="O899" s="265"/>
      <c r="P899" s="259"/>
      <c r="Q899" s="259"/>
      <c r="R899" s="259"/>
      <c r="S899" s="259"/>
      <c r="T899" s="259"/>
      <c r="U899" s="259"/>
      <c r="V899" s="259"/>
      <c r="W899" s="259"/>
      <c r="X899" s="259"/>
      <c r="Y899" s="260"/>
    </row>
    <row r="900" spans="1:25" ht="13">
      <c r="A900" s="261"/>
      <c r="B900" s="261"/>
      <c r="C900" s="261"/>
      <c r="D900" s="265"/>
      <c r="E900" s="265"/>
      <c r="F900" s="265"/>
      <c r="G900" s="265"/>
      <c r="H900" s="265"/>
      <c r="I900" s="265"/>
      <c r="J900" s="265"/>
      <c r="K900" s="259"/>
      <c r="L900" s="265"/>
      <c r="M900" s="265"/>
      <c r="N900" s="265"/>
      <c r="O900" s="265"/>
      <c r="P900" s="259"/>
      <c r="Q900" s="259"/>
      <c r="R900" s="259"/>
      <c r="S900" s="259"/>
      <c r="T900" s="259"/>
      <c r="U900" s="259"/>
      <c r="V900" s="259"/>
      <c r="W900" s="259"/>
      <c r="X900" s="259"/>
      <c r="Y900" s="260"/>
    </row>
    <row r="901" spans="1:25" ht="13">
      <c r="A901" s="261"/>
      <c r="B901" s="261"/>
      <c r="C901" s="261"/>
      <c r="D901" s="265"/>
      <c r="E901" s="265"/>
      <c r="F901" s="265"/>
      <c r="G901" s="265"/>
      <c r="H901" s="265"/>
      <c r="I901" s="265"/>
      <c r="J901" s="265"/>
      <c r="K901" s="259"/>
      <c r="L901" s="265"/>
      <c r="M901" s="265"/>
      <c r="N901" s="265"/>
      <c r="O901" s="265"/>
      <c r="P901" s="259"/>
      <c r="Q901" s="259"/>
      <c r="R901" s="259"/>
      <c r="S901" s="259"/>
      <c r="T901" s="259"/>
      <c r="U901" s="259"/>
      <c r="V901" s="259"/>
      <c r="W901" s="259"/>
      <c r="X901" s="259"/>
      <c r="Y901" s="260"/>
    </row>
    <row r="902" spans="1:25" ht="13">
      <c r="A902" s="261"/>
      <c r="B902" s="261"/>
      <c r="C902" s="261"/>
      <c r="D902" s="265"/>
      <c r="E902" s="265"/>
      <c r="F902" s="265"/>
      <c r="G902" s="265"/>
      <c r="H902" s="265"/>
      <c r="I902" s="265"/>
      <c r="J902" s="265"/>
      <c r="K902" s="259"/>
      <c r="L902" s="265"/>
      <c r="M902" s="265"/>
      <c r="N902" s="265"/>
      <c r="O902" s="265"/>
      <c r="P902" s="259"/>
      <c r="Q902" s="259"/>
      <c r="R902" s="259"/>
      <c r="S902" s="259"/>
      <c r="T902" s="259"/>
      <c r="U902" s="259"/>
      <c r="V902" s="259"/>
      <c r="W902" s="259"/>
      <c r="X902" s="259"/>
      <c r="Y902" s="260"/>
    </row>
    <row r="903" spans="1:25" ht="13">
      <c r="A903" s="261"/>
      <c r="B903" s="261"/>
      <c r="C903" s="261"/>
      <c r="D903" s="265"/>
      <c r="E903" s="265"/>
      <c r="F903" s="265"/>
      <c r="G903" s="265"/>
      <c r="H903" s="265"/>
      <c r="I903" s="265"/>
      <c r="J903" s="265"/>
      <c r="K903" s="259"/>
      <c r="L903" s="265"/>
      <c r="M903" s="265"/>
      <c r="N903" s="265"/>
      <c r="O903" s="265"/>
      <c r="P903" s="259"/>
      <c r="Q903" s="259"/>
      <c r="R903" s="259"/>
      <c r="S903" s="259"/>
      <c r="T903" s="259"/>
      <c r="U903" s="259"/>
      <c r="V903" s="259"/>
      <c r="W903" s="259"/>
      <c r="X903" s="259"/>
      <c r="Y903" s="260"/>
    </row>
    <row r="904" spans="1:25" ht="13">
      <c r="A904" s="261"/>
      <c r="B904" s="261"/>
      <c r="C904" s="261"/>
      <c r="D904" s="265"/>
      <c r="E904" s="265"/>
      <c r="F904" s="265"/>
      <c r="G904" s="265"/>
      <c r="H904" s="265"/>
      <c r="I904" s="265"/>
      <c r="J904" s="265"/>
      <c r="K904" s="259"/>
      <c r="L904" s="265"/>
      <c r="M904" s="265"/>
      <c r="N904" s="265"/>
      <c r="O904" s="265"/>
      <c r="P904" s="259"/>
      <c r="Q904" s="259"/>
      <c r="R904" s="259"/>
      <c r="S904" s="259"/>
      <c r="T904" s="259"/>
      <c r="U904" s="259"/>
      <c r="V904" s="259"/>
      <c r="W904" s="259"/>
      <c r="X904" s="259"/>
      <c r="Y904" s="260"/>
    </row>
    <row r="905" spans="1:25" ht="13">
      <c r="A905" s="261"/>
      <c r="B905" s="261"/>
      <c r="C905" s="261"/>
      <c r="D905" s="265"/>
      <c r="E905" s="265"/>
      <c r="F905" s="265"/>
      <c r="G905" s="265"/>
      <c r="H905" s="265"/>
      <c r="I905" s="265"/>
      <c r="J905" s="265"/>
      <c r="K905" s="259"/>
      <c r="L905" s="265"/>
      <c r="M905" s="265"/>
      <c r="N905" s="265"/>
      <c r="O905" s="265"/>
      <c r="P905" s="259"/>
      <c r="Q905" s="259"/>
      <c r="R905" s="259"/>
      <c r="S905" s="259"/>
      <c r="T905" s="259"/>
      <c r="U905" s="259"/>
      <c r="V905" s="259"/>
      <c r="W905" s="259"/>
      <c r="X905" s="259"/>
      <c r="Y905" s="260"/>
    </row>
    <row r="906" spans="1:25" ht="13">
      <c r="A906" s="261"/>
      <c r="B906" s="261"/>
      <c r="C906" s="261"/>
      <c r="D906" s="265"/>
      <c r="E906" s="265"/>
      <c r="F906" s="265"/>
      <c r="G906" s="265"/>
      <c r="H906" s="265"/>
      <c r="I906" s="265"/>
      <c r="J906" s="265"/>
      <c r="K906" s="259"/>
      <c r="L906" s="265"/>
      <c r="M906" s="265"/>
      <c r="N906" s="265"/>
      <c r="O906" s="265"/>
      <c r="P906" s="259"/>
      <c r="Q906" s="259"/>
      <c r="R906" s="259"/>
      <c r="S906" s="259"/>
      <c r="T906" s="259"/>
      <c r="U906" s="259"/>
      <c r="V906" s="259"/>
      <c r="W906" s="259"/>
      <c r="X906" s="259"/>
      <c r="Y906" s="260"/>
    </row>
    <row r="907" spans="1:25" ht="13">
      <c r="A907" s="261"/>
      <c r="B907" s="261"/>
      <c r="C907" s="261"/>
      <c r="D907" s="265"/>
      <c r="E907" s="265"/>
      <c r="F907" s="265"/>
      <c r="G907" s="265"/>
      <c r="H907" s="265"/>
      <c r="I907" s="265"/>
      <c r="J907" s="265"/>
      <c r="K907" s="259"/>
      <c r="L907" s="265"/>
      <c r="M907" s="265"/>
      <c r="N907" s="265"/>
      <c r="O907" s="265"/>
      <c r="P907" s="259"/>
      <c r="Q907" s="259"/>
      <c r="R907" s="259"/>
      <c r="S907" s="259"/>
      <c r="T907" s="259"/>
      <c r="U907" s="259"/>
      <c r="V907" s="259"/>
      <c r="W907" s="259"/>
      <c r="X907" s="259"/>
      <c r="Y907" s="260"/>
    </row>
    <row r="908" spans="1:25" ht="13">
      <c r="A908" s="261"/>
      <c r="B908" s="261"/>
      <c r="C908" s="261"/>
      <c r="D908" s="265"/>
      <c r="E908" s="265"/>
      <c r="F908" s="265"/>
      <c r="G908" s="265"/>
      <c r="H908" s="265"/>
      <c r="I908" s="265"/>
      <c r="J908" s="265"/>
      <c r="K908" s="259"/>
      <c r="L908" s="265"/>
      <c r="M908" s="265"/>
      <c r="N908" s="265"/>
      <c r="O908" s="265"/>
      <c r="P908" s="259"/>
      <c r="Q908" s="259"/>
      <c r="R908" s="259"/>
      <c r="S908" s="259"/>
      <c r="T908" s="259"/>
      <c r="U908" s="259"/>
      <c r="V908" s="259"/>
      <c r="W908" s="259"/>
      <c r="X908" s="259"/>
      <c r="Y908" s="260"/>
    </row>
    <row r="909" spans="1:25" ht="13">
      <c r="A909" s="261"/>
      <c r="B909" s="261"/>
      <c r="C909" s="261"/>
      <c r="D909" s="265"/>
      <c r="E909" s="265"/>
      <c r="F909" s="265"/>
      <c r="G909" s="265"/>
      <c r="H909" s="265"/>
      <c r="I909" s="265"/>
      <c r="J909" s="265"/>
      <c r="K909" s="259"/>
      <c r="L909" s="265"/>
      <c r="M909" s="265"/>
      <c r="N909" s="265"/>
      <c r="O909" s="265"/>
      <c r="P909" s="259"/>
      <c r="Q909" s="259"/>
      <c r="R909" s="259"/>
      <c r="S909" s="259"/>
      <c r="T909" s="259"/>
      <c r="U909" s="259"/>
      <c r="V909" s="259"/>
      <c r="W909" s="259"/>
      <c r="X909" s="259"/>
      <c r="Y909" s="260"/>
    </row>
    <row r="910" spans="1:25" ht="13">
      <c r="A910" s="261"/>
      <c r="B910" s="261"/>
      <c r="C910" s="261"/>
      <c r="D910" s="265"/>
      <c r="E910" s="265"/>
      <c r="F910" s="265"/>
      <c r="G910" s="265"/>
      <c r="H910" s="265"/>
      <c r="I910" s="265"/>
      <c r="J910" s="265"/>
      <c r="K910" s="259"/>
      <c r="L910" s="265"/>
      <c r="M910" s="265"/>
      <c r="N910" s="265"/>
      <c r="O910" s="265"/>
      <c r="P910" s="259"/>
      <c r="Q910" s="259"/>
      <c r="R910" s="259"/>
      <c r="S910" s="259"/>
      <c r="T910" s="259"/>
      <c r="U910" s="259"/>
      <c r="V910" s="259"/>
      <c r="W910" s="259"/>
      <c r="X910" s="259"/>
      <c r="Y910" s="260"/>
    </row>
    <row r="911" spans="1:25" ht="13">
      <c r="A911" s="261"/>
      <c r="B911" s="261"/>
      <c r="C911" s="261"/>
      <c r="D911" s="265"/>
      <c r="E911" s="265"/>
      <c r="F911" s="265"/>
      <c r="G911" s="265"/>
      <c r="H911" s="265"/>
      <c r="I911" s="265"/>
      <c r="J911" s="265"/>
      <c r="K911" s="259"/>
      <c r="L911" s="265"/>
      <c r="M911" s="265"/>
      <c r="N911" s="265"/>
      <c r="O911" s="265"/>
      <c r="P911" s="259"/>
      <c r="Q911" s="259"/>
      <c r="R911" s="259"/>
      <c r="S911" s="259"/>
      <c r="T911" s="259"/>
      <c r="U911" s="259"/>
      <c r="V911" s="259"/>
      <c r="W911" s="259"/>
      <c r="X911" s="259"/>
      <c r="Y911" s="260"/>
    </row>
    <row r="912" spans="1:25" ht="13">
      <c r="A912" s="261"/>
      <c r="B912" s="261"/>
      <c r="C912" s="261"/>
      <c r="D912" s="265"/>
      <c r="E912" s="265"/>
      <c r="F912" s="265"/>
      <c r="G912" s="265"/>
      <c r="H912" s="265"/>
      <c r="I912" s="265"/>
      <c r="J912" s="265"/>
      <c r="K912" s="259"/>
      <c r="L912" s="265"/>
      <c r="M912" s="265"/>
      <c r="N912" s="265"/>
      <c r="O912" s="265"/>
      <c r="P912" s="259"/>
      <c r="Q912" s="259"/>
      <c r="R912" s="259"/>
      <c r="S912" s="259"/>
      <c r="T912" s="259"/>
      <c r="U912" s="259"/>
      <c r="V912" s="259"/>
      <c r="W912" s="259"/>
      <c r="X912" s="259"/>
      <c r="Y912" s="260"/>
    </row>
    <row r="913" spans="1:25" ht="13">
      <c r="A913" s="261"/>
      <c r="B913" s="261"/>
      <c r="C913" s="261"/>
      <c r="D913" s="265"/>
      <c r="E913" s="265"/>
      <c r="F913" s="265"/>
      <c r="G913" s="265"/>
      <c r="H913" s="265"/>
      <c r="I913" s="265"/>
      <c r="J913" s="265"/>
      <c r="K913" s="259"/>
      <c r="L913" s="265"/>
      <c r="M913" s="265"/>
      <c r="N913" s="265"/>
      <c r="O913" s="265"/>
      <c r="P913" s="259"/>
      <c r="Q913" s="259"/>
      <c r="R913" s="259"/>
      <c r="S913" s="259"/>
      <c r="T913" s="259"/>
      <c r="U913" s="259"/>
      <c r="V913" s="259"/>
      <c r="W913" s="259"/>
      <c r="X913" s="259"/>
      <c r="Y913" s="260"/>
    </row>
    <row r="914" spans="1:25" ht="13">
      <c r="A914" s="261"/>
      <c r="B914" s="261"/>
      <c r="C914" s="261"/>
      <c r="D914" s="265"/>
      <c r="E914" s="265"/>
      <c r="F914" s="265"/>
      <c r="G914" s="265"/>
      <c r="H914" s="265"/>
      <c r="I914" s="265"/>
      <c r="J914" s="265"/>
      <c r="K914" s="259"/>
      <c r="L914" s="265"/>
      <c r="M914" s="265"/>
      <c r="N914" s="265"/>
      <c r="O914" s="265"/>
      <c r="P914" s="259"/>
      <c r="Q914" s="259"/>
      <c r="R914" s="259"/>
      <c r="S914" s="259"/>
      <c r="T914" s="259"/>
      <c r="U914" s="259"/>
      <c r="V914" s="259"/>
      <c r="W914" s="259"/>
      <c r="X914" s="259"/>
      <c r="Y914" s="260"/>
    </row>
    <row r="915" spans="1:25" ht="13">
      <c r="A915" s="261"/>
      <c r="B915" s="261"/>
      <c r="C915" s="261"/>
      <c r="D915" s="265"/>
      <c r="E915" s="265"/>
      <c r="F915" s="265"/>
      <c r="G915" s="265"/>
      <c r="H915" s="265"/>
      <c r="I915" s="265"/>
      <c r="J915" s="265"/>
      <c r="K915" s="259"/>
      <c r="L915" s="265"/>
      <c r="M915" s="265"/>
      <c r="N915" s="265"/>
      <c r="O915" s="265"/>
      <c r="P915" s="259"/>
      <c r="Q915" s="259"/>
      <c r="R915" s="259"/>
      <c r="S915" s="259"/>
      <c r="T915" s="259"/>
      <c r="U915" s="259"/>
      <c r="V915" s="259"/>
      <c r="W915" s="259"/>
      <c r="X915" s="259"/>
      <c r="Y915" s="260"/>
    </row>
    <row r="916" spans="1:25" ht="13">
      <c r="A916" s="261"/>
      <c r="B916" s="261"/>
      <c r="C916" s="261"/>
      <c r="D916" s="265"/>
      <c r="E916" s="265"/>
      <c r="F916" s="265"/>
      <c r="G916" s="265"/>
      <c r="H916" s="265"/>
      <c r="I916" s="265"/>
      <c r="J916" s="265"/>
      <c r="K916" s="259"/>
      <c r="L916" s="265"/>
      <c r="M916" s="265"/>
      <c r="N916" s="265"/>
      <c r="O916" s="265"/>
      <c r="P916" s="259"/>
      <c r="Q916" s="259"/>
      <c r="R916" s="259"/>
      <c r="S916" s="259"/>
      <c r="T916" s="259"/>
      <c r="U916" s="259"/>
      <c r="V916" s="259"/>
      <c r="W916" s="259"/>
      <c r="X916" s="259"/>
      <c r="Y916" s="260"/>
    </row>
    <row r="917" spans="1:25" ht="13">
      <c r="A917" s="261"/>
      <c r="B917" s="261"/>
      <c r="C917" s="261"/>
      <c r="D917" s="265"/>
      <c r="E917" s="265"/>
      <c r="F917" s="265"/>
      <c r="G917" s="265"/>
      <c r="H917" s="265"/>
      <c r="I917" s="265"/>
      <c r="J917" s="265"/>
      <c r="K917" s="259"/>
      <c r="L917" s="265"/>
      <c r="M917" s="265"/>
      <c r="N917" s="265"/>
      <c r="O917" s="265"/>
      <c r="P917" s="259"/>
      <c r="Q917" s="259"/>
      <c r="R917" s="259"/>
      <c r="S917" s="259"/>
      <c r="T917" s="259"/>
      <c r="U917" s="259"/>
      <c r="V917" s="259"/>
      <c r="W917" s="259"/>
      <c r="X917" s="259"/>
      <c r="Y917" s="260"/>
    </row>
    <row r="918" spans="1:25" ht="13">
      <c r="A918" s="261"/>
      <c r="B918" s="261"/>
      <c r="C918" s="261"/>
      <c r="D918" s="265"/>
      <c r="E918" s="265"/>
      <c r="F918" s="265"/>
      <c r="G918" s="265"/>
      <c r="H918" s="265"/>
      <c r="I918" s="265"/>
      <c r="J918" s="265"/>
      <c r="K918" s="259"/>
      <c r="L918" s="265"/>
      <c r="M918" s="265"/>
      <c r="N918" s="265"/>
      <c r="O918" s="265"/>
      <c r="P918" s="259"/>
      <c r="Q918" s="259"/>
      <c r="R918" s="259"/>
      <c r="S918" s="259"/>
      <c r="T918" s="259"/>
      <c r="U918" s="259"/>
      <c r="V918" s="259"/>
      <c r="W918" s="259"/>
      <c r="X918" s="259"/>
      <c r="Y918" s="260"/>
    </row>
    <row r="919" spans="1:25" ht="13">
      <c r="A919" s="261"/>
      <c r="B919" s="261"/>
      <c r="C919" s="261"/>
      <c r="D919" s="265"/>
      <c r="E919" s="265"/>
      <c r="F919" s="265"/>
      <c r="G919" s="265"/>
      <c r="H919" s="265"/>
      <c r="I919" s="265"/>
      <c r="J919" s="265"/>
      <c r="K919" s="259"/>
      <c r="L919" s="265"/>
      <c r="M919" s="265"/>
      <c r="N919" s="265"/>
      <c r="O919" s="265"/>
      <c r="P919" s="259"/>
      <c r="Q919" s="259"/>
      <c r="R919" s="259"/>
      <c r="S919" s="259"/>
      <c r="T919" s="259"/>
      <c r="U919" s="259"/>
      <c r="V919" s="259"/>
      <c r="W919" s="259"/>
      <c r="X919" s="259"/>
      <c r="Y919" s="260"/>
    </row>
    <row r="920" spans="1:25" ht="13">
      <c r="A920" s="261"/>
      <c r="B920" s="261"/>
      <c r="C920" s="261"/>
      <c r="D920" s="265"/>
      <c r="E920" s="265"/>
      <c r="F920" s="265"/>
      <c r="G920" s="265"/>
      <c r="H920" s="265"/>
      <c r="I920" s="265"/>
      <c r="J920" s="265"/>
      <c r="K920" s="259"/>
      <c r="L920" s="265"/>
      <c r="M920" s="265"/>
      <c r="N920" s="265"/>
      <c r="O920" s="265"/>
      <c r="P920" s="259"/>
      <c r="Q920" s="259"/>
      <c r="R920" s="259"/>
      <c r="S920" s="259"/>
      <c r="T920" s="259"/>
      <c r="U920" s="259"/>
      <c r="V920" s="259"/>
      <c r="W920" s="259"/>
      <c r="X920" s="259"/>
      <c r="Y920" s="260"/>
    </row>
    <row r="921" spans="1:25" ht="13">
      <c r="A921" s="261"/>
      <c r="B921" s="261"/>
      <c r="C921" s="261"/>
      <c r="D921" s="265"/>
      <c r="E921" s="265"/>
      <c r="F921" s="265"/>
      <c r="G921" s="265"/>
      <c r="H921" s="265"/>
      <c r="I921" s="265"/>
      <c r="J921" s="265"/>
      <c r="K921" s="259"/>
      <c r="L921" s="265"/>
      <c r="M921" s="265"/>
      <c r="N921" s="265"/>
      <c r="O921" s="265"/>
      <c r="P921" s="259"/>
      <c r="Q921" s="259"/>
      <c r="R921" s="259"/>
      <c r="S921" s="259"/>
      <c r="T921" s="259"/>
      <c r="U921" s="259"/>
      <c r="V921" s="259"/>
      <c r="W921" s="259"/>
      <c r="X921" s="259"/>
      <c r="Y921" s="260"/>
    </row>
    <row r="922" spans="1:25" ht="13">
      <c r="A922" s="261"/>
      <c r="B922" s="261"/>
      <c r="C922" s="261"/>
      <c r="D922" s="265"/>
      <c r="E922" s="265"/>
      <c r="F922" s="265"/>
      <c r="G922" s="265"/>
      <c r="H922" s="265"/>
      <c r="I922" s="265"/>
      <c r="J922" s="265"/>
      <c r="K922" s="259"/>
      <c r="L922" s="265"/>
      <c r="M922" s="265"/>
      <c r="N922" s="265"/>
      <c r="O922" s="265"/>
      <c r="P922" s="259"/>
      <c r="Q922" s="259"/>
      <c r="R922" s="259"/>
      <c r="S922" s="259"/>
      <c r="T922" s="259"/>
      <c r="U922" s="259"/>
      <c r="V922" s="259"/>
      <c r="W922" s="259"/>
      <c r="X922" s="259"/>
      <c r="Y922" s="260"/>
    </row>
    <row r="923" spans="1:25" ht="13">
      <c r="A923" s="261"/>
      <c r="B923" s="261"/>
      <c r="C923" s="261"/>
      <c r="D923" s="265"/>
      <c r="E923" s="265"/>
      <c r="F923" s="265"/>
      <c r="G923" s="265"/>
      <c r="H923" s="265"/>
      <c r="I923" s="265"/>
      <c r="J923" s="265"/>
      <c r="K923" s="259"/>
      <c r="L923" s="265"/>
      <c r="M923" s="265"/>
      <c r="N923" s="265"/>
      <c r="O923" s="265"/>
      <c r="P923" s="259"/>
      <c r="Q923" s="259"/>
      <c r="R923" s="259"/>
      <c r="S923" s="259"/>
      <c r="T923" s="259"/>
      <c r="U923" s="259"/>
      <c r="V923" s="259"/>
      <c r="W923" s="259"/>
      <c r="X923" s="259"/>
      <c r="Y923" s="260"/>
    </row>
    <row r="924" spans="1:25" ht="13">
      <c r="A924" s="261"/>
      <c r="B924" s="261"/>
      <c r="C924" s="261"/>
      <c r="D924" s="265"/>
      <c r="E924" s="265"/>
      <c r="F924" s="265"/>
      <c r="G924" s="265"/>
      <c r="H924" s="265"/>
      <c r="I924" s="265"/>
      <c r="J924" s="265"/>
      <c r="K924" s="259"/>
      <c r="L924" s="265"/>
      <c r="M924" s="265"/>
      <c r="N924" s="265"/>
      <c r="O924" s="265"/>
      <c r="P924" s="259"/>
      <c r="Q924" s="259"/>
      <c r="R924" s="259"/>
      <c r="S924" s="259"/>
      <c r="T924" s="259"/>
      <c r="U924" s="259"/>
      <c r="V924" s="259"/>
      <c r="W924" s="259"/>
      <c r="X924" s="259"/>
      <c r="Y924" s="260"/>
    </row>
    <row r="925" spans="1:25" ht="13">
      <c r="A925" s="261"/>
      <c r="B925" s="261"/>
      <c r="C925" s="261"/>
      <c r="D925" s="265"/>
      <c r="E925" s="265"/>
      <c r="F925" s="265"/>
      <c r="G925" s="265"/>
      <c r="H925" s="265"/>
      <c r="I925" s="265"/>
      <c r="J925" s="265"/>
      <c r="K925" s="259"/>
      <c r="L925" s="265"/>
      <c r="M925" s="265"/>
      <c r="N925" s="265"/>
      <c r="O925" s="265"/>
      <c r="P925" s="259"/>
      <c r="Q925" s="259"/>
      <c r="R925" s="259"/>
      <c r="S925" s="259"/>
      <c r="T925" s="259"/>
      <c r="U925" s="259"/>
      <c r="V925" s="259"/>
      <c r="W925" s="259"/>
      <c r="X925" s="259"/>
      <c r="Y925" s="260"/>
    </row>
    <row r="926" spans="1:25" ht="13">
      <c r="A926" s="261"/>
      <c r="B926" s="261"/>
      <c r="C926" s="261"/>
      <c r="D926" s="265"/>
      <c r="E926" s="265"/>
      <c r="F926" s="265"/>
      <c r="G926" s="265"/>
      <c r="H926" s="265"/>
      <c r="I926" s="265"/>
      <c r="J926" s="265"/>
      <c r="K926" s="259"/>
      <c r="L926" s="265"/>
      <c r="M926" s="265"/>
      <c r="N926" s="265"/>
      <c r="O926" s="265"/>
      <c r="P926" s="259"/>
      <c r="Q926" s="259"/>
      <c r="R926" s="259"/>
      <c r="S926" s="259"/>
      <c r="T926" s="259"/>
      <c r="U926" s="259"/>
      <c r="V926" s="259"/>
      <c r="W926" s="259"/>
      <c r="X926" s="259"/>
      <c r="Y926" s="260"/>
    </row>
    <row r="927" spans="1:25" ht="13">
      <c r="A927" s="261"/>
      <c r="B927" s="261"/>
      <c r="C927" s="261"/>
      <c r="D927" s="265"/>
      <c r="E927" s="265"/>
      <c r="F927" s="265"/>
      <c r="G927" s="265"/>
      <c r="H927" s="265"/>
      <c r="I927" s="265"/>
      <c r="J927" s="265"/>
      <c r="K927" s="259"/>
      <c r="L927" s="265"/>
      <c r="M927" s="265"/>
      <c r="N927" s="265"/>
      <c r="O927" s="265"/>
      <c r="P927" s="259"/>
      <c r="Q927" s="259"/>
      <c r="R927" s="259"/>
      <c r="S927" s="259"/>
      <c r="T927" s="259"/>
      <c r="U927" s="259"/>
      <c r="V927" s="259"/>
      <c r="W927" s="259"/>
      <c r="X927" s="259"/>
      <c r="Y927" s="260"/>
    </row>
    <row r="928" spans="1:25" ht="13">
      <c r="A928" s="261"/>
      <c r="B928" s="261"/>
      <c r="C928" s="261"/>
      <c r="D928" s="265"/>
      <c r="E928" s="265"/>
      <c r="F928" s="265"/>
      <c r="G928" s="265"/>
      <c r="H928" s="265"/>
      <c r="I928" s="265"/>
      <c r="J928" s="265"/>
      <c r="K928" s="259"/>
      <c r="L928" s="265"/>
      <c r="M928" s="265"/>
      <c r="N928" s="265"/>
      <c r="O928" s="265"/>
      <c r="P928" s="259"/>
      <c r="Q928" s="259"/>
      <c r="R928" s="259"/>
      <c r="S928" s="259"/>
      <c r="T928" s="259"/>
      <c r="U928" s="259"/>
      <c r="V928" s="259"/>
      <c r="W928" s="259"/>
      <c r="X928" s="259"/>
      <c r="Y928" s="260"/>
    </row>
    <row r="929" spans="1:25" ht="13">
      <c r="A929" s="261"/>
      <c r="B929" s="261"/>
      <c r="C929" s="261"/>
      <c r="D929" s="265"/>
      <c r="E929" s="265"/>
      <c r="F929" s="265"/>
      <c r="G929" s="265"/>
      <c r="H929" s="265"/>
      <c r="I929" s="265"/>
      <c r="J929" s="265"/>
      <c r="K929" s="259"/>
      <c r="L929" s="265"/>
      <c r="M929" s="265"/>
      <c r="N929" s="265"/>
      <c r="O929" s="265"/>
      <c r="P929" s="259"/>
      <c r="Q929" s="259"/>
      <c r="R929" s="259"/>
      <c r="S929" s="259"/>
      <c r="T929" s="259"/>
      <c r="U929" s="259"/>
      <c r="V929" s="259"/>
      <c r="W929" s="259"/>
      <c r="X929" s="259"/>
      <c r="Y929" s="260"/>
    </row>
    <row r="930" spans="1:25" ht="13">
      <c r="A930" s="261"/>
      <c r="B930" s="261"/>
      <c r="C930" s="261"/>
      <c r="D930" s="265"/>
      <c r="E930" s="265"/>
      <c r="F930" s="265"/>
      <c r="G930" s="265"/>
      <c r="H930" s="265"/>
      <c r="I930" s="265"/>
      <c r="J930" s="265"/>
      <c r="K930" s="259"/>
      <c r="L930" s="265"/>
      <c r="M930" s="265"/>
      <c r="N930" s="265"/>
      <c r="O930" s="265"/>
      <c r="P930" s="259"/>
      <c r="Q930" s="259"/>
      <c r="R930" s="259"/>
      <c r="S930" s="259"/>
      <c r="T930" s="259"/>
      <c r="U930" s="259"/>
      <c r="V930" s="259"/>
      <c r="W930" s="259"/>
      <c r="X930" s="259"/>
      <c r="Y930" s="260"/>
    </row>
    <row r="931" spans="1:25" ht="13">
      <c r="A931" s="261"/>
      <c r="B931" s="261"/>
      <c r="C931" s="261"/>
      <c r="D931" s="265"/>
      <c r="E931" s="265"/>
      <c r="F931" s="265"/>
      <c r="G931" s="265"/>
      <c r="H931" s="265"/>
      <c r="I931" s="265"/>
      <c r="J931" s="265"/>
      <c r="K931" s="259"/>
      <c r="L931" s="265"/>
      <c r="M931" s="265"/>
      <c r="N931" s="265"/>
      <c r="O931" s="265"/>
      <c r="P931" s="259"/>
      <c r="Q931" s="259"/>
      <c r="R931" s="259"/>
      <c r="S931" s="259"/>
      <c r="T931" s="259"/>
      <c r="U931" s="259"/>
      <c r="V931" s="259"/>
      <c r="W931" s="259"/>
      <c r="X931" s="259"/>
      <c r="Y931" s="260"/>
    </row>
    <row r="932" spans="1:25" ht="13">
      <c r="A932" s="261"/>
      <c r="B932" s="261"/>
      <c r="C932" s="261"/>
      <c r="D932" s="265"/>
      <c r="E932" s="265"/>
      <c r="F932" s="265"/>
      <c r="G932" s="265"/>
      <c r="H932" s="265"/>
      <c r="I932" s="265"/>
      <c r="J932" s="265"/>
      <c r="K932" s="259"/>
      <c r="L932" s="265"/>
      <c r="M932" s="265"/>
      <c r="N932" s="265"/>
      <c r="O932" s="265"/>
      <c r="P932" s="259"/>
      <c r="Q932" s="259"/>
      <c r="R932" s="259"/>
      <c r="S932" s="259"/>
      <c r="T932" s="259"/>
      <c r="U932" s="259"/>
      <c r="V932" s="259"/>
      <c r="W932" s="259"/>
      <c r="X932" s="259"/>
      <c r="Y932" s="260"/>
    </row>
    <row r="933" spans="1:25" ht="13">
      <c r="A933" s="261"/>
      <c r="B933" s="261"/>
      <c r="C933" s="261"/>
      <c r="D933" s="265"/>
      <c r="E933" s="265"/>
      <c r="F933" s="265"/>
      <c r="G933" s="265"/>
      <c r="H933" s="265"/>
      <c r="I933" s="265"/>
      <c r="J933" s="265"/>
      <c r="K933" s="259"/>
      <c r="L933" s="265"/>
      <c r="M933" s="265"/>
      <c r="N933" s="265"/>
      <c r="O933" s="265"/>
      <c r="P933" s="259"/>
      <c r="Q933" s="259"/>
      <c r="R933" s="259"/>
      <c r="S933" s="259"/>
      <c r="T933" s="259"/>
      <c r="U933" s="259"/>
      <c r="V933" s="259"/>
      <c r="W933" s="259"/>
      <c r="X933" s="259"/>
      <c r="Y933" s="260"/>
    </row>
    <row r="934" spans="1:25" ht="13">
      <c r="A934" s="261"/>
      <c r="B934" s="261"/>
      <c r="C934" s="261"/>
      <c r="D934" s="265"/>
      <c r="E934" s="265"/>
      <c r="F934" s="265"/>
      <c r="G934" s="265"/>
      <c r="H934" s="265"/>
      <c r="I934" s="265"/>
      <c r="J934" s="265"/>
      <c r="K934" s="259"/>
      <c r="L934" s="265"/>
      <c r="M934" s="265"/>
      <c r="N934" s="265"/>
      <c r="O934" s="265"/>
      <c r="P934" s="259"/>
      <c r="Q934" s="259"/>
      <c r="R934" s="259"/>
      <c r="S934" s="259"/>
      <c r="T934" s="259"/>
      <c r="U934" s="259"/>
      <c r="V934" s="259"/>
      <c r="W934" s="259"/>
      <c r="X934" s="259"/>
      <c r="Y934" s="260"/>
    </row>
    <row r="935" spans="1:25" ht="13">
      <c r="A935" s="261"/>
      <c r="B935" s="261"/>
      <c r="C935" s="261"/>
      <c r="D935" s="265"/>
      <c r="E935" s="265"/>
      <c r="F935" s="265"/>
      <c r="G935" s="265"/>
      <c r="H935" s="265"/>
      <c r="I935" s="265"/>
      <c r="J935" s="265"/>
      <c r="K935" s="259"/>
      <c r="L935" s="265"/>
      <c r="M935" s="265"/>
      <c r="N935" s="265"/>
      <c r="O935" s="265"/>
      <c r="P935" s="259"/>
      <c r="Q935" s="259"/>
      <c r="R935" s="259"/>
      <c r="S935" s="259"/>
      <c r="T935" s="259"/>
      <c r="U935" s="259"/>
      <c r="V935" s="259"/>
      <c r="W935" s="259"/>
      <c r="X935" s="259"/>
      <c r="Y935" s="260"/>
    </row>
    <row r="936" spans="1:25" ht="13">
      <c r="A936" s="261"/>
      <c r="B936" s="261"/>
      <c r="C936" s="261"/>
      <c r="D936" s="265"/>
      <c r="E936" s="265"/>
      <c r="F936" s="265"/>
      <c r="G936" s="265"/>
      <c r="H936" s="265"/>
      <c r="I936" s="265"/>
      <c r="J936" s="265"/>
      <c r="K936" s="259"/>
      <c r="L936" s="265"/>
      <c r="M936" s="265"/>
      <c r="N936" s="265"/>
      <c r="O936" s="265"/>
      <c r="P936" s="259"/>
      <c r="Q936" s="259"/>
      <c r="R936" s="259"/>
      <c r="S936" s="259"/>
      <c r="T936" s="259"/>
      <c r="U936" s="259"/>
      <c r="V936" s="259"/>
      <c r="W936" s="259"/>
      <c r="X936" s="259"/>
      <c r="Y936" s="260"/>
    </row>
    <row r="937" spans="1:25" ht="13">
      <c r="A937" s="261"/>
      <c r="B937" s="261"/>
      <c r="C937" s="261"/>
      <c r="D937" s="265"/>
      <c r="E937" s="265"/>
      <c r="F937" s="265"/>
      <c r="G937" s="265"/>
      <c r="H937" s="265"/>
      <c r="I937" s="265"/>
      <c r="J937" s="265"/>
      <c r="K937" s="259"/>
      <c r="L937" s="265"/>
      <c r="M937" s="265"/>
      <c r="N937" s="265"/>
      <c r="O937" s="265"/>
      <c r="P937" s="259"/>
      <c r="Q937" s="259"/>
      <c r="R937" s="259"/>
      <c r="S937" s="259"/>
      <c r="T937" s="259"/>
      <c r="U937" s="259"/>
      <c r="V937" s="259"/>
      <c r="W937" s="259"/>
      <c r="X937" s="259"/>
      <c r="Y937" s="260"/>
    </row>
    <row r="938" spans="1:25" ht="13">
      <c r="A938" s="261"/>
      <c r="B938" s="261"/>
      <c r="C938" s="261"/>
      <c r="D938" s="265"/>
      <c r="E938" s="265"/>
      <c r="F938" s="265"/>
      <c r="G938" s="265"/>
      <c r="H938" s="265"/>
      <c r="I938" s="265"/>
      <c r="J938" s="265"/>
      <c r="K938" s="259"/>
      <c r="L938" s="265"/>
      <c r="M938" s="265"/>
      <c r="N938" s="265"/>
      <c r="O938" s="265"/>
      <c r="P938" s="259"/>
      <c r="Q938" s="259"/>
      <c r="R938" s="259"/>
      <c r="S938" s="259"/>
      <c r="T938" s="259"/>
      <c r="U938" s="259"/>
      <c r="V938" s="259"/>
      <c r="W938" s="259"/>
      <c r="X938" s="259"/>
      <c r="Y938" s="260"/>
    </row>
    <row r="939" spans="1:25" ht="13">
      <c r="A939" s="261"/>
      <c r="B939" s="261"/>
      <c r="C939" s="261"/>
      <c r="D939" s="265"/>
      <c r="E939" s="265"/>
      <c r="F939" s="265"/>
      <c r="G939" s="265"/>
      <c r="H939" s="265"/>
      <c r="I939" s="265"/>
      <c r="J939" s="265"/>
      <c r="K939" s="259"/>
      <c r="L939" s="265"/>
      <c r="M939" s="265"/>
      <c r="N939" s="265"/>
      <c r="O939" s="265"/>
      <c r="P939" s="259"/>
      <c r="Q939" s="259"/>
      <c r="R939" s="259"/>
      <c r="S939" s="259"/>
      <c r="T939" s="259"/>
      <c r="U939" s="259"/>
      <c r="V939" s="259"/>
      <c r="W939" s="259"/>
      <c r="X939" s="259"/>
      <c r="Y939" s="260"/>
    </row>
    <row r="940" spans="1:25" ht="13">
      <c r="A940" s="261"/>
      <c r="B940" s="261"/>
      <c r="C940" s="261"/>
      <c r="D940" s="265"/>
      <c r="E940" s="265"/>
      <c r="F940" s="265"/>
      <c r="G940" s="265"/>
      <c r="H940" s="265"/>
      <c r="I940" s="265"/>
      <c r="J940" s="265"/>
      <c r="K940" s="259"/>
      <c r="L940" s="265"/>
      <c r="M940" s="265"/>
      <c r="N940" s="265"/>
      <c r="O940" s="265"/>
      <c r="P940" s="259"/>
      <c r="Q940" s="259"/>
      <c r="R940" s="259"/>
      <c r="S940" s="259"/>
      <c r="T940" s="259"/>
      <c r="U940" s="259"/>
      <c r="V940" s="259"/>
      <c r="W940" s="259"/>
      <c r="X940" s="259"/>
      <c r="Y940" s="260"/>
    </row>
    <row r="941" spans="1:25" ht="13">
      <c r="A941" s="261"/>
      <c r="B941" s="261"/>
      <c r="C941" s="261"/>
      <c r="D941" s="265"/>
      <c r="E941" s="265"/>
      <c r="F941" s="265"/>
      <c r="G941" s="265"/>
      <c r="H941" s="265"/>
      <c r="I941" s="265"/>
      <c r="J941" s="265"/>
      <c r="K941" s="259"/>
      <c r="L941" s="265"/>
      <c r="M941" s="265"/>
      <c r="N941" s="265"/>
      <c r="O941" s="265"/>
      <c r="P941" s="259"/>
      <c r="Q941" s="259"/>
      <c r="R941" s="259"/>
      <c r="S941" s="259"/>
      <c r="T941" s="259"/>
      <c r="U941" s="259"/>
      <c r="V941" s="259"/>
      <c r="W941" s="259"/>
      <c r="X941" s="259"/>
      <c r="Y941" s="260"/>
    </row>
    <row r="942" spans="1:25" ht="13">
      <c r="A942" s="261"/>
      <c r="B942" s="261"/>
      <c r="C942" s="261"/>
      <c r="D942" s="265"/>
      <c r="E942" s="265"/>
      <c r="F942" s="265"/>
      <c r="G942" s="265"/>
      <c r="H942" s="265"/>
      <c r="I942" s="265"/>
      <c r="J942" s="265"/>
      <c r="K942" s="259"/>
      <c r="L942" s="265"/>
      <c r="M942" s="265"/>
      <c r="N942" s="265"/>
      <c r="O942" s="265"/>
      <c r="P942" s="259"/>
      <c r="Q942" s="259"/>
      <c r="R942" s="259"/>
      <c r="S942" s="259"/>
      <c r="T942" s="259"/>
      <c r="U942" s="259"/>
      <c r="V942" s="259"/>
      <c r="W942" s="259"/>
      <c r="X942" s="259"/>
      <c r="Y942" s="260"/>
    </row>
    <row r="943" spans="1:25" ht="13">
      <c r="A943" s="261"/>
      <c r="B943" s="261"/>
      <c r="C943" s="261"/>
      <c r="D943" s="265"/>
      <c r="E943" s="265"/>
      <c r="F943" s="265"/>
      <c r="G943" s="265"/>
      <c r="H943" s="265"/>
      <c r="I943" s="265"/>
      <c r="J943" s="265"/>
      <c r="K943" s="259"/>
      <c r="L943" s="265"/>
      <c r="M943" s="265"/>
      <c r="N943" s="265"/>
      <c r="O943" s="265"/>
      <c r="P943" s="259"/>
      <c r="Q943" s="259"/>
      <c r="R943" s="259"/>
      <c r="S943" s="259"/>
      <c r="T943" s="259"/>
      <c r="U943" s="259"/>
      <c r="V943" s="259"/>
      <c r="W943" s="259"/>
      <c r="X943" s="259"/>
      <c r="Y943" s="260"/>
    </row>
    <row r="944" spans="1:25" ht="13">
      <c r="A944" s="261"/>
      <c r="B944" s="261"/>
      <c r="C944" s="261"/>
      <c r="D944" s="265"/>
      <c r="E944" s="265"/>
      <c r="F944" s="265"/>
      <c r="G944" s="265"/>
      <c r="H944" s="265"/>
      <c r="I944" s="265"/>
      <c r="J944" s="265"/>
      <c r="K944" s="259"/>
      <c r="L944" s="265"/>
      <c r="M944" s="265"/>
      <c r="N944" s="265"/>
      <c r="O944" s="265"/>
      <c r="P944" s="259"/>
      <c r="Q944" s="259"/>
      <c r="R944" s="259"/>
      <c r="S944" s="259"/>
      <c r="T944" s="259"/>
      <c r="U944" s="259"/>
      <c r="V944" s="259"/>
      <c r="W944" s="259"/>
      <c r="X944" s="259"/>
      <c r="Y944" s="260"/>
    </row>
    <row r="945" spans="1:25" ht="13">
      <c r="A945" s="261"/>
      <c r="B945" s="261"/>
      <c r="C945" s="261"/>
      <c r="D945" s="265"/>
      <c r="E945" s="265"/>
      <c r="F945" s="265"/>
      <c r="G945" s="265"/>
      <c r="H945" s="265"/>
      <c r="I945" s="265"/>
      <c r="J945" s="265"/>
      <c r="K945" s="259"/>
      <c r="L945" s="265"/>
      <c r="M945" s="265"/>
      <c r="N945" s="265"/>
      <c r="O945" s="265"/>
      <c r="P945" s="259"/>
      <c r="Q945" s="259"/>
      <c r="R945" s="259"/>
      <c r="S945" s="259"/>
      <c r="T945" s="259"/>
      <c r="U945" s="259"/>
      <c r="V945" s="259"/>
      <c r="W945" s="259"/>
      <c r="X945" s="259"/>
      <c r="Y945" s="260"/>
    </row>
    <row r="946" spans="1:25" ht="13">
      <c r="A946" s="261"/>
      <c r="B946" s="261"/>
      <c r="C946" s="261"/>
      <c r="D946" s="265"/>
      <c r="E946" s="265"/>
      <c r="F946" s="265"/>
      <c r="G946" s="265"/>
      <c r="H946" s="265"/>
      <c r="I946" s="265"/>
      <c r="J946" s="265"/>
      <c r="K946" s="259"/>
      <c r="L946" s="265"/>
      <c r="M946" s="265"/>
      <c r="N946" s="265"/>
      <c r="O946" s="265"/>
      <c r="P946" s="259"/>
      <c r="Q946" s="259"/>
      <c r="R946" s="259"/>
      <c r="S946" s="259"/>
      <c r="T946" s="259"/>
      <c r="U946" s="259"/>
      <c r="V946" s="259"/>
      <c r="W946" s="259"/>
      <c r="X946" s="259"/>
      <c r="Y946" s="260"/>
    </row>
    <row r="947" spans="1:25" ht="13">
      <c r="A947" s="261"/>
      <c r="B947" s="261"/>
      <c r="C947" s="261"/>
      <c r="D947" s="265"/>
      <c r="E947" s="265"/>
      <c r="F947" s="265"/>
      <c r="G947" s="265"/>
      <c r="H947" s="265"/>
      <c r="I947" s="265"/>
      <c r="J947" s="265"/>
      <c r="K947" s="259"/>
      <c r="L947" s="265"/>
      <c r="M947" s="265"/>
      <c r="N947" s="265"/>
      <c r="O947" s="265"/>
      <c r="P947" s="259"/>
      <c r="Q947" s="259"/>
      <c r="R947" s="259"/>
      <c r="S947" s="259"/>
      <c r="T947" s="259"/>
      <c r="U947" s="259"/>
      <c r="V947" s="259"/>
      <c r="W947" s="259"/>
      <c r="X947" s="259"/>
      <c r="Y947" s="260"/>
    </row>
    <row r="948" spans="1:25" ht="13">
      <c r="A948" s="261"/>
      <c r="B948" s="261"/>
      <c r="C948" s="261"/>
      <c r="D948" s="265"/>
      <c r="E948" s="265"/>
      <c r="F948" s="265"/>
      <c r="G948" s="265"/>
      <c r="H948" s="265"/>
      <c r="I948" s="265"/>
      <c r="J948" s="265"/>
      <c r="K948" s="259"/>
      <c r="L948" s="265"/>
      <c r="M948" s="265"/>
      <c r="N948" s="265"/>
      <c r="O948" s="265"/>
      <c r="P948" s="259"/>
      <c r="Q948" s="259"/>
      <c r="R948" s="259"/>
      <c r="S948" s="259"/>
      <c r="T948" s="259"/>
      <c r="U948" s="259"/>
      <c r="V948" s="259"/>
      <c r="W948" s="259"/>
      <c r="X948" s="259"/>
      <c r="Y948" s="260"/>
    </row>
    <row r="949" spans="1:25" ht="13">
      <c r="A949" s="261"/>
      <c r="B949" s="261"/>
      <c r="C949" s="261"/>
      <c r="D949" s="265"/>
      <c r="E949" s="265"/>
      <c r="F949" s="265"/>
      <c r="G949" s="265"/>
      <c r="H949" s="265"/>
      <c r="I949" s="265"/>
      <c r="J949" s="265"/>
      <c r="K949" s="259"/>
      <c r="L949" s="265"/>
      <c r="M949" s="265"/>
      <c r="N949" s="265"/>
      <c r="O949" s="265"/>
      <c r="P949" s="259"/>
      <c r="Q949" s="259"/>
      <c r="R949" s="259"/>
      <c r="S949" s="259"/>
      <c r="T949" s="259"/>
      <c r="U949" s="259"/>
      <c r="V949" s="259"/>
      <c r="W949" s="259"/>
      <c r="X949" s="259"/>
      <c r="Y949" s="260"/>
    </row>
    <row r="950" spans="1:25" ht="13">
      <c r="A950" s="261"/>
      <c r="B950" s="261"/>
      <c r="C950" s="261"/>
      <c r="D950" s="265"/>
      <c r="E950" s="265"/>
      <c r="F950" s="265"/>
      <c r="G950" s="265"/>
      <c r="H950" s="265"/>
      <c r="I950" s="265"/>
      <c r="J950" s="265"/>
      <c r="K950" s="259"/>
      <c r="L950" s="265"/>
      <c r="M950" s="265"/>
      <c r="N950" s="265"/>
      <c r="O950" s="265"/>
      <c r="P950" s="259"/>
      <c r="Q950" s="259"/>
      <c r="R950" s="259"/>
      <c r="S950" s="259"/>
      <c r="T950" s="259"/>
      <c r="U950" s="259"/>
      <c r="V950" s="259"/>
      <c r="W950" s="259"/>
      <c r="X950" s="259"/>
      <c r="Y950" s="260"/>
    </row>
    <row r="951" spans="1:25" ht="13">
      <c r="A951" s="261"/>
      <c r="B951" s="261"/>
      <c r="C951" s="261"/>
      <c r="D951" s="265"/>
      <c r="E951" s="265"/>
      <c r="F951" s="265"/>
      <c r="G951" s="265"/>
      <c r="H951" s="265"/>
      <c r="I951" s="265"/>
      <c r="J951" s="265"/>
      <c r="K951" s="259"/>
      <c r="L951" s="265"/>
      <c r="M951" s="265"/>
      <c r="N951" s="265"/>
      <c r="O951" s="265"/>
      <c r="P951" s="259"/>
      <c r="Q951" s="259"/>
      <c r="R951" s="259"/>
      <c r="S951" s="259"/>
      <c r="T951" s="259"/>
      <c r="U951" s="259"/>
      <c r="V951" s="259"/>
      <c r="W951" s="259"/>
      <c r="X951" s="259"/>
      <c r="Y951" s="260"/>
    </row>
    <row r="952" spans="1:25" ht="13">
      <c r="A952" s="261"/>
      <c r="B952" s="261"/>
      <c r="C952" s="261"/>
      <c r="D952" s="265"/>
      <c r="E952" s="265"/>
      <c r="F952" s="265"/>
      <c r="G952" s="265"/>
      <c r="H952" s="265"/>
      <c r="I952" s="265"/>
      <c r="J952" s="265"/>
      <c r="K952" s="259"/>
      <c r="L952" s="265"/>
      <c r="M952" s="265"/>
      <c r="N952" s="265"/>
      <c r="O952" s="265"/>
      <c r="P952" s="259"/>
      <c r="Q952" s="259"/>
      <c r="R952" s="259"/>
      <c r="S952" s="259"/>
      <c r="T952" s="259"/>
      <c r="U952" s="259"/>
      <c r="V952" s="259"/>
      <c r="W952" s="259"/>
      <c r="X952" s="259"/>
      <c r="Y952" s="260"/>
    </row>
    <row r="953" spans="1:25" ht="13">
      <c r="A953" s="261"/>
      <c r="B953" s="261"/>
      <c r="C953" s="261"/>
      <c r="D953" s="265"/>
      <c r="E953" s="265"/>
      <c r="F953" s="265"/>
      <c r="G953" s="265"/>
      <c r="H953" s="265"/>
      <c r="I953" s="265"/>
      <c r="J953" s="265"/>
      <c r="K953" s="259"/>
      <c r="L953" s="265"/>
      <c r="M953" s="265"/>
      <c r="N953" s="265"/>
      <c r="O953" s="265"/>
      <c r="P953" s="259"/>
      <c r="Q953" s="259"/>
      <c r="R953" s="259"/>
      <c r="S953" s="259"/>
      <c r="T953" s="259"/>
      <c r="U953" s="259"/>
      <c r="V953" s="259"/>
      <c r="W953" s="259"/>
      <c r="X953" s="259"/>
      <c r="Y953" s="260"/>
    </row>
    <row r="954" spans="1:25" ht="13">
      <c r="A954" s="261"/>
      <c r="B954" s="261"/>
      <c r="C954" s="261"/>
      <c r="D954" s="265"/>
      <c r="E954" s="265"/>
      <c r="F954" s="265"/>
      <c r="G954" s="265"/>
      <c r="H954" s="265"/>
      <c r="I954" s="265"/>
      <c r="J954" s="265"/>
      <c r="K954" s="259"/>
      <c r="L954" s="265"/>
      <c r="M954" s="265"/>
      <c r="N954" s="265"/>
      <c r="O954" s="265"/>
      <c r="P954" s="259"/>
      <c r="Q954" s="259"/>
      <c r="R954" s="259"/>
      <c r="S954" s="259"/>
      <c r="T954" s="259"/>
      <c r="U954" s="259"/>
      <c r="V954" s="259"/>
      <c r="W954" s="259"/>
      <c r="X954" s="259"/>
      <c r="Y954" s="260"/>
    </row>
    <row r="955" spans="1:25" ht="13">
      <c r="A955" s="261"/>
      <c r="B955" s="261"/>
      <c r="C955" s="261"/>
      <c r="D955" s="265"/>
      <c r="E955" s="265"/>
      <c r="F955" s="265"/>
      <c r="G955" s="265"/>
      <c r="H955" s="265"/>
      <c r="I955" s="265"/>
      <c r="J955" s="265"/>
      <c r="K955" s="259"/>
      <c r="L955" s="265"/>
      <c r="M955" s="265"/>
      <c r="N955" s="265"/>
      <c r="O955" s="265"/>
      <c r="P955" s="259"/>
      <c r="Q955" s="259"/>
      <c r="R955" s="259"/>
      <c r="S955" s="259"/>
      <c r="T955" s="259"/>
      <c r="U955" s="259"/>
      <c r="V955" s="259"/>
      <c r="W955" s="259"/>
      <c r="X955" s="259"/>
      <c r="Y955" s="260"/>
    </row>
    <row r="956" spans="1:25" ht="13">
      <c r="A956" s="261"/>
      <c r="B956" s="261"/>
      <c r="C956" s="261"/>
      <c r="D956" s="265"/>
      <c r="E956" s="265"/>
      <c r="F956" s="265"/>
      <c r="G956" s="265"/>
      <c r="H956" s="265"/>
      <c r="I956" s="265"/>
      <c r="J956" s="265"/>
      <c r="K956" s="259"/>
      <c r="L956" s="265"/>
      <c r="M956" s="265"/>
      <c r="N956" s="265"/>
      <c r="O956" s="265"/>
      <c r="P956" s="259"/>
      <c r="Q956" s="259"/>
      <c r="R956" s="259"/>
      <c r="S956" s="259"/>
      <c r="T956" s="259"/>
      <c r="U956" s="259"/>
      <c r="V956" s="259"/>
      <c r="W956" s="259"/>
      <c r="X956" s="259"/>
      <c r="Y956" s="260"/>
    </row>
    <row r="957" spans="1:25" ht="13">
      <c r="A957" s="261"/>
      <c r="B957" s="261"/>
      <c r="C957" s="261"/>
      <c r="D957" s="265"/>
      <c r="E957" s="265"/>
      <c r="F957" s="265"/>
      <c r="G957" s="265"/>
      <c r="H957" s="265"/>
      <c r="I957" s="265"/>
      <c r="J957" s="265"/>
      <c r="K957" s="259"/>
      <c r="L957" s="265"/>
      <c r="M957" s="265"/>
      <c r="N957" s="265"/>
      <c r="O957" s="265"/>
      <c r="P957" s="259"/>
      <c r="Q957" s="259"/>
      <c r="R957" s="259"/>
      <c r="S957" s="259"/>
      <c r="T957" s="259"/>
      <c r="U957" s="259"/>
      <c r="V957" s="259"/>
      <c r="W957" s="259"/>
      <c r="X957" s="259"/>
      <c r="Y957" s="260"/>
    </row>
    <row r="958" spans="1:25" ht="13">
      <c r="A958" s="261"/>
      <c r="B958" s="261"/>
      <c r="C958" s="261"/>
      <c r="D958" s="265"/>
      <c r="E958" s="265"/>
      <c r="F958" s="265"/>
      <c r="G958" s="265"/>
      <c r="H958" s="265"/>
      <c r="I958" s="265"/>
      <c r="J958" s="265"/>
      <c r="K958" s="259"/>
      <c r="L958" s="265"/>
      <c r="M958" s="265"/>
      <c r="N958" s="265"/>
      <c r="O958" s="265"/>
      <c r="P958" s="259"/>
      <c r="Q958" s="259"/>
      <c r="R958" s="259"/>
      <c r="S958" s="259"/>
      <c r="T958" s="259"/>
      <c r="U958" s="259"/>
      <c r="V958" s="259"/>
      <c r="W958" s="259"/>
      <c r="X958" s="259"/>
      <c r="Y958" s="260"/>
    </row>
    <row r="959" spans="1:25" ht="13">
      <c r="A959" s="261"/>
      <c r="B959" s="261"/>
      <c r="C959" s="261"/>
      <c r="D959" s="265"/>
      <c r="E959" s="265"/>
      <c r="F959" s="265"/>
      <c r="G959" s="265"/>
      <c r="H959" s="265"/>
      <c r="I959" s="265"/>
      <c r="J959" s="265"/>
      <c r="K959" s="259"/>
      <c r="L959" s="265"/>
      <c r="M959" s="265"/>
      <c r="N959" s="265"/>
      <c r="O959" s="265"/>
      <c r="P959" s="259"/>
      <c r="Q959" s="259"/>
      <c r="R959" s="259"/>
      <c r="S959" s="259"/>
      <c r="T959" s="259"/>
      <c r="U959" s="259"/>
      <c r="V959" s="259"/>
      <c r="W959" s="259"/>
      <c r="X959" s="259"/>
      <c r="Y959" s="260"/>
    </row>
    <row r="960" spans="1:25" ht="13">
      <c r="A960" s="261"/>
      <c r="B960" s="261"/>
      <c r="C960" s="261"/>
      <c r="D960" s="265"/>
      <c r="E960" s="265"/>
      <c r="F960" s="265"/>
      <c r="G960" s="265"/>
      <c r="H960" s="265"/>
      <c r="I960" s="265"/>
      <c r="J960" s="265"/>
      <c r="K960" s="259"/>
      <c r="L960" s="265"/>
      <c r="M960" s="265"/>
      <c r="N960" s="265"/>
      <c r="O960" s="265"/>
      <c r="P960" s="259"/>
      <c r="Q960" s="259"/>
      <c r="R960" s="259"/>
      <c r="S960" s="259"/>
      <c r="T960" s="259"/>
      <c r="U960" s="259"/>
      <c r="V960" s="259"/>
      <c r="W960" s="259"/>
      <c r="X960" s="259"/>
      <c r="Y960" s="260"/>
    </row>
    <row r="961" spans="1:25" ht="13">
      <c r="A961" s="261"/>
      <c r="B961" s="261"/>
      <c r="C961" s="261"/>
      <c r="D961" s="265"/>
      <c r="E961" s="265"/>
      <c r="F961" s="265"/>
      <c r="G961" s="265"/>
      <c r="H961" s="265"/>
      <c r="I961" s="265"/>
      <c r="J961" s="265"/>
      <c r="K961" s="259"/>
      <c r="L961" s="265"/>
      <c r="M961" s="265"/>
      <c r="N961" s="265"/>
      <c r="O961" s="265"/>
      <c r="P961" s="259"/>
      <c r="Q961" s="259"/>
      <c r="R961" s="259"/>
      <c r="S961" s="259"/>
      <c r="T961" s="259"/>
      <c r="U961" s="259"/>
      <c r="V961" s="259"/>
      <c r="W961" s="259"/>
      <c r="X961" s="259"/>
      <c r="Y961" s="260"/>
    </row>
    <row r="962" spans="1:25" ht="13">
      <c r="A962" s="261"/>
      <c r="B962" s="261"/>
      <c r="C962" s="261"/>
      <c r="D962" s="265"/>
      <c r="E962" s="265"/>
      <c r="F962" s="265"/>
      <c r="G962" s="265"/>
      <c r="H962" s="265"/>
      <c r="I962" s="265"/>
      <c r="J962" s="265"/>
      <c r="K962" s="259"/>
      <c r="L962" s="265"/>
      <c r="M962" s="265"/>
      <c r="N962" s="265"/>
      <c r="O962" s="265"/>
      <c r="P962" s="259"/>
      <c r="Q962" s="259"/>
      <c r="R962" s="259"/>
      <c r="S962" s="259"/>
      <c r="T962" s="259"/>
      <c r="U962" s="259"/>
      <c r="V962" s="259"/>
      <c r="W962" s="259"/>
      <c r="X962" s="259"/>
      <c r="Y962" s="260"/>
    </row>
    <row r="963" spans="1:25" ht="13">
      <c r="A963" s="261"/>
      <c r="B963" s="261"/>
      <c r="C963" s="261"/>
      <c r="D963" s="265"/>
      <c r="E963" s="265"/>
      <c r="F963" s="265"/>
      <c r="G963" s="265"/>
      <c r="H963" s="265"/>
      <c r="I963" s="265"/>
      <c r="J963" s="265"/>
      <c r="K963" s="259"/>
      <c r="L963" s="265"/>
      <c r="M963" s="265"/>
      <c r="N963" s="265"/>
      <c r="O963" s="265"/>
      <c r="P963" s="259"/>
      <c r="Q963" s="259"/>
      <c r="R963" s="259"/>
      <c r="S963" s="259"/>
      <c r="T963" s="259"/>
      <c r="U963" s="259"/>
      <c r="V963" s="259"/>
      <c r="W963" s="259"/>
      <c r="X963" s="259"/>
      <c r="Y963" s="260"/>
    </row>
    <row r="964" spans="1:25" ht="13">
      <c r="A964" s="261"/>
      <c r="B964" s="261"/>
      <c r="C964" s="261"/>
      <c r="D964" s="265"/>
      <c r="E964" s="265"/>
      <c r="F964" s="265"/>
      <c r="G964" s="265"/>
      <c r="H964" s="265"/>
      <c r="I964" s="265"/>
      <c r="J964" s="265"/>
      <c r="K964" s="259"/>
      <c r="L964" s="265"/>
      <c r="M964" s="265"/>
      <c r="N964" s="265"/>
      <c r="O964" s="265"/>
      <c r="P964" s="259"/>
      <c r="Q964" s="259"/>
      <c r="R964" s="259"/>
      <c r="S964" s="259"/>
      <c r="T964" s="259"/>
      <c r="U964" s="259"/>
      <c r="V964" s="259"/>
      <c r="W964" s="259"/>
      <c r="X964" s="259"/>
      <c r="Y964" s="260"/>
    </row>
    <row r="965" spans="1:25" ht="13">
      <c r="A965" s="261"/>
      <c r="B965" s="261"/>
      <c r="C965" s="261"/>
      <c r="D965" s="265"/>
      <c r="E965" s="265"/>
      <c r="F965" s="265"/>
      <c r="G965" s="265"/>
      <c r="H965" s="265"/>
      <c r="I965" s="265"/>
      <c r="J965" s="265"/>
      <c r="K965" s="259"/>
      <c r="L965" s="265"/>
      <c r="M965" s="265"/>
      <c r="N965" s="265"/>
      <c r="O965" s="265"/>
      <c r="P965" s="259"/>
      <c r="Q965" s="259"/>
      <c r="R965" s="259"/>
      <c r="S965" s="259"/>
      <c r="T965" s="259"/>
      <c r="U965" s="259"/>
      <c r="V965" s="259"/>
      <c r="W965" s="259"/>
      <c r="X965" s="259"/>
      <c r="Y965" s="260"/>
    </row>
    <row r="966" spans="1:25" ht="13">
      <c r="A966" s="261"/>
      <c r="B966" s="261"/>
      <c r="C966" s="261"/>
      <c r="D966" s="265"/>
      <c r="E966" s="265"/>
      <c r="F966" s="265"/>
      <c r="G966" s="265"/>
      <c r="H966" s="265"/>
      <c r="I966" s="265"/>
      <c r="J966" s="265"/>
      <c r="K966" s="259"/>
      <c r="L966" s="265"/>
      <c r="M966" s="265"/>
      <c r="N966" s="265"/>
      <c r="O966" s="265"/>
      <c r="P966" s="259"/>
      <c r="Q966" s="259"/>
      <c r="R966" s="259"/>
      <c r="S966" s="259"/>
      <c r="T966" s="259"/>
      <c r="U966" s="259"/>
      <c r="V966" s="259"/>
      <c r="W966" s="259"/>
      <c r="X966" s="259"/>
      <c r="Y966" s="260"/>
    </row>
    <row r="967" spans="1:25" ht="13">
      <c r="A967" s="261"/>
      <c r="B967" s="261"/>
      <c r="C967" s="261"/>
      <c r="D967" s="265"/>
      <c r="E967" s="265"/>
      <c r="F967" s="265"/>
      <c r="G967" s="265"/>
      <c r="H967" s="265"/>
      <c r="I967" s="265"/>
      <c r="J967" s="265"/>
      <c r="K967" s="259"/>
      <c r="L967" s="265"/>
      <c r="M967" s="265"/>
      <c r="N967" s="265"/>
      <c r="O967" s="265"/>
      <c r="P967" s="259"/>
      <c r="Q967" s="259"/>
      <c r="R967" s="259"/>
      <c r="S967" s="259"/>
      <c r="T967" s="259"/>
      <c r="U967" s="259"/>
      <c r="V967" s="259"/>
      <c r="W967" s="259"/>
      <c r="X967" s="259"/>
      <c r="Y967" s="260"/>
    </row>
    <row r="968" spans="1:25" ht="13">
      <c r="A968" s="261"/>
      <c r="B968" s="261"/>
      <c r="C968" s="261"/>
      <c r="D968" s="265"/>
      <c r="E968" s="265"/>
      <c r="F968" s="265"/>
      <c r="G968" s="265"/>
      <c r="H968" s="265"/>
      <c r="I968" s="265"/>
      <c r="J968" s="265"/>
      <c r="K968" s="259"/>
      <c r="L968" s="265"/>
      <c r="M968" s="265"/>
      <c r="N968" s="265"/>
      <c r="O968" s="265"/>
      <c r="P968" s="259"/>
      <c r="Q968" s="259"/>
      <c r="R968" s="259"/>
      <c r="S968" s="259"/>
      <c r="T968" s="259"/>
      <c r="U968" s="259"/>
      <c r="V968" s="259"/>
      <c r="W968" s="259"/>
      <c r="X968" s="259"/>
      <c r="Y968" s="260"/>
    </row>
    <row r="969" spans="1:25" ht="13">
      <c r="A969" s="261"/>
      <c r="B969" s="261"/>
      <c r="C969" s="261"/>
      <c r="D969" s="265"/>
      <c r="E969" s="265"/>
      <c r="F969" s="265"/>
      <c r="G969" s="265"/>
      <c r="H969" s="265"/>
      <c r="I969" s="265"/>
      <c r="J969" s="265"/>
      <c r="K969" s="259"/>
      <c r="L969" s="265"/>
      <c r="M969" s="265"/>
      <c r="N969" s="265"/>
      <c r="O969" s="265"/>
      <c r="P969" s="259"/>
      <c r="Q969" s="259"/>
      <c r="R969" s="259"/>
      <c r="S969" s="259"/>
      <c r="T969" s="259"/>
      <c r="U969" s="259"/>
      <c r="V969" s="259"/>
      <c r="W969" s="259"/>
      <c r="X969" s="259"/>
      <c r="Y969" s="260"/>
    </row>
    <row r="970" spans="1:25" ht="13">
      <c r="A970" s="261"/>
      <c r="B970" s="261"/>
      <c r="C970" s="261"/>
      <c r="D970" s="265"/>
      <c r="E970" s="265"/>
      <c r="F970" s="265"/>
      <c r="G970" s="265"/>
      <c r="H970" s="265"/>
      <c r="I970" s="265"/>
      <c r="J970" s="265"/>
      <c r="K970" s="259"/>
      <c r="L970" s="265"/>
      <c r="M970" s="265"/>
      <c r="N970" s="265"/>
      <c r="O970" s="265"/>
      <c r="P970" s="259"/>
      <c r="Q970" s="259"/>
      <c r="R970" s="259"/>
      <c r="S970" s="259"/>
      <c r="T970" s="259"/>
      <c r="U970" s="259"/>
      <c r="V970" s="259"/>
      <c r="W970" s="259"/>
      <c r="X970" s="259"/>
      <c r="Y970" s="260"/>
    </row>
    <row r="971" spans="1:25" ht="13">
      <c r="A971" s="261"/>
      <c r="B971" s="261"/>
      <c r="C971" s="261"/>
      <c r="D971" s="265"/>
      <c r="E971" s="265"/>
      <c r="F971" s="265"/>
      <c r="G971" s="265"/>
      <c r="H971" s="265"/>
      <c r="I971" s="265"/>
      <c r="J971" s="265"/>
      <c r="K971" s="259"/>
      <c r="L971" s="265"/>
      <c r="M971" s="265"/>
      <c r="N971" s="265"/>
      <c r="O971" s="265"/>
      <c r="P971" s="259"/>
      <c r="Q971" s="259"/>
      <c r="R971" s="259"/>
      <c r="S971" s="259"/>
      <c r="T971" s="259"/>
      <c r="U971" s="259"/>
      <c r="V971" s="259"/>
      <c r="W971" s="259"/>
      <c r="X971" s="259"/>
      <c r="Y971" s="260"/>
    </row>
    <row r="972" spans="1:25" ht="13">
      <c r="A972" s="261"/>
      <c r="B972" s="261"/>
      <c r="C972" s="261"/>
      <c r="D972" s="265"/>
      <c r="E972" s="265"/>
      <c r="F972" s="265"/>
      <c r="G972" s="265"/>
      <c r="H972" s="265"/>
      <c r="I972" s="265"/>
      <c r="J972" s="265"/>
      <c r="K972" s="259"/>
      <c r="L972" s="265"/>
      <c r="M972" s="265"/>
      <c r="N972" s="265"/>
      <c r="O972" s="265"/>
      <c r="P972" s="259"/>
      <c r="Q972" s="259"/>
      <c r="R972" s="259"/>
      <c r="S972" s="259"/>
      <c r="T972" s="259"/>
      <c r="U972" s="259"/>
      <c r="V972" s="259"/>
      <c r="W972" s="259"/>
      <c r="X972" s="259"/>
      <c r="Y972" s="260"/>
    </row>
    <row r="973" spans="1:25" ht="13">
      <c r="A973" s="261"/>
      <c r="B973" s="261"/>
      <c r="C973" s="261"/>
      <c r="D973" s="265"/>
      <c r="E973" s="265"/>
      <c r="F973" s="265"/>
      <c r="G973" s="265"/>
      <c r="H973" s="265"/>
      <c r="I973" s="265"/>
      <c r="J973" s="265"/>
      <c r="K973" s="259"/>
      <c r="L973" s="265"/>
      <c r="M973" s="265"/>
      <c r="N973" s="265"/>
      <c r="O973" s="265"/>
      <c r="P973" s="259"/>
      <c r="Q973" s="259"/>
      <c r="R973" s="259"/>
      <c r="S973" s="259"/>
      <c r="T973" s="259"/>
      <c r="U973" s="259"/>
      <c r="V973" s="259"/>
      <c r="W973" s="259"/>
      <c r="X973" s="259"/>
      <c r="Y973" s="260"/>
    </row>
    <row r="974" spans="1:25" ht="13">
      <c r="A974" s="261"/>
      <c r="B974" s="261"/>
      <c r="C974" s="261"/>
      <c r="D974" s="265"/>
      <c r="E974" s="265"/>
      <c r="F974" s="265"/>
      <c r="G974" s="265"/>
      <c r="H974" s="265"/>
      <c r="I974" s="265"/>
      <c r="J974" s="265"/>
      <c r="K974" s="259"/>
      <c r="L974" s="265"/>
      <c r="M974" s="265"/>
      <c r="N974" s="265"/>
      <c r="O974" s="265"/>
      <c r="P974" s="259"/>
      <c r="Q974" s="259"/>
      <c r="R974" s="259"/>
      <c r="S974" s="259"/>
      <c r="T974" s="259"/>
      <c r="U974" s="259"/>
      <c r="V974" s="259"/>
      <c r="W974" s="259"/>
      <c r="X974" s="259"/>
      <c r="Y974" s="260"/>
    </row>
    <row r="975" spans="1:25" ht="13">
      <c r="A975" s="261"/>
      <c r="B975" s="261"/>
      <c r="C975" s="261"/>
      <c r="D975" s="265"/>
      <c r="E975" s="265"/>
      <c r="F975" s="265"/>
      <c r="G975" s="265"/>
      <c r="H975" s="265"/>
      <c r="I975" s="265"/>
      <c r="J975" s="265"/>
      <c r="K975" s="259"/>
      <c r="L975" s="265"/>
      <c r="M975" s="265"/>
      <c r="N975" s="265"/>
      <c r="O975" s="265"/>
      <c r="P975" s="259"/>
      <c r="Q975" s="259"/>
      <c r="R975" s="259"/>
      <c r="S975" s="259"/>
      <c r="T975" s="259"/>
      <c r="U975" s="259"/>
      <c r="V975" s="259"/>
      <c r="W975" s="259"/>
      <c r="X975" s="259"/>
      <c r="Y975" s="260"/>
    </row>
    <row r="976" spans="1:25" ht="13">
      <c r="A976" s="261"/>
      <c r="B976" s="261"/>
      <c r="C976" s="261"/>
      <c r="D976" s="265"/>
      <c r="E976" s="265"/>
      <c r="F976" s="265"/>
      <c r="G976" s="265"/>
      <c r="H976" s="265"/>
      <c r="I976" s="265"/>
      <c r="J976" s="265"/>
      <c r="K976" s="259"/>
      <c r="L976" s="265"/>
      <c r="M976" s="265"/>
      <c r="N976" s="265"/>
      <c r="O976" s="265"/>
      <c r="P976" s="259"/>
      <c r="Q976" s="259"/>
      <c r="R976" s="259"/>
      <c r="S976" s="259"/>
      <c r="T976" s="259"/>
      <c r="U976" s="259"/>
      <c r="V976" s="259"/>
      <c r="W976" s="259"/>
      <c r="X976" s="259"/>
      <c r="Y976" s="260"/>
    </row>
    <row r="977" spans="1:25" ht="13">
      <c r="A977" s="261"/>
      <c r="B977" s="261"/>
      <c r="C977" s="261"/>
      <c r="D977" s="265"/>
      <c r="E977" s="265"/>
      <c r="F977" s="265"/>
      <c r="G977" s="265"/>
      <c r="H977" s="265"/>
      <c r="I977" s="265"/>
      <c r="J977" s="265"/>
      <c r="K977" s="259"/>
      <c r="L977" s="265"/>
      <c r="M977" s="265"/>
      <c r="N977" s="265"/>
      <c r="O977" s="265"/>
      <c r="P977" s="259"/>
      <c r="Q977" s="259"/>
      <c r="R977" s="259"/>
      <c r="S977" s="259"/>
      <c r="T977" s="259"/>
      <c r="U977" s="259"/>
      <c r="V977" s="259"/>
      <c r="W977" s="259"/>
      <c r="X977" s="259"/>
      <c r="Y977" s="260"/>
    </row>
    <row r="978" spans="1:25" ht="13">
      <c r="A978" s="261"/>
      <c r="B978" s="261"/>
      <c r="C978" s="261"/>
      <c r="D978" s="265"/>
      <c r="E978" s="265"/>
      <c r="F978" s="265"/>
      <c r="G978" s="265"/>
      <c r="H978" s="265"/>
      <c r="I978" s="265"/>
      <c r="J978" s="265"/>
      <c r="K978" s="259"/>
      <c r="L978" s="265"/>
      <c r="M978" s="265"/>
      <c r="N978" s="265"/>
      <c r="O978" s="265"/>
      <c r="P978" s="259"/>
      <c r="Q978" s="259"/>
      <c r="R978" s="259"/>
      <c r="S978" s="259"/>
      <c r="T978" s="259"/>
      <c r="U978" s="259"/>
      <c r="V978" s="259"/>
      <c r="W978" s="259"/>
      <c r="X978" s="259"/>
      <c r="Y978" s="260"/>
    </row>
    <row r="979" spans="1:25" ht="13">
      <c r="A979" s="261"/>
      <c r="B979" s="261"/>
      <c r="C979" s="261"/>
      <c r="D979" s="265"/>
      <c r="E979" s="265"/>
      <c r="F979" s="265"/>
      <c r="G979" s="265"/>
      <c r="H979" s="265"/>
      <c r="I979" s="265"/>
      <c r="J979" s="265"/>
      <c r="K979" s="259"/>
      <c r="L979" s="265"/>
      <c r="M979" s="265"/>
      <c r="N979" s="265"/>
      <c r="O979" s="265"/>
      <c r="P979" s="259"/>
      <c r="Q979" s="259"/>
      <c r="R979" s="259"/>
      <c r="S979" s="259"/>
      <c r="T979" s="259"/>
      <c r="U979" s="259"/>
      <c r="V979" s="259"/>
      <c r="W979" s="259"/>
      <c r="X979" s="259"/>
      <c r="Y979" s="260"/>
    </row>
    <row r="980" spans="1:25" ht="13">
      <c r="A980" s="261"/>
      <c r="B980" s="261"/>
      <c r="C980" s="261"/>
      <c r="D980" s="265"/>
      <c r="E980" s="265"/>
      <c r="F980" s="265"/>
      <c r="G980" s="265"/>
      <c r="H980" s="265"/>
      <c r="I980" s="265"/>
      <c r="J980" s="265"/>
      <c r="K980" s="259"/>
      <c r="L980" s="265"/>
      <c r="M980" s="265"/>
      <c r="N980" s="265"/>
      <c r="O980" s="265"/>
      <c r="P980" s="259"/>
      <c r="Q980" s="259"/>
      <c r="R980" s="259"/>
      <c r="S980" s="259"/>
      <c r="T980" s="259"/>
      <c r="U980" s="259"/>
      <c r="V980" s="259"/>
      <c r="W980" s="259"/>
      <c r="X980" s="259"/>
      <c r="Y980" s="260"/>
    </row>
    <row r="981" spans="1:25" ht="13">
      <c r="A981" s="261"/>
      <c r="B981" s="261"/>
      <c r="C981" s="261"/>
      <c r="D981" s="265"/>
      <c r="E981" s="265"/>
      <c r="F981" s="265"/>
      <c r="G981" s="265"/>
      <c r="H981" s="265"/>
      <c r="I981" s="265"/>
      <c r="J981" s="265"/>
      <c r="K981" s="259"/>
      <c r="L981" s="265"/>
      <c r="M981" s="265"/>
      <c r="N981" s="265"/>
      <c r="O981" s="265"/>
      <c r="P981" s="259"/>
      <c r="Q981" s="259"/>
      <c r="R981" s="259"/>
      <c r="S981" s="259"/>
      <c r="T981" s="259"/>
      <c r="U981" s="259"/>
      <c r="V981" s="259"/>
      <c r="W981" s="259"/>
      <c r="X981" s="259"/>
      <c r="Y981" s="260"/>
    </row>
    <row r="982" spans="1:25" ht="13">
      <c r="A982" s="261"/>
      <c r="B982" s="261"/>
      <c r="C982" s="261"/>
      <c r="D982" s="265"/>
      <c r="E982" s="265"/>
      <c r="F982" s="265"/>
      <c r="G982" s="265"/>
      <c r="H982" s="265"/>
      <c r="I982" s="265"/>
      <c r="J982" s="265"/>
      <c r="K982" s="259"/>
      <c r="L982" s="265"/>
      <c r="M982" s="265"/>
      <c r="N982" s="265"/>
      <c r="O982" s="265"/>
      <c r="P982" s="259"/>
      <c r="Q982" s="259"/>
      <c r="R982" s="259"/>
      <c r="S982" s="259"/>
      <c r="T982" s="259"/>
      <c r="U982" s="259"/>
      <c r="V982" s="259"/>
      <c r="W982" s="259"/>
      <c r="X982" s="259"/>
      <c r="Y982" s="260"/>
    </row>
    <row r="983" spans="1:25" ht="13">
      <c r="A983" s="261"/>
      <c r="B983" s="261"/>
      <c r="C983" s="261"/>
      <c r="D983" s="265"/>
      <c r="E983" s="265"/>
      <c r="F983" s="265"/>
      <c r="G983" s="265"/>
      <c r="H983" s="265"/>
      <c r="I983" s="265"/>
      <c r="J983" s="265"/>
      <c r="K983" s="259"/>
      <c r="L983" s="265"/>
      <c r="M983" s="265"/>
      <c r="N983" s="265"/>
      <c r="O983" s="265"/>
      <c r="P983" s="259"/>
      <c r="Q983" s="259"/>
      <c r="R983" s="259"/>
      <c r="S983" s="259"/>
      <c r="T983" s="259"/>
      <c r="U983" s="259"/>
      <c r="V983" s="259"/>
      <c r="W983" s="259"/>
      <c r="X983" s="259"/>
      <c r="Y983" s="260"/>
    </row>
    <row r="984" spans="1:25" ht="13">
      <c r="A984" s="261"/>
      <c r="B984" s="261"/>
      <c r="C984" s="261"/>
      <c r="D984" s="265"/>
      <c r="E984" s="265"/>
      <c r="F984" s="265"/>
      <c r="G984" s="265"/>
      <c r="H984" s="265"/>
      <c r="I984" s="265"/>
      <c r="J984" s="265"/>
      <c r="K984" s="259"/>
      <c r="L984" s="265"/>
      <c r="M984" s="265"/>
      <c r="N984" s="265"/>
      <c r="O984" s="265"/>
      <c r="P984" s="259"/>
      <c r="Q984" s="259"/>
      <c r="R984" s="259"/>
      <c r="S984" s="259"/>
      <c r="T984" s="259"/>
      <c r="U984" s="259"/>
      <c r="V984" s="259"/>
      <c r="W984" s="259"/>
      <c r="X984" s="259"/>
      <c r="Y984" s="260"/>
    </row>
    <row r="985" spans="1:25" ht="13">
      <c r="A985" s="261"/>
      <c r="B985" s="261"/>
      <c r="C985" s="261"/>
      <c r="D985" s="265"/>
      <c r="E985" s="265"/>
      <c r="F985" s="265"/>
      <c r="G985" s="265"/>
      <c r="H985" s="265"/>
      <c r="I985" s="265"/>
      <c r="J985" s="265"/>
      <c r="K985" s="259"/>
      <c r="L985" s="265"/>
      <c r="M985" s="265"/>
      <c r="N985" s="265"/>
      <c r="O985" s="265"/>
      <c r="P985" s="259"/>
      <c r="Q985" s="259"/>
      <c r="R985" s="259"/>
      <c r="S985" s="259"/>
      <c r="T985" s="259"/>
      <c r="U985" s="259"/>
      <c r="V985" s="259"/>
      <c r="W985" s="259"/>
      <c r="X985" s="259"/>
      <c r="Y985" s="260"/>
    </row>
    <row r="986" spans="1:25" ht="13">
      <c r="A986" s="261"/>
      <c r="B986" s="261"/>
      <c r="C986" s="261"/>
      <c r="D986" s="265"/>
      <c r="E986" s="265"/>
      <c r="F986" s="265"/>
      <c r="G986" s="265"/>
      <c r="H986" s="265"/>
      <c r="I986" s="265"/>
      <c r="J986" s="265"/>
      <c r="K986" s="259"/>
      <c r="L986" s="265"/>
      <c r="M986" s="265"/>
      <c r="N986" s="265"/>
      <c r="O986" s="265"/>
      <c r="P986" s="259"/>
      <c r="Q986" s="259"/>
      <c r="R986" s="259"/>
      <c r="S986" s="259"/>
      <c r="T986" s="259"/>
      <c r="U986" s="259"/>
      <c r="V986" s="259"/>
      <c r="W986" s="259"/>
      <c r="X986" s="259"/>
      <c r="Y986" s="260"/>
    </row>
    <row r="987" spans="1:25" ht="13">
      <c r="A987" s="261"/>
      <c r="B987" s="261"/>
      <c r="C987" s="261"/>
      <c r="D987" s="265"/>
      <c r="E987" s="265"/>
      <c r="F987" s="265"/>
      <c r="G987" s="265"/>
      <c r="H987" s="265"/>
      <c r="I987" s="265"/>
      <c r="J987" s="265"/>
      <c r="K987" s="259"/>
      <c r="L987" s="265"/>
      <c r="M987" s="265"/>
      <c r="N987" s="265"/>
      <c r="O987" s="265"/>
      <c r="P987" s="259"/>
      <c r="Q987" s="259"/>
      <c r="R987" s="259"/>
      <c r="S987" s="259"/>
      <c r="T987" s="259"/>
      <c r="U987" s="259"/>
      <c r="V987" s="259"/>
      <c r="W987" s="259"/>
      <c r="X987" s="259"/>
      <c r="Y987" s="260"/>
    </row>
    <row r="988" spans="1:25" ht="13">
      <c r="A988" s="261"/>
      <c r="B988" s="261"/>
      <c r="C988" s="261"/>
      <c r="D988" s="265"/>
      <c r="E988" s="265"/>
      <c r="F988" s="265"/>
      <c r="G988" s="265"/>
      <c r="H988" s="265"/>
      <c r="I988" s="265"/>
      <c r="J988" s="265"/>
      <c r="K988" s="259"/>
      <c r="L988" s="265"/>
      <c r="M988" s="265"/>
      <c r="N988" s="265"/>
      <c r="O988" s="265"/>
      <c r="P988" s="259"/>
      <c r="Q988" s="259"/>
      <c r="R988" s="259"/>
      <c r="S988" s="259"/>
      <c r="T988" s="259"/>
      <c r="U988" s="259"/>
      <c r="V988" s="259"/>
      <c r="W988" s="259"/>
      <c r="X988" s="259"/>
      <c r="Y988" s="260"/>
    </row>
    <row r="989" spans="1:25" ht="13">
      <c r="A989" s="261"/>
      <c r="B989" s="261"/>
      <c r="C989" s="261"/>
      <c r="D989" s="265"/>
      <c r="E989" s="265"/>
      <c r="F989" s="265"/>
      <c r="G989" s="265"/>
      <c r="H989" s="265"/>
      <c r="I989" s="265"/>
      <c r="J989" s="265"/>
      <c r="K989" s="259"/>
      <c r="L989" s="265"/>
      <c r="M989" s="265"/>
      <c r="N989" s="265"/>
      <c r="O989" s="265"/>
      <c r="P989" s="259"/>
      <c r="Q989" s="259"/>
      <c r="R989" s="259"/>
      <c r="S989" s="259"/>
      <c r="T989" s="259"/>
      <c r="U989" s="259"/>
      <c r="V989" s="259"/>
      <c r="W989" s="259"/>
      <c r="X989" s="259"/>
      <c r="Y989" s="260"/>
    </row>
    <row r="990" spans="1:25" ht="13">
      <c r="A990" s="261"/>
      <c r="B990" s="261"/>
      <c r="C990" s="261"/>
      <c r="D990" s="265"/>
      <c r="E990" s="265"/>
      <c r="F990" s="265"/>
      <c r="G990" s="265"/>
      <c r="H990" s="265"/>
      <c r="I990" s="265"/>
      <c r="J990" s="265"/>
      <c r="K990" s="259"/>
      <c r="L990" s="265"/>
      <c r="M990" s="265"/>
      <c r="N990" s="265"/>
      <c r="O990" s="265"/>
      <c r="P990" s="259"/>
      <c r="Q990" s="259"/>
      <c r="R990" s="259"/>
      <c r="S990" s="259"/>
      <c r="T990" s="259"/>
      <c r="U990" s="259"/>
      <c r="V990" s="259"/>
      <c r="W990" s="259"/>
      <c r="X990" s="259"/>
      <c r="Y990" s="260"/>
    </row>
    <row r="991" spans="1:25" ht="13">
      <c r="A991" s="261"/>
      <c r="B991" s="261"/>
      <c r="C991" s="261"/>
      <c r="D991" s="265"/>
      <c r="E991" s="265"/>
      <c r="F991" s="265"/>
      <c r="G991" s="265"/>
      <c r="H991" s="265"/>
      <c r="I991" s="265"/>
      <c r="J991" s="265"/>
      <c r="K991" s="259"/>
      <c r="L991" s="265"/>
      <c r="M991" s="265"/>
      <c r="N991" s="265"/>
      <c r="O991" s="265"/>
      <c r="P991" s="259"/>
      <c r="Q991" s="259"/>
      <c r="R991" s="259"/>
      <c r="S991" s="259"/>
      <c r="T991" s="259"/>
      <c r="U991" s="259"/>
      <c r="V991" s="259"/>
      <c r="W991" s="259"/>
      <c r="X991" s="259"/>
      <c r="Y991" s="260"/>
    </row>
    <row r="992" spans="1:25" ht="13">
      <c r="A992" s="261"/>
      <c r="B992" s="261"/>
      <c r="C992" s="261"/>
      <c r="D992" s="265"/>
      <c r="E992" s="265"/>
      <c r="F992" s="265"/>
      <c r="G992" s="265"/>
      <c r="H992" s="265"/>
      <c r="I992" s="265"/>
      <c r="J992" s="265"/>
      <c r="K992" s="259"/>
      <c r="L992" s="265"/>
      <c r="M992" s="265"/>
      <c r="N992" s="265"/>
      <c r="O992" s="265"/>
      <c r="P992" s="259"/>
      <c r="Q992" s="259"/>
      <c r="R992" s="259"/>
      <c r="S992" s="259"/>
      <c r="T992" s="259"/>
      <c r="U992" s="259"/>
      <c r="V992" s="259"/>
      <c r="W992" s="259"/>
      <c r="X992" s="259"/>
      <c r="Y992" s="260"/>
    </row>
    <row r="993" spans="1:25" ht="13">
      <c r="A993" s="261"/>
      <c r="B993" s="261"/>
      <c r="C993" s="261"/>
      <c r="D993" s="265"/>
      <c r="E993" s="265"/>
      <c r="F993" s="265"/>
      <c r="G993" s="265"/>
      <c r="H993" s="265"/>
      <c r="I993" s="265"/>
      <c r="J993" s="265"/>
      <c r="K993" s="259"/>
      <c r="L993" s="265"/>
      <c r="M993" s="265"/>
      <c r="N993" s="265"/>
      <c r="O993" s="265"/>
      <c r="P993" s="259"/>
      <c r="Q993" s="259"/>
      <c r="R993" s="259"/>
      <c r="S993" s="259"/>
      <c r="T993" s="259"/>
      <c r="U993" s="259"/>
      <c r="V993" s="259"/>
      <c r="W993" s="259"/>
      <c r="X993" s="259"/>
      <c r="Y993" s="260"/>
    </row>
    <row r="994" spans="1:25" ht="13">
      <c r="A994" s="261"/>
      <c r="B994" s="261"/>
      <c r="C994" s="261"/>
      <c r="D994" s="265"/>
      <c r="E994" s="265"/>
      <c r="F994" s="265"/>
      <c r="G994" s="265"/>
      <c r="H994" s="265"/>
      <c r="I994" s="265"/>
      <c r="J994" s="265"/>
      <c r="K994" s="259"/>
      <c r="L994" s="265"/>
      <c r="M994" s="265"/>
      <c r="N994" s="265"/>
      <c r="O994" s="265"/>
      <c r="P994" s="259"/>
      <c r="Q994" s="259"/>
      <c r="R994" s="259"/>
      <c r="S994" s="259"/>
      <c r="T994" s="259"/>
      <c r="U994" s="259"/>
      <c r="V994" s="259"/>
      <c r="W994" s="259"/>
      <c r="X994" s="259"/>
      <c r="Y994" s="260"/>
    </row>
    <row r="995" spans="1:25" ht="13">
      <c r="A995" s="261"/>
      <c r="B995" s="261"/>
      <c r="C995" s="261"/>
      <c r="D995" s="265"/>
      <c r="E995" s="265"/>
      <c r="F995" s="265"/>
      <c r="G995" s="265"/>
      <c r="H995" s="265"/>
      <c r="I995" s="265"/>
      <c r="J995" s="265"/>
      <c r="K995" s="259"/>
      <c r="L995" s="265"/>
      <c r="M995" s="265"/>
      <c r="N995" s="265"/>
      <c r="O995" s="265"/>
      <c r="P995" s="259"/>
      <c r="Q995" s="259"/>
      <c r="R995" s="259"/>
      <c r="S995" s="259"/>
      <c r="T995" s="259"/>
      <c r="U995" s="259"/>
      <c r="V995" s="259"/>
      <c r="W995" s="259"/>
      <c r="X995" s="259"/>
      <c r="Y995" s="260"/>
    </row>
    <row r="996" spans="1:25" ht="13">
      <c r="A996" s="261"/>
      <c r="B996" s="261"/>
      <c r="C996" s="261"/>
      <c r="D996" s="265"/>
      <c r="E996" s="265"/>
      <c r="F996" s="265"/>
      <c r="G996" s="265"/>
      <c r="H996" s="265"/>
      <c r="I996" s="265"/>
      <c r="J996" s="265"/>
      <c r="K996" s="259"/>
      <c r="L996" s="265"/>
      <c r="M996" s="265"/>
      <c r="N996" s="265"/>
      <c r="O996" s="265"/>
      <c r="P996" s="259"/>
      <c r="Q996" s="259"/>
      <c r="R996" s="259"/>
      <c r="S996" s="259"/>
      <c r="T996" s="259"/>
      <c r="U996" s="259"/>
      <c r="V996" s="259"/>
      <c r="W996" s="259"/>
      <c r="X996" s="259"/>
      <c r="Y996" s="260"/>
    </row>
    <row r="997" spans="1:25" ht="13">
      <c r="A997" s="261"/>
      <c r="B997" s="261"/>
      <c r="C997" s="261"/>
      <c r="D997" s="265"/>
      <c r="E997" s="265"/>
      <c r="F997" s="265"/>
      <c r="G997" s="265"/>
      <c r="H997" s="265"/>
      <c r="I997" s="265"/>
      <c r="J997" s="265"/>
      <c r="K997" s="259"/>
      <c r="L997" s="265"/>
      <c r="M997" s="265"/>
      <c r="N997" s="265"/>
      <c r="O997" s="265"/>
      <c r="P997" s="259"/>
      <c r="Q997" s="259"/>
      <c r="R997" s="259"/>
      <c r="S997" s="259"/>
      <c r="T997" s="259"/>
      <c r="U997" s="259"/>
      <c r="V997" s="259"/>
      <c r="W997" s="259"/>
      <c r="X997" s="259"/>
      <c r="Y997" s="260"/>
    </row>
    <row r="998" spans="1:25" ht="13">
      <c r="A998" s="261"/>
      <c r="B998" s="261"/>
      <c r="C998" s="261"/>
      <c r="D998" s="265"/>
      <c r="E998" s="265"/>
      <c r="F998" s="265"/>
      <c r="G998" s="265"/>
      <c r="H998" s="265"/>
      <c r="I998" s="265"/>
      <c r="J998" s="265"/>
      <c r="K998" s="259"/>
      <c r="L998" s="265"/>
      <c r="M998" s="265"/>
      <c r="N998" s="265"/>
      <c r="O998" s="265"/>
      <c r="P998" s="259"/>
      <c r="Q998" s="259"/>
      <c r="R998" s="259"/>
      <c r="S998" s="259"/>
      <c r="T998" s="259"/>
      <c r="U998" s="259"/>
      <c r="V998" s="259"/>
      <c r="W998" s="259"/>
      <c r="X998" s="259"/>
      <c r="Y998" s="260"/>
    </row>
    <row r="999" spans="1:25" ht="13">
      <c r="A999" s="261"/>
      <c r="B999" s="261"/>
      <c r="C999" s="261"/>
      <c r="D999" s="265"/>
      <c r="E999" s="265"/>
      <c r="F999" s="265"/>
      <c r="G999" s="265"/>
      <c r="H999" s="265"/>
      <c r="I999" s="265"/>
      <c r="J999" s="265"/>
      <c r="K999" s="259"/>
      <c r="L999" s="265"/>
      <c r="M999" s="265"/>
      <c r="N999" s="265"/>
      <c r="O999" s="265"/>
      <c r="P999" s="259"/>
      <c r="Q999" s="259"/>
      <c r="R999" s="259"/>
      <c r="S999" s="259"/>
      <c r="T999" s="259"/>
      <c r="U999" s="259"/>
      <c r="V999" s="259"/>
      <c r="W999" s="259"/>
      <c r="X999" s="259"/>
      <c r="Y999" s="260"/>
    </row>
    <row r="1000" spans="1:25" ht="13">
      <c r="A1000" s="261"/>
      <c r="B1000" s="261"/>
      <c r="C1000" s="261"/>
      <c r="D1000" s="265"/>
      <c r="E1000" s="265"/>
      <c r="F1000" s="265"/>
      <c r="G1000" s="265"/>
      <c r="H1000" s="265"/>
      <c r="I1000" s="265"/>
      <c r="J1000" s="265"/>
      <c r="K1000" s="259"/>
      <c r="L1000" s="265"/>
      <c r="M1000" s="265"/>
      <c r="N1000" s="265"/>
      <c r="O1000" s="265"/>
      <c r="P1000" s="259"/>
      <c r="Q1000" s="259"/>
      <c r="R1000" s="259"/>
      <c r="S1000" s="259"/>
      <c r="T1000" s="259"/>
      <c r="U1000" s="259"/>
      <c r="V1000" s="259"/>
      <c r="W1000" s="259"/>
      <c r="X1000" s="259"/>
      <c r="Y1000" s="260"/>
    </row>
  </sheetData>
  <conditionalFormatting sqref="M2:M4">
    <cfRule type="expression" dxfId="6" priority="1">
      <formula>IF(RANK(M2,M:M)=1,TRUE,FALSE)</formula>
    </cfRule>
  </conditionalFormatting>
  <conditionalFormatting sqref="E2:E4">
    <cfRule type="expression" dxfId="5" priority="2">
      <formula>IF(RANK(E2,E:E,1)=1,TRUE,FALSE)</formula>
    </cfRule>
  </conditionalFormatting>
  <conditionalFormatting sqref="L2:L4">
    <cfRule type="expression" dxfId="4" priority="3">
      <formula>IF(RANK(L2,L:L)=1,TRUE,FALSE)</formula>
    </cfRule>
  </conditionalFormatting>
  <conditionalFormatting sqref="G2:G4">
    <cfRule type="expression" dxfId="3" priority="4">
      <formula>IF(RANK(G2,G:G,1)=1,TRUE,FALSE)</formula>
    </cfRule>
  </conditionalFormatting>
  <conditionalFormatting sqref="I2:I4">
    <cfRule type="expression" dxfId="2" priority="5">
      <formula>IF(RANK(I2,I:I)=1,TRUE,FALSE)</formula>
    </cfRule>
  </conditionalFormatting>
  <conditionalFormatting sqref="H2:H4">
    <cfRule type="expression" dxfId="1" priority="6">
      <formula>IF(RANK(H2,H:H)=1,TRUE,FALSE)</formula>
    </cfRule>
  </conditionalFormatting>
  <conditionalFormatting sqref="F2:F4">
    <cfRule type="expression" dxfId="0" priority="7">
      <formula>IF(RANK(F2,F:F)=1,TRUE,FALSE)</formula>
    </cfRule>
  </conditionalFormatting>
  <dataValidations count="1">
    <dataValidation type="list" allowBlank="1" showErrorMessage="1" sqref="A2:A4" xr:uid="{00000000-0002-0000-1600-000000000000}">
      <formula1>$Y:$Y</formula1>
    </dataValidation>
  </dataValidations>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AB999"/>
  <sheetViews>
    <sheetView workbookViewId="0">
      <pane ySplit="1" topLeftCell="A2" activePane="bottomLeft" state="frozen"/>
      <selection pane="bottomLeft" activeCell="B3" sqref="B3"/>
    </sheetView>
  </sheetViews>
  <sheetFormatPr baseColWidth="10" defaultColWidth="14.5" defaultRowHeight="15.75" customHeight="1"/>
  <cols>
    <col min="1" max="1" width="22.5" customWidth="1"/>
    <col min="2" max="2" width="3.6640625" customWidth="1"/>
    <col min="3" max="3" width="4.33203125" customWidth="1"/>
    <col min="4" max="4" width="6.33203125" customWidth="1"/>
    <col min="5" max="5" width="4.6640625" customWidth="1"/>
    <col min="6" max="6" width="3.83203125" customWidth="1"/>
    <col min="7" max="7" width="90.33203125" customWidth="1"/>
    <col min="8" max="8" width="6.83203125" customWidth="1"/>
    <col min="9" max="9" width="8.33203125" customWidth="1"/>
    <col min="10" max="12" width="9.33203125" customWidth="1"/>
    <col min="14" max="14" width="12.1640625" customWidth="1"/>
  </cols>
  <sheetData>
    <row r="1" spans="1:28" ht="15.75" customHeight="1">
      <c r="A1" s="10" t="s">
        <v>1400</v>
      </c>
      <c r="B1" s="8" t="s">
        <v>1404</v>
      </c>
      <c r="C1" s="8" t="s">
        <v>2933</v>
      </c>
      <c r="D1" s="8" t="s">
        <v>2934</v>
      </c>
      <c r="E1" s="143" t="s">
        <v>1408</v>
      </c>
      <c r="F1" s="143" t="s">
        <v>1406</v>
      </c>
      <c r="G1" s="143" t="s">
        <v>1410</v>
      </c>
      <c r="H1" s="55"/>
      <c r="I1" s="8" t="s">
        <v>2935</v>
      </c>
      <c r="J1" s="8" t="s">
        <v>2936</v>
      </c>
      <c r="K1" s="268" t="s">
        <v>2937</v>
      </c>
      <c r="L1" s="8" t="s">
        <v>2938</v>
      </c>
      <c r="M1" s="10" t="s">
        <v>2939</v>
      </c>
      <c r="N1" s="8" t="s">
        <v>2940</v>
      </c>
      <c r="O1" s="55"/>
      <c r="P1" s="50"/>
      <c r="Q1" s="50"/>
      <c r="R1" s="50"/>
      <c r="S1" s="50"/>
      <c r="T1" s="50"/>
      <c r="U1" s="50"/>
      <c r="V1" s="50"/>
      <c r="W1" s="50"/>
      <c r="X1" s="50"/>
      <c r="Y1" s="50"/>
      <c r="Z1" s="50"/>
      <c r="AA1" s="50"/>
      <c r="AB1" s="50"/>
    </row>
    <row r="2" spans="1:28" ht="15.75" customHeight="1">
      <c r="A2" s="60" t="s">
        <v>1882</v>
      </c>
      <c r="B2" s="124">
        <v>1</v>
      </c>
      <c r="C2" s="124">
        <v>182</v>
      </c>
      <c r="D2" s="124">
        <f t="shared" ref="D2:D75" si="0">ROUND(C2/B2,0)</f>
        <v>182</v>
      </c>
      <c r="E2" s="70">
        <f>VLOOKUP(A2,Skills!A:I,9,FALSE)</f>
        <v>3</v>
      </c>
      <c r="F2" s="69">
        <v>3</v>
      </c>
      <c r="G2" s="70" t="s">
        <v>2941</v>
      </c>
      <c r="H2" s="14" t="s">
        <v>2942</v>
      </c>
      <c r="I2" s="124">
        <f t="shared" ref="I2:I16" si="1">D2</f>
        <v>182</v>
      </c>
      <c r="J2" s="124">
        <f t="shared" ref="J2:J13" si="2">IF(H2="AoE",D2*2,D2)</f>
        <v>364</v>
      </c>
      <c r="K2" s="269">
        <f t="shared" ref="K2:K13" si="3">IF(H2="AoE",D2*3,D2)</f>
        <v>546</v>
      </c>
      <c r="L2" s="124">
        <f t="shared" ref="L2:L13" si="4">IF(H2="AoE",D2*4,D2)</f>
        <v>728</v>
      </c>
      <c r="M2" s="60"/>
      <c r="N2" s="124">
        <f t="shared" ref="N2:N13" si="5">IF(E2="-",I2,IF(AND(E2&gt;0,E2&lt;3),J2,IF(AND(E2&gt;=3,E2&lt;6),K2,L2)))</f>
        <v>546</v>
      </c>
      <c r="O2" s="60"/>
    </row>
    <row r="3" spans="1:28" ht="15.75" customHeight="1">
      <c r="A3" s="60" t="s">
        <v>1648</v>
      </c>
      <c r="B3" s="245">
        <v>2</v>
      </c>
      <c r="C3" s="124">
        <f>178+24</f>
        <v>202</v>
      </c>
      <c r="D3" s="124">
        <f t="shared" si="0"/>
        <v>101</v>
      </c>
      <c r="E3" s="70">
        <f>VLOOKUP(A3,Skills!A:I,9,FALSE)</f>
        <v>13</v>
      </c>
      <c r="F3" s="70">
        <f>VLOOKUP(A3,Skills!A:I,7,FALSE)</f>
        <v>3</v>
      </c>
      <c r="G3" s="70" t="s">
        <v>2943</v>
      </c>
      <c r="H3" s="14" t="s">
        <v>2942</v>
      </c>
      <c r="I3" s="124">
        <f t="shared" si="1"/>
        <v>101</v>
      </c>
      <c r="J3" s="124">
        <f t="shared" si="2"/>
        <v>202</v>
      </c>
      <c r="K3" s="269">
        <f t="shared" si="3"/>
        <v>303</v>
      </c>
      <c r="L3" s="124">
        <f t="shared" si="4"/>
        <v>404</v>
      </c>
      <c r="M3" s="60"/>
      <c r="N3" s="124">
        <f t="shared" si="5"/>
        <v>404</v>
      </c>
      <c r="O3" s="60"/>
    </row>
    <row r="4" spans="1:28" ht="15.75" customHeight="1">
      <c r="A4" s="60" t="s">
        <v>1502</v>
      </c>
      <c r="B4" s="124">
        <v>1</v>
      </c>
      <c r="C4" s="124">
        <f>76+36</f>
        <v>112</v>
      </c>
      <c r="D4" s="124">
        <f t="shared" si="0"/>
        <v>112</v>
      </c>
      <c r="E4" s="70">
        <f>VLOOKUP(A4,Skills!A:I,8,FALSE)/2</f>
        <v>3.5</v>
      </c>
      <c r="F4" s="70">
        <f>VLOOKUP(A4,Skills!A:I,7,FALSE)</f>
        <v>3</v>
      </c>
      <c r="G4" s="70" t="s">
        <v>1504</v>
      </c>
      <c r="H4" s="14" t="s">
        <v>2942</v>
      </c>
      <c r="I4" s="124">
        <f t="shared" si="1"/>
        <v>112</v>
      </c>
      <c r="J4" s="124">
        <f t="shared" si="2"/>
        <v>224</v>
      </c>
      <c r="K4" s="269">
        <f t="shared" si="3"/>
        <v>336</v>
      </c>
      <c r="L4" s="124">
        <f t="shared" si="4"/>
        <v>448</v>
      </c>
      <c r="M4" s="60"/>
      <c r="N4" s="124">
        <f t="shared" si="5"/>
        <v>336</v>
      </c>
      <c r="O4" s="60"/>
    </row>
    <row r="5" spans="1:28" ht="15.75" customHeight="1">
      <c r="A5" s="60" t="s">
        <v>1909</v>
      </c>
      <c r="B5" s="245">
        <v>2</v>
      </c>
      <c r="C5" s="124">
        <f>133+36</f>
        <v>169</v>
      </c>
      <c r="D5" s="124">
        <f t="shared" si="0"/>
        <v>85</v>
      </c>
      <c r="E5" s="70">
        <f>VLOOKUP(A5,Skills!A:I,9,FALSE)</f>
        <v>4</v>
      </c>
      <c r="F5" s="69">
        <v>6</v>
      </c>
      <c r="G5" s="70" t="s">
        <v>2944</v>
      </c>
      <c r="H5" s="14" t="s">
        <v>2942</v>
      </c>
      <c r="I5" s="124">
        <f t="shared" si="1"/>
        <v>85</v>
      </c>
      <c r="J5" s="124">
        <f t="shared" si="2"/>
        <v>170</v>
      </c>
      <c r="K5" s="269">
        <f t="shared" si="3"/>
        <v>255</v>
      </c>
      <c r="L5" s="124">
        <f t="shared" si="4"/>
        <v>340</v>
      </c>
      <c r="M5" s="60"/>
      <c r="N5" s="124">
        <f t="shared" si="5"/>
        <v>255</v>
      </c>
      <c r="O5" s="60"/>
    </row>
    <row r="6" spans="1:28" ht="15.75" customHeight="1">
      <c r="A6" s="60" t="s">
        <v>1722</v>
      </c>
      <c r="B6" s="245">
        <v>3</v>
      </c>
      <c r="C6" s="124">
        <f>208+29</f>
        <v>237</v>
      </c>
      <c r="D6" s="124">
        <f t="shared" si="0"/>
        <v>79</v>
      </c>
      <c r="E6" s="70">
        <f>VLOOKUP(A6,Skills!A:I,9,FALSE)</f>
        <v>4</v>
      </c>
      <c r="F6" s="70">
        <f>VLOOKUP(A6,Skills!A:I,7,FALSE)</f>
        <v>4</v>
      </c>
      <c r="G6" s="70" t="s">
        <v>2945</v>
      </c>
      <c r="H6" s="14" t="s">
        <v>2942</v>
      </c>
      <c r="I6" s="124">
        <f t="shared" si="1"/>
        <v>79</v>
      </c>
      <c r="J6" s="124">
        <f t="shared" si="2"/>
        <v>158</v>
      </c>
      <c r="K6" s="269">
        <f t="shared" si="3"/>
        <v>237</v>
      </c>
      <c r="L6" s="124">
        <f t="shared" si="4"/>
        <v>316</v>
      </c>
      <c r="M6" s="60"/>
      <c r="N6" s="124">
        <f t="shared" si="5"/>
        <v>237</v>
      </c>
      <c r="O6" s="60"/>
    </row>
    <row r="7" spans="1:28" ht="15.75" customHeight="1">
      <c r="A7" s="60" t="s">
        <v>1540</v>
      </c>
      <c r="B7" s="124">
        <v>1</v>
      </c>
      <c r="C7" s="124">
        <f>44+15</f>
        <v>59</v>
      </c>
      <c r="D7" s="124">
        <f t="shared" si="0"/>
        <v>59</v>
      </c>
      <c r="E7" s="70">
        <f>VLOOKUP(A7,Skills!A:I,9,FALSE)</f>
        <v>8</v>
      </c>
      <c r="F7" s="70">
        <f>VLOOKUP(A7,Skills!A:I,7,FALSE)</f>
        <v>3</v>
      </c>
      <c r="G7" s="70" t="s">
        <v>2946</v>
      </c>
      <c r="H7" s="14" t="s">
        <v>2942</v>
      </c>
      <c r="I7" s="124">
        <f t="shared" si="1"/>
        <v>59</v>
      </c>
      <c r="J7" s="124">
        <f t="shared" si="2"/>
        <v>118</v>
      </c>
      <c r="K7" s="269">
        <f t="shared" si="3"/>
        <v>177</v>
      </c>
      <c r="L7" s="124">
        <f t="shared" si="4"/>
        <v>236</v>
      </c>
      <c r="M7" s="60"/>
      <c r="N7" s="124">
        <f t="shared" si="5"/>
        <v>236</v>
      </c>
      <c r="O7" s="60"/>
    </row>
    <row r="8" spans="1:28" ht="15.75" customHeight="1">
      <c r="A8" s="60" t="s">
        <v>1821</v>
      </c>
      <c r="B8" s="124">
        <v>3</v>
      </c>
      <c r="C8" s="124">
        <f>139+36</f>
        <v>175</v>
      </c>
      <c r="D8" s="124">
        <f t="shared" si="0"/>
        <v>58</v>
      </c>
      <c r="E8" s="70">
        <f>VLOOKUP(A8,Skills!A:I,9,FALSE)</f>
        <v>4</v>
      </c>
      <c r="F8" s="70">
        <f>VLOOKUP(A8,Skills!A:I,7,FALSE)</f>
        <v>6</v>
      </c>
      <c r="G8" s="70" t="s">
        <v>2947</v>
      </c>
      <c r="H8" s="14" t="s">
        <v>2942</v>
      </c>
      <c r="I8" s="124">
        <f t="shared" si="1"/>
        <v>58</v>
      </c>
      <c r="J8" s="124">
        <f t="shared" si="2"/>
        <v>116</v>
      </c>
      <c r="K8" s="269">
        <f t="shared" si="3"/>
        <v>174</v>
      </c>
      <c r="L8" s="124">
        <f t="shared" si="4"/>
        <v>232</v>
      </c>
      <c r="M8" s="60"/>
      <c r="N8" s="124">
        <f t="shared" si="5"/>
        <v>174</v>
      </c>
      <c r="O8" s="60"/>
    </row>
    <row r="9" spans="1:28" ht="15.75" customHeight="1">
      <c r="A9" s="60" t="s">
        <v>1794</v>
      </c>
      <c r="B9" s="124">
        <v>2</v>
      </c>
      <c r="C9" s="124">
        <f>79+36</f>
        <v>115</v>
      </c>
      <c r="D9" s="124">
        <f t="shared" si="0"/>
        <v>58</v>
      </c>
      <c r="E9" s="70">
        <f>VLOOKUP(A9,Skills!A:I,9,FALSE)</f>
        <v>3</v>
      </c>
      <c r="F9" s="70">
        <f>VLOOKUP(A9,Skills!A:I,7,FALSE)</f>
        <v>4</v>
      </c>
      <c r="G9" s="70" t="s">
        <v>2948</v>
      </c>
      <c r="H9" s="14" t="s">
        <v>2942</v>
      </c>
      <c r="I9" s="124">
        <f t="shared" si="1"/>
        <v>58</v>
      </c>
      <c r="J9" s="124">
        <f t="shared" si="2"/>
        <v>116</v>
      </c>
      <c r="K9" s="269">
        <f t="shared" si="3"/>
        <v>174</v>
      </c>
      <c r="L9" s="124">
        <f t="shared" si="4"/>
        <v>232</v>
      </c>
      <c r="M9" s="60"/>
      <c r="N9" s="124">
        <f t="shared" si="5"/>
        <v>174</v>
      </c>
      <c r="O9" s="60"/>
    </row>
    <row r="10" spans="1:28" ht="15.75" customHeight="1">
      <c r="A10" s="60" t="s">
        <v>1445</v>
      </c>
      <c r="B10" s="124">
        <v>1</v>
      </c>
      <c r="C10" s="124">
        <v>57</v>
      </c>
      <c r="D10" s="124">
        <f t="shared" si="0"/>
        <v>57</v>
      </c>
      <c r="E10" s="70">
        <f>VLOOKUP(A10,Skills!A:I,9,FALSE)</f>
        <v>3</v>
      </c>
      <c r="F10" s="70">
        <f>VLOOKUP(A10,Skills!A:I,7,FALSE)</f>
        <v>3</v>
      </c>
      <c r="G10" s="70" t="s">
        <v>2949</v>
      </c>
      <c r="H10" s="14" t="s">
        <v>2942</v>
      </c>
      <c r="I10" s="124">
        <f t="shared" si="1"/>
        <v>57</v>
      </c>
      <c r="J10" s="124">
        <f t="shared" si="2"/>
        <v>114</v>
      </c>
      <c r="K10" s="269">
        <f t="shared" si="3"/>
        <v>171</v>
      </c>
      <c r="L10" s="124">
        <f t="shared" si="4"/>
        <v>228</v>
      </c>
      <c r="M10" s="60"/>
      <c r="N10" s="124">
        <f t="shared" si="5"/>
        <v>171</v>
      </c>
      <c r="O10" s="60"/>
    </row>
    <row r="11" spans="1:28" ht="15.75" customHeight="1">
      <c r="A11" s="60" t="s">
        <v>1559</v>
      </c>
      <c r="B11" s="124">
        <v>2</v>
      </c>
      <c r="C11" s="124">
        <f>79+33</f>
        <v>112</v>
      </c>
      <c r="D11" s="124">
        <f t="shared" si="0"/>
        <v>56</v>
      </c>
      <c r="E11" s="70">
        <f>VLOOKUP(A11,Skills!A:I,9,FALSE)</f>
        <v>4</v>
      </c>
      <c r="F11" s="70">
        <f>VLOOKUP(A11,Skills!A:I,7,FALSE)</f>
        <v>4</v>
      </c>
      <c r="G11" s="70" t="s">
        <v>2950</v>
      </c>
      <c r="H11" s="14" t="s">
        <v>2942</v>
      </c>
      <c r="I11" s="124">
        <f t="shared" si="1"/>
        <v>56</v>
      </c>
      <c r="J11" s="124">
        <f t="shared" si="2"/>
        <v>112</v>
      </c>
      <c r="K11" s="269">
        <f t="shared" si="3"/>
        <v>168</v>
      </c>
      <c r="L11" s="124">
        <f t="shared" si="4"/>
        <v>224</v>
      </c>
      <c r="M11" s="60"/>
      <c r="N11" s="124">
        <f t="shared" si="5"/>
        <v>168</v>
      </c>
      <c r="O11" s="60"/>
    </row>
    <row r="12" spans="1:28" ht="15.75" customHeight="1">
      <c r="A12" s="60" t="s">
        <v>1661</v>
      </c>
      <c r="B12" s="124">
        <v>2</v>
      </c>
      <c r="C12" s="124">
        <v>88</v>
      </c>
      <c r="D12" s="124">
        <f t="shared" si="0"/>
        <v>44</v>
      </c>
      <c r="E12" s="70">
        <f>VLOOKUP(A12,Skills!A:I,9,FALSE)</f>
        <v>3</v>
      </c>
      <c r="F12" s="70">
        <f>VLOOKUP(A12,Skills!A:I,7,FALSE)</f>
        <v>3</v>
      </c>
      <c r="G12" s="70" t="s">
        <v>2951</v>
      </c>
      <c r="H12" s="14" t="s">
        <v>2942</v>
      </c>
      <c r="I12" s="124">
        <f t="shared" si="1"/>
        <v>44</v>
      </c>
      <c r="J12" s="124">
        <f t="shared" si="2"/>
        <v>88</v>
      </c>
      <c r="K12" s="269">
        <f t="shared" si="3"/>
        <v>132</v>
      </c>
      <c r="L12" s="124">
        <f t="shared" si="4"/>
        <v>176</v>
      </c>
      <c r="M12" s="60"/>
      <c r="N12" s="124">
        <f t="shared" si="5"/>
        <v>132</v>
      </c>
      <c r="O12" s="60"/>
    </row>
    <row r="13" spans="1:28" ht="15.75" customHeight="1">
      <c r="A13" s="60" t="s">
        <v>1805</v>
      </c>
      <c r="B13" s="124">
        <v>1</v>
      </c>
      <c r="C13" s="124">
        <v>32</v>
      </c>
      <c r="D13" s="124">
        <f t="shared" si="0"/>
        <v>32</v>
      </c>
      <c r="E13" s="70">
        <f>VLOOKUP(A13,Skills!A:I,9,FALSE)</f>
        <v>13</v>
      </c>
      <c r="F13" s="70">
        <f>VLOOKUP(A13,Skills!A:I,7,FALSE)</f>
        <v>2</v>
      </c>
      <c r="G13" s="70" t="s">
        <v>2952</v>
      </c>
      <c r="H13" s="14" t="s">
        <v>2942</v>
      </c>
      <c r="I13" s="124">
        <f t="shared" si="1"/>
        <v>32</v>
      </c>
      <c r="J13" s="124">
        <f t="shared" si="2"/>
        <v>64</v>
      </c>
      <c r="K13" s="269">
        <f t="shared" si="3"/>
        <v>96</v>
      </c>
      <c r="L13" s="124">
        <f t="shared" si="4"/>
        <v>128</v>
      </c>
      <c r="M13" s="60"/>
      <c r="N13" s="124">
        <f t="shared" si="5"/>
        <v>128</v>
      </c>
      <c r="O13" s="60"/>
    </row>
    <row r="14" spans="1:28" ht="15.75" customHeight="1">
      <c r="A14" s="60" t="s">
        <v>1594</v>
      </c>
      <c r="B14" s="124">
        <v>1</v>
      </c>
      <c r="C14" s="124">
        <v>41</v>
      </c>
      <c r="D14" s="124">
        <f t="shared" si="0"/>
        <v>41</v>
      </c>
      <c r="E14" s="70" t="str">
        <f>VLOOKUP(A14,Skills!A:I,9,FALSE)</f>
        <v>-</v>
      </c>
      <c r="F14" s="70">
        <f>VLOOKUP(A14,Skills!A:I,7,FALSE)</f>
        <v>4</v>
      </c>
      <c r="G14" s="70" t="s">
        <v>1595</v>
      </c>
      <c r="H14" s="14" t="s">
        <v>826</v>
      </c>
      <c r="I14" s="124">
        <f t="shared" si="1"/>
        <v>41</v>
      </c>
      <c r="J14" s="124">
        <f t="shared" ref="J14:L14" si="6">$I14+I14</f>
        <v>82</v>
      </c>
      <c r="K14" s="124">
        <f t="shared" si="6"/>
        <v>123</v>
      </c>
      <c r="L14" s="124">
        <f t="shared" si="6"/>
        <v>164</v>
      </c>
      <c r="M14" s="60"/>
      <c r="N14" s="124">
        <f t="shared" ref="N14:N15" si="7">K14</f>
        <v>123</v>
      </c>
      <c r="O14" s="60"/>
    </row>
    <row r="15" spans="1:28" ht="15.75" customHeight="1">
      <c r="A15" s="60" t="s">
        <v>1828</v>
      </c>
      <c r="B15" s="124">
        <v>1</v>
      </c>
      <c r="C15" s="124">
        <v>41</v>
      </c>
      <c r="D15" s="124">
        <f t="shared" si="0"/>
        <v>41</v>
      </c>
      <c r="E15" s="70" t="str">
        <f>VLOOKUP(A15,Skills!A:I,9,FALSE)</f>
        <v>-</v>
      </c>
      <c r="F15" s="70">
        <f>VLOOKUP(A15,Skills!A:I,7,FALSE)</f>
        <v>5</v>
      </c>
      <c r="G15" s="70" t="s">
        <v>1829</v>
      </c>
      <c r="H15" s="14" t="s">
        <v>826</v>
      </c>
      <c r="I15" s="124">
        <f t="shared" si="1"/>
        <v>41</v>
      </c>
      <c r="J15" s="124">
        <f t="shared" ref="J15:L15" si="8">$I15+I15</f>
        <v>82</v>
      </c>
      <c r="K15" s="124">
        <f t="shared" si="8"/>
        <v>123</v>
      </c>
      <c r="L15" s="124">
        <f t="shared" si="8"/>
        <v>164</v>
      </c>
      <c r="M15" s="60"/>
      <c r="N15" s="124">
        <f t="shared" si="7"/>
        <v>123</v>
      </c>
      <c r="O15" s="60"/>
    </row>
    <row r="16" spans="1:28" ht="15.75" customHeight="1">
      <c r="A16" s="60" t="s">
        <v>1549</v>
      </c>
      <c r="B16" s="124">
        <v>2</v>
      </c>
      <c r="C16" s="124">
        <v>79</v>
      </c>
      <c r="D16" s="124">
        <f t="shared" si="0"/>
        <v>40</v>
      </c>
      <c r="E16" s="70">
        <f>VLOOKUP(A16,Skills!A:I,9,FALSE)</f>
        <v>3</v>
      </c>
      <c r="F16" s="70">
        <f>VLOOKUP(A16,Skills!A:I,7,FALSE)</f>
        <v>4</v>
      </c>
      <c r="G16" s="70" t="s">
        <v>2953</v>
      </c>
      <c r="H16" s="14" t="s">
        <v>2942</v>
      </c>
      <c r="I16" s="124">
        <f t="shared" si="1"/>
        <v>40</v>
      </c>
      <c r="J16" s="124">
        <f t="shared" ref="J16:J36" si="9">IF(H16="AoE",D16*2,D16)</f>
        <v>80</v>
      </c>
      <c r="K16" s="269">
        <f t="shared" ref="K16:K36" si="10">IF(H16="AoE",D16*3,D16)</f>
        <v>120</v>
      </c>
      <c r="L16" s="124">
        <f t="shared" ref="L16:L36" si="11">IF(H16="AoE",D16*4,D16)</f>
        <v>160</v>
      </c>
      <c r="M16" s="60"/>
      <c r="N16" s="124">
        <f>IF(E16="-",I16,IF(AND(E16&gt;0,E16&lt;3),J16,IF(AND(E16&gt;=3,E16&lt;6),K16,L16)))</f>
        <v>120</v>
      </c>
      <c r="O16" s="60"/>
    </row>
    <row r="17" spans="1:15" ht="15.75" customHeight="1">
      <c r="A17" s="60" t="s">
        <v>2001</v>
      </c>
      <c r="B17" s="124">
        <v>2</v>
      </c>
      <c r="C17" s="245">
        <v>228</v>
      </c>
      <c r="D17" s="124">
        <f t="shared" si="0"/>
        <v>114</v>
      </c>
      <c r="E17" s="70" t="str">
        <f>VLOOKUP(A17,Skills!A:I,9,FALSE)</f>
        <v>-</v>
      </c>
      <c r="F17" s="70">
        <f>VLOOKUP(A17,Skills!A:I,7,FALSE)</f>
        <v>2</v>
      </c>
      <c r="G17" s="70" t="s">
        <v>2954</v>
      </c>
      <c r="H17" s="14" t="s">
        <v>2955</v>
      </c>
      <c r="I17" s="124">
        <f>D17/2</f>
        <v>57</v>
      </c>
      <c r="J17" s="124">
        <f t="shared" si="9"/>
        <v>114</v>
      </c>
      <c r="K17" s="269">
        <f t="shared" si="10"/>
        <v>114</v>
      </c>
      <c r="L17" s="124">
        <f t="shared" si="11"/>
        <v>114</v>
      </c>
      <c r="M17" s="60"/>
      <c r="N17" s="245">
        <v>114</v>
      </c>
      <c r="O17" s="60"/>
    </row>
    <row r="18" spans="1:15" ht="15.75" customHeight="1">
      <c r="A18" s="60" t="s">
        <v>1557</v>
      </c>
      <c r="B18" s="124">
        <v>2</v>
      </c>
      <c r="C18" s="124">
        <f>79+33</f>
        <v>112</v>
      </c>
      <c r="D18" s="124">
        <f t="shared" si="0"/>
        <v>56</v>
      </c>
      <c r="E18" s="70">
        <f>VLOOKUP(A18,Skills!A:I,9,FALSE)</f>
        <v>1</v>
      </c>
      <c r="F18" s="70">
        <f>VLOOKUP(A18,Skills!A:I,7,FALSE)</f>
        <v>4</v>
      </c>
      <c r="G18" s="70" t="s">
        <v>2956</v>
      </c>
      <c r="H18" s="14" t="s">
        <v>2942</v>
      </c>
      <c r="I18" s="124">
        <f t="shared" ref="I18:I41" si="12">D18</f>
        <v>56</v>
      </c>
      <c r="J18" s="124">
        <f t="shared" si="9"/>
        <v>112</v>
      </c>
      <c r="K18" s="269">
        <f t="shared" si="10"/>
        <v>168</v>
      </c>
      <c r="L18" s="124">
        <f t="shared" si="11"/>
        <v>224</v>
      </c>
      <c r="M18" s="60"/>
      <c r="N18" s="124">
        <f t="shared" ref="N18:N23" si="13">IF(E18="-",I18,IF(AND(E18&gt;0,E18&lt;3),J18,IF(AND(E18&gt;=3,E18&lt;6),K18,L18)))</f>
        <v>112</v>
      </c>
      <c r="O18" s="60"/>
    </row>
    <row r="19" spans="1:15" ht="15.75" customHeight="1">
      <c r="A19" s="60" t="s">
        <v>1424</v>
      </c>
      <c r="B19" s="124">
        <v>2</v>
      </c>
      <c r="C19" s="124">
        <v>72</v>
      </c>
      <c r="D19" s="124">
        <f t="shared" si="0"/>
        <v>36</v>
      </c>
      <c r="E19" s="70">
        <f>VLOOKUP(A19,Skills!A:I,9,FALSE)</f>
        <v>5</v>
      </c>
      <c r="F19" s="70">
        <f>VLOOKUP(A19,Skills!A:I,7,FALSE)</f>
        <v>4</v>
      </c>
      <c r="G19" s="70" t="s">
        <v>2957</v>
      </c>
      <c r="H19" s="14" t="s">
        <v>2942</v>
      </c>
      <c r="I19" s="124">
        <f t="shared" si="12"/>
        <v>36</v>
      </c>
      <c r="J19" s="124">
        <f t="shared" si="9"/>
        <v>72</v>
      </c>
      <c r="K19" s="269">
        <f t="shared" si="10"/>
        <v>108</v>
      </c>
      <c r="L19" s="124">
        <f t="shared" si="11"/>
        <v>144</v>
      </c>
      <c r="M19" s="60"/>
      <c r="N19" s="124">
        <f t="shared" si="13"/>
        <v>108</v>
      </c>
      <c r="O19" s="60"/>
    </row>
    <row r="20" spans="1:15" ht="15.75" customHeight="1">
      <c r="A20" s="60" t="s">
        <v>1893</v>
      </c>
      <c r="B20" s="124">
        <v>2</v>
      </c>
      <c r="C20" s="124">
        <v>71</v>
      </c>
      <c r="D20" s="124">
        <f t="shared" si="0"/>
        <v>36</v>
      </c>
      <c r="E20" s="70">
        <f>VLOOKUP(A20,Skills!A:I,8,FALSE)/2</f>
        <v>3.5</v>
      </c>
      <c r="F20" s="70">
        <f>VLOOKUP(A20,Skills!A:I,7,FALSE)</f>
        <v>4</v>
      </c>
      <c r="G20" s="70" t="s">
        <v>1895</v>
      </c>
      <c r="H20" s="14" t="s">
        <v>2942</v>
      </c>
      <c r="I20" s="124">
        <f t="shared" si="12"/>
        <v>36</v>
      </c>
      <c r="J20" s="124">
        <f t="shared" si="9"/>
        <v>72</v>
      </c>
      <c r="K20" s="269">
        <f t="shared" si="10"/>
        <v>108</v>
      </c>
      <c r="L20" s="124">
        <f t="shared" si="11"/>
        <v>144</v>
      </c>
      <c r="M20" s="60"/>
      <c r="N20" s="124">
        <f t="shared" si="13"/>
        <v>108</v>
      </c>
      <c r="O20" s="60"/>
    </row>
    <row r="21" spans="1:15" ht="15.75" customHeight="1">
      <c r="A21" s="60" t="s">
        <v>1542</v>
      </c>
      <c r="B21" s="124">
        <v>3</v>
      </c>
      <c r="C21" s="124">
        <v>79</v>
      </c>
      <c r="D21" s="124">
        <f t="shared" si="0"/>
        <v>26</v>
      </c>
      <c r="E21" s="70">
        <f>VLOOKUP(A21,Skills!A:I,9,FALSE)</f>
        <v>13</v>
      </c>
      <c r="F21" s="70">
        <f>VLOOKUP(A21,Skills!A:I,7,FALSE)</f>
        <v>5</v>
      </c>
      <c r="G21" s="70" t="s">
        <v>2958</v>
      </c>
      <c r="H21" s="14" t="s">
        <v>2942</v>
      </c>
      <c r="I21" s="124">
        <f t="shared" si="12"/>
        <v>26</v>
      </c>
      <c r="J21" s="124">
        <f t="shared" si="9"/>
        <v>52</v>
      </c>
      <c r="K21" s="269">
        <f t="shared" si="10"/>
        <v>78</v>
      </c>
      <c r="L21" s="124">
        <f t="shared" si="11"/>
        <v>104</v>
      </c>
      <c r="M21" s="60"/>
      <c r="N21" s="124">
        <f t="shared" si="13"/>
        <v>104</v>
      </c>
      <c r="O21" s="60"/>
    </row>
    <row r="22" spans="1:15" ht="15.75" customHeight="1">
      <c r="A22" s="60" t="s">
        <v>1449</v>
      </c>
      <c r="B22" s="124">
        <v>3</v>
      </c>
      <c r="C22" s="124">
        <v>79</v>
      </c>
      <c r="D22" s="124">
        <f t="shared" si="0"/>
        <v>26</v>
      </c>
      <c r="E22" s="70">
        <f>VLOOKUP(A22,Skills!A:I,9,FALSE)</f>
        <v>8</v>
      </c>
      <c r="F22" s="70">
        <f>VLOOKUP(A22,Skills!A:I,7,FALSE)</f>
        <v>3</v>
      </c>
      <c r="G22" s="70" t="s">
        <v>2959</v>
      </c>
      <c r="H22" s="14" t="s">
        <v>2942</v>
      </c>
      <c r="I22" s="124">
        <f t="shared" si="12"/>
        <v>26</v>
      </c>
      <c r="J22" s="124">
        <f t="shared" si="9"/>
        <v>52</v>
      </c>
      <c r="K22" s="269">
        <f t="shared" si="10"/>
        <v>78</v>
      </c>
      <c r="L22" s="124">
        <f t="shared" si="11"/>
        <v>104</v>
      </c>
      <c r="M22" s="60"/>
      <c r="N22" s="124">
        <f t="shared" si="13"/>
        <v>104</v>
      </c>
      <c r="O22" s="60"/>
    </row>
    <row r="23" spans="1:15" ht="15.75" customHeight="1">
      <c r="A23" s="60" t="s">
        <v>1626</v>
      </c>
      <c r="B23" s="124">
        <v>1</v>
      </c>
      <c r="C23" s="124">
        <f>87+17</f>
        <v>104</v>
      </c>
      <c r="D23" s="124">
        <f t="shared" si="0"/>
        <v>104</v>
      </c>
      <c r="E23" s="70" t="str">
        <f>VLOOKUP(A23,Skills!A:I,9,FALSE)</f>
        <v>-</v>
      </c>
      <c r="F23" s="70">
        <f>VLOOKUP(A23,Skills!A:I,7,FALSE)</f>
        <v>3</v>
      </c>
      <c r="G23" s="70" t="s">
        <v>2960</v>
      </c>
      <c r="H23" s="14" t="s">
        <v>2942</v>
      </c>
      <c r="I23" s="124">
        <f t="shared" si="12"/>
        <v>104</v>
      </c>
      <c r="J23" s="124">
        <f t="shared" si="9"/>
        <v>208</v>
      </c>
      <c r="K23" s="269">
        <f t="shared" si="10"/>
        <v>312</v>
      </c>
      <c r="L23" s="124">
        <f t="shared" si="11"/>
        <v>416</v>
      </c>
      <c r="M23" s="60"/>
      <c r="N23" s="124">
        <f t="shared" si="13"/>
        <v>104</v>
      </c>
      <c r="O23" s="60"/>
    </row>
    <row r="24" spans="1:15" ht="15.75" customHeight="1">
      <c r="A24" s="60" t="s">
        <v>1807</v>
      </c>
      <c r="B24" s="124">
        <v>3</v>
      </c>
      <c r="C24" s="124">
        <f>119+36</f>
        <v>155</v>
      </c>
      <c r="D24" s="124">
        <f t="shared" si="0"/>
        <v>52</v>
      </c>
      <c r="E24" s="70" t="str">
        <f>VLOOKUP(A24,Skills!A:I,9,FALSE)</f>
        <v>-</v>
      </c>
      <c r="F24" s="70">
        <f>VLOOKUP(A24,Skills!A:I,7,FALSE)</f>
        <v>3</v>
      </c>
      <c r="G24" s="70" t="s">
        <v>1808</v>
      </c>
      <c r="H24" s="14" t="s">
        <v>2942</v>
      </c>
      <c r="I24" s="124">
        <f t="shared" si="12"/>
        <v>52</v>
      </c>
      <c r="J24" s="124">
        <f t="shared" si="9"/>
        <v>104</v>
      </c>
      <c r="K24" s="269">
        <f t="shared" si="10"/>
        <v>156</v>
      </c>
      <c r="L24" s="124">
        <f t="shared" si="11"/>
        <v>208</v>
      </c>
      <c r="M24" s="60"/>
      <c r="N24" s="124">
        <f>J24</f>
        <v>104</v>
      </c>
      <c r="O24" s="60"/>
    </row>
    <row r="25" spans="1:15" ht="15.75" customHeight="1">
      <c r="A25" s="60" t="s">
        <v>1896</v>
      </c>
      <c r="B25" s="124">
        <v>1</v>
      </c>
      <c r="C25" s="124">
        <v>101</v>
      </c>
      <c r="D25" s="124">
        <f t="shared" si="0"/>
        <v>101</v>
      </c>
      <c r="E25" s="70" t="str">
        <f>VLOOKUP(A25,Skills!A:I,9,FALSE)</f>
        <v>-</v>
      </c>
      <c r="F25" s="70">
        <f>VLOOKUP(A25,Skills!A:I,7,FALSE)</f>
        <v>3</v>
      </c>
      <c r="G25" s="70" t="s">
        <v>1897</v>
      </c>
      <c r="H25" s="14" t="s">
        <v>2955</v>
      </c>
      <c r="I25" s="124">
        <f t="shared" si="12"/>
        <v>101</v>
      </c>
      <c r="J25" s="124">
        <f t="shared" si="9"/>
        <v>101</v>
      </c>
      <c r="K25" s="269">
        <f t="shared" si="10"/>
        <v>101</v>
      </c>
      <c r="L25" s="124">
        <f t="shared" si="11"/>
        <v>101</v>
      </c>
      <c r="M25" s="60"/>
      <c r="N25" s="124">
        <f t="shared" ref="N25:N33" si="14">IF(E25="-",I25,IF(AND(E25&gt;0,E25&lt;3),J25,IF(AND(E25&gt;=3,E25&lt;6),K25,L25)))</f>
        <v>101</v>
      </c>
      <c r="O25" s="60"/>
    </row>
    <row r="26" spans="1:15" ht="15.75" customHeight="1">
      <c r="A26" s="60" t="s">
        <v>1436</v>
      </c>
      <c r="B26" s="124">
        <v>3</v>
      </c>
      <c r="C26" s="124">
        <v>95</v>
      </c>
      <c r="D26" s="124">
        <f t="shared" si="0"/>
        <v>32</v>
      </c>
      <c r="E26" s="70">
        <f>VLOOKUP(A26,Skills!A:I,9,FALSE)</f>
        <v>3</v>
      </c>
      <c r="F26" s="70">
        <f>VLOOKUP(A26,Skills!A:I,7,FALSE)</f>
        <v>3</v>
      </c>
      <c r="G26" s="70" t="s">
        <v>2961</v>
      </c>
      <c r="H26" s="14" t="s">
        <v>2942</v>
      </c>
      <c r="I26" s="124">
        <f t="shared" si="12"/>
        <v>32</v>
      </c>
      <c r="J26" s="124">
        <f t="shared" si="9"/>
        <v>64</v>
      </c>
      <c r="K26" s="269">
        <f t="shared" si="10"/>
        <v>96</v>
      </c>
      <c r="L26" s="124">
        <f t="shared" si="11"/>
        <v>128</v>
      </c>
      <c r="M26" s="60"/>
      <c r="N26" s="124">
        <f t="shared" si="14"/>
        <v>96</v>
      </c>
      <c r="O26" s="60"/>
    </row>
    <row r="27" spans="1:15" ht="15.75" customHeight="1">
      <c r="A27" s="60" t="s">
        <v>2028</v>
      </c>
      <c r="B27" s="124">
        <v>2</v>
      </c>
      <c r="C27" s="124">
        <v>64</v>
      </c>
      <c r="D27" s="124">
        <f t="shared" si="0"/>
        <v>32</v>
      </c>
      <c r="E27" s="70">
        <f>VLOOKUP(A27,Skills!A:I,9,FALSE)</f>
        <v>4</v>
      </c>
      <c r="F27" s="70">
        <f>VLOOKUP(A27,Skills!A:I,7,FALSE)</f>
        <v>3</v>
      </c>
      <c r="G27" s="70" t="s">
        <v>2029</v>
      </c>
      <c r="H27" s="14" t="s">
        <v>2942</v>
      </c>
      <c r="I27" s="124">
        <f t="shared" si="12"/>
        <v>32</v>
      </c>
      <c r="J27" s="124">
        <f t="shared" si="9"/>
        <v>64</v>
      </c>
      <c r="K27" s="269">
        <f t="shared" si="10"/>
        <v>96</v>
      </c>
      <c r="L27" s="124">
        <f t="shared" si="11"/>
        <v>128</v>
      </c>
      <c r="M27" s="60"/>
      <c r="N27" s="124">
        <f t="shared" si="14"/>
        <v>96</v>
      </c>
      <c r="O27" s="60"/>
    </row>
    <row r="28" spans="1:15" ht="15.75" customHeight="1">
      <c r="A28" s="60" t="s">
        <v>1639</v>
      </c>
      <c r="B28" s="124">
        <v>1</v>
      </c>
      <c r="C28" s="124">
        <v>24</v>
      </c>
      <c r="D28" s="124">
        <f t="shared" si="0"/>
        <v>24</v>
      </c>
      <c r="E28" s="70">
        <f>VLOOKUP(A28,Skills!A:I,9,FALSE)</f>
        <v>13</v>
      </c>
      <c r="F28" s="70">
        <f>VLOOKUP(A28,Skills!A:I,7,FALSE)</f>
        <v>3</v>
      </c>
      <c r="G28" s="70" t="s">
        <v>2962</v>
      </c>
      <c r="H28" s="14" t="s">
        <v>2942</v>
      </c>
      <c r="I28" s="124">
        <f t="shared" si="12"/>
        <v>24</v>
      </c>
      <c r="J28" s="124">
        <f t="shared" si="9"/>
        <v>48</v>
      </c>
      <c r="K28" s="269">
        <f t="shared" si="10"/>
        <v>72</v>
      </c>
      <c r="L28" s="124">
        <f t="shared" si="11"/>
        <v>96</v>
      </c>
      <c r="M28" s="60"/>
      <c r="N28" s="124">
        <f t="shared" si="14"/>
        <v>96</v>
      </c>
      <c r="O28" s="60"/>
    </row>
    <row r="29" spans="1:15" ht="15.75" customHeight="1">
      <c r="A29" s="60" t="s">
        <v>1636</v>
      </c>
      <c r="B29" s="124">
        <v>4</v>
      </c>
      <c r="C29" s="124">
        <v>119</v>
      </c>
      <c r="D29" s="124">
        <f t="shared" si="0"/>
        <v>30</v>
      </c>
      <c r="E29" s="70">
        <f>VLOOKUP(A29,Skills!A:I,8,FALSE)/2</f>
        <v>4</v>
      </c>
      <c r="F29" s="70">
        <f>VLOOKUP(A29,Skills!A:I,7,FALSE)</f>
        <v>6</v>
      </c>
      <c r="G29" s="70" t="s">
        <v>2963</v>
      </c>
      <c r="H29" s="14" t="s">
        <v>2942</v>
      </c>
      <c r="I29" s="124">
        <f t="shared" si="12"/>
        <v>30</v>
      </c>
      <c r="J29" s="124">
        <f t="shared" si="9"/>
        <v>60</v>
      </c>
      <c r="K29" s="269">
        <f t="shared" si="10"/>
        <v>90</v>
      </c>
      <c r="L29" s="124">
        <f t="shared" si="11"/>
        <v>120</v>
      </c>
      <c r="M29" s="60"/>
      <c r="N29" s="124">
        <f t="shared" si="14"/>
        <v>90</v>
      </c>
      <c r="O29" s="60"/>
    </row>
    <row r="30" spans="1:15" ht="15.75" customHeight="1">
      <c r="A30" s="60" t="s">
        <v>1997</v>
      </c>
      <c r="B30" s="124">
        <v>2</v>
      </c>
      <c r="C30" s="124">
        <v>58</v>
      </c>
      <c r="D30" s="124">
        <f t="shared" si="0"/>
        <v>29</v>
      </c>
      <c r="E30" s="70">
        <f>VLOOKUP(A30,Skills!A:I,8,FALSE)/2</f>
        <v>5</v>
      </c>
      <c r="F30" s="70">
        <f>VLOOKUP(A30,Skills!A:I,7,FALSE)</f>
        <v>4</v>
      </c>
      <c r="G30" s="70" t="s">
        <v>2964</v>
      </c>
      <c r="H30" s="14" t="s">
        <v>2942</v>
      </c>
      <c r="I30" s="124">
        <f t="shared" si="12"/>
        <v>29</v>
      </c>
      <c r="J30" s="124">
        <f t="shared" si="9"/>
        <v>58</v>
      </c>
      <c r="K30" s="269">
        <f t="shared" si="10"/>
        <v>87</v>
      </c>
      <c r="L30" s="124">
        <f t="shared" si="11"/>
        <v>116</v>
      </c>
      <c r="M30" s="60"/>
      <c r="N30" s="124">
        <f t="shared" si="14"/>
        <v>87</v>
      </c>
      <c r="O30" s="60"/>
    </row>
    <row r="31" spans="1:15" ht="15.75" customHeight="1">
      <c r="A31" s="60" t="s">
        <v>1777</v>
      </c>
      <c r="B31" s="124">
        <v>2</v>
      </c>
      <c r="C31" s="124">
        <v>56</v>
      </c>
      <c r="D31" s="124">
        <f t="shared" si="0"/>
        <v>28</v>
      </c>
      <c r="E31" s="70">
        <f>VLOOKUP(A31,Skills!A:I,9,FALSE)</f>
        <v>3</v>
      </c>
      <c r="F31" s="70">
        <f>VLOOKUP(A31,Skills!A:I,7,FALSE)</f>
        <v>6</v>
      </c>
      <c r="G31" s="70" t="s">
        <v>2965</v>
      </c>
      <c r="H31" s="14" t="s">
        <v>2942</v>
      </c>
      <c r="I31" s="124">
        <f t="shared" si="12"/>
        <v>28</v>
      </c>
      <c r="J31" s="124">
        <f t="shared" si="9"/>
        <v>56</v>
      </c>
      <c r="K31" s="269">
        <f t="shared" si="10"/>
        <v>84</v>
      </c>
      <c r="L31" s="124">
        <f t="shared" si="11"/>
        <v>112</v>
      </c>
      <c r="M31" s="60"/>
      <c r="N31" s="124">
        <f t="shared" si="14"/>
        <v>84</v>
      </c>
      <c r="O31" s="60"/>
    </row>
    <row r="32" spans="1:15" ht="15.75" customHeight="1">
      <c r="A32" s="14" t="s">
        <v>1846</v>
      </c>
      <c r="B32" s="124">
        <v>1</v>
      </c>
      <c r="C32" s="245">
        <v>81</v>
      </c>
      <c r="D32" s="124">
        <f t="shared" si="0"/>
        <v>81</v>
      </c>
      <c r="E32" s="70" t="str">
        <f>VLOOKUP(A32,Skills!A:I,9,FALSE)</f>
        <v>-</v>
      </c>
      <c r="F32" s="70">
        <f>VLOOKUP(A32,Skills!A:I,7,FALSE)</f>
        <v>3</v>
      </c>
      <c r="G32" s="70" t="s">
        <v>1847</v>
      </c>
      <c r="H32" s="14" t="s">
        <v>2955</v>
      </c>
      <c r="I32" s="124">
        <f t="shared" si="12"/>
        <v>81</v>
      </c>
      <c r="J32" s="124">
        <f t="shared" si="9"/>
        <v>81</v>
      </c>
      <c r="K32" s="269">
        <f t="shared" si="10"/>
        <v>81</v>
      </c>
      <c r="L32" s="124">
        <f t="shared" si="11"/>
        <v>81</v>
      </c>
      <c r="M32" s="60"/>
      <c r="N32" s="124">
        <f t="shared" si="14"/>
        <v>81</v>
      </c>
      <c r="O32" s="60"/>
    </row>
    <row r="33" spans="1:15" ht="15.75" customHeight="1">
      <c r="A33" s="60" t="s">
        <v>1547</v>
      </c>
      <c r="B33" s="124">
        <v>2</v>
      </c>
      <c r="C33" s="124">
        <v>67</v>
      </c>
      <c r="D33" s="124">
        <f t="shared" si="0"/>
        <v>34</v>
      </c>
      <c r="E33" s="70">
        <f>VLOOKUP(A33,Skills!A:I,9,FALSE)</f>
        <v>2</v>
      </c>
      <c r="F33" s="70">
        <f>VLOOKUP(A33,Skills!A:I,7,FALSE)</f>
        <v>3</v>
      </c>
      <c r="G33" s="70" t="s">
        <v>2966</v>
      </c>
      <c r="H33" s="14" t="s">
        <v>2942</v>
      </c>
      <c r="I33" s="124">
        <f t="shared" si="12"/>
        <v>34</v>
      </c>
      <c r="J33" s="124">
        <f t="shared" si="9"/>
        <v>68</v>
      </c>
      <c r="K33" s="269">
        <f t="shared" si="10"/>
        <v>102</v>
      </c>
      <c r="L33" s="124">
        <f t="shared" si="11"/>
        <v>136</v>
      </c>
      <c r="M33" s="60"/>
      <c r="N33" s="124">
        <f t="shared" si="14"/>
        <v>68</v>
      </c>
      <c r="O33" s="60"/>
    </row>
    <row r="34" spans="1:15" ht="15.75" customHeight="1">
      <c r="A34" s="60" t="s">
        <v>1604</v>
      </c>
      <c r="B34" s="124">
        <v>2</v>
      </c>
      <c r="C34" s="124">
        <v>65</v>
      </c>
      <c r="D34" s="124">
        <f t="shared" si="0"/>
        <v>33</v>
      </c>
      <c r="E34" s="70" t="str">
        <f>VLOOKUP(A34,Skills!A:I,9,FALSE)</f>
        <v>-</v>
      </c>
      <c r="F34" s="70">
        <f>VLOOKUP(A34,Skills!A:I,7,FALSE)</f>
        <v>2</v>
      </c>
      <c r="G34" s="70" t="s">
        <v>1605</v>
      </c>
      <c r="H34" s="14" t="s">
        <v>2942</v>
      </c>
      <c r="I34" s="124">
        <f t="shared" si="12"/>
        <v>33</v>
      </c>
      <c r="J34" s="124">
        <f t="shared" si="9"/>
        <v>66</v>
      </c>
      <c r="K34" s="269">
        <f t="shared" si="10"/>
        <v>99</v>
      </c>
      <c r="L34" s="124">
        <f t="shared" si="11"/>
        <v>132</v>
      </c>
      <c r="M34" s="60"/>
      <c r="N34" s="245">
        <v>66</v>
      </c>
      <c r="O34" s="60"/>
    </row>
    <row r="35" spans="1:15" ht="15.75" customHeight="1">
      <c r="A35" s="60" t="s">
        <v>1848</v>
      </c>
      <c r="B35" s="124">
        <v>1</v>
      </c>
      <c r="C35" s="124">
        <v>63</v>
      </c>
      <c r="D35" s="124">
        <f t="shared" si="0"/>
        <v>63</v>
      </c>
      <c r="E35" s="70" t="str">
        <f>VLOOKUP(A35,Skills!A:I,9,FALSE)</f>
        <v>-</v>
      </c>
      <c r="F35" s="70">
        <f>VLOOKUP(A35,Skills!A:I,7,FALSE)</f>
        <v>3</v>
      </c>
      <c r="G35" s="70" t="s">
        <v>2967</v>
      </c>
      <c r="H35" s="14" t="s">
        <v>2955</v>
      </c>
      <c r="I35" s="124">
        <f t="shared" si="12"/>
        <v>63</v>
      </c>
      <c r="J35" s="124">
        <f t="shared" si="9"/>
        <v>63</v>
      </c>
      <c r="K35" s="269">
        <f t="shared" si="10"/>
        <v>63</v>
      </c>
      <c r="L35" s="124">
        <f t="shared" si="11"/>
        <v>63</v>
      </c>
      <c r="M35" s="60"/>
      <c r="N35" s="124">
        <f t="shared" ref="N35:N36" si="15">IF(E35="-",I35,IF(AND(E35&gt;0,E35&lt;3),J35,IF(AND(E35&gt;=3,E35&lt;6),K35,L35)))</f>
        <v>63</v>
      </c>
      <c r="O35" s="60"/>
    </row>
    <row r="36" spans="1:15" ht="15.75" customHeight="1">
      <c r="A36" s="60" t="s">
        <v>1677</v>
      </c>
      <c r="B36" s="124">
        <v>1</v>
      </c>
      <c r="C36" s="124">
        <v>63</v>
      </c>
      <c r="D36" s="124">
        <f t="shared" si="0"/>
        <v>63</v>
      </c>
      <c r="E36" s="70" t="str">
        <f>VLOOKUP(A36,Skills!A:I,9,FALSE)</f>
        <v>-</v>
      </c>
      <c r="F36" s="70">
        <f>VLOOKUP(A36,Skills!A:I,7,FALSE)</f>
        <v>5</v>
      </c>
      <c r="G36" s="70" t="s">
        <v>2968</v>
      </c>
      <c r="H36" s="14" t="s">
        <v>2955</v>
      </c>
      <c r="I36" s="124">
        <f t="shared" si="12"/>
        <v>63</v>
      </c>
      <c r="J36" s="124">
        <f t="shared" si="9"/>
        <v>63</v>
      </c>
      <c r="K36" s="269">
        <f t="shared" si="10"/>
        <v>63</v>
      </c>
      <c r="L36" s="124">
        <f t="shared" si="11"/>
        <v>63</v>
      </c>
      <c r="M36" s="60"/>
      <c r="N36" s="124">
        <f t="shared" si="15"/>
        <v>63</v>
      </c>
      <c r="O36" s="60"/>
    </row>
    <row r="37" spans="1:15" ht="15.75" customHeight="1">
      <c r="A37" s="60" t="s">
        <v>1796</v>
      </c>
      <c r="B37" s="124">
        <v>1</v>
      </c>
      <c r="C37" s="124">
        <v>21</v>
      </c>
      <c r="D37" s="124">
        <f t="shared" si="0"/>
        <v>21</v>
      </c>
      <c r="E37" s="70" t="str">
        <f>VLOOKUP(A37,Skills!A:I,9,FALSE)</f>
        <v>-</v>
      </c>
      <c r="F37" s="70">
        <f>VLOOKUP(A37,Skills!A:I,7,FALSE)</f>
        <v>3</v>
      </c>
      <c r="G37" s="70" t="s">
        <v>1797</v>
      </c>
      <c r="H37" s="14" t="s">
        <v>826</v>
      </c>
      <c r="I37" s="124">
        <f t="shared" si="12"/>
        <v>21</v>
      </c>
      <c r="J37" s="124">
        <f t="shared" ref="J37:L37" si="16">$I37+I37</f>
        <v>42</v>
      </c>
      <c r="K37" s="124">
        <f t="shared" si="16"/>
        <v>63</v>
      </c>
      <c r="L37" s="124">
        <f t="shared" si="16"/>
        <v>84</v>
      </c>
      <c r="M37" s="60"/>
      <c r="N37" s="124">
        <f>K37</f>
        <v>63</v>
      </c>
      <c r="O37" s="60"/>
    </row>
    <row r="38" spans="1:15" ht="15.75" customHeight="1">
      <c r="A38" s="60" t="s">
        <v>1580</v>
      </c>
      <c r="B38" s="124">
        <v>2</v>
      </c>
      <c r="C38" s="124">
        <v>60</v>
      </c>
      <c r="D38" s="124">
        <f t="shared" si="0"/>
        <v>30</v>
      </c>
      <c r="E38" s="70">
        <f>VLOOKUP(A38,Skills!A:I,9,FALSE)</f>
        <v>2</v>
      </c>
      <c r="F38" s="70">
        <f>VLOOKUP(A38,Skills!A:I,7,FALSE)</f>
        <v>3</v>
      </c>
      <c r="G38" s="70" t="s">
        <v>2969</v>
      </c>
      <c r="H38" s="14" t="s">
        <v>2942</v>
      </c>
      <c r="I38" s="124">
        <f t="shared" si="12"/>
        <v>30</v>
      </c>
      <c r="J38" s="124">
        <f t="shared" ref="J38:J42" si="17">IF(H38="AoE",D38*2,D38)</f>
        <v>60</v>
      </c>
      <c r="K38" s="269">
        <f t="shared" ref="K38:K42" si="18">IF(H38="AoE",D38*3,D38)</f>
        <v>90</v>
      </c>
      <c r="L38" s="124">
        <f t="shared" ref="L38:L42" si="19">IF(H38="AoE",D38*4,D38)</f>
        <v>120</v>
      </c>
      <c r="M38" s="60"/>
      <c r="N38" s="124">
        <f t="shared" ref="N38:N41" si="20">IF(E38="-",I38,IF(AND(E38&gt;0,E38&lt;3),J38,IF(AND(E38&gt;=3,E38&lt;6),K38,L38)))</f>
        <v>60</v>
      </c>
      <c r="O38" s="60"/>
    </row>
    <row r="39" spans="1:15" ht="15.75" customHeight="1">
      <c r="A39" s="60" t="s">
        <v>1779</v>
      </c>
      <c r="B39" s="124">
        <v>2</v>
      </c>
      <c r="C39" s="124">
        <v>99</v>
      </c>
      <c r="D39" s="124">
        <f t="shared" si="0"/>
        <v>50</v>
      </c>
      <c r="E39" s="70" t="str">
        <f>VLOOKUP(A39,Skills!A:I,9,FALSE)</f>
        <v>-</v>
      </c>
      <c r="F39" s="70">
        <f>VLOOKUP(A39,Skills!A:I,7,FALSE)</f>
        <v>3</v>
      </c>
      <c r="G39" s="70" t="s">
        <v>1780</v>
      </c>
      <c r="H39" s="14" t="s">
        <v>2955</v>
      </c>
      <c r="I39" s="124">
        <f t="shared" si="12"/>
        <v>50</v>
      </c>
      <c r="J39" s="124">
        <f t="shared" si="17"/>
        <v>50</v>
      </c>
      <c r="K39" s="269">
        <f t="shared" si="18"/>
        <v>50</v>
      </c>
      <c r="L39" s="124">
        <f t="shared" si="19"/>
        <v>50</v>
      </c>
      <c r="M39" s="60"/>
      <c r="N39" s="124">
        <f t="shared" si="20"/>
        <v>50</v>
      </c>
      <c r="O39" s="60"/>
    </row>
    <row r="40" spans="1:15" ht="15.75" customHeight="1">
      <c r="A40" s="60" t="s">
        <v>1814</v>
      </c>
      <c r="B40" s="124">
        <v>2</v>
      </c>
      <c r="C40" s="245">
        <f>63+36</f>
        <v>99</v>
      </c>
      <c r="D40" s="124">
        <f t="shared" si="0"/>
        <v>50</v>
      </c>
      <c r="E40" s="70">
        <f>VLOOKUP(A40,Skills!A:I,9,FALSE)</f>
        <v>1</v>
      </c>
      <c r="F40" s="70">
        <f>VLOOKUP(A40,Skills!A:I,7,FALSE)</f>
        <v>3</v>
      </c>
      <c r="G40" s="70" t="s">
        <v>2970</v>
      </c>
      <c r="H40" s="14" t="s">
        <v>2955</v>
      </c>
      <c r="I40" s="124">
        <f t="shared" si="12"/>
        <v>50</v>
      </c>
      <c r="J40" s="124">
        <f t="shared" si="17"/>
        <v>50</v>
      </c>
      <c r="K40" s="269">
        <f t="shared" si="18"/>
        <v>50</v>
      </c>
      <c r="L40" s="124">
        <f t="shared" si="19"/>
        <v>50</v>
      </c>
      <c r="M40" s="60"/>
      <c r="N40" s="124">
        <f t="shared" si="20"/>
        <v>50</v>
      </c>
      <c r="O40" s="60"/>
    </row>
    <row r="41" spans="1:15" ht="15.75" customHeight="1">
      <c r="A41" s="60" t="s">
        <v>1472</v>
      </c>
      <c r="B41" s="124">
        <v>1</v>
      </c>
      <c r="C41" s="124">
        <v>48</v>
      </c>
      <c r="D41" s="124">
        <f t="shared" si="0"/>
        <v>48</v>
      </c>
      <c r="E41" s="70" t="str">
        <f>VLOOKUP(A41,Skills!A:I,9,FALSE)</f>
        <v>-</v>
      </c>
      <c r="F41" s="70">
        <f>VLOOKUP(A41,Skills!A:I,7,FALSE)</f>
        <v>3</v>
      </c>
      <c r="G41" s="70" t="s">
        <v>2971</v>
      </c>
      <c r="H41" s="14" t="s">
        <v>2955</v>
      </c>
      <c r="I41" s="124">
        <f t="shared" si="12"/>
        <v>48</v>
      </c>
      <c r="J41" s="124">
        <f t="shared" si="17"/>
        <v>48</v>
      </c>
      <c r="K41" s="269">
        <f t="shared" si="18"/>
        <v>48</v>
      </c>
      <c r="L41" s="124">
        <f t="shared" si="19"/>
        <v>48</v>
      </c>
      <c r="M41" s="60"/>
      <c r="N41" s="124">
        <f t="shared" si="20"/>
        <v>48</v>
      </c>
      <c r="O41" s="60"/>
    </row>
    <row r="42" spans="1:15" ht="15.75" customHeight="1">
      <c r="A42" s="60" t="s">
        <v>1999</v>
      </c>
      <c r="B42" s="124">
        <v>2</v>
      </c>
      <c r="C42" s="245">
        <v>92</v>
      </c>
      <c r="D42" s="124">
        <f t="shared" si="0"/>
        <v>46</v>
      </c>
      <c r="E42" s="70" t="str">
        <f>VLOOKUP(A42,Skills!A:I,9,FALSE)</f>
        <v>-</v>
      </c>
      <c r="F42" s="70">
        <f>VLOOKUP(A42,Skills!A:I,7,FALSE)</f>
        <v>3</v>
      </c>
      <c r="G42" s="70" t="s">
        <v>2972</v>
      </c>
      <c r="H42" s="14" t="s">
        <v>2955</v>
      </c>
      <c r="I42" s="124">
        <f>D42/2</f>
        <v>23</v>
      </c>
      <c r="J42" s="124">
        <f t="shared" si="17"/>
        <v>46</v>
      </c>
      <c r="K42" s="269">
        <f t="shared" si="18"/>
        <v>46</v>
      </c>
      <c r="L42" s="124">
        <f t="shared" si="19"/>
        <v>46</v>
      </c>
      <c r="M42" s="60"/>
      <c r="N42" s="245">
        <v>46</v>
      </c>
      <c r="O42" s="60"/>
    </row>
    <row r="43" spans="1:15" ht="15.75" customHeight="1">
      <c r="A43" s="60" t="s">
        <v>1566</v>
      </c>
      <c r="B43" s="124">
        <v>1</v>
      </c>
      <c r="C43" s="124">
        <v>15</v>
      </c>
      <c r="D43" s="124">
        <f t="shared" si="0"/>
        <v>15</v>
      </c>
      <c r="E43" s="70">
        <f>VLOOKUP(A43,Skills!A:I,9,FALSE)</f>
        <v>8</v>
      </c>
      <c r="F43" s="70">
        <f>VLOOKUP(A43,Skills!A:I,7,FALSE)</f>
        <v>5</v>
      </c>
      <c r="G43" s="70" t="s">
        <v>2973</v>
      </c>
      <c r="H43" s="14" t="s">
        <v>826</v>
      </c>
      <c r="I43" s="124">
        <f t="shared" ref="I43:I60" si="21">D43</f>
        <v>15</v>
      </c>
      <c r="J43" s="124">
        <f t="shared" ref="J43:L43" si="22">$I43+I43</f>
        <v>30</v>
      </c>
      <c r="K43" s="124">
        <f t="shared" si="22"/>
        <v>45</v>
      </c>
      <c r="L43" s="124">
        <f t="shared" si="22"/>
        <v>60</v>
      </c>
      <c r="M43" s="60"/>
      <c r="N43" s="124">
        <f>K43</f>
        <v>45</v>
      </c>
      <c r="O43" s="60"/>
    </row>
    <row r="44" spans="1:15" ht="15.75" customHeight="1">
      <c r="A44" s="60" t="s">
        <v>1745</v>
      </c>
      <c r="B44" s="124">
        <v>2</v>
      </c>
      <c r="C44" s="124">
        <v>82</v>
      </c>
      <c r="D44" s="124">
        <f t="shared" si="0"/>
        <v>41</v>
      </c>
      <c r="E44" s="70">
        <f>VLOOKUP(A44,Skills!A:I,9,FALSE)</f>
        <v>13</v>
      </c>
      <c r="F44" s="70">
        <f>VLOOKUP(A44,Skills!A:I,7,FALSE)</f>
        <v>5</v>
      </c>
      <c r="G44" s="70" t="s">
        <v>2974</v>
      </c>
      <c r="H44" s="14" t="s">
        <v>2955</v>
      </c>
      <c r="I44" s="124">
        <f t="shared" si="21"/>
        <v>41</v>
      </c>
      <c r="J44" s="124">
        <f t="shared" ref="J44:J60" si="23">IF(H44="AoE",D44*2,D44)</f>
        <v>41</v>
      </c>
      <c r="K44" s="269">
        <f t="shared" ref="K44:K75" si="24">IF(H44="AoE",D44*3,D44)</f>
        <v>41</v>
      </c>
      <c r="L44" s="124">
        <f t="shared" ref="L44:L75" si="25">IF(H44="AoE",D44*4,D44)</f>
        <v>41</v>
      </c>
      <c r="M44" s="60"/>
      <c r="N44" s="124">
        <f t="shared" ref="N44:N54" si="26">IF(E44="-",I44,IF(AND(E44&gt;0,E44&lt;3),J44,IF(AND(E44&gt;=3,E44&lt;6),K44,L44)))</f>
        <v>41</v>
      </c>
      <c r="O44" s="60"/>
    </row>
    <row r="45" spans="1:15" ht="15.75" customHeight="1">
      <c r="A45" s="60" t="s">
        <v>1697</v>
      </c>
      <c r="B45" s="124">
        <v>2</v>
      </c>
      <c r="C45" s="124">
        <v>79</v>
      </c>
      <c r="D45" s="124">
        <f t="shared" si="0"/>
        <v>40</v>
      </c>
      <c r="E45" s="70" t="str">
        <f>VLOOKUP(A45,Skills!A:I,9,FALSE)</f>
        <v>-</v>
      </c>
      <c r="F45" s="70">
        <f>VLOOKUP(A45,Skills!A:I,7,FALSE)</f>
        <v>3</v>
      </c>
      <c r="G45" s="70" t="s">
        <v>1698</v>
      </c>
      <c r="H45" s="14" t="s">
        <v>2955</v>
      </c>
      <c r="I45" s="124">
        <f t="shared" si="21"/>
        <v>40</v>
      </c>
      <c r="J45" s="124">
        <f t="shared" si="23"/>
        <v>40</v>
      </c>
      <c r="K45" s="269">
        <f t="shared" si="24"/>
        <v>40</v>
      </c>
      <c r="L45" s="124">
        <f t="shared" si="25"/>
        <v>40</v>
      </c>
      <c r="M45" s="60"/>
      <c r="N45" s="124">
        <f t="shared" si="26"/>
        <v>40</v>
      </c>
      <c r="O45" s="60"/>
    </row>
    <row r="46" spans="1:15" ht="15.75" customHeight="1">
      <c r="A46" s="60" t="s">
        <v>1709</v>
      </c>
      <c r="B46" s="124">
        <v>2</v>
      </c>
      <c r="C46" s="124">
        <v>79</v>
      </c>
      <c r="D46" s="124">
        <f t="shared" si="0"/>
        <v>40</v>
      </c>
      <c r="E46" s="70" t="str">
        <f>VLOOKUP(A46,Skills!A:I,9,FALSE)</f>
        <v>-</v>
      </c>
      <c r="F46" s="70">
        <f>VLOOKUP(A46,Skills!A:I,7,FALSE)</f>
        <v>4</v>
      </c>
      <c r="G46" s="70" t="s">
        <v>2975</v>
      </c>
      <c r="H46" s="14" t="s">
        <v>2955</v>
      </c>
      <c r="I46" s="124">
        <f t="shared" si="21"/>
        <v>40</v>
      </c>
      <c r="J46" s="124">
        <f t="shared" si="23"/>
        <v>40</v>
      </c>
      <c r="K46" s="269">
        <f t="shared" si="24"/>
        <v>40</v>
      </c>
      <c r="L46" s="124">
        <f t="shared" si="25"/>
        <v>40</v>
      </c>
      <c r="M46" s="60"/>
      <c r="N46" s="124">
        <f t="shared" si="26"/>
        <v>40</v>
      </c>
      <c r="O46" s="60"/>
    </row>
    <row r="47" spans="1:15" ht="15.75" customHeight="1">
      <c r="A47" s="60" t="s">
        <v>1447</v>
      </c>
      <c r="B47" s="124">
        <v>2</v>
      </c>
      <c r="C47" s="124">
        <v>79</v>
      </c>
      <c r="D47" s="124">
        <f t="shared" si="0"/>
        <v>40</v>
      </c>
      <c r="E47" s="70" t="str">
        <f>VLOOKUP(A47,Skills!A:I,9,FALSE)</f>
        <v>-</v>
      </c>
      <c r="F47" s="70">
        <f>VLOOKUP(A47,Skills!A:I,7,FALSE)</f>
        <v>3</v>
      </c>
      <c r="G47" s="70" t="s">
        <v>1448</v>
      </c>
      <c r="H47" s="14" t="s">
        <v>2955</v>
      </c>
      <c r="I47" s="124">
        <f t="shared" si="21"/>
        <v>40</v>
      </c>
      <c r="J47" s="124">
        <f t="shared" si="23"/>
        <v>40</v>
      </c>
      <c r="K47" s="269">
        <f t="shared" si="24"/>
        <v>40</v>
      </c>
      <c r="L47" s="124">
        <f t="shared" si="25"/>
        <v>40</v>
      </c>
      <c r="M47" s="60"/>
      <c r="N47" s="124">
        <f t="shared" si="26"/>
        <v>40</v>
      </c>
      <c r="O47" s="60"/>
    </row>
    <row r="48" spans="1:15" ht="15.75" customHeight="1">
      <c r="A48" s="60" t="s">
        <v>1671</v>
      </c>
      <c r="B48" s="124">
        <v>1</v>
      </c>
      <c r="C48" s="124">
        <v>40</v>
      </c>
      <c r="D48" s="124">
        <f t="shared" si="0"/>
        <v>40</v>
      </c>
      <c r="E48" s="70" t="str">
        <f>VLOOKUP(A48,Skills!A:I,9,FALSE)</f>
        <v>-</v>
      </c>
      <c r="F48" s="70">
        <f>VLOOKUP(A48,Skills!A:I,7,FALSE)</f>
        <v>5</v>
      </c>
      <c r="G48" s="70" t="s">
        <v>1672</v>
      </c>
      <c r="H48" s="14" t="s">
        <v>2955</v>
      </c>
      <c r="I48" s="124">
        <f t="shared" si="21"/>
        <v>40</v>
      </c>
      <c r="J48" s="124">
        <f t="shared" si="23"/>
        <v>40</v>
      </c>
      <c r="K48" s="269">
        <f t="shared" si="24"/>
        <v>40</v>
      </c>
      <c r="L48" s="124">
        <f t="shared" si="25"/>
        <v>40</v>
      </c>
      <c r="M48" s="60"/>
      <c r="N48" s="124">
        <f t="shared" si="26"/>
        <v>40</v>
      </c>
      <c r="O48" s="60"/>
    </row>
    <row r="49" spans="1:15" ht="15.75" customHeight="1">
      <c r="A49" s="60" t="s">
        <v>1592</v>
      </c>
      <c r="B49" s="124">
        <v>3</v>
      </c>
      <c r="C49" s="124">
        <f>39*3</f>
        <v>117</v>
      </c>
      <c r="D49" s="124">
        <f t="shared" si="0"/>
        <v>39</v>
      </c>
      <c r="E49" s="70" t="str">
        <f>VLOOKUP(A49,Skills!A:I,9,FALSE)</f>
        <v>-</v>
      </c>
      <c r="F49" s="70">
        <f>VLOOKUP(A49,Skills!A:I,7,FALSE)</f>
        <v>3</v>
      </c>
      <c r="G49" s="70" t="s">
        <v>1593</v>
      </c>
      <c r="H49" s="14" t="s">
        <v>2955</v>
      </c>
      <c r="I49" s="124">
        <f t="shared" si="21"/>
        <v>39</v>
      </c>
      <c r="J49" s="124">
        <f t="shared" si="23"/>
        <v>39</v>
      </c>
      <c r="K49" s="269">
        <f t="shared" si="24"/>
        <v>39</v>
      </c>
      <c r="L49" s="124">
        <f t="shared" si="25"/>
        <v>39</v>
      </c>
      <c r="M49" s="60"/>
      <c r="N49" s="124">
        <f t="shared" si="26"/>
        <v>39</v>
      </c>
      <c r="O49" s="60"/>
    </row>
    <row r="50" spans="1:15" ht="15.75" customHeight="1">
      <c r="A50" s="60" t="s">
        <v>1570</v>
      </c>
      <c r="B50" s="124">
        <v>3</v>
      </c>
      <c r="C50" s="124">
        <v>40</v>
      </c>
      <c r="D50" s="124">
        <f t="shared" si="0"/>
        <v>13</v>
      </c>
      <c r="E50" s="70">
        <f>VLOOKUP(A50,Skills!A:I,9,FALSE)</f>
        <v>4</v>
      </c>
      <c r="F50" s="70">
        <f>VLOOKUP(A50,Skills!A:I,7,FALSE)</f>
        <v>5</v>
      </c>
      <c r="G50" s="70" t="s">
        <v>2976</v>
      </c>
      <c r="H50" s="14" t="s">
        <v>2942</v>
      </c>
      <c r="I50" s="124">
        <f t="shared" si="21"/>
        <v>13</v>
      </c>
      <c r="J50" s="124">
        <f t="shared" si="23"/>
        <v>26</v>
      </c>
      <c r="K50" s="269">
        <f t="shared" si="24"/>
        <v>39</v>
      </c>
      <c r="L50" s="124">
        <f t="shared" si="25"/>
        <v>52</v>
      </c>
      <c r="M50" s="60"/>
      <c r="N50" s="124">
        <f t="shared" si="26"/>
        <v>39</v>
      </c>
      <c r="O50" s="60"/>
    </row>
    <row r="51" spans="1:15" ht="15.75" customHeight="1">
      <c r="A51" s="60" t="s">
        <v>2008</v>
      </c>
      <c r="B51" s="124">
        <v>2</v>
      </c>
      <c r="C51" s="124">
        <v>74</v>
      </c>
      <c r="D51" s="124">
        <f t="shared" si="0"/>
        <v>37</v>
      </c>
      <c r="E51" s="70">
        <f>VLOOKUP(A51,Skills!A:I,9,FALSE)</f>
        <v>1</v>
      </c>
      <c r="F51" s="70">
        <f>VLOOKUP(A51,Skills!A:I,7,FALSE)</f>
        <v>3</v>
      </c>
      <c r="G51" s="70" t="s">
        <v>2009</v>
      </c>
      <c r="H51" s="14" t="s">
        <v>2955</v>
      </c>
      <c r="I51" s="124">
        <f t="shared" si="21"/>
        <v>37</v>
      </c>
      <c r="J51" s="124">
        <f t="shared" si="23"/>
        <v>37</v>
      </c>
      <c r="K51" s="269">
        <f t="shared" si="24"/>
        <v>37</v>
      </c>
      <c r="L51" s="124">
        <f t="shared" si="25"/>
        <v>37</v>
      </c>
      <c r="M51" s="60"/>
      <c r="N51" s="124">
        <f t="shared" si="26"/>
        <v>37</v>
      </c>
      <c r="O51" s="60"/>
    </row>
    <row r="52" spans="1:15" ht="15.75" customHeight="1">
      <c r="A52" s="60" t="s">
        <v>1792</v>
      </c>
      <c r="B52" s="124">
        <v>3</v>
      </c>
      <c r="C52" s="124">
        <f>95+17</f>
        <v>112</v>
      </c>
      <c r="D52" s="124">
        <f t="shared" si="0"/>
        <v>37</v>
      </c>
      <c r="E52" s="70" t="str">
        <f>VLOOKUP(A52,Skills!A:I,9,FALSE)</f>
        <v>-</v>
      </c>
      <c r="F52" s="70">
        <f>VLOOKUP(A52,Skills!A:I,7,FALSE)</f>
        <v>3</v>
      </c>
      <c r="G52" s="70" t="s">
        <v>1793</v>
      </c>
      <c r="H52" s="14" t="s">
        <v>2955</v>
      </c>
      <c r="I52" s="124">
        <f t="shared" si="21"/>
        <v>37</v>
      </c>
      <c r="J52" s="124">
        <f t="shared" si="23"/>
        <v>37</v>
      </c>
      <c r="K52" s="269">
        <f t="shared" si="24"/>
        <v>37</v>
      </c>
      <c r="L52" s="124">
        <f t="shared" si="25"/>
        <v>37</v>
      </c>
      <c r="M52" s="60"/>
      <c r="N52" s="124">
        <f t="shared" si="26"/>
        <v>37</v>
      </c>
      <c r="O52" s="60"/>
    </row>
    <row r="53" spans="1:15" ht="15.75" customHeight="1">
      <c r="A53" s="60" t="s">
        <v>1438</v>
      </c>
      <c r="B53" s="124">
        <v>2</v>
      </c>
      <c r="C53" s="124">
        <v>72</v>
      </c>
      <c r="D53" s="124">
        <f t="shared" si="0"/>
        <v>36</v>
      </c>
      <c r="E53" s="70" t="str">
        <f>VLOOKUP(A53,Skills!A:I,9,FALSE)</f>
        <v>-</v>
      </c>
      <c r="F53" s="70">
        <f>VLOOKUP(A53,Skills!A:I,7,FALSE)</f>
        <v>3</v>
      </c>
      <c r="G53" s="70" t="s">
        <v>1439</v>
      </c>
      <c r="H53" s="14" t="s">
        <v>2955</v>
      </c>
      <c r="I53" s="124">
        <f t="shared" si="21"/>
        <v>36</v>
      </c>
      <c r="J53" s="124">
        <f t="shared" si="23"/>
        <v>36</v>
      </c>
      <c r="K53" s="269">
        <f t="shared" si="24"/>
        <v>36</v>
      </c>
      <c r="L53" s="124">
        <f t="shared" si="25"/>
        <v>36</v>
      </c>
      <c r="M53" s="60"/>
      <c r="N53" s="124">
        <f t="shared" si="26"/>
        <v>36</v>
      </c>
      <c r="O53" s="60"/>
    </row>
    <row r="54" spans="1:15" ht="15.75" customHeight="1">
      <c r="A54" s="60" t="s">
        <v>1867</v>
      </c>
      <c r="B54" s="124">
        <v>2</v>
      </c>
      <c r="C54" s="124">
        <v>71</v>
      </c>
      <c r="D54" s="124">
        <f t="shared" si="0"/>
        <v>36</v>
      </c>
      <c r="E54" s="70" t="str">
        <f>VLOOKUP(A54,Skills!A:I,9,FALSE)</f>
        <v>-</v>
      </c>
      <c r="F54" s="70">
        <f>VLOOKUP(A54,Skills!A:I,7,FALSE)</f>
        <v>3</v>
      </c>
      <c r="G54" s="70" t="s">
        <v>2977</v>
      </c>
      <c r="H54" s="14" t="s">
        <v>2955</v>
      </c>
      <c r="I54" s="124">
        <f t="shared" si="21"/>
        <v>36</v>
      </c>
      <c r="J54" s="124">
        <f t="shared" si="23"/>
        <v>36</v>
      </c>
      <c r="K54" s="269">
        <f t="shared" si="24"/>
        <v>36</v>
      </c>
      <c r="L54" s="124">
        <f t="shared" si="25"/>
        <v>36</v>
      </c>
      <c r="M54" s="60"/>
      <c r="N54" s="124">
        <f t="shared" si="26"/>
        <v>36</v>
      </c>
      <c r="O54" s="60"/>
    </row>
    <row r="55" spans="1:15" ht="15.75" customHeight="1">
      <c r="A55" s="60" t="s">
        <v>1732</v>
      </c>
      <c r="B55" s="124">
        <v>2</v>
      </c>
      <c r="C55" s="124">
        <v>48</v>
      </c>
      <c r="D55" s="124">
        <f t="shared" si="0"/>
        <v>24</v>
      </c>
      <c r="E55" s="70" t="str">
        <f>VLOOKUP(A55,Skills!A:I,9,FALSE)</f>
        <v>-</v>
      </c>
      <c r="F55" s="70">
        <f>VLOOKUP(A55,Skills!A:I,7,FALSE)</f>
        <v>1</v>
      </c>
      <c r="G55" s="70" t="s">
        <v>2978</v>
      </c>
      <c r="H55" s="14" t="s">
        <v>2942</v>
      </c>
      <c r="I55" s="124">
        <f t="shared" si="21"/>
        <v>24</v>
      </c>
      <c r="J55" s="124">
        <f t="shared" si="23"/>
        <v>48</v>
      </c>
      <c r="K55" s="269">
        <f t="shared" si="24"/>
        <v>72</v>
      </c>
      <c r="L55" s="124">
        <f t="shared" si="25"/>
        <v>96</v>
      </c>
      <c r="M55" s="60"/>
      <c r="N55" s="245">
        <v>36</v>
      </c>
      <c r="O55" s="60"/>
    </row>
    <row r="56" spans="1:15" ht="15.75" customHeight="1">
      <c r="A56" s="60" t="s">
        <v>1590</v>
      </c>
      <c r="B56" s="124">
        <v>2</v>
      </c>
      <c r="C56" s="124">
        <v>65</v>
      </c>
      <c r="D56" s="124">
        <f t="shared" si="0"/>
        <v>33</v>
      </c>
      <c r="E56" s="70" t="str">
        <f>VLOOKUP(A56,Skills!A:I,9,FALSE)</f>
        <v>-</v>
      </c>
      <c r="F56" s="70">
        <f>VLOOKUP(A56,Skills!A:I,7,FALSE)</f>
        <v>4</v>
      </c>
      <c r="G56" s="70" t="s">
        <v>1591</v>
      </c>
      <c r="H56" s="14" t="s">
        <v>2955</v>
      </c>
      <c r="I56" s="124">
        <f t="shared" si="21"/>
        <v>33</v>
      </c>
      <c r="J56" s="124">
        <f t="shared" si="23"/>
        <v>33</v>
      </c>
      <c r="K56" s="269">
        <f t="shared" si="24"/>
        <v>33</v>
      </c>
      <c r="L56" s="124">
        <f t="shared" si="25"/>
        <v>33</v>
      </c>
      <c r="M56" s="60"/>
      <c r="N56" s="124">
        <f t="shared" ref="N56:N68" si="27">IF(E56="-",I56,IF(AND(E56&gt;0,E56&lt;3),J56,IF(AND(E56&gt;=3,E56&lt;6),K56,L56)))</f>
        <v>33</v>
      </c>
      <c r="O56" s="60"/>
    </row>
    <row r="57" spans="1:15" ht="15.75" customHeight="1">
      <c r="A57" s="60" t="s">
        <v>1612</v>
      </c>
      <c r="B57" s="124">
        <v>2</v>
      </c>
      <c r="C57" s="124">
        <v>65</v>
      </c>
      <c r="D57" s="124">
        <f t="shared" si="0"/>
        <v>33</v>
      </c>
      <c r="E57" s="70" t="str">
        <f>VLOOKUP(A57,Skills!A:I,9,FALSE)</f>
        <v>-</v>
      </c>
      <c r="F57" s="70">
        <f>VLOOKUP(A57,Skills!A:I,7,FALSE)</f>
        <v>3</v>
      </c>
      <c r="G57" s="70" t="s">
        <v>1613</v>
      </c>
      <c r="H57" s="14" t="s">
        <v>2955</v>
      </c>
      <c r="I57" s="124">
        <f t="shared" si="21"/>
        <v>33</v>
      </c>
      <c r="J57" s="124">
        <f t="shared" si="23"/>
        <v>33</v>
      </c>
      <c r="K57" s="269">
        <f t="shared" si="24"/>
        <v>33</v>
      </c>
      <c r="L57" s="124">
        <f t="shared" si="25"/>
        <v>33</v>
      </c>
      <c r="M57" s="60"/>
      <c r="N57" s="124">
        <f t="shared" si="27"/>
        <v>33</v>
      </c>
      <c r="O57" s="60"/>
    </row>
    <row r="58" spans="1:15" ht="14">
      <c r="A58" s="60" t="s">
        <v>1760</v>
      </c>
      <c r="B58" s="124">
        <v>3</v>
      </c>
      <c r="C58" s="124">
        <v>95</v>
      </c>
      <c r="D58" s="124">
        <f t="shared" si="0"/>
        <v>32</v>
      </c>
      <c r="E58" s="70" t="str">
        <f>VLOOKUP(A58,Skills!A:I,9,FALSE)</f>
        <v>-</v>
      </c>
      <c r="F58" s="70">
        <f>VLOOKUP(A58,Skills!A:I,7,FALSE)</f>
        <v>5</v>
      </c>
      <c r="G58" s="70" t="s">
        <v>2979</v>
      </c>
      <c r="H58" s="14" t="s">
        <v>2955</v>
      </c>
      <c r="I58" s="124">
        <f t="shared" si="21"/>
        <v>32</v>
      </c>
      <c r="J58" s="124">
        <f t="shared" si="23"/>
        <v>32</v>
      </c>
      <c r="K58" s="269">
        <f t="shared" si="24"/>
        <v>32</v>
      </c>
      <c r="L58" s="124">
        <f t="shared" si="25"/>
        <v>32</v>
      </c>
      <c r="M58" s="60"/>
      <c r="N58" s="124">
        <f t="shared" si="27"/>
        <v>32</v>
      </c>
      <c r="O58" s="60"/>
    </row>
    <row r="59" spans="1:15" ht="28">
      <c r="A59" s="60" t="s">
        <v>1644</v>
      </c>
      <c r="B59" s="124">
        <v>3</v>
      </c>
      <c r="C59" s="245">
        <v>96</v>
      </c>
      <c r="D59" s="124">
        <f t="shared" si="0"/>
        <v>32</v>
      </c>
      <c r="E59" s="70">
        <f>VLOOKUP(A59,Skills!A:I,9,FALSE)</f>
        <v>2.5</v>
      </c>
      <c r="F59" s="70">
        <f>VLOOKUP(A59,Skills!A:I,7,FALSE)</f>
        <v>3</v>
      </c>
      <c r="G59" s="70" t="s">
        <v>2980</v>
      </c>
      <c r="H59" s="14" t="s">
        <v>2955</v>
      </c>
      <c r="I59" s="124">
        <f t="shared" si="21"/>
        <v>32</v>
      </c>
      <c r="J59" s="124">
        <f t="shared" si="23"/>
        <v>32</v>
      </c>
      <c r="K59" s="269">
        <f t="shared" si="24"/>
        <v>32</v>
      </c>
      <c r="L59" s="124">
        <f t="shared" si="25"/>
        <v>32</v>
      </c>
      <c r="M59" s="60"/>
      <c r="N59" s="124">
        <f t="shared" si="27"/>
        <v>32</v>
      </c>
      <c r="O59" s="60"/>
    </row>
    <row r="60" spans="1:15" ht="28">
      <c r="A60" s="60" t="s">
        <v>1650</v>
      </c>
      <c r="B60" s="124">
        <v>3</v>
      </c>
      <c r="C60" s="245">
        <v>96</v>
      </c>
      <c r="D60" s="124">
        <f t="shared" si="0"/>
        <v>32</v>
      </c>
      <c r="E60" s="70">
        <f>VLOOKUP(A60,Skills!A:I,9,FALSE)</f>
        <v>1</v>
      </c>
      <c r="F60" s="70">
        <f>VLOOKUP(A60,Skills!A:I,7,FALSE)</f>
        <v>4</v>
      </c>
      <c r="G60" s="70" t="s">
        <v>2981</v>
      </c>
      <c r="H60" s="14" t="s">
        <v>2955</v>
      </c>
      <c r="I60" s="124">
        <f t="shared" si="21"/>
        <v>32</v>
      </c>
      <c r="J60" s="124">
        <f t="shared" si="23"/>
        <v>32</v>
      </c>
      <c r="K60" s="269">
        <f t="shared" si="24"/>
        <v>32</v>
      </c>
      <c r="L60" s="124">
        <f t="shared" si="25"/>
        <v>32</v>
      </c>
      <c r="M60" s="60"/>
      <c r="N60" s="124">
        <f t="shared" si="27"/>
        <v>32</v>
      </c>
      <c r="O60" s="60"/>
    </row>
    <row r="61" spans="1:15" ht="28">
      <c r="A61" s="60" t="s">
        <v>1610</v>
      </c>
      <c r="B61" s="124">
        <v>2</v>
      </c>
      <c r="C61" s="124">
        <f>59*3</f>
        <v>177</v>
      </c>
      <c r="D61" s="124">
        <f t="shared" si="0"/>
        <v>89</v>
      </c>
      <c r="E61" s="70" t="str">
        <f>VLOOKUP(A61,Skills!A:I,9,FALSE)</f>
        <v>-</v>
      </c>
      <c r="F61" s="70">
        <f>VLOOKUP(A61,Skills!A:I,7,FALSE)</f>
        <v>4</v>
      </c>
      <c r="G61" s="70" t="s">
        <v>1611</v>
      </c>
      <c r="H61" s="14" t="s">
        <v>2955</v>
      </c>
      <c r="I61" s="245">
        <v>30</v>
      </c>
      <c r="J61" s="245">
        <v>59</v>
      </c>
      <c r="K61" s="269">
        <f t="shared" si="24"/>
        <v>89</v>
      </c>
      <c r="L61" s="124">
        <f t="shared" si="25"/>
        <v>89</v>
      </c>
      <c r="M61" s="60"/>
      <c r="N61" s="124">
        <f t="shared" si="27"/>
        <v>30</v>
      </c>
      <c r="O61" s="60"/>
    </row>
    <row r="62" spans="1:15" ht="28">
      <c r="A62" s="60" t="s">
        <v>1451</v>
      </c>
      <c r="B62" s="124">
        <v>2</v>
      </c>
      <c r="C62" s="124">
        <v>29</v>
      </c>
      <c r="D62" s="124">
        <f t="shared" si="0"/>
        <v>15</v>
      </c>
      <c r="E62" s="70">
        <f>VLOOKUP(A62,Skills!A:I,9,FALSE)</f>
        <v>1</v>
      </c>
      <c r="F62" s="70">
        <f>VLOOKUP(A62,Skills!A:I,7,FALSE)</f>
        <v>4</v>
      </c>
      <c r="G62" s="70" t="s">
        <v>2982</v>
      </c>
      <c r="H62" s="14" t="s">
        <v>2942</v>
      </c>
      <c r="I62" s="124">
        <f t="shared" ref="I62:I75" si="28">D62</f>
        <v>15</v>
      </c>
      <c r="J62" s="124">
        <f t="shared" ref="J62:J75" si="29">IF(H62="AoE",D62*2,D62)</f>
        <v>30</v>
      </c>
      <c r="K62" s="269">
        <f t="shared" si="24"/>
        <v>45</v>
      </c>
      <c r="L62" s="124">
        <f t="shared" si="25"/>
        <v>60</v>
      </c>
      <c r="M62" s="60"/>
      <c r="N62" s="124">
        <f t="shared" si="27"/>
        <v>30</v>
      </c>
      <c r="O62" s="60"/>
    </row>
    <row r="63" spans="1:15" ht="14">
      <c r="A63" s="60" t="s">
        <v>1864</v>
      </c>
      <c r="B63" s="124">
        <v>2</v>
      </c>
      <c r="C63" s="124">
        <v>54</v>
      </c>
      <c r="D63" s="124">
        <f t="shared" si="0"/>
        <v>27</v>
      </c>
      <c r="E63" s="70" t="str">
        <f>VLOOKUP(A63,Skills!A:I,9,FALSE)</f>
        <v>-</v>
      </c>
      <c r="F63" s="70">
        <f>VLOOKUP(A63,Skills!A:I,7,FALSE)</f>
        <v>5</v>
      </c>
      <c r="G63" s="70" t="s">
        <v>1865</v>
      </c>
      <c r="H63" s="14" t="s">
        <v>2955</v>
      </c>
      <c r="I63" s="124">
        <f t="shared" si="28"/>
        <v>27</v>
      </c>
      <c r="J63" s="124">
        <f t="shared" si="29"/>
        <v>27</v>
      </c>
      <c r="K63" s="269">
        <f t="shared" si="24"/>
        <v>27</v>
      </c>
      <c r="L63" s="124">
        <f t="shared" si="25"/>
        <v>27</v>
      </c>
      <c r="M63" s="60"/>
      <c r="N63" s="124">
        <f t="shared" si="27"/>
        <v>27</v>
      </c>
      <c r="O63" s="60"/>
    </row>
    <row r="64" spans="1:15" ht="14">
      <c r="A64" s="60" t="s">
        <v>1869</v>
      </c>
      <c r="B64" s="124">
        <v>2</v>
      </c>
      <c r="C64" s="124">
        <v>54</v>
      </c>
      <c r="D64" s="124">
        <f t="shared" si="0"/>
        <v>27</v>
      </c>
      <c r="E64" s="70" t="str">
        <f>VLOOKUP(A64,Skills!A:I,9,FALSE)</f>
        <v>-</v>
      </c>
      <c r="F64" s="70">
        <f>VLOOKUP(A64,Skills!A:I,7,FALSE)</f>
        <v>3</v>
      </c>
      <c r="G64" s="70" t="s">
        <v>1870</v>
      </c>
      <c r="H64" s="14" t="s">
        <v>2955</v>
      </c>
      <c r="I64" s="124">
        <f t="shared" si="28"/>
        <v>27</v>
      </c>
      <c r="J64" s="124">
        <f t="shared" si="29"/>
        <v>27</v>
      </c>
      <c r="K64" s="269">
        <f t="shared" si="24"/>
        <v>27</v>
      </c>
      <c r="L64" s="124">
        <f t="shared" si="25"/>
        <v>27</v>
      </c>
      <c r="M64" s="60"/>
      <c r="N64" s="124">
        <f t="shared" si="27"/>
        <v>27</v>
      </c>
      <c r="O64" s="60"/>
    </row>
    <row r="65" spans="1:15" ht="14">
      <c r="A65" s="60" t="s">
        <v>1901</v>
      </c>
      <c r="B65" s="124">
        <v>2</v>
      </c>
      <c r="C65" s="124">
        <v>53</v>
      </c>
      <c r="D65" s="124">
        <f t="shared" si="0"/>
        <v>27</v>
      </c>
      <c r="E65" s="70" t="str">
        <f>VLOOKUP(A65,Skills!A:I,9,FALSE)</f>
        <v>-</v>
      </c>
      <c r="F65" s="70">
        <f>VLOOKUP(A65,Skills!A:I,7,FALSE)</f>
        <v>3</v>
      </c>
      <c r="G65" s="70" t="s">
        <v>1903</v>
      </c>
      <c r="H65" s="14" t="s">
        <v>2955</v>
      </c>
      <c r="I65" s="124">
        <f t="shared" si="28"/>
        <v>27</v>
      </c>
      <c r="J65" s="124">
        <f t="shared" si="29"/>
        <v>27</v>
      </c>
      <c r="K65" s="269">
        <f t="shared" si="24"/>
        <v>27</v>
      </c>
      <c r="L65" s="124">
        <f t="shared" si="25"/>
        <v>27</v>
      </c>
      <c r="M65" s="60"/>
      <c r="N65" s="124">
        <f t="shared" si="27"/>
        <v>27</v>
      </c>
      <c r="O65" s="60"/>
    </row>
    <row r="66" spans="1:15" ht="14">
      <c r="A66" s="60" t="s">
        <v>1701</v>
      </c>
      <c r="B66" s="124">
        <v>3</v>
      </c>
      <c r="C66" s="124">
        <v>79</v>
      </c>
      <c r="D66" s="124">
        <f t="shared" si="0"/>
        <v>26</v>
      </c>
      <c r="E66" s="70" t="str">
        <f>VLOOKUP(A66,Skills!A:I,9,FALSE)</f>
        <v>-</v>
      </c>
      <c r="F66" s="70">
        <f>VLOOKUP(A66,Skills!A:I,7,FALSE)</f>
        <v>3</v>
      </c>
      <c r="G66" s="70" t="s">
        <v>1702</v>
      </c>
      <c r="H66" s="14" t="s">
        <v>2955</v>
      </c>
      <c r="I66" s="124">
        <f t="shared" si="28"/>
        <v>26</v>
      </c>
      <c r="J66" s="124">
        <f t="shared" si="29"/>
        <v>26</v>
      </c>
      <c r="K66" s="269">
        <f t="shared" si="24"/>
        <v>26</v>
      </c>
      <c r="L66" s="124">
        <f t="shared" si="25"/>
        <v>26</v>
      </c>
      <c r="M66" s="60"/>
      <c r="N66" s="124">
        <f t="shared" si="27"/>
        <v>26</v>
      </c>
      <c r="O66" s="60"/>
    </row>
    <row r="67" spans="1:15" ht="14">
      <c r="A67" s="60" t="s">
        <v>1606</v>
      </c>
      <c r="B67" s="124">
        <v>3</v>
      </c>
      <c r="C67" s="124">
        <v>78</v>
      </c>
      <c r="D67" s="124">
        <f t="shared" si="0"/>
        <v>26</v>
      </c>
      <c r="E67" s="70" t="str">
        <f>VLOOKUP(A67,Skills!A:I,9,FALSE)</f>
        <v>-</v>
      </c>
      <c r="F67" s="70">
        <f>VLOOKUP(A67,Skills!A:I,7,FALSE)</f>
        <v>3</v>
      </c>
      <c r="G67" s="70" t="s">
        <v>1607</v>
      </c>
      <c r="H67" s="14" t="s">
        <v>2955</v>
      </c>
      <c r="I67" s="124">
        <f t="shared" si="28"/>
        <v>26</v>
      </c>
      <c r="J67" s="124">
        <f t="shared" si="29"/>
        <v>26</v>
      </c>
      <c r="K67" s="269">
        <f t="shared" si="24"/>
        <v>26</v>
      </c>
      <c r="L67" s="124">
        <f t="shared" si="25"/>
        <v>26</v>
      </c>
      <c r="M67" s="60"/>
      <c r="N67" s="124">
        <f t="shared" si="27"/>
        <v>26</v>
      </c>
      <c r="O67" s="60"/>
    </row>
    <row r="68" spans="1:15" ht="14">
      <c r="A68" s="60" t="s">
        <v>1588</v>
      </c>
      <c r="B68" s="124">
        <v>3</v>
      </c>
      <c r="C68" s="124">
        <v>75</v>
      </c>
      <c r="D68" s="124">
        <f t="shared" si="0"/>
        <v>25</v>
      </c>
      <c r="E68" s="70" t="str">
        <f>VLOOKUP(A68,Skills!A:I,9,FALSE)</f>
        <v>-</v>
      </c>
      <c r="F68" s="70">
        <f>VLOOKUP(A68,Skills!A:I,7,FALSE)</f>
        <v>5</v>
      </c>
      <c r="G68" s="70" t="s">
        <v>1589</v>
      </c>
      <c r="H68" s="14" t="s">
        <v>2955</v>
      </c>
      <c r="I68" s="124">
        <f t="shared" si="28"/>
        <v>25</v>
      </c>
      <c r="J68" s="124">
        <f t="shared" si="29"/>
        <v>25</v>
      </c>
      <c r="K68" s="269">
        <f t="shared" si="24"/>
        <v>25</v>
      </c>
      <c r="L68" s="124">
        <f t="shared" si="25"/>
        <v>25</v>
      </c>
      <c r="M68" s="60"/>
      <c r="N68" s="124">
        <f t="shared" si="27"/>
        <v>25</v>
      </c>
      <c r="O68" s="60"/>
    </row>
    <row r="69" spans="1:15" ht="28">
      <c r="A69" s="60" t="s">
        <v>1994</v>
      </c>
      <c r="B69" s="124">
        <v>2</v>
      </c>
      <c r="C69" s="124">
        <v>32</v>
      </c>
      <c r="D69" s="124">
        <f t="shared" si="0"/>
        <v>16</v>
      </c>
      <c r="E69" s="70" t="str">
        <f>VLOOKUP(A69,Skills!A:I,9,FALSE)</f>
        <v>-</v>
      </c>
      <c r="F69" s="70">
        <f>VLOOKUP(A69,Skills!A:I,7,FALSE)</f>
        <v>5</v>
      </c>
      <c r="G69" s="70" t="s">
        <v>1995</v>
      </c>
      <c r="H69" s="14" t="s">
        <v>2942</v>
      </c>
      <c r="I69" s="124">
        <f t="shared" si="28"/>
        <v>16</v>
      </c>
      <c r="J69" s="124">
        <f t="shared" si="29"/>
        <v>32</v>
      </c>
      <c r="K69" s="269">
        <f t="shared" si="24"/>
        <v>48</v>
      </c>
      <c r="L69" s="124">
        <f t="shared" si="25"/>
        <v>64</v>
      </c>
      <c r="M69" s="60"/>
      <c r="N69" s="245">
        <v>24</v>
      </c>
      <c r="O69" s="60"/>
    </row>
    <row r="70" spans="1:15" ht="14">
      <c r="A70" s="60" t="s">
        <v>1875</v>
      </c>
      <c r="B70" s="124">
        <v>2</v>
      </c>
      <c r="C70" s="124">
        <v>46</v>
      </c>
      <c r="D70" s="124">
        <f t="shared" si="0"/>
        <v>23</v>
      </c>
      <c r="E70" s="70" t="str">
        <f>VLOOKUP(A70,Skills!A:I,9,FALSE)</f>
        <v>-</v>
      </c>
      <c r="F70" s="70">
        <f>VLOOKUP(A70,Skills!A:I,7,FALSE)</f>
        <v>1</v>
      </c>
      <c r="G70" s="70" t="s">
        <v>1876</v>
      </c>
      <c r="H70" s="14" t="s">
        <v>2955</v>
      </c>
      <c r="I70" s="124">
        <f t="shared" si="28"/>
        <v>23</v>
      </c>
      <c r="J70" s="124">
        <f t="shared" si="29"/>
        <v>23</v>
      </c>
      <c r="K70" s="269">
        <f t="shared" si="24"/>
        <v>23</v>
      </c>
      <c r="L70" s="124">
        <f t="shared" si="25"/>
        <v>23</v>
      </c>
      <c r="M70" s="60"/>
      <c r="N70" s="124">
        <f t="shared" ref="N70:N75" si="30">IF(E70="-",I70,IF(AND(E70&gt;0,E70&lt;3),J70,IF(AND(E70&gt;=3,E70&lt;6),K70,L70)))</f>
        <v>23</v>
      </c>
      <c r="O70" s="60"/>
    </row>
    <row r="71" spans="1:15" ht="14">
      <c r="A71" s="60" t="s">
        <v>1944</v>
      </c>
      <c r="B71" s="124">
        <v>2</v>
      </c>
      <c r="C71" s="124">
        <v>44</v>
      </c>
      <c r="D71" s="124">
        <f t="shared" si="0"/>
        <v>22</v>
      </c>
      <c r="E71" s="70">
        <f>VLOOKUP(A71,Skills!A:I,9,FALSE)</f>
        <v>1</v>
      </c>
      <c r="F71" s="70">
        <f>VLOOKUP(A71,Skills!A:I,7,FALSE)</f>
        <v>1</v>
      </c>
      <c r="G71" s="70" t="s">
        <v>2983</v>
      </c>
      <c r="H71" s="14" t="s">
        <v>2955</v>
      </c>
      <c r="I71" s="124">
        <f t="shared" si="28"/>
        <v>22</v>
      </c>
      <c r="J71" s="124">
        <f t="shared" si="29"/>
        <v>22</v>
      </c>
      <c r="K71" s="269">
        <f t="shared" si="24"/>
        <v>22</v>
      </c>
      <c r="L71" s="124">
        <f t="shared" si="25"/>
        <v>22</v>
      </c>
      <c r="M71" s="60"/>
      <c r="N71" s="124">
        <f t="shared" si="30"/>
        <v>22</v>
      </c>
      <c r="O71" s="60"/>
    </row>
    <row r="72" spans="1:15" ht="14">
      <c r="A72" s="60" t="s">
        <v>1854</v>
      </c>
      <c r="B72" s="124">
        <v>3</v>
      </c>
      <c r="C72" s="124">
        <v>62</v>
      </c>
      <c r="D72" s="124">
        <f t="shared" si="0"/>
        <v>21</v>
      </c>
      <c r="E72" s="70" t="str">
        <f>VLOOKUP(A72,Skills!A:I,9,FALSE)</f>
        <v>-</v>
      </c>
      <c r="F72" s="70">
        <f>VLOOKUP(A72,Skills!A:I,7,FALSE)</f>
        <v>4</v>
      </c>
      <c r="G72" s="70" t="s">
        <v>2984</v>
      </c>
      <c r="H72" s="14" t="s">
        <v>2955</v>
      </c>
      <c r="I72" s="124">
        <f t="shared" si="28"/>
        <v>21</v>
      </c>
      <c r="J72" s="124">
        <f t="shared" si="29"/>
        <v>21</v>
      </c>
      <c r="K72" s="269">
        <f t="shared" si="24"/>
        <v>21</v>
      </c>
      <c r="L72" s="124">
        <f t="shared" si="25"/>
        <v>21</v>
      </c>
      <c r="M72" s="60"/>
      <c r="N72" s="124">
        <f t="shared" si="30"/>
        <v>21</v>
      </c>
      <c r="O72" s="60"/>
    </row>
    <row r="73" spans="1:15" ht="14">
      <c r="A73" s="60" t="s">
        <v>1860</v>
      </c>
      <c r="B73" s="124">
        <v>3</v>
      </c>
      <c r="C73" s="124">
        <v>64</v>
      </c>
      <c r="D73" s="124">
        <f t="shared" si="0"/>
        <v>21</v>
      </c>
      <c r="E73" s="70" t="str">
        <f>VLOOKUP(A73,Skills!A:I,9,FALSE)</f>
        <v>-</v>
      </c>
      <c r="F73" s="70">
        <f>VLOOKUP(A73,Skills!A:I,7,FALSE)</f>
        <v>4</v>
      </c>
      <c r="G73" s="70" t="s">
        <v>1861</v>
      </c>
      <c r="H73" s="14" t="s">
        <v>2955</v>
      </c>
      <c r="I73" s="124">
        <f t="shared" si="28"/>
        <v>21</v>
      </c>
      <c r="J73" s="124">
        <f t="shared" si="29"/>
        <v>21</v>
      </c>
      <c r="K73" s="269">
        <f t="shared" si="24"/>
        <v>21</v>
      </c>
      <c r="L73" s="124">
        <f t="shared" si="25"/>
        <v>21</v>
      </c>
      <c r="M73" s="60"/>
      <c r="N73" s="124">
        <f t="shared" si="30"/>
        <v>21</v>
      </c>
      <c r="O73" s="60"/>
    </row>
    <row r="74" spans="1:15" ht="14">
      <c r="A74" s="60" t="s">
        <v>1484</v>
      </c>
      <c r="B74" s="124">
        <v>2</v>
      </c>
      <c r="C74" s="124">
        <v>40</v>
      </c>
      <c r="D74" s="124">
        <f t="shared" si="0"/>
        <v>20</v>
      </c>
      <c r="E74" s="70" t="str">
        <f>VLOOKUP(A74,Skills!A:I,9,FALSE)</f>
        <v>-</v>
      </c>
      <c r="F74" s="70">
        <f>VLOOKUP(A74,Skills!A:I,7,FALSE)</f>
        <v>4</v>
      </c>
      <c r="G74" s="70" t="s">
        <v>1486</v>
      </c>
      <c r="H74" s="14" t="s">
        <v>2955</v>
      </c>
      <c r="I74" s="124">
        <f t="shared" si="28"/>
        <v>20</v>
      </c>
      <c r="J74" s="124">
        <f t="shared" si="29"/>
        <v>20</v>
      </c>
      <c r="K74" s="269">
        <f t="shared" si="24"/>
        <v>20</v>
      </c>
      <c r="L74" s="124">
        <f t="shared" si="25"/>
        <v>20</v>
      </c>
      <c r="M74" s="60"/>
      <c r="N74" s="124">
        <f t="shared" si="30"/>
        <v>20</v>
      </c>
      <c r="O74" s="60"/>
    </row>
    <row r="75" spans="1:15" ht="14">
      <c r="A75" s="60" t="s">
        <v>1871</v>
      </c>
      <c r="B75" s="124">
        <v>3</v>
      </c>
      <c r="C75" s="124">
        <v>59</v>
      </c>
      <c r="D75" s="124">
        <f t="shared" si="0"/>
        <v>20</v>
      </c>
      <c r="E75" s="70" t="str">
        <f>VLOOKUP(A75,Skills!A:I,9,FALSE)</f>
        <v>-</v>
      </c>
      <c r="F75" s="70">
        <f>VLOOKUP(A75,Skills!A:I,7,FALSE)</f>
        <v>4</v>
      </c>
      <c r="G75" s="70" t="s">
        <v>1873</v>
      </c>
      <c r="H75" s="14" t="s">
        <v>2955</v>
      </c>
      <c r="I75" s="124">
        <f t="shared" si="28"/>
        <v>20</v>
      </c>
      <c r="J75" s="124">
        <f t="shared" si="29"/>
        <v>20</v>
      </c>
      <c r="K75" s="269">
        <f t="shared" si="24"/>
        <v>20</v>
      </c>
      <c r="L75" s="124">
        <f t="shared" si="25"/>
        <v>20</v>
      </c>
      <c r="M75" s="60"/>
      <c r="N75" s="124">
        <f t="shared" si="30"/>
        <v>20</v>
      </c>
      <c r="O75" s="60"/>
    </row>
    <row r="76" spans="1:15" ht="13">
      <c r="B76" s="130"/>
      <c r="C76" s="130"/>
      <c r="D76" s="130"/>
      <c r="E76" s="209"/>
      <c r="F76" s="209"/>
      <c r="G76" s="209"/>
      <c r="I76" s="130"/>
      <c r="J76" s="130"/>
      <c r="K76" s="130"/>
      <c r="L76" s="130"/>
      <c r="N76" s="130"/>
    </row>
    <row r="77" spans="1:15" ht="13">
      <c r="B77" s="130"/>
      <c r="C77" s="130"/>
      <c r="D77" s="130"/>
      <c r="E77" s="209"/>
      <c r="F77" s="209"/>
      <c r="G77" s="209"/>
      <c r="I77" s="130"/>
      <c r="J77" s="130"/>
      <c r="K77" s="130"/>
      <c r="L77" s="130"/>
      <c r="N77" s="130"/>
    </row>
    <row r="78" spans="1:15" ht="13">
      <c r="B78" s="130"/>
      <c r="C78" s="130"/>
      <c r="D78" s="130"/>
      <c r="E78" s="209"/>
      <c r="F78" s="209"/>
      <c r="G78" s="209"/>
      <c r="I78" s="130"/>
      <c r="J78" s="130"/>
      <c r="K78" s="130"/>
      <c r="L78" s="130"/>
      <c r="N78" s="130"/>
    </row>
    <row r="79" spans="1:15" ht="13">
      <c r="B79" s="130"/>
      <c r="C79" s="130"/>
      <c r="D79" s="130"/>
      <c r="E79" s="209"/>
      <c r="F79" s="209"/>
      <c r="G79" s="209"/>
      <c r="I79" s="130"/>
      <c r="J79" s="130"/>
      <c r="K79" s="130"/>
      <c r="L79" s="130"/>
      <c r="N79" s="130"/>
    </row>
    <row r="80" spans="1:15" ht="13">
      <c r="B80" s="130"/>
      <c r="C80" s="130"/>
      <c r="D80" s="130"/>
      <c r="E80" s="209"/>
      <c r="F80" s="209"/>
      <c r="G80" s="209"/>
      <c r="I80" s="130"/>
      <c r="J80" s="130"/>
      <c r="K80" s="130"/>
      <c r="L80" s="130"/>
      <c r="N80" s="130"/>
    </row>
    <row r="81" spans="2:14" ht="13">
      <c r="B81" s="130"/>
      <c r="C81" s="130"/>
      <c r="D81" s="130"/>
      <c r="E81" s="209"/>
      <c r="F81" s="209"/>
      <c r="G81" s="209"/>
      <c r="I81" s="130"/>
      <c r="J81" s="130"/>
      <c r="K81" s="130"/>
      <c r="L81" s="130"/>
      <c r="N81" s="130"/>
    </row>
    <row r="82" spans="2:14" ht="13">
      <c r="B82" s="130"/>
      <c r="C82" s="130"/>
      <c r="D82" s="130"/>
      <c r="E82" s="209"/>
      <c r="F82" s="209"/>
      <c r="G82" s="209"/>
      <c r="I82" s="130"/>
      <c r="J82" s="130"/>
      <c r="K82" s="130"/>
      <c r="L82" s="130"/>
      <c r="N82" s="130"/>
    </row>
    <row r="83" spans="2:14" ht="13">
      <c r="B83" s="130"/>
      <c r="C83" s="130"/>
      <c r="D83" s="130"/>
      <c r="E83" s="209"/>
      <c r="F83" s="209"/>
      <c r="G83" s="209"/>
      <c r="I83" s="130"/>
      <c r="J83" s="130"/>
      <c r="K83" s="130"/>
      <c r="L83" s="130"/>
      <c r="N83" s="130"/>
    </row>
    <row r="84" spans="2:14" ht="13">
      <c r="B84" s="130"/>
      <c r="C84" s="130"/>
      <c r="D84" s="130"/>
      <c r="E84" s="209"/>
      <c r="F84" s="209"/>
      <c r="G84" s="209"/>
      <c r="I84" s="130"/>
      <c r="J84" s="130"/>
      <c r="K84" s="130"/>
      <c r="L84" s="130"/>
      <c r="N84" s="130"/>
    </row>
    <row r="85" spans="2:14" ht="13">
      <c r="B85" s="130"/>
      <c r="C85" s="130"/>
      <c r="D85" s="130"/>
      <c r="E85" s="209"/>
      <c r="F85" s="209"/>
      <c r="G85" s="209"/>
      <c r="I85" s="130"/>
      <c r="J85" s="130"/>
      <c r="K85" s="130"/>
      <c r="L85" s="130"/>
      <c r="N85" s="130"/>
    </row>
    <row r="86" spans="2:14" ht="13">
      <c r="B86" s="130"/>
      <c r="C86" s="130"/>
      <c r="D86" s="130"/>
      <c r="E86" s="209"/>
      <c r="F86" s="209"/>
      <c r="G86" s="209"/>
      <c r="I86" s="130"/>
      <c r="J86" s="130"/>
      <c r="K86" s="130"/>
      <c r="L86" s="130"/>
      <c r="N86" s="130"/>
    </row>
    <row r="87" spans="2:14" ht="13">
      <c r="B87" s="130"/>
      <c r="C87" s="130"/>
      <c r="D87" s="130"/>
      <c r="E87" s="209"/>
      <c r="F87" s="209"/>
      <c r="G87" s="209"/>
      <c r="I87" s="130"/>
      <c r="J87" s="130"/>
      <c r="K87" s="130"/>
      <c r="L87" s="130"/>
      <c r="N87" s="130"/>
    </row>
    <row r="88" spans="2:14" ht="13">
      <c r="B88" s="130"/>
      <c r="C88" s="130"/>
      <c r="D88" s="130"/>
      <c r="E88" s="209"/>
      <c r="F88" s="209"/>
      <c r="G88" s="209"/>
      <c r="I88" s="130"/>
      <c r="J88" s="130"/>
      <c r="K88" s="130"/>
      <c r="L88" s="130"/>
      <c r="N88" s="130"/>
    </row>
    <row r="89" spans="2:14" ht="13">
      <c r="B89" s="130"/>
      <c r="C89" s="130"/>
      <c r="D89" s="130"/>
      <c r="E89" s="209"/>
      <c r="F89" s="209"/>
      <c r="G89" s="209"/>
      <c r="I89" s="130"/>
      <c r="J89" s="130"/>
      <c r="K89" s="130"/>
      <c r="L89" s="130"/>
      <c r="N89" s="130"/>
    </row>
    <row r="90" spans="2:14" ht="13">
      <c r="B90" s="130"/>
      <c r="C90" s="130"/>
      <c r="D90" s="130"/>
      <c r="E90" s="209"/>
      <c r="F90" s="209"/>
      <c r="G90" s="209"/>
      <c r="I90" s="130"/>
      <c r="J90" s="130"/>
      <c r="K90" s="130"/>
      <c r="L90" s="130"/>
      <c r="N90" s="130"/>
    </row>
    <row r="91" spans="2:14" ht="13">
      <c r="B91" s="130"/>
      <c r="C91" s="130"/>
      <c r="D91" s="130"/>
      <c r="E91" s="209"/>
      <c r="F91" s="209"/>
      <c r="G91" s="209"/>
      <c r="I91" s="130"/>
      <c r="J91" s="130"/>
      <c r="K91" s="130"/>
      <c r="L91" s="130"/>
      <c r="N91" s="130"/>
    </row>
    <row r="92" spans="2:14" ht="13">
      <c r="B92" s="130"/>
      <c r="C92" s="130"/>
      <c r="D92" s="130"/>
      <c r="E92" s="209"/>
      <c r="F92" s="209"/>
      <c r="G92" s="209"/>
      <c r="I92" s="130"/>
      <c r="J92" s="130"/>
      <c r="K92" s="130"/>
      <c r="L92" s="130"/>
      <c r="N92" s="130"/>
    </row>
    <row r="93" spans="2:14" ht="13">
      <c r="B93" s="130"/>
      <c r="C93" s="130"/>
      <c r="D93" s="130"/>
      <c r="E93" s="209"/>
      <c r="F93" s="209"/>
      <c r="G93" s="209"/>
      <c r="I93" s="130"/>
      <c r="J93" s="130"/>
      <c r="K93" s="130"/>
      <c r="L93" s="130"/>
      <c r="N93" s="130"/>
    </row>
    <row r="94" spans="2:14" ht="13">
      <c r="B94" s="130"/>
      <c r="C94" s="130"/>
      <c r="D94" s="130"/>
      <c r="E94" s="209"/>
      <c r="F94" s="209"/>
      <c r="G94" s="209"/>
      <c r="I94" s="130"/>
      <c r="J94" s="130"/>
      <c r="K94" s="130"/>
      <c r="L94" s="130"/>
      <c r="N94" s="130"/>
    </row>
    <row r="95" spans="2:14" ht="13">
      <c r="B95" s="130"/>
      <c r="C95" s="130"/>
      <c r="D95" s="130"/>
      <c r="E95" s="209"/>
      <c r="F95" s="209"/>
      <c r="G95" s="209"/>
      <c r="I95" s="130"/>
      <c r="J95" s="130"/>
      <c r="K95" s="130"/>
      <c r="L95" s="130"/>
      <c r="N95" s="130"/>
    </row>
    <row r="96" spans="2:14" ht="13">
      <c r="B96" s="130"/>
      <c r="C96" s="130"/>
      <c r="D96" s="130"/>
      <c r="E96" s="209"/>
      <c r="F96" s="209"/>
      <c r="G96" s="209"/>
      <c r="I96" s="130"/>
      <c r="J96" s="130"/>
      <c r="K96" s="130"/>
      <c r="L96" s="130"/>
      <c r="N96" s="130"/>
    </row>
    <row r="97" spans="2:14" ht="13">
      <c r="B97" s="130"/>
      <c r="C97" s="130"/>
      <c r="D97" s="130"/>
      <c r="E97" s="209"/>
      <c r="F97" s="209"/>
      <c r="G97" s="209"/>
      <c r="I97" s="130"/>
      <c r="J97" s="130"/>
      <c r="K97" s="130"/>
      <c r="L97" s="130"/>
      <c r="N97" s="130"/>
    </row>
    <row r="98" spans="2:14" ht="13">
      <c r="B98" s="130"/>
      <c r="C98" s="130"/>
      <c r="D98" s="130"/>
      <c r="E98" s="209"/>
      <c r="F98" s="209"/>
      <c r="G98" s="209"/>
      <c r="I98" s="130"/>
      <c r="J98" s="130"/>
      <c r="K98" s="130"/>
      <c r="L98" s="130"/>
      <c r="N98" s="130"/>
    </row>
    <row r="99" spans="2:14" ht="13">
      <c r="B99" s="130"/>
      <c r="C99" s="130"/>
      <c r="D99" s="130"/>
      <c r="E99" s="209"/>
      <c r="F99" s="209"/>
      <c r="G99" s="209"/>
      <c r="I99" s="130"/>
      <c r="J99" s="130"/>
      <c r="K99" s="130"/>
      <c r="L99" s="130"/>
      <c r="N99" s="130"/>
    </row>
    <row r="100" spans="2:14" ht="13">
      <c r="B100" s="130"/>
      <c r="C100" s="130"/>
      <c r="D100" s="130"/>
      <c r="E100" s="209"/>
      <c r="F100" s="209"/>
      <c r="G100" s="209"/>
      <c r="I100" s="130"/>
      <c r="J100" s="130"/>
      <c r="K100" s="130"/>
      <c r="L100" s="130"/>
      <c r="N100" s="130"/>
    </row>
    <row r="101" spans="2:14" ht="13">
      <c r="B101" s="130"/>
      <c r="C101" s="130"/>
      <c r="D101" s="130"/>
      <c r="E101" s="209"/>
      <c r="F101" s="209"/>
      <c r="G101" s="209"/>
      <c r="I101" s="130"/>
      <c r="J101" s="130"/>
      <c r="K101" s="130"/>
      <c r="L101" s="130"/>
      <c r="N101" s="130"/>
    </row>
    <row r="102" spans="2:14" ht="13">
      <c r="B102" s="130"/>
      <c r="C102" s="130"/>
      <c r="D102" s="130"/>
      <c r="E102" s="209"/>
      <c r="F102" s="209"/>
      <c r="G102" s="209"/>
      <c r="I102" s="130"/>
      <c r="J102" s="130"/>
      <c r="K102" s="130"/>
      <c r="L102" s="130"/>
      <c r="N102" s="130"/>
    </row>
    <row r="103" spans="2:14" ht="13">
      <c r="B103" s="130"/>
      <c r="C103" s="130"/>
      <c r="D103" s="130"/>
      <c r="E103" s="209"/>
      <c r="F103" s="209"/>
      <c r="G103" s="209"/>
      <c r="I103" s="130"/>
      <c r="J103" s="130"/>
      <c r="K103" s="130"/>
      <c r="L103" s="130"/>
      <c r="N103" s="130"/>
    </row>
    <row r="104" spans="2:14" ht="13">
      <c r="B104" s="130"/>
      <c r="C104" s="130"/>
      <c r="D104" s="130"/>
      <c r="E104" s="209"/>
      <c r="F104" s="209"/>
      <c r="G104" s="209"/>
      <c r="I104" s="130"/>
      <c r="J104" s="130"/>
      <c r="K104" s="130"/>
      <c r="L104" s="130"/>
      <c r="N104" s="130"/>
    </row>
    <row r="105" spans="2:14" ht="13">
      <c r="B105" s="130"/>
      <c r="C105" s="130"/>
      <c r="D105" s="130"/>
      <c r="E105" s="209"/>
      <c r="F105" s="209"/>
      <c r="G105" s="209"/>
      <c r="I105" s="130"/>
      <c r="J105" s="130"/>
      <c r="K105" s="130"/>
      <c r="L105" s="130"/>
      <c r="N105" s="130"/>
    </row>
    <row r="106" spans="2:14" ht="13">
      <c r="B106" s="130"/>
      <c r="C106" s="130"/>
      <c r="D106" s="130"/>
      <c r="E106" s="209"/>
      <c r="F106" s="209"/>
      <c r="G106" s="209"/>
      <c r="I106" s="130"/>
      <c r="J106" s="130"/>
      <c r="K106" s="130"/>
      <c r="L106" s="130"/>
      <c r="N106" s="130"/>
    </row>
    <row r="107" spans="2:14" ht="13">
      <c r="B107" s="130"/>
      <c r="C107" s="130"/>
      <c r="D107" s="130"/>
      <c r="E107" s="209"/>
      <c r="F107" s="209"/>
      <c r="G107" s="209"/>
      <c r="I107" s="130"/>
      <c r="J107" s="130"/>
      <c r="K107" s="130"/>
      <c r="L107" s="130"/>
      <c r="N107" s="130"/>
    </row>
    <row r="108" spans="2:14" ht="13">
      <c r="B108" s="130"/>
      <c r="C108" s="130"/>
      <c r="D108" s="130"/>
      <c r="E108" s="209"/>
      <c r="F108" s="209"/>
      <c r="G108" s="209"/>
      <c r="I108" s="130"/>
      <c r="J108" s="130"/>
      <c r="K108" s="130"/>
      <c r="L108" s="130"/>
      <c r="N108" s="130"/>
    </row>
    <row r="109" spans="2:14" ht="13">
      <c r="B109" s="130"/>
      <c r="C109" s="130"/>
      <c r="D109" s="130"/>
      <c r="E109" s="209"/>
      <c r="F109" s="209"/>
      <c r="G109" s="209"/>
      <c r="I109" s="130"/>
      <c r="J109" s="130"/>
      <c r="K109" s="130"/>
      <c r="L109" s="130"/>
      <c r="N109" s="130"/>
    </row>
    <row r="110" spans="2:14" ht="13">
      <c r="B110" s="130"/>
      <c r="C110" s="130"/>
      <c r="D110" s="130"/>
      <c r="E110" s="209"/>
      <c r="F110" s="209"/>
      <c r="G110" s="209"/>
      <c r="I110" s="130"/>
      <c r="J110" s="130"/>
      <c r="K110" s="130"/>
      <c r="L110" s="130"/>
      <c r="N110" s="130"/>
    </row>
    <row r="111" spans="2:14" ht="13">
      <c r="B111" s="130"/>
      <c r="C111" s="130"/>
      <c r="D111" s="130"/>
      <c r="E111" s="209"/>
      <c r="F111" s="209"/>
      <c r="G111" s="209"/>
      <c r="I111" s="130"/>
      <c r="J111" s="130"/>
      <c r="K111" s="130"/>
      <c r="L111" s="130"/>
      <c r="N111" s="130"/>
    </row>
    <row r="112" spans="2:14" ht="13">
      <c r="B112" s="130"/>
      <c r="C112" s="130"/>
      <c r="D112" s="130"/>
      <c r="E112" s="209"/>
      <c r="F112" s="209"/>
      <c r="G112" s="209"/>
      <c r="I112" s="130"/>
      <c r="J112" s="130"/>
      <c r="K112" s="130"/>
      <c r="L112" s="130"/>
      <c r="N112" s="130"/>
    </row>
    <row r="113" spans="2:14" ht="13">
      <c r="B113" s="130"/>
      <c r="C113" s="130"/>
      <c r="D113" s="130"/>
      <c r="E113" s="209"/>
      <c r="F113" s="209"/>
      <c r="G113" s="209"/>
      <c r="I113" s="130"/>
      <c r="J113" s="130"/>
      <c r="K113" s="130"/>
      <c r="L113" s="130"/>
      <c r="N113" s="130"/>
    </row>
    <row r="114" spans="2:14" ht="13">
      <c r="B114" s="130"/>
      <c r="C114" s="130"/>
      <c r="D114" s="130"/>
      <c r="E114" s="209"/>
      <c r="F114" s="209"/>
      <c r="G114" s="209"/>
      <c r="I114" s="130"/>
      <c r="J114" s="130"/>
      <c r="K114" s="130"/>
      <c r="L114" s="130"/>
      <c r="N114" s="130"/>
    </row>
    <row r="115" spans="2:14" ht="13">
      <c r="B115" s="130"/>
      <c r="C115" s="130"/>
      <c r="D115" s="130"/>
      <c r="E115" s="209"/>
      <c r="F115" s="209"/>
      <c r="G115" s="209"/>
      <c r="I115" s="130"/>
      <c r="J115" s="130"/>
      <c r="K115" s="130"/>
      <c r="L115" s="130"/>
      <c r="N115" s="130"/>
    </row>
    <row r="116" spans="2:14" ht="13">
      <c r="B116" s="130"/>
      <c r="C116" s="130"/>
      <c r="D116" s="130"/>
      <c r="E116" s="209"/>
      <c r="F116" s="209"/>
      <c r="G116" s="209"/>
      <c r="I116" s="130"/>
      <c r="J116" s="130"/>
      <c r="K116" s="130"/>
      <c r="L116" s="130"/>
      <c r="N116" s="130"/>
    </row>
    <row r="117" spans="2:14" ht="13">
      <c r="B117" s="130"/>
      <c r="C117" s="130"/>
      <c r="D117" s="130"/>
      <c r="E117" s="209"/>
      <c r="F117" s="209"/>
      <c r="G117" s="209"/>
      <c r="I117" s="130"/>
      <c r="J117" s="130"/>
      <c r="K117" s="130"/>
      <c r="L117" s="130"/>
      <c r="N117" s="130"/>
    </row>
    <row r="118" spans="2:14" ht="13">
      <c r="B118" s="130"/>
      <c r="C118" s="130"/>
      <c r="D118" s="130"/>
      <c r="E118" s="209"/>
      <c r="F118" s="209"/>
      <c r="G118" s="209"/>
      <c r="I118" s="130"/>
      <c r="J118" s="130"/>
      <c r="K118" s="130"/>
      <c r="L118" s="130"/>
      <c r="N118" s="130"/>
    </row>
    <row r="119" spans="2:14" ht="13">
      <c r="B119" s="130"/>
      <c r="C119" s="130"/>
      <c r="D119" s="130"/>
      <c r="E119" s="209"/>
      <c r="F119" s="209"/>
      <c r="G119" s="209"/>
      <c r="I119" s="130"/>
      <c r="J119" s="130"/>
      <c r="K119" s="130"/>
      <c r="L119" s="130"/>
      <c r="N119" s="130"/>
    </row>
    <row r="120" spans="2:14" ht="13">
      <c r="B120" s="130"/>
      <c r="C120" s="130"/>
      <c r="D120" s="130"/>
      <c r="E120" s="209"/>
      <c r="F120" s="209"/>
      <c r="G120" s="209"/>
      <c r="I120" s="130"/>
      <c r="J120" s="130"/>
      <c r="K120" s="130"/>
      <c r="L120" s="130"/>
      <c r="N120" s="130"/>
    </row>
    <row r="121" spans="2:14" ht="13">
      <c r="B121" s="130"/>
      <c r="C121" s="130"/>
      <c r="D121" s="130"/>
      <c r="E121" s="209"/>
      <c r="F121" s="209"/>
      <c r="G121" s="209"/>
      <c r="I121" s="130"/>
      <c r="J121" s="130"/>
      <c r="K121" s="130"/>
      <c r="L121" s="130"/>
      <c r="N121" s="130"/>
    </row>
    <row r="122" spans="2:14" ht="13">
      <c r="B122" s="130"/>
      <c r="C122" s="130"/>
      <c r="D122" s="130"/>
      <c r="E122" s="209"/>
      <c r="F122" s="209"/>
      <c r="G122" s="209"/>
      <c r="I122" s="130"/>
      <c r="J122" s="130"/>
      <c r="K122" s="130"/>
      <c r="L122" s="130"/>
      <c r="N122" s="130"/>
    </row>
    <row r="123" spans="2:14" ht="13">
      <c r="B123" s="130"/>
      <c r="C123" s="130"/>
      <c r="D123" s="130"/>
      <c r="E123" s="209"/>
      <c r="F123" s="209"/>
      <c r="G123" s="209"/>
      <c r="I123" s="130"/>
      <c r="J123" s="130"/>
      <c r="K123" s="130"/>
      <c r="L123" s="130"/>
      <c r="N123" s="130"/>
    </row>
    <row r="124" spans="2:14" ht="13">
      <c r="B124" s="130"/>
      <c r="C124" s="130"/>
      <c r="D124" s="130"/>
      <c r="E124" s="209"/>
      <c r="F124" s="209"/>
      <c r="G124" s="209"/>
      <c r="I124" s="130"/>
      <c r="J124" s="130"/>
      <c r="K124" s="130"/>
      <c r="L124" s="130"/>
      <c r="N124" s="130"/>
    </row>
    <row r="125" spans="2:14" ht="13">
      <c r="B125" s="130"/>
      <c r="C125" s="130"/>
      <c r="D125" s="130"/>
      <c r="E125" s="209"/>
      <c r="F125" s="209"/>
      <c r="G125" s="209"/>
      <c r="I125" s="130"/>
      <c r="J125" s="130"/>
      <c r="K125" s="130"/>
      <c r="L125" s="130"/>
      <c r="N125" s="130"/>
    </row>
    <row r="126" spans="2:14" ht="13">
      <c r="B126" s="130"/>
      <c r="C126" s="130"/>
      <c r="D126" s="130"/>
      <c r="E126" s="209"/>
      <c r="F126" s="209"/>
      <c r="G126" s="209"/>
      <c r="I126" s="130"/>
      <c r="J126" s="130"/>
      <c r="K126" s="130"/>
      <c r="L126" s="130"/>
      <c r="N126" s="130"/>
    </row>
    <row r="127" spans="2:14" ht="13">
      <c r="B127" s="130"/>
      <c r="C127" s="130"/>
      <c r="D127" s="130"/>
      <c r="E127" s="209"/>
      <c r="F127" s="209"/>
      <c r="G127" s="209"/>
      <c r="I127" s="130"/>
      <c r="J127" s="130"/>
      <c r="K127" s="130"/>
      <c r="L127" s="130"/>
      <c r="N127" s="130"/>
    </row>
    <row r="128" spans="2:14" ht="13">
      <c r="B128" s="130"/>
      <c r="C128" s="130"/>
      <c r="D128" s="130"/>
      <c r="E128" s="209"/>
      <c r="F128" s="209"/>
      <c r="G128" s="209"/>
      <c r="I128" s="130"/>
      <c r="J128" s="130"/>
      <c r="K128" s="130"/>
      <c r="L128" s="130"/>
      <c r="N128" s="130"/>
    </row>
    <row r="129" spans="2:14" ht="13">
      <c r="B129" s="130"/>
      <c r="C129" s="130"/>
      <c r="D129" s="130"/>
      <c r="E129" s="209"/>
      <c r="F129" s="209"/>
      <c r="G129" s="209"/>
      <c r="I129" s="130"/>
      <c r="J129" s="130"/>
      <c r="K129" s="130"/>
      <c r="L129" s="130"/>
      <c r="N129" s="130"/>
    </row>
    <row r="130" spans="2:14" ht="13">
      <c r="B130" s="130"/>
      <c r="C130" s="130"/>
      <c r="D130" s="130"/>
      <c r="E130" s="209"/>
      <c r="F130" s="209"/>
      <c r="G130" s="209"/>
      <c r="I130" s="130"/>
      <c r="J130" s="130"/>
      <c r="K130" s="130"/>
      <c r="L130" s="130"/>
      <c r="N130" s="130"/>
    </row>
    <row r="131" spans="2:14" ht="13">
      <c r="B131" s="130"/>
      <c r="C131" s="130"/>
      <c r="D131" s="130"/>
      <c r="E131" s="209"/>
      <c r="F131" s="209"/>
      <c r="G131" s="209"/>
      <c r="I131" s="130"/>
      <c r="J131" s="130"/>
      <c r="K131" s="130"/>
      <c r="L131" s="130"/>
      <c r="N131" s="130"/>
    </row>
    <row r="132" spans="2:14" ht="13">
      <c r="B132" s="130"/>
      <c r="C132" s="130"/>
      <c r="D132" s="130"/>
      <c r="E132" s="209"/>
      <c r="F132" s="209"/>
      <c r="G132" s="209"/>
      <c r="I132" s="130"/>
      <c r="J132" s="130"/>
      <c r="K132" s="130"/>
      <c r="L132" s="130"/>
      <c r="N132" s="130"/>
    </row>
    <row r="133" spans="2:14" ht="13">
      <c r="B133" s="130"/>
      <c r="C133" s="130"/>
      <c r="D133" s="130"/>
      <c r="E133" s="209"/>
      <c r="F133" s="209"/>
      <c r="G133" s="209"/>
      <c r="I133" s="130"/>
      <c r="J133" s="130"/>
      <c r="K133" s="130"/>
      <c r="L133" s="130"/>
      <c r="N133" s="130"/>
    </row>
    <row r="134" spans="2:14" ht="13">
      <c r="B134" s="130"/>
      <c r="C134" s="130"/>
      <c r="D134" s="130"/>
      <c r="E134" s="209"/>
      <c r="F134" s="209"/>
      <c r="G134" s="209"/>
      <c r="I134" s="130"/>
      <c r="J134" s="130"/>
      <c r="K134" s="130"/>
      <c r="L134" s="130"/>
      <c r="N134" s="130"/>
    </row>
    <row r="135" spans="2:14" ht="13">
      <c r="B135" s="130"/>
      <c r="C135" s="130"/>
      <c r="D135" s="130"/>
      <c r="E135" s="209"/>
      <c r="F135" s="209"/>
      <c r="G135" s="209"/>
      <c r="I135" s="130"/>
      <c r="J135" s="130"/>
      <c r="K135" s="130"/>
      <c r="L135" s="130"/>
      <c r="N135" s="130"/>
    </row>
    <row r="136" spans="2:14" ht="13">
      <c r="B136" s="130"/>
      <c r="C136" s="130"/>
      <c r="D136" s="130"/>
      <c r="E136" s="209"/>
      <c r="F136" s="209"/>
      <c r="G136" s="209"/>
      <c r="I136" s="130"/>
      <c r="J136" s="130"/>
      <c r="K136" s="130"/>
      <c r="L136" s="130"/>
      <c r="N136" s="130"/>
    </row>
    <row r="137" spans="2:14" ht="13">
      <c r="B137" s="130"/>
      <c r="C137" s="130"/>
      <c r="D137" s="130"/>
      <c r="E137" s="209"/>
      <c r="F137" s="209"/>
      <c r="G137" s="209"/>
      <c r="I137" s="130"/>
      <c r="J137" s="130"/>
      <c r="K137" s="130"/>
      <c r="L137" s="130"/>
      <c r="N137" s="130"/>
    </row>
    <row r="138" spans="2:14" ht="13">
      <c r="B138" s="130"/>
      <c r="C138" s="130"/>
      <c r="D138" s="130"/>
      <c r="E138" s="209"/>
      <c r="F138" s="209"/>
      <c r="G138" s="209"/>
      <c r="I138" s="130"/>
      <c r="J138" s="130"/>
      <c r="K138" s="130"/>
      <c r="L138" s="130"/>
      <c r="N138" s="130"/>
    </row>
    <row r="139" spans="2:14" ht="13">
      <c r="B139" s="130"/>
      <c r="C139" s="130"/>
      <c r="D139" s="130"/>
      <c r="E139" s="209"/>
      <c r="F139" s="209"/>
      <c r="G139" s="209"/>
      <c r="I139" s="130"/>
      <c r="J139" s="130"/>
      <c r="K139" s="130"/>
      <c r="L139" s="130"/>
      <c r="N139" s="130"/>
    </row>
    <row r="140" spans="2:14" ht="13">
      <c r="B140" s="130"/>
      <c r="C140" s="130"/>
      <c r="D140" s="130"/>
      <c r="E140" s="209"/>
      <c r="F140" s="209"/>
      <c r="G140" s="209"/>
      <c r="I140" s="130"/>
      <c r="J140" s="130"/>
      <c r="K140" s="130"/>
      <c r="L140" s="130"/>
      <c r="N140" s="130"/>
    </row>
    <row r="141" spans="2:14" ht="13">
      <c r="B141" s="130"/>
      <c r="C141" s="130"/>
      <c r="D141" s="130"/>
      <c r="E141" s="209"/>
      <c r="F141" s="209"/>
      <c r="G141" s="209"/>
      <c r="I141" s="130"/>
      <c r="J141" s="130"/>
      <c r="K141" s="130"/>
      <c r="L141" s="130"/>
      <c r="N141" s="130"/>
    </row>
    <row r="142" spans="2:14" ht="13">
      <c r="B142" s="130"/>
      <c r="C142" s="130"/>
      <c r="D142" s="130"/>
      <c r="E142" s="209"/>
      <c r="F142" s="209"/>
      <c r="G142" s="209"/>
      <c r="I142" s="130"/>
      <c r="J142" s="130"/>
      <c r="K142" s="130"/>
      <c r="L142" s="130"/>
      <c r="N142" s="130"/>
    </row>
    <row r="143" spans="2:14" ht="13">
      <c r="B143" s="130"/>
      <c r="C143" s="130"/>
      <c r="D143" s="130"/>
      <c r="E143" s="209"/>
      <c r="F143" s="209"/>
      <c r="G143" s="209"/>
      <c r="I143" s="130"/>
      <c r="J143" s="130"/>
      <c r="K143" s="130"/>
      <c r="L143" s="130"/>
      <c r="N143" s="130"/>
    </row>
    <row r="144" spans="2:14" ht="13">
      <c r="B144" s="130"/>
      <c r="C144" s="130"/>
      <c r="D144" s="130"/>
      <c r="E144" s="209"/>
      <c r="F144" s="209"/>
      <c r="G144" s="209"/>
      <c r="I144" s="130"/>
      <c r="J144" s="130"/>
      <c r="K144" s="130"/>
      <c r="L144" s="130"/>
      <c r="N144" s="130"/>
    </row>
    <row r="145" spans="2:14" ht="13">
      <c r="B145" s="130"/>
      <c r="C145" s="130"/>
      <c r="D145" s="130"/>
      <c r="E145" s="209"/>
      <c r="F145" s="209"/>
      <c r="G145" s="209"/>
      <c r="I145" s="130"/>
      <c r="J145" s="130"/>
      <c r="K145" s="130"/>
      <c r="L145" s="130"/>
      <c r="N145" s="130"/>
    </row>
    <row r="146" spans="2:14" ht="13">
      <c r="B146" s="130"/>
      <c r="C146" s="130"/>
      <c r="D146" s="130"/>
      <c r="E146" s="209"/>
      <c r="F146" s="209"/>
      <c r="G146" s="209"/>
      <c r="I146" s="130"/>
      <c r="J146" s="130"/>
      <c r="K146" s="130"/>
      <c r="L146" s="130"/>
      <c r="N146" s="130"/>
    </row>
    <row r="147" spans="2:14" ht="13">
      <c r="B147" s="130"/>
      <c r="C147" s="130"/>
      <c r="D147" s="130"/>
      <c r="E147" s="209"/>
      <c r="F147" s="209"/>
      <c r="G147" s="209"/>
      <c r="I147" s="130"/>
      <c r="J147" s="130"/>
      <c r="K147" s="130"/>
      <c r="L147" s="130"/>
      <c r="N147" s="130"/>
    </row>
    <row r="148" spans="2:14" ht="13">
      <c r="B148" s="130"/>
      <c r="C148" s="130"/>
      <c r="D148" s="130"/>
      <c r="E148" s="209"/>
      <c r="F148" s="209"/>
      <c r="G148" s="209"/>
      <c r="I148" s="130"/>
      <c r="J148" s="130"/>
      <c r="K148" s="130"/>
      <c r="L148" s="130"/>
      <c r="N148" s="130"/>
    </row>
    <row r="149" spans="2:14" ht="13">
      <c r="B149" s="130"/>
      <c r="C149" s="130"/>
      <c r="D149" s="130"/>
      <c r="E149" s="209"/>
      <c r="F149" s="209"/>
      <c r="G149" s="209"/>
      <c r="I149" s="130"/>
      <c r="J149" s="130"/>
      <c r="K149" s="130"/>
      <c r="L149" s="130"/>
      <c r="N149" s="130"/>
    </row>
    <row r="150" spans="2:14" ht="13">
      <c r="B150" s="130"/>
      <c r="C150" s="130"/>
      <c r="D150" s="130"/>
      <c r="E150" s="209"/>
      <c r="F150" s="209"/>
      <c r="G150" s="209"/>
      <c r="I150" s="130"/>
      <c r="J150" s="130"/>
      <c r="K150" s="130"/>
      <c r="L150" s="130"/>
      <c r="N150" s="130"/>
    </row>
    <row r="151" spans="2:14" ht="13">
      <c r="B151" s="130"/>
      <c r="C151" s="130"/>
      <c r="D151" s="130"/>
      <c r="E151" s="209"/>
      <c r="F151" s="209"/>
      <c r="G151" s="209"/>
      <c r="I151" s="130"/>
      <c r="J151" s="130"/>
      <c r="K151" s="130"/>
      <c r="L151" s="130"/>
      <c r="N151" s="130"/>
    </row>
    <row r="152" spans="2:14" ht="13">
      <c r="B152" s="130"/>
      <c r="C152" s="130"/>
      <c r="D152" s="130"/>
      <c r="E152" s="209"/>
      <c r="F152" s="209"/>
      <c r="G152" s="209"/>
      <c r="I152" s="130"/>
      <c r="J152" s="130"/>
      <c r="K152" s="130"/>
      <c r="L152" s="130"/>
      <c r="N152" s="130"/>
    </row>
    <row r="153" spans="2:14" ht="13">
      <c r="B153" s="130"/>
      <c r="C153" s="130"/>
      <c r="D153" s="130"/>
      <c r="E153" s="209"/>
      <c r="F153" s="209"/>
      <c r="G153" s="209"/>
      <c r="I153" s="130"/>
      <c r="J153" s="130"/>
      <c r="K153" s="130"/>
      <c r="L153" s="130"/>
      <c r="N153" s="130"/>
    </row>
    <row r="154" spans="2:14" ht="13">
      <c r="B154" s="130"/>
      <c r="C154" s="130"/>
      <c r="D154" s="130"/>
      <c r="E154" s="209"/>
      <c r="F154" s="209"/>
      <c r="G154" s="209"/>
      <c r="I154" s="130"/>
      <c r="J154" s="130"/>
      <c r="K154" s="130"/>
      <c r="L154" s="130"/>
      <c r="N154" s="130"/>
    </row>
    <row r="155" spans="2:14" ht="13">
      <c r="B155" s="130"/>
      <c r="C155" s="130"/>
      <c r="D155" s="130"/>
      <c r="E155" s="209"/>
      <c r="F155" s="209"/>
      <c r="G155" s="209"/>
      <c r="I155" s="130"/>
      <c r="J155" s="130"/>
      <c r="K155" s="130"/>
      <c r="L155" s="130"/>
      <c r="N155" s="130"/>
    </row>
    <row r="156" spans="2:14" ht="13">
      <c r="B156" s="130"/>
      <c r="C156" s="130"/>
      <c r="D156" s="130"/>
      <c r="E156" s="209"/>
      <c r="F156" s="209"/>
      <c r="G156" s="209"/>
      <c r="I156" s="130"/>
      <c r="J156" s="130"/>
      <c r="K156" s="130"/>
      <c r="L156" s="130"/>
      <c r="N156" s="130"/>
    </row>
    <row r="157" spans="2:14" ht="13">
      <c r="B157" s="130"/>
      <c r="C157" s="130"/>
      <c r="D157" s="130"/>
      <c r="E157" s="209"/>
      <c r="F157" s="209"/>
      <c r="G157" s="209"/>
      <c r="I157" s="130"/>
      <c r="J157" s="130"/>
      <c r="K157" s="130"/>
      <c r="L157" s="130"/>
      <c r="N157" s="130"/>
    </row>
    <row r="158" spans="2:14" ht="13">
      <c r="B158" s="130"/>
      <c r="C158" s="130"/>
      <c r="D158" s="130"/>
      <c r="E158" s="209"/>
      <c r="F158" s="209"/>
      <c r="G158" s="209"/>
      <c r="I158" s="130"/>
      <c r="J158" s="130"/>
      <c r="K158" s="130"/>
      <c r="L158" s="130"/>
      <c r="N158" s="130"/>
    </row>
    <row r="159" spans="2:14" ht="13">
      <c r="B159" s="130"/>
      <c r="C159" s="130"/>
      <c r="D159" s="130"/>
      <c r="E159" s="209"/>
      <c r="F159" s="209"/>
      <c r="G159" s="209"/>
      <c r="I159" s="130"/>
      <c r="J159" s="130"/>
      <c r="K159" s="130"/>
      <c r="L159" s="130"/>
      <c r="N159" s="130"/>
    </row>
    <row r="160" spans="2:14" ht="13">
      <c r="B160" s="130"/>
      <c r="C160" s="130"/>
      <c r="D160" s="130"/>
      <c r="E160" s="209"/>
      <c r="F160" s="209"/>
      <c r="G160" s="209"/>
      <c r="I160" s="130"/>
      <c r="J160" s="130"/>
      <c r="K160" s="130"/>
      <c r="L160" s="130"/>
      <c r="N160" s="130"/>
    </row>
    <row r="161" spans="2:14" ht="13">
      <c r="B161" s="130"/>
      <c r="C161" s="130"/>
      <c r="D161" s="130"/>
      <c r="E161" s="209"/>
      <c r="F161" s="209"/>
      <c r="G161" s="209"/>
      <c r="I161" s="130"/>
      <c r="J161" s="130"/>
      <c r="K161" s="130"/>
      <c r="L161" s="130"/>
      <c r="N161" s="130"/>
    </row>
    <row r="162" spans="2:14" ht="13">
      <c r="B162" s="130"/>
      <c r="C162" s="130"/>
      <c r="D162" s="130"/>
      <c r="E162" s="209"/>
      <c r="F162" s="209"/>
      <c r="G162" s="209"/>
      <c r="I162" s="130"/>
      <c r="J162" s="130"/>
      <c r="K162" s="130"/>
      <c r="L162" s="130"/>
      <c r="N162" s="130"/>
    </row>
    <row r="163" spans="2:14" ht="13">
      <c r="B163" s="130"/>
      <c r="C163" s="130"/>
      <c r="D163" s="130"/>
      <c r="E163" s="209"/>
      <c r="F163" s="209"/>
      <c r="G163" s="209"/>
      <c r="I163" s="130"/>
      <c r="J163" s="130"/>
      <c r="K163" s="130"/>
      <c r="L163" s="130"/>
      <c r="N163" s="130"/>
    </row>
    <row r="164" spans="2:14" ht="13">
      <c r="B164" s="130"/>
      <c r="C164" s="130"/>
      <c r="D164" s="130"/>
      <c r="E164" s="209"/>
      <c r="F164" s="209"/>
      <c r="G164" s="209"/>
      <c r="I164" s="130"/>
      <c r="J164" s="130"/>
      <c r="K164" s="130"/>
      <c r="L164" s="130"/>
      <c r="N164" s="130"/>
    </row>
    <row r="165" spans="2:14" ht="13">
      <c r="B165" s="130"/>
      <c r="C165" s="130"/>
      <c r="D165" s="130"/>
      <c r="E165" s="209"/>
      <c r="F165" s="209"/>
      <c r="G165" s="209"/>
      <c r="I165" s="130"/>
      <c r="J165" s="130"/>
      <c r="K165" s="130"/>
      <c r="L165" s="130"/>
      <c r="N165" s="130"/>
    </row>
    <row r="166" spans="2:14" ht="13">
      <c r="B166" s="130"/>
      <c r="C166" s="130"/>
      <c r="D166" s="130"/>
      <c r="E166" s="209"/>
      <c r="F166" s="209"/>
      <c r="G166" s="209"/>
      <c r="I166" s="130"/>
      <c r="J166" s="130"/>
      <c r="K166" s="130"/>
      <c r="L166" s="130"/>
      <c r="N166" s="130"/>
    </row>
    <row r="167" spans="2:14" ht="13">
      <c r="B167" s="130"/>
      <c r="C167" s="130"/>
      <c r="D167" s="130"/>
      <c r="E167" s="209"/>
      <c r="F167" s="209"/>
      <c r="G167" s="209"/>
      <c r="I167" s="130"/>
      <c r="J167" s="130"/>
      <c r="K167" s="130"/>
      <c r="L167" s="130"/>
      <c r="N167" s="130"/>
    </row>
    <row r="168" spans="2:14" ht="13">
      <c r="B168" s="130"/>
      <c r="C168" s="130"/>
      <c r="D168" s="130"/>
      <c r="E168" s="209"/>
      <c r="F168" s="209"/>
      <c r="G168" s="209"/>
      <c r="I168" s="130"/>
      <c r="J168" s="130"/>
      <c r="K168" s="130"/>
      <c r="L168" s="130"/>
      <c r="N168" s="130"/>
    </row>
    <row r="169" spans="2:14" ht="13">
      <c r="B169" s="130"/>
      <c r="C169" s="130"/>
      <c r="D169" s="130"/>
      <c r="E169" s="209"/>
      <c r="F169" s="209"/>
      <c r="G169" s="209"/>
      <c r="I169" s="130"/>
      <c r="J169" s="130"/>
      <c r="K169" s="130"/>
      <c r="L169" s="130"/>
      <c r="N169" s="130"/>
    </row>
    <row r="170" spans="2:14" ht="13">
      <c r="B170" s="130"/>
      <c r="C170" s="130"/>
      <c r="D170" s="130"/>
      <c r="E170" s="209"/>
      <c r="F170" s="209"/>
      <c r="G170" s="209"/>
      <c r="I170" s="130"/>
      <c r="J170" s="130"/>
      <c r="K170" s="130"/>
      <c r="L170" s="130"/>
      <c r="N170" s="130"/>
    </row>
    <row r="171" spans="2:14" ht="13">
      <c r="B171" s="130"/>
      <c r="C171" s="130"/>
      <c r="D171" s="130"/>
      <c r="E171" s="209"/>
      <c r="F171" s="209"/>
      <c r="G171" s="209"/>
      <c r="I171" s="130"/>
      <c r="J171" s="130"/>
      <c r="K171" s="130"/>
      <c r="L171" s="130"/>
      <c r="N171" s="130"/>
    </row>
    <row r="172" spans="2:14" ht="13">
      <c r="B172" s="130"/>
      <c r="C172" s="130"/>
      <c r="D172" s="130"/>
      <c r="E172" s="209"/>
      <c r="F172" s="209"/>
      <c r="G172" s="209"/>
      <c r="I172" s="130"/>
      <c r="J172" s="130"/>
      <c r="K172" s="130"/>
      <c r="L172" s="130"/>
      <c r="N172" s="130"/>
    </row>
    <row r="173" spans="2:14" ht="13">
      <c r="B173" s="130"/>
      <c r="C173" s="130"/>
      <c r="D173" s="130"/>
      <c r="E173" s="209"/>
      <c r="F173" s="209"/>
      <c r="G173" s="209"/>
      <c r="I173" s="130"/>
      <c r="J173" s="130"/>
      <c r="K173" s="130"/>
      <c r="L173" s="130"/>
      <c r="N173" s="130"/>
    </row>
    <row r="174" spans="2:14" ht="13">
      <c r="B174" s="130"/>
      <c r="C174" s="130"/>
      <c r="D174" s="130"/>
      <c r="E174" s="209"/>
      <c r="F174" s="209"/>
      <c r="G174" s="209"/>
      <c r="I174" s="130"/>
      <c r="J174" s="130"/>
      <c r="K174" s="130"/>
      <c r="L174" s="130"/>
      <c r="N174" s="130"/>
    </row>
    <row r="175" spans="2:14" ht="13">
      <c r="B175" s="130"/>
      <c r="C175" s="130"/>
      <c r="D175" s="130"/>
      <c r="E175" s="209"/>
      <c r="F175" s="209"/>
      <c r="G175" s="209"/>
      <c r="I175" s="130"/>
      <c r="J175" s="130"/>
      <c r="K175" s="130"/>
      <c r="L175" s="130"/>
      <c r="N175" s="130"/>
    </row>
    <row r="176" spans="2:14" ht="13">
      <c r="B176" s="130"/>
      <c r="C176" s="130"/>
      <c r="D176" s="130"/>
      <c r="E176" s="209"/>
      <c r="F176" s="209"/>
      <c r="G176" s="209"/>
      <c r="I176" s="130"/>
      <c r="J176" s="130"/>
      <c r="K176" s="130"/>
      <c r="L176" s="130"/>
      <c r="N176" s="130"/>
    </row>
    <row r="177" spans="2:14" ht="13">
      <c r="B177" s="130"/>
      <c r="C177" s="130"/>
      <c r="D177" s="130"/>
      <c r="E177" s="209"/>
      <c r="F177" s="209"/>
      <c r="G177" s="209"/>
      <c r="I177" s="130"/>
      <c r="J177" s="130"/>
      <c r="K177" s="130"/>
      <c r="L177" s="130"/>
      <c r="N177" s="130"/>
    </row>
    <row r="178" spans="2:14" ht="13">
      <c r="B178" s="130"/>
      <c r="C178" s="130"/>
      <c r="D178" s="130"/>
      <c r="E178" s="209"/>
      <c r="F178" s="209"/>
      <c r="G178" s="209"/>
      <c r="I178" s="130"/>
      <c r="J178" s="130"/>
      <c r="K178" s="130"/>
      <c r="L178" s="130"/>
      <c r="N178" s="130"/>
    </row>
    <row r="179" spans="2:14" ht="13">
      <c r="B179" s="130"/>
      <c r="C179" s="130"/>
      <c r="D179" s="130"/>
      <c r="E179" s="209"/>
      <c r="F179" s="209"/>
      <c r="G179" s="209"/>
      <c r="I179" s="130"/>
      <c r="J179" s="130"/>
      <c r="K179" s="130"/>
      <c r="L179" s="130"/>
      <c r="N179" s="130"/>
    </row>
    <row r="180" spans="2:14" ht="13">
      <c r="B180" s="130"/>
      <c r="C180" s="130"/>
      <c r="D180" s="130"/>
      <c r="E180" s="209"/>
      <c r="F180" s="209"/>
      <c r="G180" s="209"/>
      <c r="I180" s="130"/>
      <c r="J180" s="130"/>
      <c r="K180" s="130"/>
      <c r="L180" s="130"/>
      <c r="N180" s="130"/>
    </row>
    <row r="181" spans="2:14" ht="13">
      <c r="B181" s="130"/>
      <c r="C181" s="130"/>
      <c r="D181" s="130"/>
      <c r="E181" s="209"/>
      <c r="F181" s="209"/>
      <c r="G181" s="209"/>
      <c r="I181" s="130"/>
      <c r="J181" s="130"/>
      <c r="K181" s="130"/>
      <c r="L181" s="130"/>
      <c r="N181" s="130"/>
    </row>
    <row r="182" spans="2:14" ht="13">
      <c r="B182" s="130"/>
      <c r="C182" s="130"/>
      <c r="D182" s="130"/>
      <c r="E182" s="209"/>
      <c r="F182" s="209"/>
      <c r="G182" s="209"/>
      <c r="I182" s="130"/>
      <c r="J182" s="130"/>
      <c r="K182" s="130"/>
      <c r="L182" s="130"/>
      <c r="N182" s="130"/>
    </row>
    <row r="183" spans="2:14" ht="13">
      <c r="B183" s="130"/>
      <c r="C183" s="130"/>
      <c r="D183" s="130"/>
      <c r="E183" s="209"/>
      <c r="F183" s="209"/>
      <c r="G183" s="209"/>
      <c r="I183" s="130"/>
      <c r="J183" s="130"/>
      <c r="K183" s="130"/>
      <c r="L183" s="130"/>
      <c r="N183" s="130"/>
    </row>
    <row r="184" spans="2:14" ht="13">
      <c r="B184" s="130"/>
      <c r="C184" s="130"/>
      <c r="D184" s="130"/>
      <c r="E184" s="209"/>
      <c r="F184" s="209"/>
      <c r="G184" s="209"/>
      <c r="I184" s="130"/>
      <c r="J184" s="130"/>
      <c r="K184" s="130"/>
      <c r="L184" s="130"/>
      <c r="N184" s="130"/>
    </row>
    <row r="185" spans="2:14" ht="13">
      <c r="B185" s="130"/>
      <c r="C185" s="130"/>
      <c r="D185" s="130"/>
      <c r="E185" s="209"/>
      <c r="F185" s="209"/>
      <c r="G185" s="209"/>
      <c r="I185" s="130"/>
      <c r="J185" s="130"/>
      <c r="K185" s="130"/>
      <c r="L185" s="130"/>
      <c r="N185" s="130"/>
    </row>
    <row r="186" spans="2:14" ht="13">
      <c r="B186" s="130"/>
      <c r="C186" s="130"/>
      <c r="D186" s="130"/>
      <c r="E186" s="209"/>
      <c r="F186" s="209"/>
      <c r="G186" s="209"/>
      <c r="I186" s="130"/>
      <c r="J186" s="130"/>
      <c r="K186" s="130"/>
      <c r="L186" s="130"/>
      <c r="N186" s="130"/>
    </row>
    <row r="187" spans="2:14" ht="13">
      <c r="B187" s="130"/>
      <c r="C187" s="130"/>
      <c r="D187" s="130"/>
      <c r="E187" s="209"/>
      <c r="F187" s="209"/>
      <c r="G187" s="209"/>
      <c r="I187" s="130"/>
      <c r="J187" s="130"/>
      <c r="K187" s="130"/>
      <c r="L187" s="130"/>
      <c r="N187" s="130"/>
    </row>
    <row r="188" spans="2:14" ht="13">
      <c r="B188" s="130"/>
      <c r="C188" s="130"/>
      <c r="D188" s="130"/>
      <c r="E188" s="209"/>
      <c r="F188" s="209"/>
      <c r="G188" s="209"/>
      <c r="I188" s="130"/>
      <c r="J188" s="130"/>
      <c r="K188" s="130"/>
      <c r="L188" s="130"/>
      <c r="N188" s="130"/>
    </row>
    <row r="189" spans="2:14" ht="13">
      <c r="B189" s="130"/>
      <c r="C189" s="130"/>
      <c r="D189" s="130"/>
      <c r="E189" s="209"/>
      <c r="F189" s="209"/>
      <c r="G189" s="209"/>
      <c r="I189" s="130"/>
      <c r="J189" s="130"/>
      <c r="K189" s="130"/>
      <c r="L189" s="130"/>
      <c r="N189" s="130"/>
    </row>
    <row r="190" spans="2:14" ht="13">
      <c r="B190" s="130"/>
      <c r="C190" s="130"/>
      <c r="D190" s="130"/>
      <c r="E190" s="209"/>
      <c r="F190" s="209"/>
      <c r="G190" s="209"/>
      <c r="I190" s="130"/>
      <c r="J190" s="130"/>
      <c r="K190" s="130"/>
      <c r="L190" s="130"/>
      <c r="N190" s="130"/>
    </row>
    <row r="191" spans="2:14" ht="13">
      <c r="B191" s="130"/>
      <c r="C191" s="130"/>
      <c r="D191" s="130"/>
      <c r="E191" s="209"/>
      <c r="F191" s="209"/>
      <c r="G191" s="209"/>
      <c r="I191" s="130"/>
      <c r="J191" s="130"/>
      <c r="K191" s="130"/>
      <c r="L191" s="130"/>
      <c r="N191" s="130"/>
    </row>
    <row r="192" spans="2:14" ht="13">
      <c r="B192" s="130"/>
      <c r="C192" s="130"/>
      <c r="D192" s="130"/>
      <c r="E192" s="209"/>
      <c r="F192" s="209"/>
      <c r="G192" s="209"/>
      <c r="I192" s="130"/>
      <c r="J192" s="130"/>
      <c r="K192" s="130"/>
      <c r="L192" s="130"/>
      <c r="N192" s="130"/>
    </row>
    <row r="193" spans="2:14" ht="13">
      <c r="B193" s="130"/>
      <c r="C193" s="130"/>
      <c r="D193" s="130"/>
      <c r="E193" s="209"/>
      <c r="F193" s="209"/>
      <c r="G193" s="209"/>
      <c r="I193" s="130"/>
      <c r="J193" s="130"/>
      <c r="K193" s="130"/>
      <c r="L193" s="130"/>
      <c r="N193" s="130"/>
    </row>
    <row r="194" spans="2:14" ht="13">
      <c r="B194" s="130"/>
      <c r="C194" s="130"/>
      <c r="D194" s="130"/>
      <c r="E194" s="209"/>
      <c r="F194" s="209"/>
      <c r="G194" s="209"/>
      <c r="I194" s="130"/>
      <c r="J194" s="130"/>
      <c r="K194" s="130"/>
      <c r="L194" s="130"/>
      <c r="N194" s="130"/>
    </row>
    <row r="195" spans="2:14" ht="13">
      <c r="B195" s="130"/>
      <c r="C195" s="130"/>
      <c r="D195" s="130"/>
      <c r="E195" s="209"/>
      <c r="F195" s="209"/>
      <c r="G195" s="209"/>
      <c r="I195" s="130"/>
      <c r="J195" s="130"/>
      <c r="K195" s="130"/>
      <c r="L195" s="130"/>
      <c r="N195" s="130"/>
    </row>
    <row r="196" spans="2:14" ht="13">
      <c r="B196" s="130"/>
      <c r="C196" s="130"/>
      <c r="D196" s="130"/>
      <c r="E196" s="209"/>
      <c r="F196" s="209"/>
      <c r="G196" s="209"/>
      <c r="I196" s="130"/>
      <c r="J196" s="130"/>
      <c r="K196" s="130"/>
      <c r="L196" s="130"/>
      <c r="N196" s="130"/>
    </row>
    <row r="197" spans="2:14" ht="13">
      <c r="B197" s="130"/>
      <c r="C197" s="130"/>
      <c r="D197" s="130"/>
      <c r="E197" s="209"/>
      <c r="F197" s="209"/>
      <c r="G197" s="209"/>
      <c r="I197" s="130"/>
      <c r="J197" s="130"/>
      <c r="K197" s="130"/>
      <c r="L197" s="130"/>
      <c r="N197" s="130"/>
    </row>
    <row r="198" spans="2:14" ht="13">
      <c r="B198" s="130"/>
      <c r="C198" s="130"/>
      <c r="D198" s="130"/>
      <c r="E198" s="209"/>
      <c r="F198" s="209"/>
      <c r="G198" s="209"/>
      <c r="I198" s="130"/>
      <c r="J198" s="130"/>
      <c r="K198" s="130"/>
      <c r="L198" s="130"/>
      <c r="N198" s="130"/>
    </row>
    <row r="199" spans="2:14" ht="13">
      <c r="B199" s="130"/>
      <c r="C199" s="130"/>
      <c r="D199" s="130"/>
      <c r="E199" s="209"/>
      <c r="F199" s="209"/>
      <c r="G199" s="209"/>
      <c r="I199" s="130"/>
      <c r="J199" s="130"/>
      <c r="K199" s="130"/>
      <c r="L199" s="130"/>
      <c r="N199" s="130"/>
    </row>
    <row r="200" spans="2:14" ht="13">
      <c r="B200" s="130"/>
      <c r="C200" s="130"/>
      <c r="D200" s="130"/>
      <c r="E200" s="209"/>
      <c r="F200" s="209"/>
      <c r="G200" s="209"/>
      <c r="I200" s="130"/>
      <c r="J200" s="130"/>
      <c r="K200" s="130"/>
      <c r="L200" s="130"/>
      <c r="N200" s="130"/>
    </row>
    <row r="201" spans="2:14" ht="13">
      <c r="B201" s="130"/>
      <c r="C201" s="130"/>
      <c r="D201" s="130"/>
      <c r="E201" s="209"/>
      <c r="F201" s="209"/>
      <c r="G201" s="209"/>
      <c r="I201" s="130"/>
      <c r="J201" s="130"/>
      <c r="K201" s="130"/>
      <c r="L201" s="130"/>
      <c r="N201" s="130"/>
    </row>
    <row r="202" spans="2:14" ht="13">
      <c r="B202" s="130"/>
      <c r="C202" s="130"/>
      <c r="D202" s="130"/>
      <c r="E202" s="209"/>
      <c r="F202" s="209"/>
      <c r="G202" s="209"/>
      <c r="I202" s="130"/>
      <c r="J202" s="130"/>
      <c r="K202" s="130"/>
      <c r="L202" s="130"/>
      <c r="N202" s="130"/>
    </row>
    <row r="203" spans="2:14" ht="13">
      <c r="B203" s="130"/>
      <c r="C203" s="130"/>
      <c r="D203" s="130"/>
      <c r="E203" s="209"/>
      <c r="F203" s="209"/>
      <c r="G203" s="209"/>
      <c r="I203" s="130"/>
      <c r="J203" s="130"/>
      <c r="K203" s="130"/>
      <c r="L203" s="130"/>
      <c r="N203" s="130"/>
    </row>
    <row r="204" spans="2:14" ht="13">
      <c r="B204" s="130"/>
      <c r="C204" s="130"/>
      <c r="D204" s="130"/>
      <c r="E204" s="209"/>
      <c r="F204" s="209"/>
      <c r="G204" s="209"/>
      <c r="I204" s="130"/>
      <c r="J204" s="130"/>
      <c r="K204" s="130"/>
      <c r="L204" s="130"/>
      <c r="N204" s="130"/>
    </row>
    <row r="205" spans="2:14" ht="13">
      <c r="B205" s="130"/>
      <c r="C205" s="130"/>
      <c r="D205" s="130"/>
      <c r="E205" s="209"/>
      <c r="F205" s="209"/>
      <c r="G205" s="209"/>
      <c r="I205" s="130"/>
      <c r="J205" s="130"/>
      <c r="K205" s="130"/>
      <c r="L205" s="130"/>
      <c r="N205" s="130"/>
    </row>
    <row r="206" spans="2:14" ht="13">
      <c r="B206" s="130"/>
      <c r="C206" s="130"/>
      <c r="D206" s="130"/>
      <c r="E206" s="209"/>
      <c r="F206" s="209"/>
      <c r="G206" s="209"/>
      <c r="I206" s="130"/>
      <c r="J206" s="130"/>
      <c r="K206" s="130"/>
      <c r="L206" s="130"/>
      <c r="N206" s="130"/>
    </row>
    <row r="207" spans="2:14" ht="13">
      <c r="B207" s="130"/>
      <c r="C207" s="130"/>
      <c r="D207" s="130"/>
      <c r="E207" s="209"/>
      <c r="F207" s="209"/>
      <c r="G207" s="209"/>
      <c r="I207" s="130"/>
      <c r="J207" s="130"/>
      <c r="K207" s="130"/>
      <c r="L207" s="130"/>
      <c r="N207" s="130"/>
    </row>
    <row r="208" spans="2:14" ht="13">
      <c r="B208" s="130"/>
      <c r="C208" s="130"/>
      <c r="D208" s="130"/>
      <c r="E208" s="209"/>
      <c r="F208" s="209"/>
      <c r="G208" s="209"/>
      <c r="I208" s="130"/>
      <c r="J208" s="130"/>
      <c r="K208" s="130"/>
      <c r="L208" s="130"/>
      <c r="N208" s="130"/>
    </row>
    <row r="209" spans="2:14" ht="13">
      <c r="B209" s="130"/>
      <c r="C209" s="130"/>
      <c r="D209" s="130"/>
      <c r="E209" s="209"/>
      <c r="F209" s="209"/>
      <c r="G209" s="209"/>
      <c r="I209" s="130"/>
      <c r="J209" s="130"/>
      <c r="K209" s="130"/>
      <c r="L209" s="130"/>
      <c r="N209" s="130"/>
    </row>
    <row r="210" spans="2:14" ht="13">
      <c r="B210" s="130"/>
      <c r="C210" s="130"/>
      <c r="D210" s="130"/>
      <c r="E210" s="209"/>
      <c r="F210" s="209"/>
      <c r="G210" s="209"/>
      <c r="I210" s="130"/>
      <c r="J210" s="130"/>
      <c r="K210" s="130"/>
      <c r="L210" s="130"/>
      <c r="N210" s="130"/>
    </row>
    <row r="211" spans="2:14" ht="13">
      <c r="B211" s="130"/>
      <c r="C211" s="130"/>
      <c r="D211" s="130"/>
      <c r="E211" s="209"/>
      <c r="F211" s="209"/>
      <c r="G211" s="209"/>
      <c r="I211" s="130"/>
      <c r="J211" s="130"/>
      <c r="K211" s="130"/>
      <c r="L211" s="130"/>
      <c r="N211" s="130"/>
    </row>
    <row r="212" spans="2:14" ht="13">
      <c r="B212" s="130"/>
      <c r="C212" s="130"/>
      <c r="D212" s="130"/>
      <c r="E212" s="209"/>
      <c r="F212" s="209"/>
      <c r="G212" s="209"/>
      <c r="I212" s="130"/>
      <c r="J212" s="130"/>
      <c r="K212" s="130"/>
      <c r="L212" s="130"/>
      <c r="N212" s="130"/>
    </row>
    <row r="213" spans="2:14" ht="13">
      <c r="B213" s="130"/>
      <c r="C213" s="130"/>
      <c r="D213" s="130"/>
      <c r="E213" s="209"/>
      <c r="F213" s="209"/>
      <c r="G213" s="209"/>
      <c r="I213" s="130"/>
      <c r="J213" s="130"/>
      <c r="K213" s="130"/>
      <c r="L213" s="130"/>
      <c r="N213" s="130"/>
    </row>
    <row r="214" spans="2:14" ht="13">
      <c r="B214" s="130"/>
      <c r="C214" s="130"/>
      <c r="D214" s="130"/>
      <c r="E214" s="209"/>
      <c r="F214" s="209"/>
      <c r="G214" s="209"/>
      <c r="I214" s="130"/>
      <c r="J214" s="130"/>
      <c r="K214" s="130"/>
      <c r="L214" s="130"/>
      <c r="N214" s="130"/>
    </row>
    <row r="215" spans="2:14" ht="13">
      <c r="B215" s="130"/>
      <c r="C215" s="130"/>
      <c r="D215" s="130"/>
      <c r="E215" s="209"/>
      <c r="F215" s="209"/>
      <c r="G215" s="209"/>
      <c r="I215" s="130"/>
      <c r="J215" s="130"/>
      <c r="K215" s="130"/>
      <c r="L215" s="130"/>
      <c r="N215" s="130"/>
    </row>
    <row r="216" spans="2:14" ht="13">
      <c r="B216" s="130"/>
      <c r="C216" s="130"/>
      <c r="D216" s="130"/>
      <c r="E216" s="209"/>
      <c r="F216" s="209"/>
      <c r="G216" s="209"/>
      <c r="I216" s="130"/>
      <c r="J216" s="130"/>
      <c r="K216" s="130"/>
      <c r="L216" s="130"/>
      <c r="N216" s="130"/>
    </row>
    <row r="217" spans="2:14" ht="13">
      <c r="B217" s="130"/>
      <c r="C217" s="130"/>
      <c r="D217" s="130"/>
      <c r="E217" s="209"/>
      <c r="F217" s="209"/>
      <c r="G217" s="209"/>
      <c r="I217" s="130"/>
      <c r="J217" s="130"/>
      <c r="K217" s="130"/>
      <c r="L217" s="130"/>
      <c r="N217" s="130"/>
    </row>
    <row r="218" spans="2:14" ht="13">
      <c r="B218" s="130"/>
      <c r="C218" s="130"/>
      <c r="D218" s="130"/>
      <c r="E218" s="209"/>
      <c r="F218" s="209"/>
      <c r="G218" s="209"/>
      <c r="I218" s="130"/>
      <c r="J218" s="130"/>
      <c r="K218" s="130"/>
      <c r="L218" s="130"/>
      <c r="N218" s="130"/>
    </row>
    <row r="219" spans="2:14" ht="13">
      <c r="B219" s="130"/>
      <c r="C219" s="130"/>
      <c r="D219" s="130"/>
      <c r="E219" s="209"/>
      <c r="F219" s="209"/>
      <c r="G219" s="209"/>
      <c r="I219" s="130"/>
      <c r="J219" s="130"/>
      <c r="K219" s="130"/>
      <c r="L219" s="130"/>
      <c r="N219" s="130"/>
    </row>
    <row r="220" spans="2:14" ht="13">
      <c r="B220" s="130"/>
      <c r="C220" s="130"/>
      <c r="D220" s="130"/>
      <c r="E220" s="209"/>
      <c r="F220" s="209"/>
      <c r="G220" s="209"/>
      <c r="I220" s="130"/>
      <c r="J220" s="130"/>
      <c r="K220" s="130"/>
      <c r="L220" s="130"/>
      <c r="N220" s="130"/>
    </row>
    <row r="221" spans="2:14" ht="13">
      <c r="B221" s="130"/>
      <c r="C221" s="130"/>
      <c r="D221" s="130"/>
      <c r="E221" s="209"/>
      <c r="F221" s="209"/>
      <c r="G221" s="209"/>
      <c r="I221" s="130"/>
      <c r="J221" s="130"/>
      <c r="K221" s="130"/>
      <c r="L221" s="130"/>
      <c r="N221" s="130"/>
    </row>
    <row r="222" spans="2:14" ht="13">
      <c r="B222" s="130"/>
      <c r="C222" s="130"/>
      <c r="D222" s="130"/>
      <c r="E222" s="209"/>
      <c r="F222" s="209"/>
      <c r="G222" s="209"/>
      <c r="I222" s="130"/>
      <c r="J222" s="130"/>
      <c r="K222" s="130"/>
      <c r="L222" s="130"/>
      <c r="N222" s="130"/>
    </row>
    <row r="223" spans="2:14" ht="13">
      <c r="B223" s="130"/>
      <c r="C223" s="130"/>
      <c r="D223" s="130"/>
      <c r="E223" s="209"/>
      <c r="F223" s="209"/>
      <c r="G223" s="209"/>
      <c r="I223" s="130"/>
      <c r="J223" s="130"/>
      <c r="K223" s="130"/>
      <c r="L223" s="130"/>
      <c r="N223" s="130"/>
    </row>
    <row r="224" spans="2:14" ht="13">
      <c r="B224" s="130"/>
      <c r="C224" s="130"/>
      <c r="D224" s="130"/>
      <c r="E224" s="209"/>
      <c r="F224" s="209"/>
      <c r="G224" s="209"/>
      <c r="I224" s="130"/>
      <c r="J224" s="130"/>
      <c r="K224" s="130"/>
      <c r="L224" s="130"/>
      <c r="N224" s="130"/>
    </row>
    <row r="225" spans="2:14" ht="13">
      <c r="B225" s="130"/>
      <c r="C225" s="130"/>
      <c r="D225" s="130"/>
      <c r="E225" s="209"/>
      <c r="F225" s="209"/>
      <c r="G225" s="209"/>
      <c r="I225" s="130"/>
      <c r="J225" s="130"/>
      <c r="K225" s="130"/>
      <c r="L225" s="130"/>
      <c r="N225" s="130"/>
    </row>
    <row r="226" spans="2:14" ht="13">
      <c r="B226" s="130"/>
      <c r="C226" s="130"/>
      <c r="D226" s="130"/>
      <c r="E226" s="209"/>
      <c r="F226" s="209"/>
      <c r="G226" s="209"/>
      <c r="I226" s="130"/>
      <c r="J226" s="130"/>
      <c r="K226" s="130"/>
      <c r="L226" s="130"/>
      <c r="N226" s="130"/>
    </row>
    <row r="227" spans="2:14" ht="13">
      <c r="B227" s="130"/>
      <c r="C227" s="130"/>
      <c r="D227" s="130"/>
      <c r="E227" s="209"/>
      <c r="F227" s="209"/>
      <c r="G227" s="209"/>
      <c r="I227" s="130"/>
      <c r="J227" s="130"/>
      <c r="K227" s="130"/>
      <c r="L227" s="130"/>
      <c r="N227" s="130"/>
    </row>
    <row r="228" spans="2:14" ht="13">
      <c r="B228" s="130"/>
      <c r="C228" s="130"/>
      <c r="D228" s="130"/>
      <c r="E228" s="209"/>
      <c r="F228" s="209"/>
      <c r="G228" s="209"/>
      <c r="I228" s="130"/>
      <c r="J228" s="130"/>
      <c r="K228" s="130"/>
      <c r="L228" s="130"/>
      <c r="N228" s="130"/>
    </row>
    <row r="229" spans="2:14" ht="13">
      <c r="B229" s="130"/>
      <c r="C229" s="130"/>
      <c r="D229" s="130"/>
      <c r="E229" s="209"/>
      <c r="F229" s="209"/>
      <c r="G229" s="209"/>
      <c r="I229" s="130"/>
      <c r="J229" s="130"/>
      <c r="K229" s="130"/>
      <c r="L229" s="130"/>
      <c r="N229" s="130"/>
    </row>
    <row r="230" spans="2:14" ht="13">
      <c r="B230" s="130"/>
      <c r="C230" s="130"/>
      <c r="D230" s="130"/>
      <c r="E230" s="209"/>
      <c r="F230" s="209"/>
      <c r="G230" s="209"/>
      <c r="I230" s="130"/>
      <c r="J230" s="130"/>
      <c r="K230" s="130"/>
      <c r="L230" s="130"/>
      <c r="N230" s="130"/>
    </row>
    <row r="231" spans="2:14" ht="13">
      <c r="B231" s="130"/>
      <c r="C231" s="130"/>
      <c r="D231" s="130"/>
      <c r="E231" s="209"/>
      <c r="F231" s="209"/>
      <c r="G231" s="209"/>
      <c r="I231" s="130"/>
      <c r="J231" s="130"/>
      <c r="K231" s="130"/>
      <c r="L231" s="130"/>
      <c r="N231" s="130"/>
    </row>
    <row r="232" spans="2:14" ht="13">
      <c r="B232" s="130"/>
      <c r="C232" s="130"/>
      <c r="D232" s="130"/>
      <c r="E232" s="209"/>
      <c r="F232" s="209"/>
      <c r="G232" s="209"/>
      <c r="I232" s="130"/>
      <c r="J232" s="130"/>
      <c r="K232" s="130"/>
      <c r="L232" s="130"/>
      <c r="N232" s="130"/>
    </row>
    <row r="233" spans="2:14" ht="13">
      <c r="B233" s="130"/>
      <c r="C233" s="130"/>
      <c r="D233" s="130"/>
      <c r="E233" s="209"/>
      <c r="F233" s="209"/>
      <c r="G233" s="209"/>
      <c r="I233" s="130"/>
      <c r="J233" s="130"/>
      <c r="K233" s="130"/>
      <c r="L233" s="130"/>
      <c r="N233" s="130"/>
    </row>
    <row r="234" spans="2:14" ht="13">
      <c r="B234" s="130"/>
      <c r="C234" s="130"/>
      <c r="D234" s="130"/>
      <c r="E234" s="209"/>
      <c r="F234" s="209"/>
      <c r="G234" s="209"/>
      <c r="I234" s="130"/>
      <c r="J234" s="130"/>
      <c r="K234" s="130"/>
      <c r="L234" s="130"/>
      <c r="N234" s="130"/>
    </row>
    <row r="235" spans="2:14" ht="13">
      <c r="B235" s="130"/>
      <c r="C235" s="130"/>
      <c r="D235" s="130"/>
      <c r="E235" s="209"/>
      <c r="F235" s="209"/>
      <c r="G235" s="209"/>
      <c r="I235" s="130"/>
      <c r="J235" s="130"/>
      <c r="K235" s="130"/>
      <c r="L235" s="130"/>
      <c r="N235" s="130"/>
    </row>
    <row r="236" spans="2:14" ht="13">
      <c r="B236" s="130"/>
      <c r="C236" s="130"/>
      <c r="D236" s="130"/>
      <c r="E236" s="209"/>
      <c r="F236" s="209"/>
      <c r="G236" s="209"/>
      <c r="I236" s="130"/>
      <c r="J236" s="130"/>
      <c r="K236" s="130"/>
      <c r="L236" s="130"/>
      <c r="N236" s="130"/>
    </row>
    <row r="237" spans="2:14" ht="13">
      <c r="B237" s="130"/>
      <c r="C237" s="130"/>
      <c r="D237" s="130"/>
      <c r="E237" s="209"/>
      <c r="F237" s="209"/>
      <c r="G237" s="209"/>
      <c r="I237" s="130"/>
      <c r="J237" s="130"/>
      <c r="K237" s="130"/>
      <c r="L237" s="130"/>
      <c r="N237" s="130"/>
    </row>
    <row r="238" spans="2:14" ht="13">
      <c r="B238" s="130"/>
      <c r="C238" s="130"/>
      <c r="D238" s="130"/>
      <c r="E238" s="209"/>
      <c r="F238" s="209"/>
      <c r="G238" s="209"/>
      <c r="I238" s="130"/>
      <c r="J238" s="130"/>
      <c r="K238" s="130"/>
      <c r="L238" s="130"/>
      <c r="N238" s="130"/>
    </row>
    <row r="239" spans="2:14" ht="13">
      <c r="B239" s="130"/>
      <c r="C239" s="130"/>
      <c r="D239" s="130"/>
      <c r="E239" s="209"/>
      <c r="F239" s="209"/>
      <c r="G239" s="209"/>
      <c r="I239" s="130"/>
      <c r="J239" s="130"/>
      <c r="K239" s="130"/>
      <c r="L239" s="130"/>
      <c r="N239" s="130"/>
    </row>
    <row r="240" spans="2:14" ht="13">
      <c r="B240" s="130"/>
      <c r="C240" s="130"/>
      <c r="D240" s="130"/>
      <c r="E240" s="209"/>
      <c r="F240" s="209"/>
      <c r="G240" s="209"/>
      <c r="I240" s="130"/>
      <c r="J240" s="130"/>
      <c r="K240" s="130"/>
      <c r="L240" s="130"/>
      <c r="N240" s="130"/>
    </row>
    <row r="241" spans="2:14" ht="13">
      <c r="B241" s="130"/>
      <c r="C241" s="130"/>
      <c r="D241" s="130"/>
      <c r="E241" s="209"/>
      <c r="F241" s="209"/>
      <c r="G241" s="209"/>
      <c r="I241" s="130"/>
      <c r="J241" s="130"/>
      <c r="K241" s="130"/>
      <c r="L241" s="130"/>
      <c r="N241" s="130"/>
    </row>
    <row r="242" spans="2:14" ht="13">
      <c r="B242" s="130"/>
      <c r="C242" s="130"/>
      <c r="D242" s="130"/>
      <c r="E242" s="209"/>
      <c r="F242" s="209"/>
      <c r="G242" s="209"/>
      <c r="I242" s="130"/>
      <c r="J242" s="130"/>
      <c r="K242" s="130"/>
      <c r="L242" s="130"/>
      <c r="N242" s="130"/>
    </row>
    <row r="243" spans="2:14" ht="13">
      <c r="B243" s="130"/>
      <c r="C243" s="130"/>
      <c r="D243" s="130"/>
      <c r="E243" s="209"/>
      <c r="F243" s="209"/>
      <c r="G243" s="209"/>
      <c r="I243" s="130"/>
      <c r="J243" s="130"/>
      <c r="K243" s="130"/>
      <c r="L243" s="130"/>
      <c r="N243" s="130"/>
    </row>
    <row r="244" spans="2:14" ht="13">
      <c r="B244" s="130"/>
      <c r="C244" s="130"/>
      <c r="D244" s="130"/>
      <c r="E244" s="209"/>
      <c r="F244" s="209"/>
      <c r="G244" s="209"/>
      <c r="I244" s="130"/>
      <c r="J244" s="130"/>
      <c r="K244" s="130"/>
      <c r="L244" s="130"/>
      <c r="N244" s="130"/>
    </row>
    <row r="245" spans="2:14" ht="13">
      <c r="B245" s="130"/>
      <c r="C245" s="130"/>
      <c r="D245" s="130"/>
      <c r="E245" s="209"/>
      <c r="F245" s="209"/>
      <c r="G245" s="209"/>
      <c r="I245" s="130"/>
      <c r="J245" s="130"/>
      <c r="K245" s="130"/>
      <c r="L245" s="130"/>
      <c r="N245" s="130"/>
    </row>
    <row r="246" spans="2:14" ht="13">
      <c r="B246" s="130"/>
      <c r="C246" s="130"/>
      <c r="D246" s="130"/>
      <c r="E246" s="209"/>
      <c r="F246" s="209"/>
      <c r="G246" s="209"/>
      <c r="I246" s="130"/>
      <c r="J246" s="130"/>
      <c r="K246" s="130"/>
      <c r="L246" s="130"/>
      <c r="N246" s="130"/>
    </row>
    <row r="247" spans="2:14" ht="13">
      <c r="B247" s="130"/>
      <c r="C247" s="130"/>
      <c r="D247" s="130"/>
      <c r="E247" s="209"/>
      <c r="F247" s="209"/>
      <c r="G247" s="209"/>
      <c r="I247" s="130"/>
      <c r="J247" s="130"/>
      <c r="K247" s="130"/>
      <c r="L247" s="130"/>
      <c r="N247" s="130"/>
    </row>
    <row r="248" spans="2:14" ht="13">
      <c r="B248" s="130"/>
      <c r="C248" s="130"/>
      <c r="D248" s="130"/>
      <c r="E248" s="209"/>
      <c r="F248" s="209"/>
      <c r="G248" s="209"/>
      <c r="I248" s="130"/>
      <c r="J248" s="130"/>
      <c r="K248" s="130"/>
      <c r="L248" s="130"/>
      <c r="N248" s="130"/>
    </row>
    <row r="249" spans="2:14" ht="13">
      <c r="B249" s="130"/>
      <c r="C249" s="130"/>
      <c r="D249" s="130"/>
      <c r="E249" s="209"/>
      <c r="F249" s="209"/>
      <c r="G249" s="209"/>
      <c r="I249" s="130"/>
      <c r="J249" s="130"/>
      <c r="K249" s="130"/>
      <c r="L249" s="130"/>
      <c r="N249" s="130"/>
    </row>
    <row r="250" spans="2:14" ht="13">
      <c r="B250" s="130"/>
      <c r="C250" s="130"/>
      <c r="D250" s="130"/>
      <c r="E250" s="209"/>
      <c r="F250" s="209"/>
      <c r="G250" s="209"/>
      <c r="I250" s="130"/>
      <c r="J250" s="130"/>
      <c r="K250" s="130"/>
      <c r="L250" s="130"/>
      <c r="N250" s="130"/>
    </row>
    <row r="251" spans="2:14" ht="13">
      <c r="B251" s="130"/>
      <c r="C251" s="130"/>
      <c r="D251" s="130"/>
      <c r="E251" s="209"/>
      <c r="F251" s="209"/>
      <c r="G251" s="209"/>
      <c r="I251" s="130"/>
      <c r="J251" s="130"/>
      <c r="K251" s="130"/>
      <c r="L251" s="130"/>
      <c r="N251" s="130"/>
    </row>
    <row r="252" spans="2:14" ht="13">
      <c r="B252" s="130"/>
      <c r="C252" s="130"/>
      <c r="D252" s="130"/>
      <c r="E252" s="209"/>
      <c r="F252" s="209"/>
      <c r="G252" s="209"/>
      <c r="I252" s="130"/>
      <c r="J252" s="130"/>
      <c r="K252" s="130"/>
      <c r="L252" s="130"/>
      <c r="N252" s="130"/>
    </row>
    <row r="253" spans="2:14" ht="13">
      <c r="B253" s="130"/>
      <c r="C253" s="130"/>
      <c r="D253" s="130"/>
      <c r="E253" s="209"/>
      <c r="F253" s="209"/>
      <c r="G253" s="209"/>
      <c r="I253" s="130"/>
      <c r="J253" s="130"/>
      <c r="K253" s="130"/>
      <c r="L253" s="130"/>
      <c r="N253" s="130"/>
    </row>
    <row r="254" spans="2:14" ht="13">
      <c r="B254" s="130"/>
      <c r="C254" s="130"/>
      <c r="D254" s="130"/>
      <c r="E254" s="209"/>
      <c r="F254" s="209"/>
      <c r="G254" s="209"/>
      <c r="I254" s="130"/>
      <c r="J254" s="130"/>
      <c r="K254" s="130"/>
      <c r="L254" s="130"/>
      <c r="N254" s="130"/>
    </row>
    <row r="255" spans="2:14" ht="13">
      <c r="B255" s="130"/>
      <c r="C255" s="130"/>
      <c r="D255" s="130"/>
      <c r="E255" s="209"/>
      <c r="F255" s="209"/>
      <c r="G255" s="209"/>
      <c r="I255" s="130"/>
      <c r="J255" s="130"/>
      <c r="K255" s="130"/>
      <c r="L255" s="130"/>
      <c r="N255" s="130"/>
    </row>
    <row r="256" spans="2:14" ht="13">
      <c r="B256" s="130"/>
      <c r="C256" s="130"/>
      <c r="D256" s="130"/>
      <c r="E256" s="209"/>
      <c r="F256" s="209"/>
      <c r="G256" s="209"/>
      <c r="I256" s="130"/>
      <c r="J256" s="130"/>
      <c r="K256" s="130"/>
      <c r="L256" s="130"/>
      <c r="N256" s="130"/>
    </row>
    <row r="257" spans="2:14" ht="13">
      <c r="B257" s="130"/>
      <c r="C257" s="130"/>
      <c r="D257" s="130"/>
      <c r="E257" s="209"/>
      <c r="F257" s="209"/>
      <c r="G257" s="209"/>
      <c r="I257" s="130"/>
      <c r="J257" s="130"/>
      <c r="K257" s="130"/>
      <c r="L257" s="130"/>
      <c r="N257" s="130"/>
    </row>
    <row r="258" spans="2:14" ht="13">
      <c r="B258" s="130"/>
      <c r="C258" s="130"/>
      <c r="D258" s="130"/>
      <c r="E258" s="209"/>
      <c r="F258" s="209"/>
      <c r="G258" s="209"/>
      <c r="I258" s="130"/>
      <c r="J258" s="130"/>
      <c r="K258" s="130"/>
      <c r="L258" s="130"/>
      <c r="N258" s="130"/>
    </row>
    <row r="259" spans="2:14" ht="13">
      <c r="B259" s="130"/>
      <c r="C259" s="130"/>
      <c r="D259" s="130"/>
      <c r="E259" s="209"/>
      <c r="F259" s="209"/>
      <c r="G259" s="209"/>
      <c r="I259" s="130"/>
      <c r="J259" s="130"/>
      <c r="K259" s="130"/>
      <c r="L259" s="130"/>
      <c r="N259" s="130"/>
    </row>
    <row r="260" spans="2:14" ht="13">
      <c r="B260" s="130"/>
      <c r="C260" s="130"/>
      <c r="D260" s="130"/>
      <c r="E260" s="209"/>
      <c r="F260" s="209"/>
      <c r="G260" s="209"/>
      <c r="I260" s="130"/>
      <c r="J260" s="130"/>
      <c r="K260" s="130"/>
      <c r="L260" s="130"/>
      <c r="N260" s="130"/>
    </row>
    <row r="261" spans="2:14" ht="13">
      <c r="B261" s="130"/>
      <c r="C261" s="130"/>
      <c r="D261" s="130"/>
      <c r="E261" s="209"/>
      <c r="F261" s="209"/>
      <c r="G261" s="209"/>
      <c r="I261" s="130"/>
      <c r="J261" s="130"/>
      <c r="K261" s="130"/>
      <c r="L261" s="130"/>
      <c r="N261" s="130"/>
    </row>
    <row r="262" spans="2:14" ht="13">
      <c r="B262" s="130"/>
      <c r="C262" s="130"/>
      <c r="D262" s="130"/>
      <c r="E262" s="209"/>
      <c r="F262" s="209"/>
      <c r="G262" s="209"/>
      <c r="I262" s="130"/>
      <c r="J262" s="130"/>
      <c r="K262" s="130"/>
      <c r="L262" s="130"/>
      <c r="N262" s="130"/>
    </row>
    <row r="263" spans="2:14" ht="13">
      <c r="B263" s="130"/>
      <c r="C263" s="130"/>
      <c r="D263" s="130"/>
      <c r="E263" s="209"/>
      <c r="F263" s="209"/>
      <c r="G263" s="209"/>
      <c r="I263" s="130"/>
      <c r="J263" s="130"/>
      <c r="K263" s="130"/>
      <c r="L263" s="130"/>
      <c r="N263" s="130"/>
    </row>
    <row r="264" spans="2:14" ht="13">
      <c r="B264" s="130"/>
      <c r="C264" s="130"/>
      <c r="D264" s="130"/>
      <c r="E264" s="209"/>
      <c r="F264" s="209"/>
      <c r="G264" s="209"/>
      <c r="I264" s="130"/>
      <c r="J264" s="130"/>
      <c r="K264" s="130"/>
      <c r="L264" s="130"/>
      <c r="N264" s="130"/>
    </row>
    <row r="265" spans="2:14" ht="13">
      <c r="B265" s="130"/>
      <c r="C265" s="130"/>
      <c r="D265" s="130"/>
      <c r="E265" s="209"/>
      <c r="F265" s="209"/>
      <c r="G265" s="209"/>
      <c r="I265" s="130"/>
      <c r="J265" s="130"/>
      <c r="K265" s="130"/>
      <c r="L265" s="130"/>
      <c r="N265" s="130"/>
    </row>
    <row r="266" spans="2:14" ht="13">
      <c r="B266" s="130"/>
      <c r="C266" s="130"/>
      <c r="D266" s="130"/>
      <c r="E266" s="209"/>
      <c r="F266" s="209"/>
      <c r="G266" s="209"/>
      <c r="I266" s="130"/>
      <c r="J266" s="130"/>
      <c r="K266" s="130"/>
      <c r="L266" s="130"/>
      <c r="N266" s="130"/>
    </row>
    <row r="267" spans="2:14" ht="13">
      <c r="B267" s="130"/>
      <c r="C267" s="130"/>
      <c r="D267" s="130"/>
      <c r="E267" s="209"/>
      <c r="F267" s="209"/>
      <c r="G267" s="209"/>
      <c r="I267" s="130"/>
      <c r="J267" s="130"/>
      <c r="K267" s="130"/>
      <c r="L267" s="130"/>
      <c r="N267" s="130"/>
    </row>
    <row r="268" spans="2:14" ht="13">
      <c r="B268" s="130"/>
      <c r="C268" s="130"/>
      <c r="D268" s="130"/>
      <c r="E268" s="209"/>
      <c r="F268" s="209"/>
      <c r="G268" s="209"/>
      <c r="I268" s="130"/>
      <c r="J268" s="130"/>
      <c r="K268" s="130"/>
      <c r="L268" s="130"/>
      <c r="N268" s="130"/>
    </row>
    <row r="269" spans="2:14" ht="13">
      <c r="B269" s="130"/>
      <c r="C269" s="130"/>
      <c r="D269" s="130"/>
      <c r="E269" s="209"/>
      <c r="F269" s="209"/>
      <c r="G269" s="209"/>
      <c r="I269" s="130"/>
      <c r="J269" s="130"/>
      <c r="K269" s="130"/>
      <c r="L269" s="130"/>
      <c r="N269" s="130"/>
    </row>
    <row r="270" spans="2:14" ht="13">
      <c r="B270" s="130"/>
      <c r="C270" s="130"/>
      <c r="D270" s="130"/>
      <c r="E270" s="209"/>
      <c r="F270" s="209"/>
      <c r="G270" s="209"/>
      <c r="I270" s="130"/>
      <c r="J270" s="130"/>
      <c r="K270" s="130"/>
      <c r="L270" s="130"/>
      <c r="N270" s="130"/>
    </row>
    <row r="271" spans="2:14" ht="13">
      <c r="B271" s="130"/>
      <c r="C271" s="130"/>
      <c r="D271" s="130"/>
      <c r="E271" s="209"/>
      <c r="F271" s="209"/>
      <c r="G271" s="209"/>
      <c r="I271" s="130"/>
      <c r="J271" s="130"/>
      <c r="K271" s="130"/>
      <c r="L271" s="130"/>
      <c r="N271" s="130"/>
    </row>
    <row r="272" spans="2:14" ht="13">
      <c r="B272" s="130"/>
      <c r="C272" s="130"/>
      <c r="D272" s="130"/>
      <c r="E272" s="209"/>
      <c r="F272" s="209"/>
      <c r="G272" s="209"/>
      <c r="I272" s="130"/>
      <c r="J272" s="130"/>
      <c r="K272" s="130"/>
      <c r="L272" s="130"/>
      <c r="N272" s="130"/>
    </row>
    <row r="273" spans="2:14" ht="13">
      <c r="B273" s="130"/>
      <c r="C273" s="130"/>
      <c r="D273" s="130"/>
      <c r="E273" s="209"/>
      <c r="F273" s="209"/>
      <c r="G273" s="209"/>
      <c r="I273" s="130"/>
      <c r="J273" s="130"/>
      <c r="K273" s="130"/>
      <c r="L273" s="130"/>
      <c r="N273" s="130"/>
    </row>
    <row r="274" spans="2:14" ht="13">
      <c r="B274" s="130"/>
      <c r="C274" s="130"/>
      <c r="D274" s="130"/>
      <c r="E274" s="209"/>
      <c r="F274" s="209"/>
      <c r="G274" s="209"/>
      <c r="I274" s="130"/>
      <c r="J274" s="130"/>
      <c r="K274" s="130"/>
      <c r="L274" s="130"/>
      <c r="N274" s="130"/>
    </row>
    <row r="275" spans="2:14" ht="13">
      <c r="B275" s="130"/>
      <c r="C275" s="130"/>
      <c r="D275" s="130"/>
      <c r="E275" s="209"/>
      <c r="F275" s="209"/>
      <c r="G275" s="209"/>
      <c r="I275" s="130"/>
      <c r="J275" s="130"/>
      <c r="K275" s="130"/>
      <c r="L275" s="130"/>
      <c r="N275" s="130"/>
    </row>
    <row r="276" spans="2:14" ht="13">
      <c r="B276" s="130"/>
      <c r="C276" s="130"/>
      <c r="D276" s="130"/>
      <c r="E276" s="209"/>
      <c r="F276" s="209"/>
      <c r="G276" s="209"/>
      <c r="I276" s="130"/>
      <c r="J276" s="130"/>
      <c r="K276" s="130"/>
      <c r="L276" s="130"/>
      <c r="N276" s="130"/>
    </row>
    <row r="277" spans="2:14" ht="13">
      <c r="B277" s="130"/>
      <c r="C277" s="130"/>
      <c r="D277" s="130"/>
      <c r="E277" s="209"/>
      <c r="F277" s="209"/>
      <c r="G277" s="209"/>
      <c r="I277" s="130"/>
      <c r="J277" s="130"/>
      <c r="K277" s="130"/>
      <c r="L277" s="130"/>
      <c r="N277" s="130"/>
    </row>
    <row r="278" spans="2:14" ht="13">
      <c r="B278" s="130"/>
      <c r="C278" s="130"/>
      <c r="D278" s="130"/>
      <c r="E278" s="209"/>
      <c r="F278" s="209"/>
      <c r="G278" s="209"/>
      <c r="I278" s="130"/>
      <c r="J278" s="130"/>
      <c r="K278" s="130"/>
      <c r="L278" s="130"/>
      <c r="N278" s="130"/>
    </row>
    <row r="279" spans="2:14" ht="13">
      <c r="B279" s="130"/>
      <c r="C279" s="130"/>
      <c r="D279" s="130"/>
      <c r="E279" s="209"/>
      <c r="F279" s="209"/>
      <c r="G279" s="209"/>
      <c r="I279" s="130"/>
      <c r="J279" s="130"/>
      <c r="K279" s="130"/>
      <c r="L279" s="130"/>
      <c r="N279" s="130"/>
    </row>
    <row r="280" spans="2:14" ht="13">
      <c r="B280" s="130"/>
      <c r="C280" s="130"/>
      <c r="D280" s="130"/>
      <c r="E280" s="209"/>
      <c r="F280" s="209"/>
      <c r="G280" s="209"/>
      <c r="I280" s="130"/>
      <c r="J280" s="130"/>
      <c r="K280" s="130"/>
      <c r="L280" s="130"/>
      <c r="N280" s="130"/>
    </row>
    <row r="281" spans="2:14" ht="13">
      <c r="B281" s="130"/>
      <c r="C281" s="130"/>
      <c r="D281" s="130"/>
      <c r="E281" s="209"/>
      <c r="F281" s="209"/>
      <c r="G281" s="209"/>
      <c r="I281" s="130"/>
      <c r="J281" s="130"/>
      <c r="K281" s="130"/>
      <c r="L281" s="130"/>
      <c r="N281" s="130"/>
    </row>
    <row r="282" spans="2:14" ht="13">
      <c r="B282" s="130"/>
      <c r="C282" s="130"/>
      <c r="D282" s="130"/>
      <c r="E282" s="209"/>
      <c r="F282" s="209"/>
      <c r="G282" s="209"/>
      <c r="I282" s="130"/>
      <c r="J282" s="130"/>
      <c r="K282" s="130"/>
      <c r="L282" s="130"/>
      <c r="N282" s="130"/>
    </row>
    <row r="283" spans="2:14" ht="13">
      <c r="B283" s="130"/>
      <c r="C283" s="130"/>
      <c r="D283" s="130"/>
      <c r="E283" s="209"/>
      <c r="F283" s="209"/>
      <c r="G283" s="209"/>
      <c r="I283" s="130"/>
      <c r="J283" s="130"/>
      <c r="K283" s="130"/>
      <c r="L283" s="130"/>
      <c r="N283" s="130"/>
    </row>
    <row r="284" spans="2:14" ht="13">
      <c r="B284" s="130"/>
      <c r="C284" s="130"/>
      <c r="D284" s="130"/>
      <c r="E284" s="209"/>
      <c r="F284" s="209"/>
      <c r="G284" s="209"/>
      <c r="I284" s="130"/>
      <c r="J284" s="130"/>
      <c r="K284" s="130"/>
      <c r="L284" s="130"/>
      <c r="N284" s="130"/>
    </row>
    <row r="285" spans="2:14" ht="13">
      <c r="B285" s="130"/>
      <c r="C285" s="130"/>
      <c r="D285" s="130"/>
      <c r="E285" s="209"/>
      <c r="F285" s="209"/>
      <c r="G285" s="209"/>
      <c r="I285" s="130"/>
      <c r="J285" s="130"/>
      <c r="K285" s="130"/>
      <c r="L285" s="130"/>
      <c r="N285" s="130"/>
    </row>
    <row r="286" spans="2:14" ht="13">
      <c r="B286" s="130"/>
      <c r="C286" s="130"/>
      <c r="D286" s="130"/>
      <c r="E286" s="209"/>
      <c r="F286" s="209"/>
      <c r="G286" s="209"/>
      <c r="I286" s="130"/>
      <c r="J286" s="130"/>
      <c r="K286" s="130"/>
      <c r="L286" s="130"/>
      <c r="N286" s="130"/>
    </row>
    <row r="287" spans="2:14" ht="13">
      <c r="B287" s="130"/>
      <c r="C287" s="130"/>
      <c r="D287" s="130"/>
      <c r="E287" s="209"/>
      <c r="F287" s="209"/>
      <c r="G287" s="209"/>
      <c r="I287" s="130"/>
      <c r="J287" s="130"/>
      <c r="K287" s="130"/>
      <c r="L287" s="130"/>
      <c r="N287" s="130"/>
    </row>
    <row r="288" spans="2:14" ht="13">
      <c r="B288" s="130"/>
      <c r="C288" s="130"/>
      <c r="D288" s="130"/>
      <c r="E288" s="209"/>
      <c r="F288" s="209"/>
      <c r="G288" s="209"/>
      <c r="I288" s="130"/>
      <c r="J288" s="130"/>
      <c r="K288" s="130"/>
      <c r="L288" s="130"/>
      <c r="N288" s="130"/>
    </row>
    <row r="289" spans="2:14" ht="13">
      <c r="B289" s="130"/>
      <c r="C289" s="130"/>
      <c r="D289" s="130"/>
      <c r="E289" s="209"/>
      <c r="F289" s="209"/>
      <c r="G289" s="209"/>
      <c r="I289" s="130"/>
      <c r="J289" s="130"/>
      <c r="K289" s="130"/>
      <c r="L289" s="130"/>
      <c r="N289" s="130"/>
    </row>
    <row r="290" spans="2:14" ht="13">
      <c r="B290" s="130"/>
      <c r="C290" s="130"/>
      <c r="D290" s="130"/>
      <c r="E290" s="209"/>
      <c r="F290" s="209"/>
      <c r="G290" s="209"/>
      <c r="I290" s="130"/>
      <c r="J290" s="130"/>
      <c r="K290" s="130"/>
      <c r="L290" s="130"/>
      <c r="N290" s="130"/>
    </row>
    <row r="291" spans="2:14" ht="13">
      <c r="B291" s="130"/>
      <c r="C291" s="130"/>
      <c r="D291" s="130"/>
      <c r="E291" s="209"/>
      <c r="F291" s="209"/>
      <c r="G291" s="209"/>
      <c r="I291" s="130"/>
      <c r="J291" s="130"/>
      <c r="K291" s="130"/>
      <c r="L291" s="130"/>
      <c r="N291" s="130"/>
    </row>
    <row r="292" spans="2:14" ht="13">
      <c r="B292" s="130"/>
      <c r="C292" s="130"/>
      <c r="D292" s="130"/>
      <c r="E292" s="209"/>
      <c r="F292" s="209"/>
      <c r="G292" s="209"/>
      <c r="I292" s="130"/>
      <c r="J292" s="130"/>
      <c r="K292" s="130"/>
      <c r="L292" s="130"/>
      <c r="N292" s="130"/>
    </row>
    <row r="293" spans="2:14" ht="13">
      <c r="B293" s="130"/>
      <c r="C293" s="130"/>
      <c r="D293" s="130"/>
      <c r="E293" s="209"/>
      <c r="F293" s="209"/>
      <c r="G293" s="209"/>
      <c r="I293" s="130"/>
      <c r="J293" s="130"/>
      <c r="K293" s="130"/>
      <c r="L293" s="130"/>
      <c r="N293" s="130"/>
    </row>
    <row r="294" spans="2:14" ht="13">
      <c r="B294" s="130"/>
      <c r="C294" s="130"/>
      <c r="D294" s="130"/>
      <c r="E294" s="209"/>
      <c r="F294" s="209"/>
      <c r="G294" s="209"/>
      <c r="I294" s="130"/>
      <c r="J294" s="130"/>
      <c r="K294" s="130"/>
      <c r="L294" s="130"/>
      <c r="N294" s="130"/>
    </row>
    <row r="295" spans="2:14" ht="13">
      <c r="B295" s="130"/>
      <c r="C295" s="130"/>
      <c r="D295" s="130"/>
      <c r="E295" s="209"/>
      <c r="F295" s="209"/>
      <c r="G295" s="209"/>
      <c r="I295" s="130"/>
      <c r="J295" s="130"/>
      <c r="K295" s="130"/>
      <c r="L295" s="130"/>
      <c r="N295" s="130"/>
    </row>
    <row r="296" spans="2:14" ht="13">
      <c r="B296" s="130"/>
      <c r="C296" s="130"/>
      <c r="D296" s="130"/>
      <c r="E296" s="209"/>
      <c r="F296" s="209"/>
      <c r="G296" s="209"/>
      <c r="I296" s="130"/>
      <c r="J296" s="130"/>
      <c r="K296" s="130"/>
      <c r="L296" s="130"/>
      <c r="N296" s="130"/>
    </row>
    <row r="297" spans="2:14" ht="13">
      <c r="B297" s="130"/>
      <c r="C297" s="130"/>
      <c r="D297" s="130"/>
      <c r="E297" s="209"/>
      <c r="F297" s="209"/>
      <c r="G297" s="209"/>
      <c r="I297" s="130"/>
      <c r="J297" s="130"/>
      <c r="K297" s="130"/>
      <c r="L297" s="130"/>
      <c r="N297" s="130"/>
    </row>
    <row r="298" spans="2:14" ht="13">
      <c r="B298" s="130"/>
      <c r="C298" s="130"/>
      <c r="D298" s="130"/>
      <c r="E298" s="209"/>
      <c r="F298" s="209"/>
      <c r="G298" s="209"/>
      <c r="I298" s="130"/>
      <c r="J298" s="130"/>
      <c r="K298" s="130"/>
      <c r="L298" s="130"/>
      <c r="N298" s="130"/>
    </row>
    <row r="299" spans="2:14" ht="13">
      <c r="B299" s="130"/>
      <c r="C299" s="130"/>
      <c r="D299" s="130"/>
      <c r="E299" s="209"/>
      <c r="F299" s="209"/>
      <c r="G299" s="209"/>
      <c r="I299" s="130"/>
      <c r="J299" s="130"/>
      <c r="K299" s="130"/>
      <c r="L299" s="130"/>
      <c r="N299" s="130"/>
    </row>
    <row r="300" spans="2:14" ht="13">
      <c r="B300" s="130"/>
      <c r="C300" s="130"/>
      <c r="D300" s="130"/>
      <c r="E300" s="209"/>
      <c r="F300" s="209"/>
      <c r="G300" s="209"/>
      <c r="I300" s="130"/>
      <c r="J300" s="130"/>
      <c r="K300" s="130"/>
      <c r="L300" s="130"/>
      <c r="N300" s="130"/>
    </row>
    <row r="301" spans="2:14" ht="13">
      <c r="B301" s="130"/>
      <c r="C301" s="130"/>
      <c r="D301" s="130"/>
      <c r="E301" s="209"/>
      <c r="F301" s="209"/>
      <c r="G301" s="209"/>
      <c r="I301" s="130"/>
      <c r="J301" s="130"/>
      <c r="K301" s="130"/>
      <c r="L301" s="130"/>
      <c r="N301" s="130"/>
    </row>
    <row r="302" spans="2:14" ht="13">
      <c r="B302" s="130"/>
      <c r="C302" s="130"/>
      <c r="D302" s="130"/>
      <c r="E302" s="209"/>
      <c r="F302" s="209"/>
      <c r="G302" s="209"/>
      <c r="I302" s="130"/>
      <c r="J302" s="130"/>
      <c r="K302" s="130"/>
      <c r="L302" s="130"/>
      <c r="N302" s="130"/>
    </row>
    <row r="303" spans="2:14" ht="13">
      <c r="B303" s="130"/>
      <c r="C303" s="130"/>
      <c r="D303" s="130"/>
      <c r="E303" s="209"/>
      <c r="F303" s="209"/>
      <c r="G303" s="209"/>
      <c r="I303" s="130"/>
      <c r="J303" s="130"/>
      <c r="K303" s="130"/>
      <c r="L303" s="130"/>
      <c r="N303" s="130"/>
    </row>
    <row r="304" spans="2:14" ht="13">
      <c r="B304" s="130"/>
      <c r="C304" s="130"/>
      <c r="D304" s="130"/>
      <c r="E304" s="209"/>
      <c r="F304" s="209"/>
      <c r="G304" s="209"/>
      <c r="I304" s="130"/>
      <c r="J304" s="130"/>
      <c r="K304" s="130"/>
      <c r="L304" s="130"/>
      <c r="N304" s="130"/>
    </row>
    <row r="305" spans="2:14" ht="13">
      <c r="B305" s="130"/>
      <c r="C305" s="130"/>
      <c r="D305" s="130"/>
      <c r="E305" s="209"/>
      <c r="F305" s="209"/>
      <c r="G305" s="209"/>
      <c r="I305" s="130"/>
      <c r="J305" s="130"/>
      <c r="K305" s="130"/>
      <c r="L305" s="130"/>
      <c r="N305" s="130"/>
    </row>
    <row r="306" spans="2:14" ht="13">
      <c r="B306" s="130"/>
      <c r="C306" s="130"/>
      <c r="D306" s="130"/>
      <c r="E306" s="209"/>
      <c r="F306" s="209"/>
      <c r="G306" s="209"/>
      <c r="I306" s="130"/>
      <c r="J306" s="130"/>
      <c r="K306" s="130"/>
      <c r="L306" s="130"/>
      <c r="N306" s="130"/>
    </row>
    <row r="307" spans="2:14" ht="13">
      <c r="B307" s="130"/>
      <c r="C307" s="130"/>
      <c r="D307" s="130"/>
      <c r="E307" s="209"/>
      <c r="F307" s="209"/>
      <c r="G307" s="209"/>
      <c r="I307" s="130"/>
      <c r="J307" s="130"/>
      <c r="K307" s="130"/>
      <c r="L307" s="130"/>
      <c r="N307" s="130"/>
    </row>
    <row r="308" spans="2:14" ht="13">
      <c r="B308" s="130"/>
      <c r="C308" s="130"/>
      <c r="D308" s="130"/>
      <c r="E308" s="209"/>
      <c r="F308" s="209"/>
      <c r="G308" s="209"/>
      <c r="I308" s="130"/>
      <c r="J308" s="130"/>
      <c r="K308" s="130"/>
      <c r="L308" s="130"/>
      <c r="N308" s="130"/>
    </row>
    <row r="309" spans="2:14" ht="13">
      <c r="B309" s="130"/>
      <c r="C309" s="130"/>
      <c r="D309" s="130"/>
      <c r="E309" s="209"/>
      <c r="F309" s="209"/>
      <c r="G309" s="209"/>
      <c r="I309" s="130"/>
      <c r="J309" s="130"/>
      <c r="K309" s="130"/>
      <c r="L309" s="130"/>
      <c r="N309" s="130"/>
    </row>
    <row r="310" spans="2:14" ht="13">
      <c r="B310" s="130"/>
      <c r="C310" s="130"/>
      <c r="D310" s="130"/>
      <c r="E310" s="209"/>
      <c r="F310" s="209"/>
      <c r="G310" s="209"/>
      <c r="I310" s="130"/>
      <c r="J310" s="130"/>
      <c r="K310" s="130"/>
      <c r="L310" s="130"/>
      <c r="N310" s="130"/>
    </row>
    <row r="311" spans="2:14" ht="13">
      <c r="B311" s="130"/>
      <c r="C311" s="130"/>
      <c r="D311" s="130"/>
      <c r="E311" s="209"/>
      <c r="F311" s="209"/>
      <c r="G311" s="209"/>
      <c r="I311" s="130"/>
      <c r="J311" s="130"/>
      <c r="K311" s="130"/>
      <c r="L311" s="130"/>
      <c r="N311" s="130"/>
    </row>
    <row r="312" spans="2:14" ht="13">
      <c r="B312" s="130"/>
      <c r="C312" s="130"/>
      <c r="D312" s="130"/>
      <c r="E312" s="209"/>
      <c r="F312" s="209"/>
      <c r="G312" s="209"/>
      <c r="I312" s="130"/>
      <c r="J312" s="130"/>
      <c r="K312" s="130"/>
      <c r="L312" s="130"/>
      <c r="N312" s="130"/>
    </row>
    <row r="313" spans="2:14" ht="13">
      <c r="B313" s="130"/>
      <c r="C313" s="130"/>
      <c r="D313" s="130"/>
      <c r="E313" s="209"/>
      <c r="F313" s="209"/>
      <c r="G313" s="209"/>
      <c r="I313" s="130"/>
      <c r="J313" s="130"/>
      <c r="K313" s="130"/>
      <c r="L313" s="130"/>
      <c r="N313" s="130"/>
    </row>
    <row r="314" spans="2:14" ht="13">
      <c r="B314" s="130"/>
      <c r="C314" s="130"/>
      <c r="D314" s="130"/>
      <c r="E314" s="209"/>
      <c r="F314" s="209"/>
      <c r="G314" s="209"/>
      <c r="I314" s="130"/>
      <c r="J314" s="130"/>
      <c r="K314" s="130"/>
      <c r="L314" s="130"/>
      <c r="N314" s="130"/>
    </row>
    <row r="315" spans="2:14" ht="13">
      <c r="B315" s="130"/>
      <c r="C315" s="130"/>
      <c r="D315" s="130"/>
      <c r="E315" s="209"/>
      <c r="F315" s="209"/>
      <c r="G315" s="209"/>
      <c r="I315" s="130"/>
      <c r="J315" s="130"/>
      <c r="K315" s="130"/>
      <c r="L315" s="130"/>
      <c r="N315" s="130"/>
    </row>
    <row r="316" spans="2:14" ht="13">
      <c r="B316" s="130"/>
      <c r="C316" s="130"/>
      <c r="D316" s="130"/>
      <c r="E316" s="209"/>
      <c r="F316" s="209"/>
      <c r="G316" s="209"/>
      <c r="I316" s="130"/>
      <c r="J316" s="130"/>
      <c r="K316" s="130"/>
      <c r="L316" s="130"/>
      <c r="N316" s="130"/>
    </row>
    <row r="317" spans="2:14" ht="13">
      <c r="B317" s="130"/>
      <c r="C317" s="130"/>
      <c r="D317" s="130"/>
      <c r="E317" s="209"/>
      <c r="F317" s="209"/>
      <c r="G317" s="209"/>
      <c r="I317" s="130"/>
      <c r="J317" s="130"/>
      <c r="K317" s="130"/>
      <c r="L317" s="130"/>
      <c r="N317" s="130"/>
    </row>
    <row r="318" spans="2:14" ht="13">
      <c r="B318" s="130"/>
      <c r="C318" s="130"/>
      <c r="D318" s="130"/>
      <c r="E318" s="209"/>
      <c r="F318" s="209"/>
      <c r="G318" s="209"/>
      <c r="I318" s="130"/>
      <c r="J318" s="130"/>
      <c r="K318" s="130"/>
      <c r="L318" s="130"/>
      <c r="N318" s="130"/>
    </row>
    <row r="319" spans="2:14" ht="13">
      <c r="B319" s="130"/>
      <c r="C319" s="130"/>
      <c r="D319" s="130"/>
      <c r="E319" s="209"/>
      <c r="F319" s="209"/>
      <c r="G319" s="209"/>
      <c r="I319" s="130"/>
      <c r="J319" s="130"/>
      <c r="K319" s="130"/>
      <c r="L319" s="130"/>
      <c r="N319" s="130"/>
    </row>
    <row r="320" spans="2:14" ht="13">
      <c r="B320" s="130"/>
      <c r="C320" s="130"/>
      <c r="D320" s="130"/>
      <c r="E320" s="209"/>
      <c r="F320" s="209"/>
      <c r="G320" s="209"/>
      <c r="I320" s="130"/>
      <c r="J320" s="130"/>
      <c r="K320" s="130"/>
      <c r="L320" s="130"/>
      <c r="N320" s="130"/>
    </row>
    <row r="321" spans="2:14" ht="13">
      <c r="B321" s="130"/>
      <c r="C321" s="130"/>
      <c r="D321" s="130"/>
      <c r="E321" s="209"/>
      <c r="F321" s="209"/>
      <c r="G321" s="209"/>
      <c r="I321" s="130"/>
      <c r="J321" s="130"/>
      <c r="K321" s="130"/>
      <c r="L321" s="130"/>
      <c r="N321" s="130"/>
    </row>
    <row r="322" spans="2:14" ht="13">
      <c r="B322" s="130"/>
      <c r="C322" s="130"/>
      <c r="D322" s="130"/>
      <c r="E322" s="209"/>
      <c r="F322" s="209"/>
      <c r="G322" s="209"/>
      <c r="I322" s="130"/>
      <c r="J322" s="130"/>
      <c r="K322" s="130"/>
      <c r="L322" s="130"/>
      <c r="N322" s="130"/>
    </row>
    <row r="323" spans="2:14" ht="13">
      <c r="B323" s="130"/>
      <c r="C323" s="130"/>
      <c r="D323" s="130"/>
      <c r="E323" s="209"/>
      <c r="F323" s="209"/>
      <c r="G323" s="209"/>
      <c r="I323" s="130"/>
      <c r="J323" s="130"/>
      <c r="K323" s="130"/>
      <c r="L323" s="130"/>
      <c r="N323" s="130"/>
    </row>
    <row r="324" spans="2:14" ht="13">
      <c r="B324" s="130"/>
      <c r="C324" s="130"/>
      <c r="D324" s="130"/>
      <c r="E324" s="209"/>
      <c r="F324" s="209"/>
      <c r="G324" s="209"/>
      <c r="I324" s="130"/>
      <c r="J324" s="130"/>
      <c r="K324" s="130"/>
      <c r="L324" s="130"/>
      <c r="N324" s="130"/>
    </row>
    <row r="325" spans="2:14" ht="13">
      <c r="B325" s="130"/>
      <c r="C325" s="130"/>
      <c r="D325" s="130"/>
      <c r="E325" s="209"/>
      <c r="F325" s="209"/>
      <c r="G325" s="209"/>
      <c r="I325" s="130"/>
      <c r="J325" s="130"/>
      <c r="K325" s="130"/>
      <c r="L325" s="130"/>
      <c r="N325" s="130"/>
    </row>
    <row r="326" spans="2:14" ht="13">
      <c r="B326" s="130"/>
      <c r="C326" s="130"/>
      <c r="D326" s="130"/>
      <c r="E326" s="209"/>
      <c r="F326" s="209"/>
      <c r="G326" s="209"/>
      <c r="I326" s="130"/>
      <c r="J326" s="130"/>
      <c r="K326" s="130"/>
      <c r="L326" s="130"/>
      <c r="N326" s="130"/>
    </row>
    <row r="327" spans="2:14" ht="13">
      <c r="B327" s="130"/>
      <c r="C327" s="130"/>
      <c r="D327" s="130"/>
      <c r="E327" s="209"/>
      <c r="F327" s="209"/>
      <c r="G327" s="209"/>
      <c r="I327" s="130"/>
      <c r="J327" s="130"/>
      <c r="K327" s="130"/>
      <c r="L327" s="130"/>
      <c r="N327" s="130"/>
    </row>
    <row r="328" spans="2:14" ht="13">
      <c r="B328" s="130"/>
      <c r="C328" s="130"/>
      <c r="D328" s="130"/>
      <c r="E328" s="209"/>
      <c r="F328" s="209"/>
      <c r="G328" s="209"/>
      <c r="I328" s="130"/>
      <c r="J328" s="130"/>
      <c r="K328" s="130"/>
      <c r="L328" s="130"/>
      <c r="N328" s="130"/>
    </row>
    <row r="329" spans="2:14" ht="13">
      <c r="B329" s="130"/>
      <c r="C329" s="130"/>
      <c r="D329" s="130"/>
      <c r="E329" s="209"/>
      <c r="F329" s="209"/>
      <c r="G329" s="209"/>
      <c r="I329" s="130"/>
      <c r="J329" s="130"/>
      <c r="K329" s="130"/>
      <c r="L329" s="130"/>
      <c r="N329" s="130"/>
    </row>
    <row r="330" spans="2:14" ht="13">
      <c r="B330" s="130"/>
      <c r="C330" s="130"/>
      <c r="D330" s="130"/>
      <c r="E330" s="209"/>
      <c r="F330" s="209"/>
      <c r="G330" s="209"/>
      <c r="I330" s="130"/>
      <c r="J330" s="130"/>
      <c r="K330" s="130"/>
      <c r="L330" s="130"/>
      <c r="N330" s="130"/>
    </row>
    <row r="331" spans="2:14" ht="13">
      <c r="B331" s="130"/>
      <c r="C331" s="130"/>
      <c r="D331" s="130"/>
      <c r="E331" s="209"/>
      <c r="F331" s="209"/>
      <c r="G331" s="209"/>
      <c r="I331" s="130"/>
      <c r="J331" s="130"/>
      <c r="K331" s="130"/>
      <c r="L331" s="130"/>
      <c r="N331" s="130"/>
    </row>
    <row r="332" spans="2:14" ht="13">
      <c r="B332" s="130"/>
      <c r="C332" s="130"/>
      <c r="D332" s="130"/>
      <c r="E332" s="209"/>
      <c r="F332" s="209"/>
      <c r="G332" s="209"/>
      <c r="I332" s="130"/>
      <c r="J332" s="130"/>
      <c r="K332" s="130"/>
      <c r="L332" s="130"/>
      <c r="N332" s="130"/>
    </row>
    <row r="333" spans="2:14" ht="13">
      <c r="B333" s="130"/>
      <c r="C333" s="130"/>
      <c r="D333" s="130"/>
      <c r="E333" s="209"/>
      <c r="F333" s="209"/>
      <c r="G333" s="209"/>
      <c r="I333" s="130"/>
      <c r="J333" s="130"/>
      <c r="K333" s="130"/>
      <c r="L333" s="130"/>
      <c r="N333" s="130"/>
    </row>
    <row r="334" spans="2:14" ht="13">
      <c r="B334" s="130"/>
      <c r="C334" s="130"/>
      <c r="D334" s="130"/>
      <c r="E334" s="209"/>
      <c r="F334" s="209"/>
      <c r="G334" s="209"/>
      <c r="I334" s="130"/>
      <c r="J334" s="130"/>
      <c r="K334" s="130"/>
      <c r="L334" s="130"/>
      <c r="N334" s="130"/>
    </row>
    <row r="335" spans="2:14" ht="13">
      <c r="B335" s="130"/>
      <c r="C335" s="130"/>
      <c r="D335" s="130"/>
      <c r="E335" s="209"/>
      <c r="F335" s="209"/>
      <c r="G335" s="209"/>
      <c r="I335" s="130"/>
      <c r="J335" s="130"/>
      <c r="K335" s="130"/>
      <c r="L335" s="130"/>
      <c r="N335" s="130"/>
    </row>
    <row r="336" spans="2:14" ht="13">
      <c r="B336" s="130"/>
      <c r="C336" s="130"/>
      <c r="D336" s="130"/>
      <c r="E336" s="209"/>
      <c r="F336" s="209"/>
      <c r="G336" s="209"/>
      <c r="I336" s="130"/>
      <c r="J336" s="130"/>
      <c r="K336" s="130"/>
      <c r="L336" s="130"/>
      <c r="N336" s="130"/>
    </row>
    <row r="337" spans="2:14" ht="13">
      <c r="B337" s="130"/>
      <c r="C337" s="130"/>
      <c r="D337" s="130"/>
      <c r="E337" s="209"/>
      <c r="F337" s="209"/>
      <c r="G337" s="209"/>
      <c r="I337" s="130"/>
      <c r="J337" s="130"/>
      <c r="K337" s="130"/>
      <c r="L337" s="130"/>
      <c r="N337" s="130"/>
    </row>
    <row r="338" spans="2:14" ht="13">
      <c r="B338" s="130"/>
      <c r="C338" s="130"/>
      <c r="D338" s="130"/>
      <c r="E338" s="209"/>
      <c r="F338" s="209"/>
      <c r="G338" s="209"/>
      <c r="I338" s="130"/>
      <c r="J338" s="130"/>
      <c r="K338" s="130"/>
      <c r="L338" s="130"/>
      <c r="N338" s="130"/>
    </row>
    <row r="339" spans="2:14" ht="13">
      <c r="B339" s="130"/>
      <c r="C339" s="130"/>
      <c r="D339" s="130"/>
      <c r="E339" s="209"/>
      <c r="F339" s="209"/>
      <c r="G339" s="209"/>
      <c r="I339" s="130"/>
      <c r="J339" s="130"/>
      <c r="K339" s="130"/>
      <c r="L339" s="130"/>
      <c r="N339" s="130"/>
    </row>
    <row r="340" spans="2:14" ht="13">
      <c r="B340" s="130"/>
      <c r="C340" s="130"/>
      <c r="D340" s="130"/>
      <c r="E340" s="209"/>
      <c r="F340" s="209"/>
      <c r="G340" s="209"/>
      <c r="I340" s="130"/>
      <c r="J340" s="130"/>
      <c r="K340" s="130"/>
      <c r="L340" s="130"/>
      <c r="N340" s="130"/>
    </row>
    <row r="341" spans="2:14" ht="13">
      <c r="B341" s="130"/>
      <c r="C341" s="130"/>
      <c r="D341" s="130"/>
      <c r="E341" s="209"/>
      <c r="F341" s="209"/>
      <c r="G341" s="209"/>
      <c r="I341" s="130"/>
      <c r="J341" s="130"/>
      <c r="K341" s="130"/>
      <c r="L341" s="130"/>
      <c r="N341" s="130"/>
    </row>
    <row r="342" spans="2:14" ht="13">
      <c r="B342" s="130"/>
      <c r="C342" s="130"/>
      <c r="D342" s="130"/>
      <c r="E342" s="209"/>
      <c r="F342" s="209"/>
      <c r="G342" s="209"/>
      <c r="I342" s="130"/>
      <c r="J342" s="130"/>
      <c r="K342" s="130"/>
      <c r="L342" s="130"/>
      <c r="N342" s="130"/>
    </row>
    <row r="343" spans="2:14" ht="13">
      <c r="B343" s="130"/>
      <c r="C343" s="130"/>
      <c r="D343" s="130"/>
      <c r="E343" s="209"/>
      <c r="F343" s="209"/>
      <c r="G343" s="209"/>
      <c r="I343" s="130"/>
      <c r="J343" s="130"/>
      <c r="K343" s="130"/>
      <c r="L343" s="130"/>
      <c r="N343" s="130"/>
    </row>
    <row r="344" spans="2:14" ht="13">
      <c r="B344" s="130"/>
      <c r="C344" s="130"/>
      <c r="D344" s="130"/>
      <c r="E344" s="209"/>
      <c r="F344" s="209"/>
      <c r="G344" s="209"/>
      <c r="I344" s="130"/>
      <c r="J344" s="130"/>
      <c r="K344" s="130"/>
      <c r="L344" s="130"/>
      <c r="N344" s="130"/>
    </row>
    <row r="345" spans="2:14" ht="13">
      <c r="B345" s="130"/>
      <c r="C345" s="130"/>
      <c r="D345" s="130"/>
      <c r="E345" s="209"/>
      <c r="F345" s="209"/>
      <c r="G345" s="209"/>
      <c r="I345" s="130"/>
      <c r="J345" s="130"/>
      <c r="K345" s="130"/>
      <c r="L345" s="130"/>
      <c r="N345" s="130"/>
    </row>
    <row r="346" spans="2:14" ht="13">
      <c r="B346" s="130"/>
      <c r="C346" s="130"/>
      <c r="D346" s="130"/>
      <c r="E346" s="209"/>
      <c r="F346" s="209"/>
      <c r="G346" s="209"/>
      <c r="I346" s="130"/>
      <c r="J346" s="130"/>
      <c r="K346" s="130"/>
      <c r="L346" s="130"/>
      <c r="N346" s="130"/>
    </row>
    <row r="347" spans="2:14" ht="13">
      <c r="B347" s="130"/>
      <c r="C347" s="130"/>
      <c r="D347" s="130"/>
      <c r="E347" s="209"/>
      <c r="F347" s="209"/>
      <c r="G347" s="209"/>
      <c r="I347" s="130"/>
      <c r="J347" s="130"/>
      <c r="K347" s="130"/>
      <c r="L347" s="130"/>
      <c r="N347" s="130"/>
    </row>
    <row r="348" spans="2:14" ht="13">
      <c r="B348" s="130"/>
      <c r="C348" s="130"/>
      <c r="D348" s="130"/>
      <c r="E348" s="209"/>
      <c r="F348" s="209"/>
      <c r="G348" s="209"/>
      <c r="I348" s="130"/>
      <c r="J348" s="130"/>
      <c r="K348" s="130"/>
      <c r="L348" s="130"/>
      <c r="N348" s="130"/>
    </row>
    <row r="349" spans="2:14" ht="13">
      <c r="B349" s="130"/>
      <c r="C349" s="130"/>
      <c r="D349" s="130"/>
      <c r="E349" s="209"/>
      <c r="F349" s="209"/>
      <c r="G349" s="209"/>
      <c r="I349" s="130"/>
      <c r="J349" s="130"/>
      <c r="K349" s="130"/>
      <c r="L349" s="130"/>
      <c r="N349" s="130"/>
    </row>
    <row r="350" spans="2:14" ht="13">
      <c r="B350" s="130"/>
      <c r="C350" s="130"/>
      <c r="D350" s="130"/>
      <c r="E350" s="209"/>
      <c r="F350" s="209"/>
      <c r="G350" s="209"/>
      <c r="I350" s="130"/>
      <c r="J350" s="130"/>
      <c r="K350" s="130"/>
      <c r="L350" s="130"/>
      <c r="N350" s="130"/>
    </row>
    <row r="351" spans="2:14" ht="13">
      <c r="B351" s="130"/>
      <c r="C351" s="130"/>
      <c r="D351" s="130"/>
      <c r="E351" s="209"/>
      <c r="F351" s="209"/>
      <c r="G351" s="209"/>
      <c r="I351" s="130"/>
      <c r="J351" s="130"/>
      <c r="K351" s="130"/>
      <c r="L351" s="130"/>
      <c r="N351" s="130"/>
    </row>
    <row r="352" spans="2:14" ht="13">
      <c r="B352" s="130"/>
      <c r="C352" s="130"/>
      <c r="D352" s="130"/>
      <c r="E352" s="209"/>
      <c r="F352" s="209"/>
      <c r="G352" s="209"/>
      <c r="I352" s="130"/>
      <c r="J352" s="130"/>
      <c r="K352" s="130"/>
      <c r="L352" s="130"/>
      <c r="N352" s="130"/>
    </row>
    <row r="353" spans="2:14" ht="13">
      <c r="B353" s="130"/>
      <c r="C353" s="130"/>
      <c r="D353" s="130"/>
      <c r="E353" s="209"/>
      <c r="F353" s="209"/>
      <c r="G353" s="209"/>
      <c r="I353" s="130"/>
      <c r="J353" s="130"/>
      <c r="K353" s="130"/>
      <c r="L353" s="130"/>
      <c r="N353" s="130"/>
    </row>
    <row r="354" spans="2:14" ht="13">
      <c r="B354" s="130"/>
      <c r="C354" s="130"/>
      <c r="D354" s="130"/>
      <c r="E354" s="209"/>
      <c r="F354" s="209"/>
      <c r="G354" s="209"/>
      <c r="I354" s="130"/>
      <c r="J354" s="130"/>
      <c r="K354" s="130"/>
      <c r="L354" s="130"/>
      <c r="N354" s="130"/>
    </row>
    <row r="355" spans="2:14" ht="13">
      <c r="B355" s="130"/>
      <c r="C355" s="130"/>
      <c r="D355" s="130"/>
      <c r="E355" s="209"/>
      <c r="F355" s="209"/>
      <c r="G355" s="209"/>
      <c r="I355" s="130"/>
      <c r="J355" s="130"/>
      <c r="K355" s="130"/>
      <c r="L355" s="130"/>
      <c r="N355" s="130"/>
    </row>
    <row r="356" spans="2:14" ht="13">
      <c r="B356" s="130"/>
      <c r="C356" s="130"/>
      <c r="D356" s="130"/>
      <c r="E356" s="209"/>
      <c r="F356" s="209"/>
      <c r="G356" s="209"/>
      <c r="I356" s="130"/>
      <c r="J356" s="130"/>
      <c r="K356" s="130"/>
      <c r="L356" s="130"/>
      <c r="N356" s="130"/>
    </row>
    <row r="357" spans="2:14" ht="13">
      <c r="B357" s="130"/>
      <c r="C357" s="130"/>
      <c r="D357" s="130"/>
      <c r="E357" s="209"/>
      <c r="F357" s="209"/>
      <c r="G357" s="209"/>
      <c r="I357" s="130"/>
      <c r="J357" s="130"/>
      <c r="K357" s="130"/>
      <c r="L357" s="130"/>
      <c r="N357" s="130"/>
    </row>
    <row r="358" spans="2:14" ht="13">
      <c r="B358" s="130"/>
      <c r="C358" s="130"/>
      <c r="D358" s="130"/>
      <c r="E358" s="209"/>
      <c r="F358" s="209"/>
      <c r="G358" s="209"/>
      <c r="I358" s="130"/>
      <c r="J358" s="130"/>
      <c r="K358" s="130"/>
      <c r="L358" s="130"/>
      <c r="N358" s="130"/>
    </row>
    <row r="359" spans="2:14" ht="13">
      <c r="B359" s="130"/>
      <c r="C359" s="130"/>
      <c r="D359" s="130"/>
      <c r="E359" s="209"/>
      <c r="F359" s="209"/>
      <c r="G359" s="209"/>
      <c r="I359" s="130"/>
      <c r="J359" s="130"/>
      <c r="K359" s="130"/>
      <c r="L359" s="130"/>
      <c r="N359" s="130"/>
    </row>
    <row r="360" spans="2:14" ht="13">
      <c r="B360" s="130"/>
      <c r="C360" s="130"/>
      <c r="D360" s="130"/>
      <c r="E360" s="209"/>
      <c r="F360" s="209"/>
      <c r="G360" s="209"/>
      <c r="I360" s="130"/>
      <c r="J360" s="130"/>
      <c r="K360" s="130"/>
      <c r="L360" s="130"/>
      <c r="N360" s="130"/>
    </row>
    <row r="361" spans="2:14" ht="13">
      <c r="B361" s="130"/>
      <c r="C361" s="130"/>
      <c r="D361" s="130"/>
      <c r="E361" s="209"/>
      <c r="F361" s="209"/>
      <c r="G361" s="209"/>
      <c r="I361" s="130"/>
      <c r="J361" s="130"/>
      <c r="K361" s="130"/>
      <c r="L361" s="130"/>
      <c r="N361" s="130"/>
    </row>
    <row r="362" spans="2:14" ht="13">
      <c r="B362" s="130"/>
      <c r="C362" s="130"/>
      <c r="D362" s="130"/>
      <c r="E362" s="209"/>
      <c r="F362" s="209"/>
      <c r="G362" s="209"/>
      <c r="I362" s="130"/>
      <c r="J362" s="130"/>
      <c r="K362" s="130"/>
      <c r="L362" s="130"/>
      <c r="N362" s="130"/>
    </row>
    <row r="363" spans="2:14" ht="13">
      <c r="B363" s="130"/>
      <c r="C363" s="130"/>
      <c r="D363" s="130"/>
      <c r="E363" s="209"/>
      <c r="F363" s="209"/>
      <c r="G363" s="209"/>
      <c r="I363" s="130"/>
      <c r="J363" s="130"/>
      <c r="K363" s="130"/>
      <c r="L363" s="130"/>
      <c r="N363" s="130"/>
    </row>
    <row r="364" spans="2:14" ht="13">
      <c r="B364" s="130"/>
      <c r="C364" s="130"/>
      <c r="D364" s="130"/>
      <c r="E364" s="209"/>
      <c r="F364" s="209"/>
      <c r="G364" s="209"/>
      <c r="I364" s="130"/>
      <c r="J364" s="130"/>
      <c r="K364" s="130"/>
      <c r="L364" s="130"/>
      <c r="N364" s="130"/>
    </row>
    <row r="365" spans="2:14" ht="13">
      <c r="B365" s="130"/>
      <c r="C365" s="130"/>
      <c r="D365" s="130"/>
      <c r="E365" s="209"/>
      <c r="F365" s="209"/>
      <c r="G365" s="209"/>
      <c r="I365" s="130"/>
      <c r="J365" s="130"/>
      <c r="K365" s="130"/>
      <c r="L365" s="130"/>
      <c r="N365" s="130"/>
    </row>
    <row r="366" spans="2:14" ht="13">
      <c r="B366" s="130"/>
      <c r="C366" s="130"/>
      <c r="D366" s="130"/>
      <c r="E366" s="209"/>
      <c r="F366" s="209"/>
      <c r="G366" s="209"/>
      <c r="I366" s="130"/>
      <c r="J366" s="130"/>
      <c r="K366" s="130"/>
      <c r="L366" s="130"/>
      <c r="N366" s="130"/>
    </row>
    <row r="367" spans="2:14" ht="13">
      <c r="B367" s="130"/>
      <c r="C367" s="130"/>
      <c r="D367" s="130"/>
      <c r="E367" s="209"/>
      <c r="F367" s="209"/>
      <c r="G367" s="209"/>
      <c r="I367" s="130"/>
      <c r="J367" s="130"/>
      <c r="K367" s="130"/>
      <c r="L367" s="130"/>
      <c r="N367" s="130"/>
    </row>
    <row r="368" spans="2:14" ht="13">
      <c r="B368" s="130"/>
      <c r="C368" s="130"/>
      <c r="D368" s="130"/>
      <c r="E368" s="209"/>
      <c r="F368" s="209"/>
      <c r="G368" s="209"/>
      <c r="I368" s="130"/>
      <c r="J368" s="130"/>
      <c r="K368" s="130"/>
      <c r="L368" s="130"/>
      <c r="N368" s="130"/>
    </row>
    <row r="369" spans="2:14" ht="13">
      <c r="B369" s="130"/>
      <c r="C369" s="130"/>
      <c r="D369" s="130"/>
      <c r="E369" s="209"/>
      <c r="F369" s="209"/>
      <c r="G369" s="209"/>
      <c r="I369" s="130"/>
      <c r="J369" s="130"/>
      <c r="K369" s="130"/>
      <c r="L369" s="130"/>
      <c r="N369" s="130"/>
    </row>
    <row r="370" spans="2:14" ht="13">
      <c r="B370" s="130"/>
      <c r="C370" s="130"/>
      <c r="D370" s="130"/>
      <c r="E370" s="209"/>
      <c r="F370" s="209"/>
      <c r="G370" s="209"/>
      <c r="I370" s="130"/>
      <c r="J370" s="130"/>
      <c r="K370" s="130"/>
      <c r="L370" s="130"/>
      <c r="N370" s="130"/>
    </row>
    <row r="371" spans="2:14" ht="13">
      <c r="B371" s="130"/>
      <c r="C371" s="130"/>
      <c r="D371" s="130"/>
      <c r="E371" s="209"/>
      <c r="F371" s="209"/>
      <c r="G371" s="209"/>
      <c r="I371" s="130"/>
      <c r="J371" s="130"/>
      <c r="K371" s="130"/>
      <c r="L371" s="130"/>
      <c r="N371" s="130"/>
    </row>
    <row r="372" spans="2:14" ht="13">
      <c r="B372" s="130"/>
      <c r="C372" s="130"/>
      <c r="D372" s="130"/>
      <c r="E372" s="209"/>
      <c r="F372" s="209"/>
      <c r="G372" s="209"/>
      <c r="I372" s="130"/>
      <c r="J372" s="130"/>
      <c r="K372" s="130"/>
      <c r="L372" s="130"/>
      <c r="N372" s="130"/>
    </row>
    <row r="373" spans="2:14" ht="13">
      <c r="B373" s="130"/>
      <c r="C373" s="130"/>
      <c r="D373" s="130"/>
      <c r="E373" s="209"/>
      <c r="F373" s="209"/>
      <c r="G373" s="209"/>
      <c r="I373" s="130"/>
      <c r="J373" s="130"/>
      <c r="K373" s="130"/>
      <c r="L373" s="130"/>
      <c r="N373" s="130"/>
    </row>
    <row r="374" spans="2:14" ht="13">
      <c r="B374" s="130"/>
      <c r="C374" s="130"/>
      <c r="D374" s="130"/>
      <c r="E374" s="209"/>
      <c r="F374" s="209"/>
      <c r="G374" s="209"/>
      <c r="I374" s="130"/>
      <c r="J374" s="130"/>
      <c r="K374" s="130"/>
      <c r="L374" s="130"/>
      <c r="N374" s="130"/>
    </row>
    <row r="375" spans="2:14" ht="13">
      <c r="B375" s="130"/>
      <c r="C375" s="130"/>
      <c r="D375" s="130"/>
      <c r="E375" s="209"/>
      <c r="F375" s="209"/>
      <c r="G375" s="209"/>
      <c r="I375" s="130"/>
      <c r="J375" s="130"/>
      <c r="K375" s="130"/>
      <c r="L375" s="130"/>
      <c r="N375" s="130"/>
    </row>
    <row r="376" spans="2:14" ht="13">
      <c r="B376" s="130"/>
      <c r="C376" s="130"/>
      <c r="D376" s="130"/>
      <c r="E376" s="209"/>
      <c r="F376" s="209"/>
      <c r="G376" s="209"/>
      <c r="I376" s="130"/>
      <c r="J376" s="130"/>
      <c r="K376" s="130"/>
      <c r="L376" s="130"/>
      <c r="N376" s="130"/>
    </row>
    <row r="377" spans="2:14" ht="13">
      <c r="B377" s="130"/>
      <c r="C377" s="130"/>
      <c r="D377" s="130"/>
      <c r="E377" s="209"/>
      <c r="F377" s="209"/>
      <c r="G377" s="209"/>
      <c r="I377" s="130"/>
      <c r="J377" s="130"/>
      <c r="K377" s="130"/>
      <c r="L377" s="130"/>
      <c r="N377" s="130"/>
    </row>
    <row r="378" spans="2:14" ht="13">
      <c r="B378" s="130"/>
      <c r="C378" s="130"/>
      <c r="D378" s="130"/>
      <c r="E378" s="209"/>
      <c r="F378" s="209"/>
      <c r="G378" s="209"/>
      <c r="I378" s="130"/>
      <c r="J378" s="130"/>
      <c r="K378" s="130"/>
      <c r="L378" s="130"/>
      <c r="N378" s="130"/>
    </row>
    <row r="379" spans="2:14" ht="13">
      <c r="B379" s="130"/>
      <c r="C379" s="130"/>
      <c r="D379" s="130"/>
      <c r="E379" s="209"/>
      <c r="F379" s="209"/>
      <c r="G379" s="209"/>
      <c r="I379" s="130"/>
      <c r="J379" s="130"/>
      <c r="K379" s="130"/>
      <c r="L379" s="130"/>
      <c r="N379" s="130"/>
    </row>
    <row r="380" spans="2:14" ht="13">
      <c r="B380" s="130"/>
      <c r="C380" s="130"/>
      <c r="D380" s="130"/>
      <c r="E380" s="209"/>
      <c r="F380" s="209"/>
      <c r="G380" s="209"/>
      <c r="I380" s="130"/>
      <c r="J380" s="130"/>
      <c r="K380" s="130"/>
      <c r="L380" s="130"/>
      <c r="N380" s="130"/>
    </row>
    <row r="381" spans="2:14" ht="13">
      <c r="B381" s="130"/>
      <c r="C381" s="130"/>
      <c r="D381" s="130"/>
      <c r="E381" s="209"/>
      <c r="F381" s="209"/>
      <c r="G381" s="209"/>
      <c r="I381" s="130"/>
      <c r="J381" s="130"/>
      <c r="K381" s="130"/>
      <c r="L381" s="130"/>
      <c r="N381" s="130"/>
    </row>
    <row r="382" spans="2:14" ht="13">
      <c r="B382" s="130"/>
      <c r="C382" s="130"/>
      <c r="D382" s="130"/>
      <c r="E382" s="209"/>
      <c r="F382" s="209"/>
      <c r="G382" s="209"/>
      <c r="I382" s="130"/>
      <c r="J382" s="130"/>
      <c r="K382" s="130"/>
      <c r="L382" s="130"/>
      <c r="N382" s="130"/>
    </row>
    <row r="383" spans="2:14" ht="13">
      <c r="B383" s="130"/>
      <c r="C383" s="130"/>
      <c r="D383" s="130"/>
      <c r="E383" s="209"/>
      <c r="F383" s="209"/>
      <c r="G383" s="209"/>
      <c r="I383" s="130"/>
      <c r="J383" s="130"/>
      <c r="K383" s="130"/>
      <c r="L383" s="130"/>
      <c r="N383" s="130"/>
    </row>
    <row r="384" spans="2:14" ht="13">
      <c r="B384" s="130"/>
      <c r="C384" s="130"/>
      <c r="D384" s="130"/>
      <c r="E384" s="209"/>
      <c r="F384" s="209"/>
      <c r="G384" s="209"/>
      <c r="I384" s="130"/>
      <c r="J384" s="130"/>
      <c r="K384" s="130"/>
      <c r="L384" s="130"/>
      <c r="N384" s="130"/>
    </row>
    <row r="385" spans="2:14" ht="13">
      <c r="B385" s="130"/>
      <c r="C385" s="130"/>
      <c r="D385" s="130"/>
      <c r="E385" s="209"/>
      <c r="F385" s="209"/>
      <c r="G385" s="209"/>
      <c r="I385" s="130"/>
      <c r="J385" s="130"/>
      <c r="K385" s="130"/>
      <c r="L385" s="130"/>
      <c r="N385" s="130"/>
    </row>
    <row r="386" spans="2:14" ht="13">
      <c r="B386" s="130"/>
      <c r="C386" s="130"/>
      <c r="D386" s="130"/>
      <c r="E386" s="209"/>
      <c r="F386" s="209"/>
      <c r="G386" s="209"/>
      <c r="I386" s="130"/>
      <c r="J386" s="130"/>
      <c r="K386" s="130"/>
      <c r="L386" s="130"/>
      <c r="N386" s="130"/>
    </row>
    <row r="387" spans="2:14" ht="13">
      <c r="B387" s="130"/>
      <c r="C387" s="130"/>
      <c r="D387" s="130"/>
      <c r="E387" s="209"/>
      <c r="F387" s="209"/>
      <c r="G387" s="209"/>
      <c r="I387" s="130"/>
      <c r="J387" s="130"/>
      <c r="K387" s="130"/>
      <c r="L387" s="130"/>
      <c r="N387" s="130"/>
    </row>
    <row r="388" spans="2:14" ht="13">
      <c r="B388" s="130"/>
      <c r="C388" s="130"/>
      <c r="D388" s="130"/>
      <c r="E388" s="209"/>
      <c r="F388" s="209"/>
      <c r="G388" s="209"/>
      <c r="I388" s="130"/>
      <c r="J388" s="130"/>
      <c r="K388" s="130"/>
      <c r="L388" s="130"/>
      <c r="N388" s="130"/>
    </row>
    <row r="389" spans="2:14" ht="13">
      <c r="B389" s="130"/>
      <c r="C389" s="130"/>
      <c r="D389" s="130"/>
      <c r="E389" s="209"/>
      <c r="F389" s="209"/>
      <c r="G389" s="209"/>
      <c r="I389" s="130"/>
      <c r="J389" s="130"/>
      <c r="K389" s="130"/>
      <c r="L389" s="130"/>
      <c r="N389" s="130"/>
    </row>
    <row r="390" spans="2:14" ht="13">
      <c r="B390" s="130"/>
      <c r="C390" s="130"/>
      <c r="D390" s="130"/>
      <c r="E390" s="209"/>
      <c r="F390" s="209"/>
      <c r="G390" s="209"/>
      <c r="I390" s="130"/>
      <c r="J390" s="130"/>
      <c r="K390" s="130"/>
      <c r="L390" s="130"/>
      <c r="N390" s="130"/>
    </row>
    <row r="391" spans="2:14" ht="13">
      <c r="B391" s="130"/>
      <c r="C391" s="130"/>
      <c r="D391" s="130"/>
      <c r="E391" s="209"/>
      <c r="F391" s="209"/>
      <c r="G391" s="209"/>
      <c r="I391" s="130"/>
      <c r="J391" s="130"/>
      <c r="K391" s="130"/>
      <c r="L391" s="130"/>
      <c r="N391" s="130"/>
    </row>
    <row r="392" spans="2:14" ht="13">
      <c r="B392" s="130"/>
      <c r="C392" s="130"/>
      <c r="D392" s="130"/>
      <c r="E392" s="209"/>
      <c r="F392" s="209"/>
      <c r="G392" s="209"/>
      <c r="I392" s="130"/>
      <c r="J392" s="130"/>
      <c r="K392" s="130"/>
      <c r="L392" s="130"/>
      <c r="N392" s="130"/>
    </row>
    <row r="393" spans="2:14" ht="13">
      <c r="B393" s="130"/>
      <c r="C393" s="130"/>
      <c r="D393" s="130"/>
      <c r="E393" s="209"/>
      <c r="F393" s="209"/>
      <c r="G393" s="209"/>
      <c r="I393" s="130"/>
      <c r="J393" s="130"/>
      <c r="K393" s="130"/>
      <c r="L393" s="130"/>
      <c r="N393" s="130"/>
    </row>
    <row r="394" spans="2:14" ht="13">
      <c r="B394" s="130"/>
      <c r="C394" s="130"/>
      <c r="D394" s="130"/>
      <c r="E394" s="209"/>
      <c r="F394" s="209"/>
      <c r="G394" s="209"/>
      <c r="I394" s="130"/>
      <c r="J394" s="130"/>
      <c r="K394" s="130"/>
      <c r="L394" s="130"/>
      <c r="N394" s="130"/>
    </row>
    <row r="395" spans="2:14" ht="13">
      <c r="B395" s="130"/>
      <c r="C395" s="130"/>
      <c r="D395" s="130"/>
      <c r="E395" s="209"/>
      <c r="F395" s="209"/>
      <c r="G395" s="209"/>
      <c r="I395" s="130"/>
      <c r="J395" s="130"/>
      <c r="K395" s="130"/>
      <c r="L395" s="130"/>
      <c r="N395" s="130"/>
    </row>
    <row r="396" spans="2:14" ht="13">
      <c r="B396" s="130"/>
      <c r="C396" s="130"/>
      <c r="D396" s="130"/>
      <c r="E396" s="209"/>
      <c r="F396" s="209"/>
      <c r="G396" s="209"/>
      <c r="I396" s="130"/>
      <c r="J396" s="130"/>
      <c r="K396" s="130"/>
      <c r="L396" s="130"/>
      <c r="N396" s="130"/>
    </row>
    <row r="397" spans="2:14" ht="13">
      <c r="B397" s="130"/>
      <c r="C397" s="130"/>
      <c r="D397" s="130"/>
      <c r="E397" s="209"/>
      <c r="F397" s="209"/>
      <c r="G397" s="209"/>
      <c r="I397" s="130"/>
      <c r="J397" s="130"/>
      <c r="K397" s="130"/>
      <c r="L397" s="130"/>
      <c r="N397" s="130"/>
    </row>
    <row r="398" spans="2:14" ht="13">
      <c r="B398" s="130"/>
      <c r="C398" s="130"/>
      <c r="D398" s="130"/>
      <c r="E398" s="209"/>
      <c r="F398" s="209"/>
      <c r="G398" s="209"/>
      <c r="I398" s="130"/>
      <c r="J398" s="130"/>
      <c r="K398" s="130"/>
      <c r="L398" s="130"/>
      <c r="N398" s="130"/>
    </row>
    <row r="399" spans="2:14" ht="13">
      <c r="B399" s="130"/>
      <c r="C399" s="130"/>
      <c r="D399" s="130"/>
      <c r="E399" s="209"/>
      <c r="F399" s="209"/>
      <c r="G399" s="209"/>
      <c r="I399" s="130"/>
      <c r="J399" s="130"/>
      <c r="K399" s="130"/>
      <c r="L399" s="130"/>
      <c r="N399" s="130"/>
    </row>
    <row r="400" spans="2:14" ht="13">
      <c r="B400" s="130"/>
      <c r="C400" s="130"/>
      <c r="D400" s="130"/>
      <c r="E400" s="209"/>
      <c r="F400" s="209"/>
      <c r="G400" s="209"/>
      <c r="I400" s="130"/>
      <c r="J400" s="130"/>
      <c r="K400" s="130"/>
      <c r="L400" s="130"/>
      <c r="N400" s="130"/>
    </row>
    <row r="401" spans="2:14" ht="13">
      <c r="B401" s="130"/>
      <c r="C401" s="130"/>
      <c r="D401" s="130"/>
      <c r="E401" s="209"/>
      <c r="F401" s="209"/>
      <c r="G401" s="209"/>
      <c r="I401" s="130"/>
      <c r="J401" s="130"/>
      <c r="K401" s="130"/>
      <c r="L401" s="130"/>
      <c r="N401" s="130"/>
    </row>
    <row r="402" spans="2:14" ht="13">
      <c r="B402" s="130"/>
      <c r="C402" s="130"/>
      <c r="D402" s="130"/>
      <c r="E402" s="209"/>
      <c r="F402" s="209"/>
      <c r="G402" s="209"/>
      <c r="I402" s="130"/>
      <c r="J402" s="130"/>
      <c r="K402" s="130"/>
      <c r="L402" s="130"/>
      <c r="N402" s="130"/>
    </row>
    <row r="403" spans="2:14" ht="13">
      <c r="B403" s="130"/>
      <c r="C403" s="130"/>
      <c r="D403" s="130"/>
      <c r="E403" s="209"/>
      <c r="F403" s="209"/>
      <c r="G403" s="209"/>
      <c r="I403" s="130"/>
      <c r="J403" s="130"/>
      <c r="K403" s="130"/>
      <c r="L403" s="130"/>
      <c r="N403" s="130"/>
    </row>
    <row r="404" spans="2:14" ht="13">
      <c r="B404" s="130"/>
      <c r="C404" s="130"/>
      <c r="D404" s="130"/>
      <c r="E404" s="209"/>
      <c r="F404" s="209"/>
      <c r="G404" s="209"/>
      <c r="I404" s="130"/>
      <c r="J404" s="130"/>
      <c r="K404" s="130"/>
      <c r="L404" s="130"/>
      <c r="N404" s="130"/>
    </row>
    <row r="405" spans="2:14" ht="13">
      <c r="B405" s="130"/>
      <c r="C405" s="130"/>
      <c r="D405" s="130"/>
      <c r="E405" s="209"/>
      <c r="F405" s="209"/>
      <c r="G405" s="209"/>
      <c r="I405" s="130"/>
      <c r="J405" s="130"/>
      <c r="K405" s="130"/>
      <c r="L405" s="130"/>
      <c r="N405" s="130"/>
    </row>
    <row r="406" spans="2:14" ht="13">
      <c r="B406" s="130"/>
      <c r="C406" s="130"/>
      <c r="D406" s="130"/>
      <c r="E406" s="209"/>
      <c r="F406" s="209"/>
      <c r="G406" s="209"/>
      <c r="I406" s="130"/>
      <c r="J406" s="130"/>
      <c r="K406" s="130"/>
      <c r="L406" s="130"/>
      <c r="N406" s="130"/>
    </row>
    <row r="407" spans="2:14" ht="13">
      <c r="B407" s="130"/>
      <c r="C407" s="130"/>
      <c r="D407" s="130"/>
      <c r="E407" s="209"/>
      <c r="F407" s="209"/>
      <c r="G407" s="209"/>
      <c r="I407" s="130"/>
      <c r="J407" s="130"/>
      <c r="K407" s="130"/>
      <c r="L407" s="130"/>
      <c r="N407" s="130"/>
    </row>
    <row r="408" spans="2:14" ht="13">
      <c r="B408" s="130"/>
      <c r="C408" s="130"/>
      <c r="D408" s="130"/>
      <c r="E408" s="209"/>
      <c r="F408" s="209"/>
      <c r="G408" s="209"/>
      <c r="I408" s="130"/>
      <c r="J408" s="130"/>
      <c r="K408" s="130"/>
      <c r="L408" s="130"/>
      <c r="N408" s="130"/>
    </row>
    <row r="409" spans="2:14" ht="13">
      <c r="B409" s="130"/>
      <c r="C409" s="130"/>
      <c r="D409" s="130"/>
      <c r="E409" s="209"/>
      <c r="F409" s="209"/>
      <c r="G409" s="209"/>
      <c r="I409" s="130"/>
      <c r="J409" s="130"/>
      <c r="K409" s="130"/>
      <c r="L409" s="130"/>
      <c r="N409" s="130"/>
    </row>
    <row r="410" spans="2:14" ht="13">
      <c r="B410" s="130"/>
      <c r="C410" s="130"/>
      <c r="D410" s="130"/>
      <c r="E410" s="209"/>
      <c r="F410" s="209"/>
      <c r="G410" s="209"/>
      <c r="I410" s="130"/>
      <c r="J410" s="130"/>
      <c r="K410" s="130"/>
      <c r="L410" s="130"/>
      <c r="N410" s="130"/>
    </row>
    <row r="411" spans="2:14" ht="13">
      <c r="B411" s="130"/>
      <c r="C411" s="130"/>
      <c r="D411" s="130"/>
      <c r="E411" s="209"/>
      <c r="F411" s="209"/>
      <c r="G411" s="209"/>
      <c r="I411" s="130"/>
      <c r="J411" s="130"/>
      <c r="K411" s="130"/>
      <c r="L411" s="130"/>
      <c r="N411" s="130"/>
    </row>
    <row r="412" spans="2:14" ht="13">
      <c r="B412" s="130"/>
      <c r="C412" s="130"/>
      <c r="D412" s="130"/>
      <c r="E412" s="209"/>
      <c r="F412" s="209"/>
      <c r="G412" s="209"/>
      <c r="I412" s="130"/>
      <c r="J412" s="130"/>
      <c r="K412" s="130"/>
      <c r="L412" s="130"/>
      <c r="N412" s="130"/>
    </row>
    <row r="413" spans="2:14" ht="13">
      <c r="B413" s="130"/>
      <c r="C413" s="130"/>
      <c r="D413" s="130"/>
      <c r="E413" s="209"/>
      <c r="F413" s="209"/>
      <c r="G413" s="209"/>
      <c r="I413" s="130"/>
      <c r="J413" s="130"/>
      <c r="K413" s="130"/>
      <c r="L413" s="130"/>
      <c r="N413" s="130"/>
    </row>
    <row r="414" spans="2:14" ht="13">
      <c r="B414" s="130"/>
      <c r="C414" s="130"/>
      <c r="D414" s="130"/>
      <c r="E414" s="209"/>
      <c r="F414" s="209"/>
      <c r="G414" s="209"/>
      <c r="I414" s="130"/>
      <c r="J414" s="130"/>
      <c r="K414" s="130"/>
      <c r="L414" s="130"/>
      <c r="N414" s="130"/>
    </row>
    <row r="415" spans="2:14" ht="13">
      <c r="B415" s="130"/>
      <c r="C415" s="130"/>
      <c r="D415" s="130"/>
      <c r="E415" s="209"/>
      <c r="F415" s="209"/>
      <c r="G415" s="209"/>
      <c r="I415" s="130"/>
      <c r="J415" s="130"/>
      <c r="K415" s="130"/>
      <c r="L415" s="130"/>
      <c r="N415" s="130"/>
    </row>
    <row r="416" spans="2:14" ht="13">
      <c r="B416" s="130"/>
      <c r="C416" s="130"/>
      <c r="D416" s="130"/>
      <c r="E416" s="209"/>
      <c r="F416" s="209"/>
      <c r="G416" s="209"/>
      <c r="I416" s="130"/>
      <c r="J416" s="130"/>
      <c r="K416" s="130"/>
      <c r="L416" s="130"/>
      <c r="N416" s="130"/>
    </row>
    <row r="417" spans="2:14" ht="13">
      <c r="B417" s="130"/>
      <c r="C417" s="130"/>
      <c r="D417" s="130"/>
      <c r="E417" s="209"/>
      <c r="F417" s="209"/>
      <c r="G417" s="209"/>
      <c r="I417" s="130"/>
      <c r="J417" s="130"/>
      <c r="K417" s="130"/>
      <c r="L417" s="130"/>
      <c r="N417" s="130"/>
    </row>
    <row r="418" spans="2:14" ht="13">
      <c r="B418" s="130"/>
      <c r="C418" s="130"/>
      <c r="D418" s="130"/>
      <c r="E418" s="209"/>
      <c r="F418" s="209"/>
      <c r="G418" s="209"/>
      <c r="I418" s="130"/>
      <c r="J418" s="130"/>
      <c r="K418" s="130"/>
      <c r="L418" s="130"/>
      <c r="N418" s="130"/>
    </row>
    <row r="419" spans="2:14" ht="13">
      <c r="B419" s="130"/>
      <c r="C419" s="130"/>
      <c r="D419" s="130"/>
      <c r="E419" s="209"/>
      <c r="F419" s="209"/>
      <c r="G419" s="209"/>
      <c r="I419" s="130"/>
      <c r="J419" s="130"/>
      <c r="K419" s="130"/>
      <c r="L419" s="130"/>
      <c r="N419" s="130"/>
    </row>
    <row r="420" spans="2:14" ht="13">
      <c r="B420" s="130"/>
      <c r="C420" s="130"/>
      <c r="D420" s="130"/>
      <c r="E420" s="209"/>
      <c r="F420" s="209"/>
      <c r="G420" s="209"/>
      <c r="I420" s="130"/>
      <c r="J420" s="130"/>
      <c r="K420" s="130"/>
      <c r="L420" s="130"/>
      <c r="N420" s="130"/>
    </row>
    <row r="421" spans="2:14" ht="13">
      <c r="B421" s="130"/>
      <c r="C421" s="130"/>
      <c r="D421" s="130"/>
      <c r="E421" s="209"/>
      <c r="F421" s="209"/>
      <c r="G421" s="209"/>
      <c r="I421" s="130"/>
      <c r="J421" s="130"/>
      <c r="K421" s="130"/>
      <c r="L421" s="130"/>
      <c r="N421" s="130"/>
    </row>
    <row r="422" spans="2:14" ht="13">
      <c r="B422" s="130"/>
      <c r="C422" s="130"/>
      <c r="D422" s="130"/>
      <c r="E422" s="209"/>
      <c r="F422" s="209"/>
      <c r="G422" s="209"/>
      <c r="I422" s="130"/>
      <c r="J422" s="130"/>
      <c r="K422" s="130"/>
      <c r="L422" s="130"/>
      <c r="N422" s="130"/>
    </row>
    <row r="423" spans="2:14" ht="13">
      <c r="B423" s="130"/>
      <c r="C423" s="130"/>
      <c r="D423" s="130"/>
      <c r="E423" s="209"/>
      <c r="F423" s="209"/>
      <c r="G423" s="209"/>
      <c r="I423" s="130"/>
      <c r="J423" s="130"/>
      <c r="K423" s="130"/>
      <c r="L423" s="130"/>
      <c r="N423" s="130"/>
    </row>
    <row r="424" spans="2:14" ht="13">
      <c r="B424" s="130"/>
      <c r="C424" s="130"/>
      <c r="D424" s="130"/>
      <c r="E424" s="209"/>
      <c r="F424" s="209"/>
      <c r="G424" s="209"/>
      <c r="I424" s="130"/>
      <c r="J424" s="130"/>
      <c r="K424" s="130"/>
      <c r="L424" s="130"/>
      <c r="N424" s="130"/>
    </row>
    <row r="425" spans="2:14" ht="13">
      <c r="B425" s="130"/>
      <c r="C425" s="130"/>
      <c r="D425" s="130"/>
      <c r="E425" s="209"/>
      <c r="F425" s="209"/>
      <c r="G425" s="209"/>
      <c r="I425" s="130"/>
      <c r="J425" s="130"/>
      <c r="K425" s="130"/>
      <c r="L425" s="130"/>
      <c r="N425" s="130"/>
    </row>
    <row r="426" spans="2:14" ht="13">
      <c r="B426" s="130"/>
      <c r="C426" s="130"/>
      <c r="D426" s="130"/>
      <c r="E426" s="209"/>
      <c r="F426" s="209"/>
      <c r="G426" s="209"/>
      <c r="I426" s="130"/>
      <c r="J426" s="130"/>
      <c r="K426" s="130"/>
      <c r="L426" s="130"/>
      <c r="N426" s="130"/>
    </row>
    <row r="427" spans="2:14" ht="13">
      <c r="B427" s="130"/>
      <c r="C427" s="130"/>
      <c r="D427" s="130"/>
      <c r="E427" s="209"/>
      <c r="F427" s="209"/>
      <c r="G427" s="209"/>
      <c r="I427" s="130"/>
      <c r="J427" s="130"/>
      <c r="K427" s="130"/>
      <c r="L427" s="130"/>
      <c r="N427" s="130"/>
    </row>
    <row r="428" spans="2:14" ht="13">
      <c r="B428" s="130"/>
      <c r="C428" s="130"/>
      <c r="D428" s="130"/>
      <c r="E428" s="209"/>
      <c r="F428" s="209"/>
      <c r="G428" s="209"/>
      <c r="I428" s="130"/>
      <c r="J428" s="130"/>
      <c r="K428" s="130"/>
      <c r="L428" s="130"/>
      <c r="N428" s="130"/>
    </row>
    <row r="429" spans="2:14" ht="13">
      <c r="B429" s="130"/>
      <c r="C429" s="130"/>
      <c r="D429" s="130"/>
      <c r="E429" s="209"/>
      <c r="F429" s="209"/>
      <c r="G429" s="209"/>
      <c r="I429" s="130"/>
      <c r="J429" s="130"/>
      <c r="K429" s="130"/>
      <c r="L429" s="130"/>
      <c r="N429" s="130"/>
    </row>
    <row r="430" spans="2:14" ht="13">
      <c r="B430" s="130"/>
      <c r="C430" s="130"/>
      <c r="D430" s="130"/>
      <c r="E430" s="209"/>
      <c r="F430" s="209"/>
      <c r="G430" s="209"/>
      <c r="I430" s="130"/>
      <c r="J430" s="130"/>
      <c r="K430" s="130"/>
      <c r="L430" s="130"/>
      <c r="N430" s="130"/>
    </row>
    <row r="431" spans="2:14" ht="13">
      <c r="B431" s="130"/>
      <c r="C431" s="130"/>
      <c r="D431" s="130"/>
      <c r="E431" s="209"/>
      <c r="F431" s="209"/>
      <c r="G431" s="209"/>
      <c r="I431" s="130"/>
      <c r="J431" s="130"/>
      <c r="K431" s="130"/>
      <c r="L431" s="130"/>
      <c r="N431" s="130"/>
    </row>
    <row r="432" spans="2:14" ht="13">
      <c r="B432" s="130"/>
      <c r="C432" s="130"/>
      <c r="D432" s="130"/>
      <c r="E432" s="209"/>
      <c r="F432" s="209"/>
      <c r="G432" s="209"/>
      <c r="I432" s="130"/>
      <c r="J432" s="130"/>
      <c r="K432" s="130"/>
      <c r="L432" s="130"/>
      <c r="N432" s="130"/>
    </row>
    <row r="433" spans="2:14" ht="13">
      <c r="B433" s="130"/>
      <c r="C433" s="130"/>
      <c r="D433" s="130"/>
      <c r="E433" s="209"/>
      <c r="F433" s="209"/>
      <c r="G433" s="209"/>
      <c r="I433" s="130"/>
      <c r="J433" s="130"/>
      <c r="K433" s="130"/>
      <c r="L433" s="130"/>
      <c r="N433" s="130"/>
    </row>
    <row r="434" spans="2:14" ht="13">
      <c r="B434" s="130"/>
      <c r="C434" s="130"/>
      <c r="D434" s="130"/>
      <c r="E434" s="209"/>
      <c r="F434" s="209"/>
      <c r="G434" s="209"/>
      <c r="I434" s="130"/>
      <c r="J434" s="130"/>
      <c r="K434" s="130"/>
      <c r="L434" s="130"/>
      <c r="N434" s="130"/>
    </row>
    <row r="435" spans="2:14" ht="13">
      <c r="B435" s="130"/>
      <c r="C435" s="130"/>
      <c r="D435" s="130"/>
      <c r="E435" s="209"/>
      <c r="F435" s="209"/>
      <c r="G435" s="209"/>
      <c r="I435" s="130"/>
      <c r="J435" s="130"/>
      <c r="K435" s="130"/>
      <c r="L435" s="130"/>
      <c r="N435" s="130"/>
    </row>
    <row r="436" spans="2:14" ht="13">
      <c r="B436" s="130"/>
      <c r="C436" s="130"/>
      <c r="D436" s="130"/>
      <c r="E436" s="209"/>
      <c r="F436" s="209"/>
      <c r="G436" s="209"/>
      <c r="I436" s="130"/>
      <c r="J436" s="130"/>
      <c r="K436" s="130"/>
      <c r="L436" s="130"/>
      <c r="N436" s="130"/>
    </row>
    <row r="437" spans="2:14" ht="13">
      <c r="B437" s="130"/>
      <c r="C437" s="130"/>
      <c r="D437" s="130"/>
      <c r="E437" s="209"/>
      <c r="F437" s="209"/>
      <c r="G437" s="209"/>
      <c r="I437" s="130"/>
      <c r="J437" s="130"/>
      <c r="K437" s="130"/>
      <c r="L437" s="130"/>
      <c r="N437" s="130"/>
    </row>
    <row r="438" spans="2:14" ht="13">
      <c r="B438" s="130"/>
      <c r="C438" s="130"/>
      <c r="D438" s="130"/>
      <c r="E438" s="209"/>
      <c r="F438" s="209"/>
      <c r="G438" s="209"/>
      <c r="I438" s="130"/>
      <c r="J438" s="130"/>
      <c r="K438" s="130"/>
      <c r="L438" s="130"/>
      <c r="N438" s="130"/>
    </row>
    <row r="439" spans="2:14" ht="13">
      <c r="B439" s="130"/>
      <c r="C439" s="130"/>
      <c r="D439" s="130"/>
      <c r="E439" s="209"/>
      <c r="F439" s="209"/>
      <c r="G439" s="209"/>
      <c r="I439" s="130"/>
      <c r="J439" s="130"/>
      <c r="K439" s="130"/>
      <c r="L439" s="130"/>
      <c r="N439" s="130"/>
    </row>
    <row r="440" spans="2:14" ht="13">
      <c r="B440" s="130"/>
      <c r="C440" s="130"/>
      <c r="D440" s="130"/>
      <c r="E440" s="209"/>
      <c r="F440" s="209"/>
      <c r="G440" s="209"/>
      <c r="I440" s="130"/>
      <c r="J440" s="130"/>
      <c r="K440" s="130"/>
      <c r="L440" s="130"/>
      <c r="N440" s="130"/>
    </row>
    <row r="441" spans="2:14" ht="13">
      <c r="B441" s="130"/>
      <c r="C441" s="130"/>
      <c r="D441" s="130"/>
      <c r="E441" s="209"/>
      <c r="F441" s="209"/>
      <c r="G441" s="209"/>
      <c r="I441" s="130"/>
      <c r="J441" s="130"/>
      <c r="K441" s="130"/>
      <c r="L441" s="130"/>
      <c r="N441" s="130"/>
    </row>
    <row r="442" spans="2:14" ht="13">
      <c r="B442" s="130"/>
      <c r="C442" s="130"/>
      <c r="D442" s="130"/>
      <c r="E442" s="209"/>
      <c r="F442" s="209"/>
      <c r="G442" s="209"/>
      <c r="I442" s="130"/>
      <c r="J442" s="130"/>
      <c r="K442" s="130"/>
      <c r="L442" s="130"/>
      <c r="N442" s="130"/>
    </row>
    <row r="443" spans="2:14" ht="13">
      <c r="B443" s="130"/>
      <c r="C443" s="130"/>
      <c r="D443" s="130"/>
      <c r="E443" s="209"/>
      <c r="F443" s="209"/>
      <c r="G443" s="209"/>
      <c r="I443" s="130"/>
      <c r="J443" s="130"/>
      <c r="K443" s="130"/>
      <c r="L443" s="130"/>
      <c r="N443" s="130"/>
    </row>
    <row r="444" spans="2:14" ht="13">
      <c r="B444" s="130"/>
      <c r="C444" s="130"/>
      <c r="D444" s="130"/>
      <c r="E444" s="209"/>
      <c r="F444" s="209"/>
      <c r="G444" s="209"/>
      <c r="I444" s="130"/>
      <c r="J444" s="130"/>
      <c r="K444" s="130"/>
      <c r="L444" s="130"/>
      <c r="N444" s="130"/>
    </row>
    <row r="445" spans="2:14" ht="13">
      <c r="B445" s="130"/>
      <c r="C445" s="130"/>
      <c r="D445" s="130"/>
      <c r="E445" s="209"/>
      <c r="F445" s="209"/>
      <c r="G445" s="209"/>
      <c r="I445" s="130"/>
      <c r="J445" s="130"/>
      <c r="K445" s="130"/>
      <c r="L445" s="130"/>
      <c r="N445" s="130"/>
    </row>
    <row r="446" spans="2:14" ht="13">
      <c r="B446" s="130"/>
      <c r="C446" s="130"/>
      <c r="D446" s="130"/>
      <c r="E446" s="209"/>
      <c r="F446" s="209"/>
      <c r="G446" s="209"/>
      <c r="I446" s="130"/>
      <c r="J446" s="130"/>
      <c r="K446" s="130"/>
      <c r="L446" s="130"/>
      <c r="N446" s="130"/>
    </row>
    <row r="447" spans="2:14" ht="13">
      <c r="B447" s="130"/>
      <c r="C447" s="130"/>
      <c r="D447" s="130"/>
      <c r="E447" s="209"/>
      <c r="F447" s="209"/>
      <c r="G447" s="209"/>
      <c r="I447" s="130"/>
      <c r="J447" s="130"/>
      <c r="K447" s="130"/>
      <c r="L447" s="130"/>
      <c r="N447" s="130"/>
    </row>
    <row r="448" spans="2:14" ht="13">
      <c r="B448" s="130"/>
      <c r="C448" s="130"/>
      <c r="D448" s="130"/>
      <c r="E448" s="209"/>
      <c r="F448" s="209"/>
      <c r="G448" s="209"/>
      <c r="I448" s="130"/>
      <c r="J448" s="130"/>
      <c r="K448" s="130"/>
      <c r="L448" s="130"/>
      <c r="N448" s="130"/>
    </row>
    <row r="449" spans="2:14" ht="13">
      <c r="B449" s="130"/>
      <c r="C449" s="130"/>
      <c r="D449" s="130"/>
      <c r="E449" s="209"/>
      <c r="F449" s="209"/>
      <c r="G449" s="209"/>
      <c r="I449" s="130"/>
      <c r="J449" s="130"/>
      <c r="K449" s="130"/>
      <c r="L449" s="130"/>
      <c r="N449" s="130"/>
    </row>
    <row r="450" spans="2:14" ht="13">
      <c r="B450" s="130"/>
      <c r="C450" s="130"/>
      <c r="D450" s="130"/>
      <c r="E450" s="209"/>
      <c r="F450" s="209"/>
      <c r="G450" s="209"/>
      <c r="I450" s="130"/>
      <c r="J450" s="130"/>
      <c r="K450" s="130"/>
      <c r="L450" s="130"/>
      <c r="N450" s="130"/>
    </row>
    <row r="451" spans="2:14" ht="13">
      <c r="B451" s="130"/>
      <c r="C451" s="130"/>
      <c r="D451" s="130"/>
      <c r="E451" s="209"/>
      <c r="F451" s="209"/>
      <c r="G451" s="209"/>
      <c r="I451" s="130"/>
      <c r="J451" s="130"/>
      <c r="K451" s="130"/>
      <c r="L451" s="130"/>
      <c r="N451" s="130"/>
    </row>
    <row r="452" spans="2:14" ht="13">
      <c r="B452" s="130"/>
      <c r="C452" s="130"/>
      <c r="D452" s="130"/>
      <c r="E452" s="209"/>
      <c r="F452" s="209"/>
      <c r="G452" s="209"/>
      <c r="I452" s="130"/>
      <c r="J452" s="130"/>
      <c r="K452" s="130"/>
      <c r="L452" s="130"/>
      <c r="N452" s="130"/>
    </row>
    <row r="453" spans="2:14" ht="13">
      <c r="B453" s="130"/>
      <c r="C453" s="130"/>
      <c r="D453" s="130"/>
      <c r="E453" s="209"/>
      <c r="F453" s="209"/>
      <c r="G453" s="209"/>
      <c r="I453" s="130"/>
      <c r="J453" s="130"/>
      <c r="K453" s="130"/>
      <c r="L453" s="130"/>
      <c r="N453" s="130"/>
    </row>
    <row r="454" spans="2:14" ht="13">
      <c r="B454" s="130"/>
      <c r="C454" s="130"/>
      <c r="D454" s="130"/>
      <c r="E454" s="209"/>
      <c r="F454" s="209"/>
      <c r="G454" s="209"/>
      <c r="I454" s="130"/>
      <c r="J454" s="130"/>
      <c r="K454" s="130"/>
      <c r="L454" s="130"/>
      <c r="N454" s="130"/>
    </row>
    <row r="455" spans="2:14" ht="13">
      <c r="B455" s="130"/>
      <c r="C455" s="130"/>
      <c r="D455" s="130"/>
      <c r="E455" s="209"/>
      <c r="F455" s="209"/>
      <c r="G455" s="209"/>
      <c r="I455" s="130"/>
      <c r="J455" s="130"/>
      <c r="K455" s="130"/>
      <c r="L455" s="130"/>
      <c r="N455" s="130"/>
    </row>
    <row r="456" spans="2:14" ht="13">
      <c r="B456" s="130"/>
      <c r="C456" s="130"/>
      <c r="D456" s="130"/>
      <c r="E456" s="209"/>
      <c r="F456" s="209"/>
      <c r="G456" s="209"/>
      <c r="I456" s="130"/>
      <c r="J456" s="130"/>
      <c r="K456" s="130"/>
      <c r="L456" s="130"/>
      <c r="N456" s="130"/>
    </row>
    <row r="457" spans="2:14" ht="13">
      <c r="B457" s="130"/>
      <c r="C457" s="130"/>
      <c r="D457" s="130"/>
      <c r="E457" s="209"/>
      <c r="F457" s="209"/>
      <c r="G457" s="209"/>
      <c r="I457" s="130"/>
      <c r="J457" s="130"/>
      <c r="K457" s="130"/>
      <c r="L457" s="130"/>
      <c r="N457" s="130"/>
    </row>
    <row r="458" spans="2:14" ht="13">
      <c r="B458" s="130"/>
      <c r="C458" s="130"/>
      <c r="D458" s="130"/>
      <c r="E458" s="209"/>
      <c r="F458" s="209"/>
      <c r="G458" s="209"/>
      <c r="I458" s="130"/>
      <c r="J458" s="130"/>
      <c r="K458" s="130"/>
      <c r="L458" s="130"/>
      <c r="N458" s="130"/>
    </row>
    <row r="459" spans="2:14" ht="13">
      <c r="B459" s="130"/>
      <c r="C459" s="130"/>
      <c r="D459" s="130"/>
      <c r="E459" s="209"/>
      <c r="F459" s="209"/>
      <c r="G459" s="209"/>
      <c r="I459" s="130"/>
      <c r="J459" s="130"/>
      <c r="K459" s="130"/>
      <c r="L459" s="130"/>
      <c r="N459" s="130"/>
    </row>
    <row r="460" spans="2:14" ht="13">
      <c r="B460" s="130"/>
      <c r="C460" s="130"/>
      <c r="D460" s="130"/>
      <c r="E460" s="209"/>
      <c r="F460" s="209"/>
      <c r="G460" s="209"/>
      <c r="I460" s="130"/>
      <c r="J460" s="130"/>
      <c r="K460" s="130"/>
      <c r="L460" s="130"/>
      <c r="N460" s="130"/>
    </row>
    <row r="461" spans="2:14" ht="13">
      <c r="B461" s="130"/>
      <c r="C461" s="130"/>
      <c r="D461" s="130"/>
      <c r="E461" s="209"/>
      <c r="F461" s="209"/>
      <c r="G461" s="209"/>
      <c r="I461" s="130"/>
      <c r="J461" s="130"/>
      <c r="K461" s="130"/>
      <c r="L461" s="130"/>
      <c r="N461" s="130"/>
    </row>
    <row r="462" spans="2:14" ht="13">
      <c r="B462" s="130"/>
      <c r="C462" s="130"/>
      <c r="D462" s="130"/>
      <c r="E462" s="209"/>
      <c r="F462" s="209"/>
      <c r="G462" s="209"/>
      <c r="I462" s="130"/>
      <c r="J462" s="130"/>
      <c r="K462" s="130"/>
      <c r="L462" s="130"/>
      <c r="N462" s="130"/>
    </row>
    <row r="463" spans="2:14" ht="13">
      <c r="B463" s="130"/>
      <c r="C463" s="130"/>
      <c r="D463" s="130"/>
      <c r="E463" s="209"/>
      <c r="F463" s="209"/>
      <c r="G463" s="209"/>
      <c r="I463" s="130"/>
      <c r="J463" s="130"/>
      <c r="K463" s="130"/>
      <c r="L463" s="130"/>
      <c r="N463" s="130"/>
    </row>
    <row r="464" spans="2:14" ht="13">
      <c r="B464" s="130"/>
      <c r="C464" s="130"/>
      <c r="D464" s="130"/>
      <c r="E464" s="209"/>
      <c r="F464" s="209"/>
      <c r="G464" s="209"/>
      <c r="I464" s="130"/>
      <c r="J464" s="130"/>
      <c r="K464" s="130"/>
      <c r="L464" s="130"/>
      <c r="N464" s="130"/>
    </row>
    <row r="465" spans="2:14" ht="13">
      <c r="B465" s="130"/>
      <c r="C465" s="130"/>
      <c r="D465" s="130"/>
      <c r="E465" s="209"/>
      <c r="F465" s="209"/>
      <c r="G465" s="209"/>
      <c r="I465" s="130"/>
      <c r="J465" s="130"/>
      <c r="K465" s="130"/>
      <c r="L465" s="130"/>
      <c r="N465" s="130"/>
    </row>
    <row r="466" spans="2:14" ht="13">
      <c r="B466" s="130"/>
      <c r="C466" s="130"/>
      <c r="D466" s="130"/>
      <c r="E466" s="209"/>
      <c r="F466" s="209"/>
      <c r="G466" s="209"/>
      <c r="I466" s="130"/>
      <c r="J466" s="130"/>
      <c r="K466" s="130"/>
      <c r="L466" s="130"/>
      <c r="N466" s="130"/>
    </row>
    <row r="467" spans="2:14" ht="13">
      <c r="B467" s="130"/>
      <c r="C467" s="130"/>
      <c r="D467" s="130"/>
      <c r="E467" s="209"/>
      <c r="F467" s="209"/>
      <c r="G467" s="209"/>
      <c r="I467" s="130"/>
      <c r="J467" s="130"/>
      <c r="K467" s="130"/>
      <c r="L467" s="130"/>
      <c r="N467" s="130"/>
    </row>
    <row r="468" spans="2:14" ht="13">
      <c r="B468" s="130"/>
      <c r="C468" s="130"/>
      <c r="D468" s="130"/>
      <c r="E468" s="209"/>
      <c r="F468" s="209"/>
      <c r="G468" s="209"/>
      <c r="I468" s="130"/>
      <c r="J468" s="130"/>
      <c r="K468" s="130"/>
      <c r="L468" s="130"/>
      <c r="N468" s="130"/>
    </row>
    <row r="469" spans="2:14" ht="13">
      <c r="B469" s="130"/>
      <c r="C469" s="130"/>
      <c r="D469" s="130"/>
      <c r="E469" s="209"/>
      <c r="F469" s="209"/>
      <c r="G469" s="209"/>
      <c r="I469" s="130"/>
      <c r="J469" s="130"/>
      <c r="K469" s="130"/>
      <c r="L469" s="130"/>
      <c r="N469" s="130"/>
    </row>
    <row r="470" spans="2:14" ht="13">
      <c r="B470" s="130"/>
      <c r="C470" s="130"/>
      <c r="D470" s="130"/>
      <c r="E470" s="209"/>
      <c r="F470" s="209"/>
      <c r="G470" s="209"/>
      <c r="I470" s="130"/>
      <c r="J470" s="130"/>
      <c r="K470" s="130"/>
      <c r="L470" s="130"/>
      <c r="N470" s="130"/>
    </row>
    <row r="471" spans="2:14" ht="13">
      <c r="B471" s="130"/>
      <c r="C471" s="130"/>
      <c r="D471" s="130"/>
      <c r="E471" s="209"/>
      <c r="F471" s="209"/>
      <c r="G471" s="209"/>
      <c r="I471" s="130"/>
      <c r="J471" s="130"/>
      <c r="K471" s="130"/>
      <c r="L471" s="130"/>
      <c r="N471" s="130"/>
    </row>
    <row r="472" spans="2:14" ht="13">
      <c r="B472" s="130"/>
      <c r="C472" s="130"/>
      <c r="D472" s="130"/>
      <c r="E472" s="209"/>
      <c r="F472" s="209"/>
      <c r="G472" s="209"/>
      <c r="I472" s="130"/>
      <c r="J472" s="130"/>
      <c r="K472" s="130"/>
      <c r="L472" s="130"/>
      <c r="N472" s="130"/>
    </row>
    <row r="473" spans="2:14" ht="13">
      <c r="B473" s="130"/>
      <c r="C473" s="130"/>
      <c r="D473" s="130"/>
      <c r="E473" s="209"/>
      <c r="F473" s="209"/>
      <c r="G473" s="209"/>
      <c r="I473" s="130"/>
      <c r="J473" s="130"/>
      <c r="K473" s="130"/>
      <c r="L473" s="130"/>
      <c r="N473" s="130"/>
    </row>
    <row r="474" spans="2:14" ht="13">
      <c r="B474" s="130"/>
      <c r="C474" s="130"/>
      <c r="D474" s="130"/>
      <c r="E474" s="209"/>
      <c r="F474" s="209"/>
      <c r="G474" s="209"/>
      <c r="I474" s="130"/>
      <c r="J474" s="130"/>
      <c r="K474" s="130"/>
      <c r="L474" s="130"/>
      <c r="N474" s="130"/>
    </row>
    <row r="475" spans="2:14" ht="13">
      <c r="B475" s="130"/>
      <c r="C475" s="130"/>
      <c r="D475" s="130"/>
      <c r="E475" s="209"/>
      <c r="F475" s="209"/>
      <c r="G475" s="209"/>
      <c r="I475" s="130"/>
      <c r="J475" s="130"/>
      <c r="K475" s="130"/>
      <c r="L475" s="130"/>
      <c r="N475" s="130"/>
    </row>
    <row r="476" spans="2:14" ht="13">
      <c r="B476" s="130"/>
      <c r="C476" s="130"/>
      <c r="D476" s="130"/>
      <c r="E476" s="209"/>
      <c r="F476" s="209"/>
      <c r="G476" s="209"/>
      <c r="I476" s="130"/>
      <c r="J476" s="130"/>
      <c r="K476" s="130"/>
      <c r="L476" s="130"/>
      <c r="N476" s="130"/>
    </row>
    <row r="477" spans="2:14" ht="13">
      <c r="B477" s="130"/>
      <c r="C477" s="130"/>
      <c r="D477" s="130"/>
      <c r="E477" s="209"/>
      <c r="F477" s="209"/>
      <c r="G477" s="209"/>
      <c r="I477" s="130"/>
      <c r="J477" s="130"/>
      <c r="K477" s="130"/>
      <c r="L477" s="130"/>
      <c r="N477" s="130"/>
    </row>
    <row r="478" spans="2:14" ht="13">
      <c r="B478" s="130"/>
      <c r="C478" s="130"/>
      <c r="D478" s="130"/>
      <c r="E478" s="209"/>
      <c r="F478" s="209"/>
      <c r="G478" s="209"/>
      <c r="I478" s="130"/>
      <c r="J478" s="130"/>
      <c r="K478" s="130"/>
      <c r="L478" s="130"/>
      <c r="N478" s="130"/>
    </row>
    <row r="479" spans="2:14" ht="13">
      <c r="B479" s="130"/>
      <c r="C479" s="130"/>
      <c r="D479" s="130"/>
      <c r="E479" s="209"/>
      <c r="F479" s="209"/>
      <c r="G479" s="209"/>
      <c r="I479" s="130"/>
      <c r="J479" s="130"/>
      <c r="K479" s="130"/>
      <c r="L479" s="130"/>
      <c r="N479" s="130"/>
    </row>
    <row r="480" spans="2:14" ht="13">
      <c r="B480" s="130"/>
      <c r="C480" s="130"/>
      <c r="D480" s="130"/>
      <c r="E480" s="209"/>
      <c r="F480" s="209"/>
      <c r="G480" s="209"/>
      <c r="I480" s="130"/>
      <c r="J480" s="130"/>
      <c r="K480" s="130"/>
      <c r="L480" s="130"/>
      <c r="N480" s="130"/>
    </row>
    <row r="481" spans="2:14" ht="13">
      <c r="B481" s="130"/>
      <c r="C481" s="130"/>
      <c r="D481" s="130"/>
      <c r="E481" s="209"/>
      <c r="F481" s="209"/>
      <c r="G481" s="209"/>
      <c r="I481" s="130"/>
      <c r="J481" s="130"/>
      <c r="K481" s="130"/>
      <c r="L481" s="130"/>
      <c r="N481" s="130"/>
    </row>
    <row r="482" spans="2:14" ht="13">
      <c r="B482" s="130"/>
      <c r="C482" s="130"/>
      <c r="D482" s="130"/>
      <c r="E482" s="209"/>
      <c r="F482" s="209"/>
      <c r="G482" s="209"/>
      <c r="I482" s="130"/>
      <c r="J482" s="130"/>
      <c r="K482" s="130"/>
      <c r="L482" s="130"/>
      <c r="N482" s="130"/>
    </row>
    <row r="483" spans="2:14" ht="13">
      <c r="B483" s="130"/>
      <c r="C483" s="130"/>
      <c r="D483" s="130"/>
      <c r="E483" s="209"/>
      <c r="F483" s="209"/>
      <c r="G483" s="209"/>
      <c r="I483" s="130"/>
      <c r="J483" s="130"/>
      <c r="K483" s="130"/>
      <c r="L483" s="130"/>
      <c r="N483" s="130"/>
    </row>
    <row r="484" spans="2:14" ht="13">
      <c r="B484" s="130"/>
      <c r="C484" s="130"/>
      <c r="D484" s="130"/>
      <c r="E484" s="209"/>
      <c r="F484" s="209"/>
      <c r="G484" s="209"/>
      <c r="I484" s="130"/>
      <c r="J484" s="130"/>
      <c r="K484" s="130"/>
      <c r="L484" s="130"/>
      <c r="N484" s="130"/>
    </row>
    <row r="485" spans="2:14" ht="13">
      <c r="B485" s="130"/>
      <c r="C485" s="130"/>
      <c r="D485" s="130"/>
      <c r="E485" s="209"/>
      <c r="F485" s="209"/>
      <c r="G485" s="209"/>
      <c r="I485" s="130"/>
      <c r="J485" s="130"/>
      <c r="K485" s="130"/>
      <c r="L485" s="130"/>
      <c r="N485" s="130"/>
    </row>
    <row r="486" spans="2:14" ht="13">
      <c r="B486" s="130"/>
      <c r="C486" s="130"/>
      <c r="D486" s="130"/>
      <c r="E486" s="209"/>
      <c r="F486" s="209"/>
      <c r="G486" s="209"/>
      <c r="I486" s="130"/>
      <c r="J486" s="130"/>
      <c r="K486" s="130"/>
      <c r="L486" s="130"/>
      <c r="N486" s="130"/>
    </row>
    <row r="487" spans="2:14" ht="13">
      <c r="B487" s="130"/>
      <c r="C487" s="130"/>
      <c r="D487" s="130"/>
      <c r="E487" s="209"/>
      <c r="F487" s="209"/>
      <c r="G487" s="209"/>
      <c r="I487" s="130"/>
      <c r="J487" s="130"/>
      <c r="K487" s="130"/>
      <c r="L487" s="130"/>
      <c r="N487" s="130"/>
    </row>
    <row r="488" spans="2:14" ht="13">
      <c r="B488" s="130"/>
      <c r="C488" s="130"/>
      <c r="D488" s="130"/>
      <c r="E488" s="209"/>
      <c r="F488" s="209"/>
      <c r="G488" s="209"/>
      <c r="I488" s="130"/>
      <c r="J488" s="130"/>
      <c r="K488" s="130"/>
      <c r="L488" s="130"/>
      <c r="N488" s="130"/>
    </row>
    <row r="489" spans="2:14" ht="13">
      <c r="B489" s="130"/>
      <c r="C489" s="130"/>
      <c r="D489" s="130"/>
      <c r="E489" s="209"/>
      <c r="F489" s="209"/>
      <c r="G489" s="209"/>
      <c r="I489" s="130"/>
      <c r="J489" s="130"/>
      <c r="K489" s="130"/>
      <c r="L489" s="130"/>
      <c r="N489" s="130"/>
    </row>
    <row r="490" spans="2:14" ht="13">
      <c r="B490" s="130"/>
      <c r="C490" s="130"/>
      <c r="D490" s="130"/>
      <c r="E490" s="209"/>
      <c r="F490" s="209"/>
      <c r="G490" s="209"/>
      <c r="I490" s="130"/>
      <c r="J490" s="130"/>
      <c r="K490" s="130"/>
      <c r="L490" s="130"/>
      <c r="N490" s="130"/>
    </row>
    <row r="491" spans="2:14" ht="13">
      <c r="B491" s="130"/>
      <c r="C491" s="130"/>
      <c r="D491" s="130"/>
      <c r="E491" s="209"/>
      <c r="F491" s="209"/>
      <c r="G491" s="209"/>
      <c r="I491" s="130"/>
      <c r="J491" s="130"/>
      <c r="K491" s="130"/>
      <c r="L491" s="130"/>
      <c r="N491" s="130"/>
    </row>
    <row r="492" spans="2:14" ht="13">
      <c r="B492" s="130"/>
      <c r="C492" s="130"/>
      <c r="D492" s="130"/>
      <c r="E492" s="209"/>
      <c r="F492" s="209"/>
      <c r="G492" s="209"/>
      <c r="I492" s="130"/>
      <c r="J492" s="130"/>
      <c r="K492" s="130"/>
      <c r="L492" s="130"/>
      <c r="N492" s="130"/>
    </row>
    <row r="493" spans="2:14" ht="13">
      <c r="B493" s="130"/>
      <c r="C493" s="130"/>
      <c r="D493" s="130"/>
      <c r="E493" s="209"/>
      <c r="F493" s="209"/>
      <c r="G493" s="209"/>
      <c r="I493" s="130"/>
      <c r="J493" s="130"/>
      <c r="K493" s="130"/>
      <c r="L493" s="130"/>
      <c r="N493" s="130"/>
    </row>
    <row r="494" spans="2:14" ht="13">
      <c r="B494" s="130"/>
      <c r="C494" s="130"/>
      <c r="D494" s="130"/>
      <c r="E494" s="209"/>
      <c r="F494" s="209"/>
      <c r="G494" s="209"/>
      <c r="I494" s="130"/>
      <c r="J494" s="130"/>
      <c r="K494" s="130"/>
      <c r="L494" s="130"/>
      <c r="N494" s="130"/>
    </row>
    <row r="495" spans="2:14" ht="13">
      <c r="B495" s="130"/>
      <c r="C495" s="130"/>
      <c r="D495" s="130"/>
      <c r="E495" s="209"/>
      <c r="F495" s="209"/>
      <c r="G495" s="209"/>
      <c r="I495" s="130"/>
      <c r="J495" s="130"/>
      <c r="K495" s="130"/>
      <c r="L495" s="130"/>
      <c r="N495" s="130"/>
    </row>
    <row r="496" spans="2:14" ht="13">
      <c r="B496" s="130"/>
      <c r="C496" s="130"/>
      <c r="D496" s="130"/>
      <c r="E496" s="209"/>
      <c r="F496" s="209"/>
      <c r="G496" s="209"/>
      <c r="I496" s="130"/>
      <c r="J496" s="130"/>
      <c r="K496" s="130"/>
      <c r="L496" s="130"/>
      <c r="N496" s="130"/>
    </row>
    <row r="497" spans="2:14" ht="13">
      <c r="B497" s="130"/>
      <c r="C497" s="130"/>
      <c r="D497" s="130"/>
      <c r="E497" s="209"/>
      <c r="F497" s="209"/>
      <c r="G497" s="209"/>
      <c r="I497" s="130"/>
      <c r="J497" s="130"/>
      <c r="K497" s="130"/>
      <c r="L497" s="130"/>
      <c r="N497" s="130"/>
    </row>
    <row r="498" spans="2:14" ht="13">
      <c r="B498" s="130"/>
      <c r="C498" s="130"/>
      <c r="D498" s="130"/>
      <c r="E498" s="209"/>
      <c r="F498" s="209"/>
      <c r="G498" s="209"/>
      <c r="I498" s="130"/>
      <c r="J498" s="130"/>
      <c r="K498" s="130"/>
      <c r="L498" s="130"/>
      <c r="N498" s="130"/>
    </row>
    <row r="499" spans="2:14" ht="13">
      <c r="B499" s="130"/>
      <c r="C499" s="130"/>
      <c r="D499" s="130"/>
      <c r="E499" s="209"/>
      <c r="F499" s="209"/>
      <c r="G499" s="209"/>
      <c r="I499" s="130"/>
      <c r="J499" s="130"/>
      <c r="K499" s="130"/>
      <c r="L499" s="130"/>
      <c r="N499" s="130"/>
    </row>
    <row r="500" spans="2:14" ht="13">
      <c r="B500" s="130"/>
      <c r="C500" s="130"/>
      <c r="D500" s="130"/>
      <c r="E500" s="209"/>
      <c r="F500" s="209"/>
      <c r="G500" s="209"/>
      <c r="I500" s="130"/>
      <c r="J500" s="130"/>
      <c r="K500" s="130"/>
      <c r="L500" s="130"/>
      <c r="N500" s="130"/>
    </row>
    <row r="501" spans="2:14" ht="13">
      <c r="B501" s="130"/>
      <c r="C501" s="130"/>
      <c r="D501" s="130"/>
      <c r="E501" s="209"/>
      <c r="F501" s="209"/>
      <c r="G501" s="209"/>
      <c r="I501" s="130"/>
      <c r="J501" s="130"/>
      <c r="K501" s="130"/>
      <c r="L501" s="130"/>
      <c r="N501" s="130"/>
    </row>
    <row r="502" spans="2:14" ht="13">
      <c r="B502" s="130"/>
      <c r="C502" s="130"/>
      <c r="D502" s="130"/>
      <c r="E502" s="209"/>
      <c r="F502" s="209"/>
      <c r="G502" s="209"/>
      <c r="I502" s="130"/>
      <c r="J502" s="130"/>
      <c r="K502" s="130"/>
      <c r="L502" s="130"/>
      <c r="N502" s="130"/>
    </row>
    <row r="503" spans="2:14" ht="13">
      <c r="B503" s="130"/>
      <c r="C503" s="130"/>
      <c r="D503" s="130"/>
      <c r="E503" s="209"/>
      <c r="F503" s="209"/>
      <c r="G503" s="209"/>
      <c r="I503" s="130"/>
      <c r="J503" s="130"/>
      <c r="K503" s="130"/>
      <c r="L503" s="130"/>
      <c r="N503" s="130"/>
    </row>
    <row r="504" spans="2:14" ht="13">
      <c r="B504" s="130"/>
      <c r="C504" s="130"/>
      <c r="D504" s="130"/>
      <c r="E504" s="209"/>
      <c r="F504" s="209"/>
      <c r="G504" s="209"/>
      <c r="I504" s="130"/>
      <c r="J504" s="130"/>
      <c r="K504" s="130"/>
      <c r="L504" s="130"/>
      <c r="N504" s="130"/>
    </row>
    <row r="505" spans="2:14" ht="13">
      <c r="B505" s="130"/>
      <c r="C505" s="130"/>
      <c r="D505" s="130"/>
      <c r="E505" s="209"/>
      <c r="F505" s="209"/>
      <c r="G505" s="209"/>
      <c r="I505" s="130"/>
      <c r="J505" s="130"/>
      <c r="K505" s="130"/>
      <c r="L505" s="130"/>
      <c r="N505" s="130"/>
    </row>
    <row r="506" spans="2:14" ht="13">
      <c r="B506" s="130"/>
      <c r="C506" s="130"/>
      <c r="D506" s="130"/>
      <c r="E506" s="209"/>
      <c r="F506" s="209"/>
      <c r="G506" s="209"/>
      <c r="I506" s="130"/>
      <c r="J506" s="130"/>
      <c r="K506" s="130"/>
      <c r="L506" s="130"/>
      <c r="N506" s="130"/>
    </row>
    <row r="507" spans="2:14" ht="13">
      <c r="B507" s="130"/>
      <c r="C507" s="130"/>
      <c r="D507" s="130"/>
      <c r="E507" s="209"/>
      <c r="F507" s="209"/>
      <c r="G507" s="209"/>
      <c r="I507" s="130"/>
      <c r="J507" s="130"/>
      <c r="K507" s="130"/>
      <c r="L507" s="130"/>
      <c r="N507" s="130"/>
    </row>
    <row r="508" spans="2:14" ht="13">
      <c r="B508" s="130"/>
      <c r="C508" s="130"/>
      <c r="D508" s="130"/>
      <c r="E508" s="209"/>
      <c r="F508" s="209"/>
      <c r="G508" s="209"/>
      <c r="I508" s="130"/>
      <c r="J508" s="130"/>
      <c r="K508" s="130"/>
      <c r="L508" s="130"/>
      <c r="N508" s="130"/>
    </row>
    <row r="509" spans="2:14" ht="13">
      <c r="B509" s="130"/>
      <c r="C509" s="130"/>
      <c r="D509" s="130"/>
      <c r="E509" s="209"/>
      <c r="F509" s="209"/>
      <c r="G509" s="209"/>
      <c r="I509" s="130"/>
      <c r="J509" s="130"/>
      <c r="K509" s="130"/>
      <c r="L509" s="130"/>
      <c r="N509" s="130"/>
    </row>
    <row r="510" spans="2:14" ht="13">
      <c r="B510" s="130"/>
      <c r="C510" s="130"/>
      <c r="D510" s="130"/>
      <c r="E510" s="209"/>
      <c r="F510" s="209"/>
      <c r="G510" s="209"/>
      <c r="I510" s="130"/>
      <c r="J510" s="130"/>
      <c r="K510" s="130"/>
      <c r="L510" s="130"/>
      <c r="N510" s="130"/>
    </row>
    <row r="511" spans="2:14" ht="13">
      <c r="B511" s="130"/>
      <c r="C511" s="130"/>
      <c r="D511" s="130"/>
      <c r="E511" s="209"/>
      <c r="F511" s="209"/>
      <c r="G511" s="209"/>
      <c r="I511" s="130"/>
      <c r="J511" s="130"/>
      <c r="K511" s="130"/>
      <c r="L511" s="130"/>
      <c r="N511" s="130"/>
    </row>
    <row r="512" spans="2:14" ht="13">
      <c r="B512" s="130"/>
      <c r="C512" s="130"/>
      <c r="D512" s="130"/>
      <c r="E512" s="209"/>
      <c r="F512" s="209"/>
      <c r="G512" s="209"/>
      <c r="I512" s="130"/>
      <c r="J512" s="130"/>
      <c r="K512" s="130"/>
      <c r="L512" s="130"/>
      <c r="N512" s="130"/>
    </row>
    <row r="513" spans="2:14" ht="13">
      <c r="B513" s="130"/>
      <c r="C513" s="130"/>
      <c r="D513" s="130"/>
      <c r="E513" s="209"/>
      <c r="F513" s="209"/>
      <c r="G513" s="209"/>
      <c r="I513" s="130"/>
      <c r="J513" s="130"/>
      <c r="K513" s="130"/>
      <c r="L513" s="130"/>
      <c r="N513" s="130"/>
    </row>
    <row r="514" spans="2:14" ht="13">
      <c r="B514" s="130"/>
      <c r="C514" s="130"/>
      <c r="D514" s="130"/>
      <c r="E514" s="209"/>
      <c r="F514" s="209"/>
      <c r="G514" s="209"/>
      <c r="I514" s="130"/>
      <c r="J514" s="130"/>
      <c r="K514" s="130"/>
      <c r="L514" s="130"/>
      <c r="N514" s="130"/>
    </row>
    <row r="515" spans="2:14" ht="13">
      <c r="B515" s="130"/>
      <c r="C515" s="130"/>
      <c r="D515" s="130"/>
      <c r="E515" s="209"/>
      <c r="F515" s="209"/>
      <c r="G515" s="209"/>
      <c r="I515" s="130"/>
      <c r="J515" s="130"/>
      <c r="K515" s="130"/>
      <c r="L515" s="130"/>
      <c r="N515" s="130"/>
    </row>
    <row r="516" spans="2:14" ht="13">
      <c r="B516" s="130"/>
      <c r="C516" s="130"/>
      <c r="D516" s="130"/>
      <c r="E516" s="209"/>
      <c r="F516" s="209"/>
      <c r="G516" s="209"/>
      <c r="I516" s="130"/>
      <c r="J516" s="130"/>
      <c r="K516" s="130"/>
      <c r="L516" s="130"/>
      <c r="N516" s="130"/>
    </row>
    <row r="517" spans="2:14" ht="13">
      <c r="B517" s="130"/>
      <c r="C517" s="130"/>
      <c r="D517" s="130"/>
      <c r="E517" s="209"/>
      <c r="F517" s="209"/>
      <c r="G517" s="209"/>
      <c r="I517" s="130"/>
      <c r="J517" s="130"/>
      <c r="K517" s="130"/>
      <c r="L517" s="130"/>
      <c r="N517" s="130"/>
    </row>
    <row r="518" spans="2:14" ht="13">
      <c r="B518" s="130"/>
      <c r="C518" s="130"/>
      <c r="D518" s="130"/>
      <c r="E518" s="209"/>
      <c r="F518" s="209"/>
      <c r="G518" s="209"/>
      <c r="I518" s="130"/>
      <c r="J518" s="130"/>
      <c r="K518" s="130"/>
      <c r="L518" s="130"/>
      <c r="N518" s="130"/>
    </row>
    <row r="519" spans="2:14" ht="13">
      <c r="B519" s="130"/>
      <c r="C519" s="130"/>
      <c r="D519" s="130"/>
      <c r="E519" s="209"/>
      <c r="F519" s="209"/>
      <c r="G519" s="209"/>
      <c r="I519" s="130"/>
      <c r="J519" s="130"/>
      <c r="K519" s="130"/>
      <c r="L519" s="130"/>
      <c r="N519" s="130"/>
    </row>
    <row r="520" spans="2:14" ht="13">
      <c r="B520" s="130"/>
      <c r="C520" s="130"/>
      <c r="D520" s="130"/>
      <c r="E520" s="209"/>
      <c r="F520" s="209"/>
      <c r="G520" s="209"/>
      <c r="I520" s="130"/>
      <c r="J520" s="130"/>
      <c r="K520" s="130"/>
      <c r="L520" s="130"/>
      <c r="N520" s="130"/>
    </row>
    <row r="521" spans="2:14" ht="13">
      <c r="B521" s="130"/>
      <c r="C521" s="130"/>
      <c r="D521" s="130"/>
      <c r="E521" s="209"/>
      <c r="F521" s="209"/>
      <c r="G521" s="209"/>
      <c r="I521" s="130"/>
      <c r="J521" s="130"/>
      <c r="K521" s="130"/>
      <c r="L521" s="130"/>
      <c r="N521" s="130"/>
    </row>
    <row r="522" spans="2:14" ht="13">
      <c r="B522" s="130"/>
      <c r="C522" s="130"/>
      <c r="D522" s="130"/>
      <c r="E522" s="209"/>
      <c r="F522" s="209"/>
      <c r="G522" s="209"/>
      <c r="I522" s="130"/>
      <c r="J522" s="130"/>
      <c r="K522" s="130"/>
      <c r="L522" s="130"/>
      <c r="N522" s="130"/>
    </row>
    <row r="523" spans="2:14" ht="13">
      <c r="B523" s="130"/>
      <c r="C523" s="130"/>
      <c r="D523" s="130"/>
      <c r="E523" s="209"/>
      <c r="F523" s="209"/>
      <c r="G523" s="209"/>
      <c r="I523" s="130"/>
      <c r="J523" s="130"/>
      <c r="K523" s="130"/>
      <c r="L523" s="130"/>
      <c r="N523" s="130"/>
    </row>
    <row r="524" spans="2:14" ht="13">
      <c r="B524" s="130"/>
      <c r="C524" s="130"/>
      <c r="D524" s="130"/>
      <c r="E524" s="209"/>
      <c r="F524" s="209"/>
      <c r="G524" s="209"/>
      <c r="I524" s="130"/>
      <c r="J524" s="130"/>
      <c r="K524" s="130"/>
      <c r="L524" s="130"/>
      <c r="N524" s="130"/>
    </row>
    <row r="525" spans="2:14" ht="13">
      <c r="B525" s="130"/>
      <c r="C525" s="130"/>
      <c r="D525" s="130"/>
      <c r="E525" s="209"/>
      <c r="F525" s="209"/>
      <c r="G525" s="209"/>
      <c r="I525" s="130"/>
      <c r="J525" s="130"/>
      <c r="K525" s="130"/>
      <c r="L525" s="130"/>
      <c r="N525" s="130"/>
    </row>
    <row r="526" spans="2:14" ht="13">
      <c r="B526" s="130"/>
      <c r="C526" s="130"/>
      <c r="D526" s="130"/>
      <c r="E526" s="209"/>
      <c r="F526" s="209"/>
      <c r="G526" s="209"/>
      <c r="I526" s="130"/>
      <c r="J526" s="130"/>
      <c r="K526" s="130"/>
      <c r="L526" s="130"/>
      <c r="N526" s="130"/>
    </row>
    <row r="527" spans="2:14" ht="13">
      <c r="B527" s="130"/>
      <c r="C527" s="130"/>
      <c r="D527" s="130"/>
      <c r="E527" s="209"/>
      <c r="F527" s="209"/>
      <c r="G527" s="209"/>
      <c r="I527" s="130"/>
      <c r="J527" s="130"/>
      <c r="K527" s="130"/>
      <c r="L527" s="130"/>
      <c r="N527" s="130"/>
    </row>
    <row r="528" spans="2:14" ht="13">
      <c r="B528" s="130"/>
      <c r="C528" s="130"/>
      <c r="D528" s="130"/>
      <c r="E528" s="209"/>
      <c r="F528" s="209"/>
      <c r="G528" s="209"/>
      <c r="I528" s="130"/>
      <c r="J528" s="130"/>
      <c r="K528" s="130"/>
      <c r="L528" s="130"/>
      <c r="N528" s="130"/>
    </row>
    <row r="529" spans="2:14" ht="13">
      <c r="B529" s="130"/>
      <c r="C529" s="130"/>
      <c r="D529" s="130"/>
      <c r="E529" s="209"/>
      <c r="F529" s="209"/>
      <c r="G529" s="209"/>
      <c r="I529" s="130"/>
      <c r="J529" s="130"/>
      <c r="K529" s="130"/>
      <c r="L529" s="130"/>
      <c r="N529" s="130"/>
    </row>
    <row r="530" spans="2:14" ht="13">
      <c r="B530" s="130"/>
      <c r="C530" s="130"/>
      <c r="D530" s="130"/>
      <c r="E530" s="209"/>
      <c r="F530" s="209"/>
      <c r="G530" s="209"/>
      <c r="I530" s="130"/>
      <c r="J530" s="130"/>
      <c r="K530" s="130"/>
      <c r="L530" s="130"/>
      <c r="N530" s="130"/>
    </row>
    <row r="531" spans="2:14" ht="13">
      <c r="B531" s="130"/>
      <c r="C531" s="130"/>
      <c r="D531" s="130"/>
      <c r="E531" s="209"/>
      <c r="F531" s="209"/>
      <c r="G531" s="209"/>
      <c r="I531" s="130"/>
      <c r="J531" s="130"/>
      <c r="K531" s="130"/>
      <c r="L531" s="130"/>
      <c r="N531" s="130"/>
    </row>
    <row r="532" spans="2:14" ht="13">
      <c r="B532" s="130"/>
      <c r="C532" s="130"/>
      <c r="D532" s="130"/>
      <c r="E532" s="209"/>
      <c r="F532" s="209"/>
      <c r="G532" s="209"/>
      <c r="I532" s="130"/>
      <c r="J532" s="130"/>
      <c r="K532" s="130"/>
      <c r="L532" s="130"/>
      <c r="N532" s="130"/>
    </row>
    <row r="533" spans="2:14" ht="13">
      <c r="B533" s="130"/>
      <c r="C533" s="130"/>
      <c r="D533" s="130"/>
      <c r="E533" s="209"/>
      <c r="F533" s="209"/>
      <c r="G533" s="209"/>
      <c r="I533" s="130"/>
      <c r="J533" s="130"/>
      <c r="K533" s="130"/>
      <c r="L533" s="130"/>
      <c r="N533" s="130"/>
    </row>
    <row r="534" spans="2:14" ht="13">
      <c r="B534" s="130"/>
      <c r="C534" s="130"/>
      <c r="D534" s="130"/>
      <c r="E534" s="209"/>
      <c r="F534" s="209"/>
      <c r="G534" s="209"/>
      <c r="I534" s="130"/>
      <c r="J534" s="130"/>
      <c r="K534" s="130"/>
      <c r="L534" s="130"/>
      <c r="N534" s="130"/>
    </row>
    <row r="535" spans="2:14" ht="13">
      <c r="B535" s="130"/>
      <c r="C535" s="130"/>
      <c r="D535" s="130"/>
      <c r="E535" s="209"/>
      <c r="F535" s="209"/>
      <c r="G535" s="209"/>
      <c r="I535" s="130"/>
      <c r="J535" s="130"/>
      <c r="K535" s="130"/>
      <c r="L535" s="130"/>
      <c r="N535" s="130"/>
    </row>
    <row r="536" spans="2:14" ht="13">
      <c r="B536" s="130"/>
      <c r="C536" s="130"/>
      <c r="D536" s="130"/>
      <c r="E536" s="209"/>
      <c r="F536" s="209"/>
      <c r="G536" s="209"/>
      <c r="I536" s="130"/>
      <c r="J536" s="130"/>
      <c r="K536" s="130"/>
      <c r="L536" s="130"/>
      <c r="N536" s="130"/>
    </row>
    <row r="537" spans="2:14" ht="13">
      <c r="B537" s="130"/>
      <c r="C537" s="130"/>
      <c r="D537" s="130"/>
      <c r="E537" s="209"/>
      <c r="F537" s="209"/>
      <c r="G537" s="209"/>
      <c r="I537" s="130"/>
      <c r="J537" s="130"/>
      <c r="K537" s="130"/>
      <c r="L537" s="130"/>
      <c r="N537" s="130"/>
    </row>
    <row r="538" spans="2:14" ht="13">
      <c r="B538" s="130"/>
      <c r="C538" s="130"/>
      <c r="D538" s="130"/>
      <c r="E538" s="209"/>
      <c r="F538" s="209"/>
      <c r="G538" s="209"/>
      <c r="I538" s="130"/>
      <c r="J538" s="130"/>
      <c r="K538" s="130"/>
      <c r="L538" s="130"/>
      <c r="N538" s="130"/>
    </row>
    <row r="539" spans="2:14" ht="13">
      <c r="B539" s="130"/>
      <c r="C539" s="130"/>
      <c r="D539" s="130"/>
      <c r="E539" s="209"/>
      <c r="F539" s="209"/>
      <c r="G539" s="209"/>
      <c r="I539" s="130"/>
      <c r="J539" s="130"/>
      <c r="K539" s="130"/>
      <c r="L539" s="130"/>
      <c r="N539" s="130"/>
    </row>
    <row r="540" spans="2:14" ht="13">
      <c r="B540" s="130"/>
      <c r="C540" s="130"/>
      <c r="D540" s="130"/>
      <c r="E540" s="209"/>
      <c r="F540" s="209"/>
      <c r="G540" s="209"/>
      <c r="I540" s="130"/>
      <c r="J540" s="130"/>
      <c r="K540" s="130"/>
      <c r="L540" s="130"/>
      <c r="N540" s="130"/>
    </row>
    <row r="541" spans="2:14" ht="13">
      <c r="B541" s="130"/>
      <c r="C541" s="130"/>
      <c r="D541" s="130"/>
      <c r="E541" s="209"/>
      <c r="F541" s="209"/>
      <c r="G541" s="209"/>
      <c r="I541" s="130"/>
      <c r="J541" s="130"/>
      <c r="K541" s="130"/>
      <c r="L541" s="130"/>
      <c r="N541" s="130"/>
    </row>
    <row r="542" spans="2:14" ht="13">
      <c r="B542" s="130"/>
      <c r="C542" s="130"/>
      <c r="D542" s="130"/>
      <c r="E542" s="209"/>
      <c r="F542" s="209"/>
      <c r="G542" s="209"/>
      <c r="I542" s="130"/>
      <c r="J542" s="130"/>
      <c r="K542" s="130"/>
      <c r="L542" s="130"/>
      <c r="N542" s="130"/>
    </row>
    <row r="543" spans="2:14" ht="13">
      <c r="B543" s="130"/>
      <c r="C543" s="130"/>
      <c r="D543" s="130"/>
      <c r="E543" s="209"/>
      <c r="F543" s="209"/>
      <c r="G543" s="209"/>
      <c r="I543" s="130"/>
      <c r="J543" s="130"/>
      <c r="K543" s="130"/>
      <c r="L543" s="130"/>
      <c r="N543" s="130"/>
    </row>
    <row r="544" spans="2:14" ht="13">
      <c r="B544" s="130"/>
      <c r="C544" s="130"/>
      <c r="D544" s="130"/>
      <c r="E544" s="209"/>
      <c r="F544" s="209"/>
      <c r="G544" s="209"/>
      <c r="I544" s="130"/>
      <c r="J544" s="130"/>
      <c r="K544" s="130"/>
      <c r="L544" s="130"/>
      <c r="N544" s="130"/>
    </row>
    <row r="545" spans="2:14" ht="13">
      <c r="B545" s="130"/>
      <c r="C545" s="130"/>
      <c r="D545" s="130"/>
      <c r="E545" s="209"/>
      <c r="F545" s="209"/>
      <c r="G545" s="209"/>
      <c r="I545" s="130"/>
      <c r="J545" s="130"/>
      <c r="K545" s="130"/>
      <c r="L545" s="130"/>
      <c r="N545" s="130"/>
    </row>
    <row r="546" spans="2:14" ht="13">
      <c r="B546" s="130"/>
      <c r="C546" s="130"/>
      <c r="D546" s="130"/>
      <c r="E546" s="209"/>
      <c r="F546" s="209"/>
      <c r="G546" s="209"/>
      <c r="I546" s="130"/>
      <c r="J546" s="130"/>
      <c r="K546" s="130"/>
      <c r="L546" s="130"/>
      <c r="N546" s="130"/>
    </row>
    <row r="547" spans="2:14" ht="13">
      <c r="B547" s="130"/>
      <c r="C547" s="130"/>
      <c r="D547" s="130"/>
      <c r="E547" s="209"/>
      <c r="F547" s="209"/>
      <c r="G547" s="209"/>
      <c r="I547" s="130"/>
      <c r="J547" s="130"/>
      <c r="K547" s="130"/>
      <c r="L547" s="130"/>
      <c r="N547" s="130"/>
    </row>
    <row r="548" spans="2:14" ht="13">
      <c r="B548" s="130"/>
      <c r="C548" s="130"/>
      <c r="D548" s="130"/>
      <c r="E548" s="209"/>
      <c r="F548" s="209"/>
      <c r="G548" s="209"/>
      <c r="I548" s="130"/>
      <c r="J548" s="130"/>
      <c r="K548" s="130"/>
      <c r="L548" s="130"/>
      <c r="N548" s="130"/>
    </row>
    <row r="549" spans="2:14" ht="13">
      <c r="B549" s="130"/>
      <c r="C549" s="130"/>
      <c r="D549" s="130"/>
      <c r="E549" s="209"/>
      <c r="F549" s="209"/>
      <c r="G549" s="209"/>
      <c r="I549" s="130"/>
      <c r="J549" s="130"/>
      <c r="K549" s="130"/>
      <c r="L549" s="130"/>
      <c r="N549" s="130"/>
    </row>
    <row r="550" spans="2:14" ht="13">
      <c r="B550" s="130"/>
      <c r="C550" s="130"/>
      <c r="D550" s="130"/>
      <c r="E550" s="209"/>
      <c r="F550" s="209"/>
      <c r="G550" s="209"/>
      <c r="I550" s="130"/>
      <c r="J550" s="130"/>
      <c r="K550" s="130"/>
      <c r="L550" s="130"/>
      <c r="N550" s="130"/>
    </row>
    <row r="551" spans="2:14" ht="13">
      <c r="B551" s="130"/>
      <c r="C551" s="130"/>
      <c r="D551" s="130"/>
      <c r="E551" s="209"/>
      <c r="F551" s="209"/>
      <c r="G551" s="209"/>
      <c r="I551" s="130"/>
      <c r="J551" s="130"/>
      <c r="K551" s="130"/>
      <c r="L551" s="130"/>
      <c r="N551" s="130"/>
    </row>
    <row r="552" spans="2:14" ht="13">
      <c r="B552" s="130"/>
      <c r="C552" s="130"/>
      <c r="D552" s="130"/>
      <c r="E552" s="209"/>
      <c r="F552" s="209"/>
      <c r="G552" s="209"/>
      <c r="I552" s="130"/>
      <c r="J552" s="130"/>
      <c r="K552" s="130"/>
      <c r="L552" s="130"/>
      <c r="N552" s="130"/>
    </row>
    <row r="553" spans="2:14" ht="13">
      <c r="B553" s="130"/>
      <c r="C553" s="130"/>
      <c r="D553" s="130"/>
      <c r="E553" s="209"/>
      <c r="F553" s="209"/>
      <c r="G553" s="209"/>
      <c r="I553" s="130"/>
      <c r="J553" s="130"/>
      <c r="K553" s="130"/>
      <c r="L553" s="130"/>
      <c r="N553" s="130"/>
    </row>
    <row r="554" spans="2:14" ht="13">
      <c r="B554" s="130"/>
      <c r="C554" s="130"/>
      <c r="D554" s="130"/>
      <c r="E554" s="209"/>
      <c r="F554" s="209"/>
      <c r="G554" s="209"/>
      <c r="I554" s="130"/>
      <c r="J554" s="130"/>
      <c r="K554" s="130"/>
      <c r="L554" s="130"/>
      <c r="N554" s="130"/>
    </row>
    <row r="555" spans="2:14" ht="13">
      <c r="B555" s="130"/>
      <c r="C555" s="130"/>
      <c r="D555" s="130"/>
      <c r="E555" s="209"/>
      <c r="F555" s="209"/>
      <c r="G555" s="209"/>
      <c r="I555" s="130"/>
      <c r="J555" s="130"/>
      <c r="K555" s="130"/>
      <c r="L555" s="130"/>
      <c r="N555" s="130"/>
    </row>
    <row r="556" spans="2:14" ht="13">
      <c r="B556" s="130"/>
      <c r="C556" s="130"/>
      <c r="D556" s="130"/>
      <c r="E556" s="209"/>
      <c r="F556" s="209"/>
      <c r="G556" s="209"/>
      <c r="I556" s="130"/>
      <c r="J556" s="130"/>
      <c r="K556" s="130"/>
      <c r="L556" s="130"/>
      <c r="N556" s="130"/>
    </row>
    <row r="557" spans="2:14" ht="13">
      <c r="B557" s="130"/>
      <c r="C557" s="130"/>
      <c r="D557" s="130"/>
      <c r="E557" s="209"/>
      <c r="F557" s="209"/>
      <c r="G557" s="209"/>
      <c r="I557" s="130"/>
      <c r="J557" s="130"/>
      <c r="K557" s="130"/>
      <c r="L557" s="130"/>
      <c r="N557" s="130"/>
    </row>
    <row r="558" spans="2:14" ht="13">
      <c r="B558" s="130"/>
      <c r="C558" s="130"/>
      <c r="D558" s="130"/>
      <c r="E558" s="209"/>
      <c r="F558" s="209"/>
      <c r="G558" s="209"/>
      <c r="I558" s="130"/>
      <c r="J558" s="130"/>
      <c r="K558" s="130"/>
      <c r="L558" s="130"/>
      <c r="N558" s="130"/>
    </row>
    <row r="559" spans="2:14" ht="13">
      <c r="B559" s="130"/>
      <c r="C559" s="130"/>
      <c r="D559" s="130"/>
      <c r="E559" s="209"/>
      <c r="F559" s="209"/>
      <c r="G559" s="209"/>
      <c r="I559" s="130"/>
      <c r="J559" s="130"/>
      <c r="K559" s="130"/>
      <c r="L559" s="130"/>
      <c r="N559" s="130"/>
    </row>
    <row r="560" spans="2:14" ht="13">
      <c r="B560" s="130"/>
      <c r="C560" s="130"/>
      <c r="D560" s="130"/>
      <c r="E560" s="209"/>
      <c r="F560" s="209"/>
      <c r="G560" s="209"/>
      <c r="I560" s="130"/>
      <c r="J560" s="130"/>
      <c r="K560" s="130"/>
      <c r="L560" s="130"/>
      <c r="N560" s="130"/>
    </row>
    <row r="561" spans="2:14" ht="13">
      <c r="B561" s="130"/>
      <c r="C561" s="130"/>
      <c r="D561" s="130"/>
      <c r="E561" s="209"/>
      <c r="F561" s="209"/>
      <c r="G561" s="209"/>
      <c r="I561" s="130"/>
      <c r="J561" s="130"/>
      <c r="K561" s="130"/>
      <c r="L561" s="130"/>
      <c r="N561" s="130"/>
    </row>
    <row r="562" spans="2:14" ht="13">
      <c r="B562" s="130"/>
      <c r="C562" s="130"/>
      <c r="D562" s="130"/>
      <c r="E562" s="209"/>
      <c r="F562" s="209"/>
      <c r="G562" s="209"/>
      <c r="I562" s="130"/>
      <c r="J562" s="130"/>
      <c r="K562" s="130"/>
      <c r="L562" s="130"/>
      <c r="N562" s="130"/>
    </row>
    <row r="563" spans="2:14" ht="13">
      <c r="B563" s="130"/>
      <c r="C563" s="130"/>
      <c r="D563" s="130"/>
      <c r="E563" s="209"/>
      <c r="F563" s="209"/>
      <c r="G563" s="209"/>
      <c r="I563" s="130"/>
      <c r="J563" s="130"/>
      <c r="K563" s="130"/>
      <c r="L563" s="130"/>
      <c r="N563" s="130"/>
    </row>
    <row r="564" spans="2:14" ht="13">
      <c r="B564" s="130"/>
      <c r="C564" s="130"/>
      <c r="D564" s="130"/>
      <c r="E564" s="209"/>
      <c r="F564" s="209"/>
      <c r="G564" s="209"/>
      <c r="I564" s="130"/>
      <c r="J564" s="130"/>
      <c r="K564" s="130"/>
      <c r="L564" s="130"/>
      <c r="N564" s="130"/>
    </row>
    <row r="565" spans="2:14" ht="13">
      <c r="B565" s="130"/>
      <c r="C565" s="130"/>
      <c r="D565" s="130"/>
      <c r="E565" s="209"/>
      <c r="F565" s="209"/>
      <c r="G565" s="209"/>
      <c r="I565" s="130"/>
      <c r="J565" s="130"/>
      <c r="K565" s="130"/>
      <c r="L565" s="130"/>
      <c r="N565" s="130"/>
    </row>
    <row r="566" spans="2:14" ht="13">
      <c r="B566" s="130"/>
      <c r="C566" s="130"/>
      <c r="D566" s="130"/>
      <c r="E566" s="209"/>
      <c r="F566" s="209"/>
      <c r="G566" s="209"/>
      <c r="I566" s="130"/>
      <c r="J566" s="130"/>
      <c r="K566" s="130"/>
      <c r="L566" s="130"/>
      <c r="N566" s="130"/>
    </row>
    <row r="567" spans="2:14" ht="13">
      <c r="B567" s="130"/>
      <c r="C567" s="130"/>
      <c r="D567" s="130"/>
      <c r="E567" s="209"/>
      <c r="F567" s="209"/>
      <c r="G567" s="209"/>
      <c r="I567" s="130"/>
      <c r="J567" s="130"/>
      <c r="K567" s="130"/>
      <c r="L567" s="130"/>
      <c r="N567" s="130"/>
    </row>
    <row r="568" spans="2:14" ht="13">
      <c r="B568" s="130"/>
      <c r="C568" s="130"/>
      <c r="D568" s="130"/>
      <c r="E568" s="209"/>
      <c r="F568" s="209"/>
      <c r="G568" s="209"/>
      <c r="I568" s="130"/>
      <c r="J568" s="130"/>
      <c r="K568" s="130"/>
      <c r="L568" s="130"/>
      <c r="N568" s="130"/>
    </row>
    <row r="569" spans="2:14" ht="13">
      <c r="B569" s="130"/>
      <c r="C569" s="130"/>
      <c r="D569" s="130"/>
      <c r="E569" s="209"/>
      <c r="F569" s="209"/>
      <c r="G569" s="209"/>
      <c r="I569" s="130"/>
      <c r="J569" s="130"/>
      <c r="K569" s="130"/>
      <c r="L569" s="130"/>
      <c r="N569" s="130"/>
    </row>
    <row r="570" spans="2:14" ht="13">
      <c r="B570" s="130"/>
      <c r="C570" s="130"/>
      <c r="D570" s="130"/>
      <c r="E570" s="209"/>
      <c r="F570" s="209"/>
      <c r="G570" s="209"/>
      <c r="I570" s="130"/>
      <c r="J570" s="130"/>
      <c r="K570" s="130"/>
      <c r="L570" s="130"/>
      <c r="N570" s="130"/>
    </row>
    <row r="571" spans="2:14" ht="13">
      <c r="B571" s="130"/>
      <c r="C571" s="130"/>
      <c r="D571" s="130"/>
      <c r="E571" s="209"/>
      <c r="F571" s="209"/>
      <c r="G571" s="209"/>
      <c r="I571" s="130"/>
      <c r="J571" s="130"/>
      <c r="K571" s="130"/>
      <c r="L571" s="130"/>
      <c r="N571" s="130"/>
    </row>
    <row r="572" spans="2:14" ht="13">
      <c r="B572" s="130"/>
      <c r="C572" s="130"/>
      <c r="D572" s="130"/>
      <c r="E572" s="209"/>
      <c r="F572" s="209"/>
      <c r="G572" s="209"/>
      <c r="I572" s="130"/>
      <c r="J572" s="130"/>
      <c r="K572" s="130"/>
      <c r="L572" s="130"/>
      <c r="N572" s="130"/>
    </row>
    <row r="573" spans="2:14" ht="13">
      <c r="B573" s="130"/>
      <c r="C573" s="130"/>
      <c r="D573" s="130"/>
      <c r="E573" s="209"/>
      <c r="F573" s="209"/>
      <c r="G573" s="209"/>
      <c r="I573" s="130"/>
      <c r="J573" s="130"/>
      <c r="K573" s="130"/>
      <c r="L573" s="130"/>
      <c r="N573" s="130"/>
    </row>
    <row r="574" spans="2:14" ht="13">
      <c r="B574" s="130"/>
      <c r="C574" s="130"/>
      <c r="D574" s="130"/>
      <c r="E574" s="209"/>
      <c r="F574" s="209"/>
      <c r="G574" s="209"/>
      <c r="I574" s="130"/>
      <c r="J574" s="130"/>
      <c r="K574" s="130"/>
      <c r="L574" s="130"/>
      <c r="N574" s="130"/>
    </row>
    <row r="575" spans="2:14" ht="13">
      <c r="B575" s="130"/>
      <c r="C575" s="130"/>
      <c r="D575" s="130"/>
      <c r="E575" s="209"/>
      <c r="F575" s="209"/>
      <c r="G575" s="209"/>
      <c r="I575" s="130"/>
      <c r="J575" s="130"/>
      <c r="K575" s="130"/>
      <c r="L575" s="130"/>
      <c r="N575" s="130"/>
    </row>
    <row r="576" spans="2:14" ht="13">
      <c r="B576" s="130"/>
      <c r="C576" s="130"/>
      <c r="D576" s="130"/>
      <c r="E576" s="209"/>
      <c r="F576" s="209"/>
      <c r="G576" s="209"/>
      <c r="I576" s="130"/>
      <c r="J576" s="130"/>
      <c r="K576" s="130"/>
      <c r="L576" s="130"/>
      <c r="N576" s="130"/>
    </row>
    <row r="577" spans="2:14" ht="13">
      <c r="B577" s="130"/>
      <c r="C577" s="130"/>
      <c r="D577" s="130"/>
      <c r="E577" s="209"/>
      <c r="F577" s="209"/>
      <c r="G577" s="209"/>
      <c r="I577" s="130"/>
      <c r="J577" s="130"/>
      <c r="K577" s="130"/>
      <c r="L577" s="130"/>
      <c r="N577" s="130"/>
    </row>
    <row r="578" spans="2:14" ht="13">
      <c r="B578" s="130"/>
      <c r="C578" s="130"/>
      <c r="D578" s="130"/>
      <c r="E578" s="209"/>
      <c r="F578" s="209"/>
      <c r="G578" s="209"/>
      <c r="I578" s="130"/>
      <c r="J578" s="130"/>
      <c r="K578" s="130"/>
      <c r="L578" s="130"/>
      <c r="N578" s="130"/>
    </row>
    <row r="579" spans="2:14" ht="13">
      <c r="B579" s="130"/>
      <c r="C579" s="130"/>
      <c r="D579" s="130"/>
      <c r="E579" s="209"/>
      <c r="F579" s="209"/>
      <c r="G579" s="209"/>
      <c r="I579" s="130"/>
      <c r="J579" s="130"/>
      <c r="K579" s="130"/>
      <c r="L579" s="130"/>
      <c r="N579" s="130"/>
    </row>
    <row r="580" spans="2:14" ht="13">
      <c r="B580" s="130"/>
      <c r="C580" s="130"/>
      <c r="D580" s="130"/>
      <c r="E580" s="209"/>
      <c r="F580" s="209"/>
      <c r="G580" s="209"/>
      <c r="I580" s="130"/>
      <c r="J580" s="130"/>
      <c r="K580" s="130"/>
      <c r="L580" s="130"/>
      <c r="N580" s="130"/>
    </row>
    <row r="581" spans="2:14" ht="13">
      <c r="B581" s="130"/>
      <c r="C581" s="130"/>
      <c r="D581" s="130"/>
      <c r="E581" s="209"/>
      <c r="F581" s="209"/>
      <c r="G581" s="209"/>
      <c r="I581" s="130"/>
      <c r="J581" s="130"/>
      <c r="K581" s="130"/>
      <c r="L581" s="130"/>
      <c r="N581" s="130"/>
    </row>
    <row r="582" spans="2:14" ht="13">
      <c r="B582" s="130"/>
      <c r="C582" s="130"/>
      <c r="D582" s="130"/>
      <c r="E582" s="209"/>
      <c r="F582" s="209"/>
      <c r="G582" s="209"/>
      <c r="I582" s="130"/>
      <c r="J582" s="130"/>
      <c r="K582" s="130"/>
      <c r="L582" s="130"/>
      <c r="N582" s="130"/>
    </row>
    <row r="583" spans="2:14" ht="13">
      <c r="B583" s="130"/>
      <c r="C583" s="130"/>
      <c r="D583" s="130"/>
      <c r="E583" s="209"/>
      <c r="F583" s="209"/>
      <c r="G583" s="209"/>
      <c r="I583" s="130"/>
      <c r="J583" s="130"/>
      <c r="K583" s="130"/>
      <c r="L583" s="130"/>
      <c r="N583" s="130"/>
    </row>
    <row r="584" spans="2:14" ht="13">
      <c r="B584" s="130"/>
      <c r="C584" s="130"/>
      <c r="D584" s="130"/>
      <c r="E584" s="209"/>
      <c r="F584" s="209"/>
      <c r="G584" s="209"/>
      <c r="I584" s="130"/>
      <c r="J584" s="130"/>
      <c r="K584" s="130"/>
      <c r="L584" s="130"/>
      <c r="N584" s="130"/>
    </row>
    <row r="585" spans="2:14" ht="13">
      <c r="B585" s="130"/>
      <c r="C585" s="130"/>
      <c r="D585" s="130"/>
      <c r="E585" s="209"/>
      <c r="F585" s="209"/>
      <c r="G585" s="209"/>
      <c r="I585" s="130"/>
      <c r="J585" s="130"/>
      <c r="K585" s="130"/>
      <c r="L585" s="130"/>
      <c r="N585" s="130"/>
    </row>
    <row r="586" spans="2:14" ht="13">
      <c r="B586" s="130"/>
      <c r="C586" s="130"/>
      <c r="D586" s="130"/>
      <c r="E586" s="209"/>
      <c r="F586" s="209"/>
      <c r="G586" s="209"/>
      <c r="I586" s="130"/>
      <c r="J586" s="130"/>
      <c r="K586" s="130"/>
      <c r="L586" s="130"/>
      <c r="N586" s="130"/>
    </row>
    <row r="587" spans="2:14" ht="13">
      <c r="B587" s="130"/>
      <c r="C587" s="130"/>
      <c r="D587" s="130"/>
      <c r="E587" s="209"/>
      <c r="F587" s="209"/>
      <c r="G587" s="209"/>
      <c r="I587" s="130"/>
      <c r="J587" s="130"/>
      <c r="K587" s="130"/>
      <c r="L587" s="130"/>
      <c r="N587" s="130"/>
    </row>
    <row r="588" spans="2:14" ht="13">
      <c r="B588" s="130"/>
      <c r="C588" s="130"/>
      <c r="D588" s="130"/>
      <c r="E588" s="209"/>
      <c r="F588" s="209"/>
      <c r="G588" s="209"/>
      <c r="I588" s="130"/>
      <c r="J588" s="130"/>
      <c r="K588" s="130"/>
      <c r="L588" s="130"/>
      <c r="N588" s="130"/>
    </row>
    <row r="589" spans="2:14" ht="13">
      <c r="B589" s="130"/>
      <c r="C589" s="130"/>
      <c r="D589" s="130"/>
      <c r="E589" s="209"/>
      <c r="F589" s="209"/>
      <c r="G589" s="209"/>
      <c r="I589" s="130"/>
      <c r="J589" s="130"/>
      <c r="K589" s="130"/>
      <c r="L589" s="130"/>
      <c r="N589" s="130"/>
    </row>
    <row r="590" spans="2:14" ht="13">
      <c r="B590" s="130"/>
      <c r="C590" s="130"/>
      <c r="D590" s="130"/>
      <c r="E590" s="209"/>
      <c r="F590" s="209"/>
      <c r="G590" s="209"/>
      <c r="I590" s="130"/>
      <c r="J590" s="130"/>
      <c r="K590" s="130"/>
      <c r="L590" s="130"/>
      <c r="N590" s="130"/>
    </row>
    <row r="591" spans="2:14" ht="13">
      <c r="B591" s="130"/>
      <c r="C591" s="130"/>
      <c r="D591" s="130"/>
      <c r="E591" s="209"/>
      <c r="F591" s="209"/>
      <c r="G591" s="209"/>
      <c r="I591" s="130"/>
      <c r="J591" s="130"/>
      <c r="K591" s="130"/>
      <c r="L591" s="130"/>
      <c r="N591" s="130"/>
    </row>
    <row r="592" spans="2:14" ht="13">
      <c r="B592" s="130"/>
      <c r="C592" s="130"/>
      <c r="D592" s="130"/>
      <c r="E592" s="209"/>
      <c r="F592" s="209"/>
      <c r="G592" s="209"/>
      <c r="I592" s="130"/>
      <c r="J592" s="130"/>
      <c r="K592" s="130"/>
      <c r="L592" s="130"/>
      <c r="N592" s="130"/>
    </row>
    <row r="593" spans="2:14" ht="13">
      <c r="B593" s="130"/>
      <c r="C593" s="130"/>
      <c r="D593" s="130"/>
      <c r="E593" s="209"/>
      <c r="F593" s="209"/>
      <c r="G593" s="209"/>
      <c r="I593" s="130"/>
      <c r="J593" s="130"/>
      <c r="K593" s="130"/>
      <c r="L593" s="130"/>
      <c r="N593" s="130"/>
    </row>
    <row r="594" spans="2:14" ht="13">
      <c r="B594" s="130"/>
      <c r="C594" s="130"/>
      <c r="D594" s="130"/>
      <c r="E594" s="209"/>
      <c r="F594" s="209"/>
      <c r="G594" s="209"/>
      <c r="I594" s="130"/>
      <c r="J594" s="130"/>
      <c r="K594" s="130"/>
      <c r="L594" s="130"/>
      <c r="N594" s="130"/>
    </row>
    <row r="595" spans="2:14" ht="13">
      <c r="B595" s="130"/>
      <c r="C595" s="130"/>
      <c r="D595" s="130"/>
      <c r="E595" s="209"/>
      <c r="F595" s="209"/>
      <c r="G595" s="209"/>
      <c r="I595" s="130"/>
      <c r="J595" s="130"/>
      <c r="K595" s="130"/>
      <c r="L595" s="130"/>
      <c r="N595" s="130"/>
    </row>
    <row r="596" spans="2:14" ht="13">
      <c r="B596" s="130"/>
      <c r="C596" s="130"/>
      <c r="D596" s="130"/>
      <c r="E596" s="209"/>
      <c r="F596" s="209"/>
      <c r="G596" s="209"/>
      <c r="I596" s="130"/>
      <c r="J596" s="130"/>
      <c r="K596" s="130"/>
      <c r="L596" s="130"/>
      <c r="N596" s="130"/>
    </row>
    <row r="597" spans="2:14" ht="13">
      <c r="B597" s="130"/>
      <c r="C597" s="130"/>
      <c r="D597" s="130"/>
      <c r="E597" s="209"/>
      <c r="F597" s="209"/>
      <c r="G597" s="209"/>
      <c r="I597" s="130"/>
      <c r="J597" s="130"/>
      <c r="K597" s="130"/>
      <c r="L597" s="130"/>
      <c r="N597" s="130"/>
    </row>
    <row r="598" spans="2:14" ht="13">
      <c r="B598" s="130"/>
      <c r="C598" s="130"/>
      <c r="D598" s="130"/>
      <c r="E598" s="209"/>
      <c r="F598" s="209"/>
      <c r="G598" s="209"/>
      <c r="I598" s="130"/>
      <c r="J598" s="130"/>
      <c r="K598" s="130"/>
      <c r="L598" s="130"/>
      <c r="N598" s="130"/>
    </row>
    <row r="599" spans="2:14" ht="13">
      <c r="B599" s="130"/>
      <c r="C599" s="130"/>
      <c r="D599" s="130"/>
      <c r="E599" s="209"/>
      <c r="F599" s="209"/>
      <c r="G599" s="209"/>
      <c r="I599" s="130"/>
      <c r="J599" s="130"/>
      <c r="K599" s="130"/>
      <c r="L599" s="130"/>
      <c r="N599" s="130"/>
    </row>
    <row r="600" spans="2:14" ht="13">
      <c r="B600" s="130"/>
      <c r="C600" s="130"/>
      <c r="D600" s="130"/>
      <c r="E600" s="209"/>
      <c r="F600" s="209"/>
      <c r="G600" s="209"/>
      <c r="I600" s="130"/>
      <c r="J600" s="130"/>
      <c r="K600" s="130"/>
      <c r="L600" s="130"/>
      <c r="N600" s="130"/>
    </row>
    <row r="601" spans="2:14" ht="13">
      <c r="B601" s="130"/>
      <c r="C601" s="130"/>
      <c r="D601" s="130"/>
      <c r="E601" s="209"/>
      <c r="F601" s="209"/>
      <c r="G601" s="209"/>
      <c r="I601" s="130"/>
      <c r="J601" s="130"/>
      <c r="K601" s="130"/>
      <c r="L601" s="130"/>
      <c r="N601" s="130"/>
    </row>
    <row r="602" spans="2:14" ht="13">
      <c r="B602" s="130"/>
      <c r="C602" s="130"/>
      <c r="D602" s="130"/>
      <c r="E602" s="209"/>
      <c r="F602" s="209"/>
      <c r="G602" s="209"/>
      <c r="I602" s="130"/>
      <c r="J602" s="130"/>
      <c r="K602" s="130"/>
      <c r="L602" s="130"/>
      <c r="N602" s="130"/>
    </row>
    <row r="603" spans="2:14" ht="13">
      <c r="B603" s="130"/>
      <c r="C603" s="130"/>
      <c r="D603" s="130"/>
      <c r="E603" s="209"/>
      <c r="F603" s="209"/>
      <c r="G603" s="209"/>
      <c r="I603" s="130"/>
      <c r="J603" s="130"/>
      <c r="K603" s="130"/>
      <c r="L603" s="130"/>
      <c r="N603" s="130"/>
    </row>
    <row r="604" spans="2:14" ht="13">
      <c r="B604" s="130"/>
      <c r="C604" s="130"/>
      <c r="D604" s="130"/>
      <c r="E604" s="209"/>
      <c r="F604" s="209"/>
      <c r="G604" s="209"/>
      <c r="I604" s="130"/>
      <c r="J604" s="130"/>
      <c r="K604" s="130"/>
      <c r="L604" s="130"/>
      <c r="N604" s="130"/>
    </row>
    <row r="605" spans="2:14" ht="13">
      <c r="B605" s="130"/>
      <c r="C605" s="130"/>
      <c r="D605" s="130"/>
      <c r="E605" s="209"/>
      <c r="F605" s="209"/>
      <c r="G605" s="209"/>
      <c r="I605" s="130"/>
      <c r="J605" s="130"/>
      <c r="K605" s="130"/>
      <c r="L605" s="130"/>
      <c r="N605" s="130"/>
    </row>
    <row r="606" spans="2:14" ht="13">
      <c r="B606" s="130"/>
      <c r="C606" s="130"/>
      <c r="D606" s="130"/>
      <c r="E606" s="209"/>
      <c r="F606" s="209"/>
      <c r="G606" s="209"/>
      <c r="I606" s="130"/>
      <c r="J606" s="130"/>
      <c r="K606" s="130"/>
      <c r="L606" s="130"/>
      <c r="N606" s="130"/>
    </row>
    <row r="607" spans="2:14" ht="13">
      <c r="B607" s="130"/>
      <c r="C607" s="130"/>
      <c r="D607" s="130"/>
      <c r="E607" s="209"/>
      <c r="F607" s="209"/>
      <c r="G607" s="209"/>
      <c r="I607" s="130"/>
      <c r="J607" s="130"/>
      <c r="K607" s="130"/>
      <c r="L607" s="130"/>
      <c r="N607" s="130"/>
    </row>
    <row r="608" spans="2:14" ht="13">
      <c r="B608" s="130"/>
      <c r="C608" s="130"/>
      <c r="D608" s="130"/>
      <c r="E608" s="209"/>
      <c r="F608" s="209"/>
      <c r="G608" s="209"/>
      <c r="I608" s="130"/>
      <c r="J608" s="130"/>
      <c r="K608" s="130"/>
      <c r="L608" s="130"/>
      <c r="N608" s="130"/>
    </row>
    <row r="609" spans="2:14" ht="13">
      <c r="B609" s="130"/>
      <c r="C609" s="130"/>
      <c r="D609" s="130"/>
      <c r="E609" s="209"/>
      <c r="F609" s="209"/>
      <c r="G609" s="209"/>
      <c r="I609" s="130"/>
      <c r="J609" s="130"/>
      <c r="K609" s="130"/>
      <c r="L609" s="130"/>
      <c r="N609" s="130"/>
    </row>
    <row r="610" spans="2:14" ht="13">
      <c r="B610" s="130"/>
      <c r="C610" s="130"/>
      <c r="D610" s="130"/>
      <c r="E610" s="209"/>
      <c r="F610" s="209"/>
      <c r="G610" s="209"/>
      <c r="I610" s="130"/>
      <c r="J610" s="130"/>
      <c r="K610" s="130"/>
      <c r="L610" s="130"/>
      <c r="N610" s="130"/>
    </row>
    <row r="611" spans="2:14" ht="13">
      <c r="B611" s="130"/>
      <c r="C611" s="130"/>
      <c r="D611" s="130"/>
      <c r="E611" s="209"/>
      <c r="F611" s="209"/>
      <c r="G611" s="209"/>
      <c r="I611" s="130"/>
      <c r="J611" s="130"/>
      <c r="K611" s="130"/>
      <c r="L611" s="130"/>
      <c r="N611" s="130"/>
    </row>
    <row r="612" spans="2:14" ht="13">
      <c r="B612" s="130"/>
      <c r="C612" s="130"/>
      <c r="D612" s="130"/>
      <c r="E612" s="209"/>
      <c r="F612" s="209"/>
      <c r="G612" s="209"/>
      <c r="I612" s="130"/>
      <c r="J612" s="130"/>
      <c r="K612" s="130"/>
      <c r="L612" s="130"/>
      <c r="N612" s="130"/>
    </row>
    <row r="613" spans="2:14" ht="13">
      <c r="B613" s="130"/>
      <c r="C613" s="130"/>
      <c r="D613" s="130"/>
      <c r="E613" s="209"/>
      <c r="F613" s="209"/>
      <c r="G613" s="209"/>
      <c r="I613" s="130"/>
      <c r="J613" s="130"/>
      <c r="K613" s="130"/>
      <c r="L613" s="130"/>
      <c r="N613" s="130"/>
    </row>
    <row r="614" spans="2:14" ht="13">
      <c r="B614" s="130"/>
      <c r="C614" s="130"/>
      <c r="D614" s="130"/>
      <c r="E614" s="209"/>
      <c r="F614" s="209"/>
      <c r="G614" s="209"/>
      <c r="I614" s="130"/>
      <c r="J614" s="130"/>
      <c r="K614" s="130"/>
      <c r="L614" s="130"/>
      <c r="N614" s="130"/>
    </row>
    <row r="615" spans="2:14" ht="13">
      <c r="B615" s="130"/>
      <c r="C615" s="130"/>
      <c r="D615" s="130"/>
      <c r="E615" s="209"/>
      <c r="F615" s="209"/>
      <c r="G615" s="209"/>
      <c r="I615" s="130"/>
      <c r="J615" s="130"/>
      <c r="K615" s="130"/>
      <c r="L615" s="130"/>
      <c r="N615" s="130"/>
    </row>
    <row r="616" spans="2:14" ht="13">
      <c r="B616" s="130"/>
      <c r="C616" s="130"/>
      <c r="D616" s="130"/>
      <c r="E616" s="209"/>
      <c r="F616" s="209"/>
      <c r="G616" s="209"/>
      <c r="I616" s="130"/>
      <c r="J616" s="130"/>
      <c r="K616" s="130"/>
      <c r="L616" s="130"/>
      <c r="N616" s="130"/>
    </row>
    <row r="617" spans="2:14" ht="13">
      <c r="B617" s="130"/>
      <c r="C617" s="130"/>
      <c r="D617" s="130"/>
      <c r="E617" s="209"/>
      <c r="F617" s="209"/>
      <c r="G617" s="209"/>
      <c r="I617" s="130"/>
      <c r="J617" s="130"/>
      <c r="K617" s="130"/>
      <c r="L617" s="130"/>
      <c r="N617" s="130"/>
    </row>
    <row r="618" spans="2:14" ht="13">
      <c r="B618" s="130"/>
      <c r="C618" s="130"/>
      <c r="D618" s="130"/>
      <c r="E618" s="209"/>
      <c r="F618" s="209"/>
      <c r="G618" s="209"/>
      <c r="I618" s="130"/>
      <c r="J618" s="130"/>
      <c r="K618" s="130"/>
      <c r="L618" s="130"/>
      <c r="N618" s="130"/>
    </row>
    <row r="619" spans="2:14" ht="13">
      <c r="B619" s="130"/>
      <c r="C619" s="130"/>
      <c r="D619" s="130"/>
      <c r="E619" s="209"/>
      <c r="F619" s="209"/>
      <c r="G619" s="209"/>
      <c r="I619" s="130"/>
      <c r="J619" s="130"/>
      <c r="K619" s="130"/>
      <c r="L619" s="130"/>
      <c r="N619" s="130"/>
    </row>
    <row r="620" spans="2:14" ht="13">
      <c r="B620" s="130"/>
      <c r="C620" s="130"/>
      <c r="D620" s="130"/>
      <c r="E620" s="209"/>
      <c r="F620" s="209"/>
      <c r="G620" s="209"/>
      <c r="I620" s="130"/>
      <c r="J620" s="130"/>
      <c r="K620" s="130"/>
      <c r="L620" s="130"/>
      <c r="N620" s="130"/>
    </row>
    <row r="621" spans="2:14" ht="13">
      <c r="B621" s="130"/>
      <c r="C621" s="130"/>
      <c r="D621" s="130"/>
      <c r="E621" s="209"/>
      <c r="F621" s="209"/>
      <c r="G621" s="209"/>
      <c r="I621" s="130"/>
      <c r="J621" s="130"/>
      <c r="K621" s="130"/>
      <c r="L621" s="130"/>
      <c r="N621" s="130"/>
    </row>
    <row r="622" spans="2:14" ht="13">
      <c r="B622" s="130"/>
      <c r="C622" s="130"/>
      <c r="D622" s="130"/>
      <c r="E622" s="209"/>
      <c r="F622" s="209"/>
      <c r="G622" s="209"/>
      <c r="I622" s="130"/>
      <c r="J622" s="130"/>
      <c r="K622" s="130"/>
      <c r="L622" s="130"/>
      <c r="N622" s="130"/>
    </row>
    <row r="623" spans="2:14" ht="13">
      <c r="B623" s="130"/>
      <c r="C623" s="130"/>
      <c r="D623" s="130"/>
      <c r="E623" s="209"/>
      <c r="F623" s="209"/>
      <c r="G623" s="209"/>
      <c r="I623" s="130"/>
      <c r="J623" s="130"/>
      <c r="K623" s="130"/>
      <c r="L623" s="130"/>
      <c r="N623" s="130"/>
    </row>
    <row r="624" spans="2:14" ht="13">
      <c r="B624" s="130"/>
      <c r="C624" s="130"/>
      <c r="D624" s="130"/>
      <c r="E624" s="209"/>
      <c r="F624" s="209"/>
      <c r="G624" s="209"/>
      <c r="I624" s="130"/>
      <c r="J624" s="130"/>
      <c r="K624" s="130"/>
      <c r="L624" s="130"/>
      <c r="N624" s="130"/>
    </row>
    <row r="625" spans="2:14" ht="13">
      <c r="B625" s="130"/>
      <c r="C625" s="130"/>
      <c r="D625" s="130"/>
      <c r="E625" s="209"/>
      <c r="F625" s="209"/>
      <c r="G625" s="209"/>
      <c r="I625" s="130"/>
      <c r="J625" s="130"/>
      <c r="K625" s="130"/>
      <c r="L625" s="130"/>
      <c r="N625" s="130"/>
    </row>
    <row r="626" spans="2:14" ht="13">
      <c r="B626" s="130"/>
      <c r="C626" s="130"/>
      <c r="D626" s="130"/>
      <c r="E626" s="209"/>
      <c r="F626" s="209"/>
      <c r="G626" s="209"/>
      <c r="I626" s="130"/>
      <c r="J626" s="130"/>
      <c r="K626" s="130"/>
      <c r="L626" s="130"/>
      <c r="N626" s="130"/>
    </row>
    <row r="627" spans="2:14" ht="13">
      <c r="B627" s="130"/>
      <c r="C627" s="130"/>
      <c r="D627" s="130"/>
      <c r="E627" s="209"/>
      <c r="F627" s="209"/>
      <c r="G627" s="209"/>
      <c r="I627" s="130"/>
      <c r="J627" s="130"/>
      <c r="K627" s="130"/>
      <c r="L627" s="130"/>
      <c r="N627" s="130"/>
    </row>
    <row r="628" spans="2:14" ht="13">
      <c r="B628" s="130"/>
      <c r="C628" s="130"/>
      <c r="D628" s="130"/>
      <c r="E628" s="209"/>
      <c r="F628" s="209"/>
      <c r="G628" s="209"/>
      <c r="I628" s="130"/>
      <c r="J628" s="130"/>
      <c r="K628" s="130"/>
      <c r="L628" s="130"/>
      <c r="N628" s="130"/>
    </row>
    <row r="629" spans="2:14" ht="13">
      <c r="B629" s="130"/>
      <c r="C629" s="130"/>
      <c r="D629" s="130"/>
      <c r="E629" s="209"/>
      <c r="F629" s="209"/>
      <c r="G629" s="209"/>
      <c r="I629" s="130"/>
      <c r="J629" s="130"/>
      <c r="K629" s="130"/>
      <c r="L629" s="130"/>
      <c r="N629" s="130"/>
    </row>
    <row r="630" spans="2:14" ht="13">
      <c r="B630" s="130"/>
      <c r="C630" s="130"/>
      <c r="D630" s="130"/>
      <c r="E630" s="209"/>
      <c r="F630" s="209"/>
      <c r="G630" s="209"/>
      <c r="I630" s="130"/>
      <c r="J630" s="130"/>
      <c r="K630" s="130"/>
      <c r="L630" s="130"/>
      <c r="N630" s="130"/>
    </row>
    <row r="631" spans="2:14" ht="13">
      <c r="B631" s="130"/>
      <c r="C631" s="130"/>
      <c r="D631" s="130"/>
      <c r="E631" s="209"/>
      <c r="F631" s="209"/>
      <c r="G631" s="209"/>
      <c r="I631" s="130"/>
      <c r="J631" s="130"/>
      <c r="K631" s="130"/>
      <c r="L631" s="130"/>
      <c r="N631" s="130"/>
    </row>
    <row r="632" spans="2:14" ht="13">
      <c r="B632" s="130"/>
      <c r="C632" s="130"/>
      <c r="D632" s="130"/>
      <c r="E632" s="209"/>
      <c r="F632" s="209"/>
      <c r="G632" s="209"/>
      <c r="I632" s="130"/>
      <c r="J632" s="130"/>
      <c r="K632" s="130"/>
      <c r="L632" s="130"/>
      <c r="N632" s="130"/>
    </row>
    <row r="633" spans="2:14" ht="13">
      <c r="B633" s="130"/>
      <c r="C633" s="130"/>
      <c r="D633" s="130"/>
      <c r="E633" s="209"/>
      <c r="F633" s="209"/>
      <c r="G633" s="209"/>
      <c r="I633" s="130"/>
      <c r="J633" s="130"/>
      <c r="K633" s="130"/>
      <c r="L633" s="130"/>
      <c r="N633" s="130"/>
    </row>
    <row r="634" spans="2:14" ht="13">
      <c r="B634" s="130"/>
      <c r="C634" s="130"/>
      <c r="D634" s="130"/>
      <c r="E634" s="209"/>
      <c r="F634" s="209"/>
      <c r="G634" s="209"/>
      <c r="I634" s="130"/>
      <c r="J634" s="130"/>
      <c r="K634" s="130"/>
      <c r="L634" s="130"/>
      <c r="N634" s="130"/>
    </row>
    <row r="635" spans="2:14" ht="13">
      <c r="B635" s="130"/>
      <c r="C635" s="130"/>
      <c r="D635" s="130"/>
      <c r="E635" s="209"/>
      <c r="F635" s="209"/>
      <c r="G635" s="209"/>
      <c r="I635" s="130"/>
      <c r="J635" s="130"/>
      <c r="K635" s="130"/>
      <c r="L635" s="130"/>
      <c r="N635" s="130"/>
    </row>
    <row r="636" spans="2:14" ht="13">
      <c r="B636" s="130"/>
      <c r="C636" s="130"/>
      <c r="D636" s="130"/>
      <c r="E636" s="209"/>
      <c r="F636" s="209"/>
      <c r="G636" s="209"/>
      <c r="I636" s="130"/>
      <c r="J636" s="130"/>
      <c r="K636" s="130"/>
      <c r="L636" s="130"/>
      <c r="N636" s="130"/>
    </row>
    <row r="637" spans="2:14" ht="13">
      <c r="B637" s="130"/>
      <c r="C637" s="130"/>
      <c r="D637" s="130"/>
      <c r="E637" s="209"/>
      <c r="F637" s="209"/>
      <c r="G637" s="209"/>
      <c r="I637" s="130"/>
      <c r="J637" s="130"/>
      <c r="K637" s="130"/>
      <c r="L637" s="130"/>
      <c r="N637" s="130"/>
    </row>
    <row r="638" spans="2:14" ht="13">
      <c r="B638" s="130"/>
      <c r="C638" s="130"/>
      <c r="D638" s="130"/>
      <c r="E638" s="209"/>
      <c r="F638" s="209"/>
      <c r="G638" s="209"/>
      <c r="I638" s="130"/>
      <c r="J638" s="130"/>
      <c r="K638" s="130"/>
      <c r="L638" s="130"/>
      <c r="N638" s="130"/>
    </row>
    <row r="639" spans="2:14" ht="13">
      <c r="B639" s="130"/>
      <c r="C639" s="130"/>
      <c r="D639" s="130"/>
      <c r="E639" s="209"/>
      <c r="F639" s="209"/>
      <c r="G639" s="209"/>
      <c r="I639" s="130"/>
      <c r="J639" s="130"/>
      <c r="K639" s="130"/>
      <c r="L639" s="130"/>
      <c r="N639" s="130"/>
    </row>
    <row r="640" spans="2:14" ht="13">
      <c r="B640" s="130"/>
      <c r="C640" s="130"/>
      <c r="D640" s="130"/>
      <c r="E640" s="209"/>
      <c r="F640" s="209"/>
      <c r="G640" s="209"/>
      <c r="I640" s="130"/>
      <c r="J640" s="130"/>
      <c r="K640" s="130"/>
      <c r="L640" s="130"/>
      <c r="N640" s="130"/>
    </row>
    <row r="641" spans="2:14" ht="13">
      <c r="B641" s="130"/>
      <c r="C641" s="130"/>
      <c r="D641" s="130"/>
      <c r="E641" s="209"/>
      <c r="F641" s="209"/>
      <c r="G641" s="209"/>
      <c r="I641" s="130"/>
      <c r="J641" s="130"/>
      <c r="K641" s="130"/>
      <c r="L641" s="130"/>
      <c r="N641" s="130"/>
    </row>
    <row r="642" spans="2:14" ht="13">
      <c r="B642" s="130"/>
      <c r="C642" s="130"/>
      <c r="D642" s="130"/>
      <c r="E642" s="209"/>
      <c r="F642" s="209"/>
      <c r="G642" s="209"/>
      <c r="I642" s="130"/>
      <c r="J642" s="130"/>
      <c r="K642" s="130"/>
      <c r="L642" s="130"/>
      <c r="N642" s="130"/>
    </row>
    <row r="643" spans="2:14" ht="13">
      <c r="B643" s="130"/>
      <c r="C643" s="130"/>
      <c r="D643" s="130"/>
      <c r="E643" s="209"/>
      <c r="F643" s="209"/>
      <c r="G643" s="209"/>
      <c r="I643" s="130"/>
      <c r="J643" s="130"/>
      <c r="K643" s="130"/>
      <c r="L643" s="130"/>
      <c r="N643" s="130"/>
    </row>
    <row r="644" spans="2:14" ht="13">
      <c r="B644" s="130"/>
      <c r="C644" s="130"/>
      <c r="D644" s="130"/>
      <c r="E644" s="209"/>
      <c r="F644" s="209"/>
      <c r="G644" s="209"/>
      <c r="I644" s="130"/>
      <c r="J644" s="130"/>
      <c r="K644" s="130"/>
      <c r="L644" s="130"/>
      <c r="N644" s="130"/>
    </row>
    <row r="645" spans="2:14" ht="13">
      <c r="B645" s="130"/>
      <c r="C645" s="130"/>
      <c r="D645" s="130"/>
      <c r="E645" s="209"/>
      <c r="F645" s="209"/>
      <c r="G645" s="209"/>
      <c r="I645" s="130"/>
      <c r="J645" s="130"/>
      <c r="K645" s="130"/>
      <c r="L645" s="130"/>
      <c r="N645" s="130"/>
    </row>
    <row r="646" spans="2:14" ht="13">
      <c r="B646" s="130"/>
      <c r="C646" s="130"/>
      <c r="D646" s="130"/>
      <c r="E646" s="209"/>
      <c r="F646" s="209"/>
      <c r="G646" s="209"/>
      <c r="I646" s="130"/>
      <c r="J646" s="130"/>
      <c r="K646" s="130"/>
      <c r="L646" s="130"/>
      <c r="N646" s="130"/>
    </row>
    <row r="647" spans="2:14" ht="13">
      <c r="B647" s="130"/>
      <c r="C647" s="130"/>
      <c r="D647" s="130"/>
      <c r="E647" s="209"/>
      <c r="F647" s="209"/>
      <c r="G647" s="209"/>
      <c r="I647" s="130"/>
      <c r="J647" s="130"/>
      <c r="K647" s="130"/>
      <c r="L647" s="130"/>
      <c r="N647" s="130"/>
    </row>
    <row r="648" spans="2:14" ht="13">
      <c r="B648" s="130"/>
      <c r="C648" s="130"/>
      <c r="D648" s="130"/>
      <c r="E648" s="209"/>
      <c r="F648" s="209"/>
      <c r="G648" s="209"/>
      <c r="I648" s="130"/>
      <c r="J648" s="130"/>
      <c r="K648" s="130"/>
      <c r="L648" s="130"/>
      <c r="N648" s="130"/>
    </row>
    <row r="649" spans="2:14" ht="13">
      <c r="B649" s="130"/>
      <c r="C649" s="130"/>
      <c r="D649" s="130"/>
      <c r="E649" s="209"/>
      <c r="F649" s="209"/>
      <c r="G649" s="209"/>
      <c r="I649" s="130"/>
      <c r="J649" s="130"/>
      <c r="K649" s="130"/>
      <c r="L649" s="130"/>
      <c r="N649" s="130"/>
    </row>
    <row r="650" spans="2:14" ht="13">
      <c r="B650" s="130"/>
      <c r="C650" s="130"/>
      <c r="D650" s="130"/>
      <c r="E650" s="209"/>
      <c r="F650" s="209"/>
      <c r="G650" s="209"/>
      <c r="I650" s="130"/>
      <c r="J650" s="130"/>
      <c r="K650" s="130"/>
      <c r="L650" s="130"/>
      <c r="N650" s="130"/>
    </row>
    <row r="651" spans="2:14" ht="13">
      <c r="B651" s="130"/>
      <c r="C651" s="130"/>
      <c r="D651" s="130"/>
      <c r="E651" s="209"/>
      <c r="F651" s="209"/>
      <c r="G651" s="209"/>
      <c r="I651" s="130"/>
      <c r="J651" s="130"/>
      <c r="K651" s="130"/>
      <c r="L651" s="130"/>
      <c r="N651" s="130"/>
    </row>
    <row r="652" spans="2:14" ht="13">
      <c r="B652" s="130"/>
      <c r="C652" s="130"/>
      <c r="D652" s="130"/>
      <c r="E652" s="209"/>
      <c r="F652" s="209"/>
      <c r="G652" s="209"/>
      <c r="I652" s="130"/>
      <c r="J652" s="130"/>
      <c r="K652" s="130"/>
      <c r="L652" s="130"/>
      <c r="N652" s="130"/>
    </row>
    <row r="653" spans="2:14" ht="13">
      <c r="B653" s="130"/>
      <c r="C653" s="130"/>
      <c r="D653" s="130"/>
      <c r="E653" s="209"/>
      <c r="F653" s="209"/>
      <c r="G653" s="209"/>
      <c r="I653" s="130"/>
      <c r="J653" s="130"/>
      <c r="K653" s="130"/>
      <c r="L653" s="130"/>
      <c r="N653" s="130"/>
    </row>
    <row r="654" spans="2:14" ht="13">
      <c r="B654" s="130"/>
      <c r="C654" s="130"/>
      <c r="D654" s="130"/>
      <c r="E654" s="209"/>
      <c r="F654" s="209"/>
      <c r="G654" s="209"/>
      <c r="I654" s="130"/>
      <c r="J654" s="130"/>
      <c r="K654" s="130"/>
      <c r="L654" s="130"/>
      <c r="N654" s="130"/>
    </row>
    <row r="655" spans="2:14" ht="13">
      <c r="B655" s="130"/>
      <c r="C655" s="130"/>
      <c r="D655" s="130"/>
      <c r="E655" s="209"/>
      <c r="F655" s="209"/>
      <c r="G655" s="209"/>
      <c r="I655" s="130"/>
      <c r="J655" s="130"/>
      <c r="K655" s="130"/>
      <c r="L655" s="130"/>
      <c r="N655" s="130"/>
    </row>
    <row r="656" spans="2:14" ht="13">
      <c r="B656" s="130"/>
      <c r="C656" s="130"/>
      <c r="D656" s="130"/>
      <c r="E656" s="209"/>
      <c r="F656" s="209"/>
      <c r="G656" s="209"/>
      <c r="I656" s="130"/>
      <c r="J656" s="130"/>
      <c r="K656" s="130"/>
      <c r="L656" s="130"/>
      <c r="N656" s="130"/>
    </row>
    <row r="657" spans="2:14" ht="13">
      <c r="B657" s="130"/>
      <c r="C657" s="130"/>
      <c r="D657" s="130"/>
      <c r="E657" s="209"/>
      <c r="F657" s="209"/>
      <c r="G657" s="209"/>
      <c r="I657" s="130"/>
      <c r="J657" s="130"/>
      <c r="K657" s="130"/>
      <c r="L657" s="130"/>
      <c r="N657" s="130"/>
    </row>
    <row r="658" spans="2:14" ht="13">
      <c r="B658" s="130"/>
      <c r="C658" s="130"/>
      <c r="D658" s="130"/>
      <c r="E658" s="209"/>
      <c r="F658" s="209"/>
      <c r="G658" s="209"/>
      <c r="I658" s="130"/>
      <c r="J658" s="130"/>
      <c r="K658" s="130"/>
      <c r="L658" s="130"/>
      <c r="N658" s="130"/>
    </row>
    <row r="659" spans="2:14" ht="13">
      <c r="B659" s="130"/>
      <c r="C659" s="130"/>
      <c r="D659" s="130"/>
      <c r="E659" s="209"/>
      <c r="F659" s="209"/>
      <c r="G659" s="209"/>
      <c r="I659" s="130"/>
      <c r="J659" s="130"/>
      <c r="K659" s="130"/>
      <c r="L659" s="130"/>
      <c r="N659" s="130"/>
    </row>
    <row r="660" spans="2:14" ht="13">
      <c r="B660" s="130"/>
      <c r="C660" s="130"/>
      <c r="D660" s="130"/>
      <c r="E660" s="209"/>
      <c r="F660" s="209"/>
      <c r="G660" s="209"/>
      <c r="I660" s="130"/>
      <c r="J660" s="130"/>
      <c r="K660" s="130"/>
      <c r="L660" s="130"/>
      <c r="N660" s="130"/>
    </row>
    <row r="661" spans="2:14" ht="13">
      <c r="B661" s="130"/>
      <c r="C661" s="130"/>
      <c r="D661" s="130"/>
      <c r="E661" s="209"/>
      <c r="F661" s="209"/>
      <c r="G661" s="209"/>
      <c r="I661" s="130"/>
      <c r="J661" s="130"/>
      <c r="K661" s="130"/>
      <c r="L661" s="130"/>
      <c r="N661" s="130"/>
    </row>
    <row r="662" spans="2:14" ht="13">
      <c r="B662" s="130"/>
      <c r="C662" s="130"/>
      <c r="D662" s="130"/>
      <c r="E662" s="209"/>
      <c r="F662" s="209"/>
      <c r="G662" s="209"/>
      <c r="I662" s="130"/>
      <c r="J662" s="130"/>
      <c r="K662" s="130"/>
      <c r="L662" s="130"/>
      <c r="N662" s="130"/>
    </row>
    <row r="663" spans="2:14" ht="13">
      <c r="B663" s="130"/>
      <c r="C663" s="130"/>
      <c r="D663" s="130"/>
      <c r="E663" s="209"/>
      <c r="F663" s="209"/>
      <c r="G663" s="209"/>
      <c r="I663" s="130"/>
      <c r="J663" s="130"/>
      <c r="K663" s="130"/>
      <c r="L663" s="130"/>
      <c r="N663" s="130"/>
    </row>
    <row r="664" spans="2:14" ht="13">
      <c r="B664" s="130"/>
      <c r="C664" s="130"/>
      <c r="D664" s="130"/>
      <c r="E664" s="209"/>
      <c r="F664" s="209"/>
      <c r="G664" s="209"/>
      <c r="I664" s="130"/>
      <c r="J664" s="130"/>
      <c r="K664" s="130"/>
      <c r="L664" s="130"/>
      <c r="N664" s="130"/>
    </row>
    <row r="665" spans="2:14" ht="13">
      <c r="B665" s="130"/>
      <c r="C665" s="130"/>
      <c r="D665" s="130"/>
      <c r="E665" s="209"/>
      <c r="F665" s="209"/>
      <c r="G665" s="209"/>
      <c r="I665" s="130"/>
      <c r="J665" s="130"/>
      <c r="K665" s="130"/>
      <c r="L665" s="130"/>
      <c r="N665" s="130"/>
    </row>
    <row r="666" spans="2:14" ht="13">
      <c r="B666" s="130"/>
      <c r="C666" s="130"/>
      <c r="D666" s="130"/>
      <c r="E666" s="209"/>
      <c r="F666" s="209"/>
      <c r="G666" s="209"/>
      <c r="I666" s="130"/>
      <c r="J666" s="130"/>
      <c r="K666" s="130"/>
      <c r="L666" s="130"/>
      <c r="N666" s="130"/>
    </row>
    <row r="667" spans="2:14" ht="13">
      <c r="B667" s="130"/>
      <c r="C667" s="130"/>
      <c r="D667" s="130"/>
      <c r="E667" s="209"/>
      <c r="F667" s="209"/>
      <c r="G667" s="209"/>
      <c r="I667" s="130"/>
      <c r="J667" s="130"/>
      <c r="K667" s="130"/>
      <c r="L667" s="130"/>
      <c r="N667" s="130"/>
    </row>
    <row r="668" spans="2:14" ht="13">
      <c r="B668" s="130"/>
      <c r="C668" s="130"/>
      <c r="D668" s="130"/>
      <c r="E668" s="209"/>
      <c r="F668" s="209"/>
      <c r="G668" s="209"/>
      <c r="I668" s="130"/>
      <c r="J668" s="130"/>
      <c r="K668" s="130"/>
      <c r="L668" s="130"/>
      <c r="N668" s="130"/>
    </row>
    <row r="669" spans="2:14" ht="13">
      <c r="B669" s="130"/>
      <c r="C669" s="130"/>
      <c r="D669" s="130"/>
      <c r="E669" s="209"/>
      <c r="F669" s="209"/>
      <c r="G669" s="209"/>
      <c r="I669" s="130"/>
      <c r="J669" s="130"/>
      <c r="K669" s="130"/>
      <c r="L669" s="130"/>
      <c r="N669" s="130"/>
    </row>
    <row r="670" spans="2:14" ht="13">
      <c r="B670" s="130"/>
      <c r="C670" s="130"/>
      <c r="D670" s="130"/>
      <c r="E670" s="209"/>
      <c r="F670" s="209"/>
      <c r="G670" s="209"/>
      <c r="I670" s="130"/>
      <c r="J670" s="130"/>
      <c r="K670" s="130"/>
      <c r="L670" s="130"/>
      <c r="N670" s="130"/>
    </row>
    <row r="671" spans="2:14" ht="13">
      <c r="B671" s="130"/>
      <c r="C671" s="130"/>
      <c r="D671" s="130"/>
      <c r="E671" s="209"/>
      <c r="F671" s="209"/>
      <c r="G671" s="209"/>
      <c r="I671" s="130"/>
      <c r="J671" s="130"/>
      <c r="K671" s="130"/>
      <c r="L671" s="130"/>
      <c r="N671" s="130"/>
    </row>
    <row r="672" spans="2:14" ht="13">
      <c r="B672" s="130"/>
      <c r="C672" s="130"/>
      <c r="D672" s="130"/>
      <c r="E672" s="209"/>
      <c r="F672" s="209"/>
      <c r="G672" s="209"/>
      <c r="I672" s="130"/>
      <c r="J672" s="130"/>
      <c r="K672" s="130"/>
      <c r="L672" s="130"/>
      <c r="N672" s="130"/>
    </row>
    <row r="673" spans="2:14" ht="13">
      <c r="B673" s="130"/>
      <c r="C673" s="130"/>
      <c r="D673" s="130"/>
      <c r="E673" s="209"/>
      <c r="F673" s="209"/>
      <c r="G673" s="209"/>
      <c r="I673" s="130"/>
      <c r="J673" s="130"/>
      <c r="K673" s="130"/>
      <c r="L673" s="130"/>
      <c r="N673" s="130"/>
    </row>
    <row r="674" spans="2:14" ht="13">
      <c r="B674" s="130"/>
      <c r="C674" s="130"/>
      <c r="D674" s="130"/>
      <c r="E674" s="209"/>
      <c r="F674" s="209"/>
      <c r="G674" s="209"/>
      <c r="I674" s="130"/>
      <c r="J674" s="130"/>
      <c r="K674" s="130"/>
      <c r="L674" s="130"/>
      <c r="N674" s="130"/>
    </row>
    <row r="675" spans="2:14" ht="13">
      <c r="B675" s="130"/>
      <c r="C675" s="130"/>
      <c r="D675" s="130"/>
      <c r="E675" s="209"/>
      <c r="F675" s="209"/>
      <c r="G675" s="209"/>
      <c r="I675" s="130"/>
      <c r="J675" s="130"/>
      <c r="K675" s="130"/>
      <c r="L675" s="130"/>
      <c r="N675" s="130"/>
    </row>
    <row r="676" spans="2:14" ht="13">
      <c r="B676" s="130"/>
      <c r="C676" s="130"/>
      <c r="D676" s="130"/>
      <c r="E676" s="209"/>
      <c r="F676" s="209"/>
      <c r="G676" s="209"/>
      <c r="I676" s="130"/>
      <c r="J676" s="130"/>
      <c r="K676" s="130"/>
      <c r="L676" s="130"/>
      <c r="N676" s="130"/>
    </row>
    <row r="677" spans="2:14" ht="13">
      <c r="B677" s="130"/>
      <c r="C677" s="130"/>
      <c r="D677" s="130"/>
      <c r="E677" s="209"/>
      <c r="F677" s="209"/>
      <c r="G677" s="209"/>
      <c r="I677" s="130"/>
      <c r="J677" s="130"/>
      <c r="K677" s="130"/>
      <c r="L677" s="130"/>
      <c r="N677" s="130"/>
    </row>
    <row r="678" spans="2:14" ht="13">
      <c r="B678" s="130"/>
      <c r="C678" s="130"/>
      <c r="D678" s="130"/>
      <c r="E678" s="209"/>
      <c r="F678" s="209"/>
      <c r="G678" s="209"/>
      <c r="I678" s="130"/>
      <c r="J678" s="130"/>
      <c r="K678" s="130"/>
      <c r="L678" s="130"/>
      <c r="N678" s="130"/>
    </row>
    <row r="679" spans="2:14" ht="13">
      <c r="B679" s="130"/>
      <c r="C679" s="130"/>
      <c r="D679" s="130"/>
      <c r="E679" s="209"/>
      <c r="F679" s="209"/>
      <c r="G679" s="209"/>
      <c r="I679" s="130"/>
      <c r="J679" s="130"/>
      <c r="K679" s="130"/>
      <c r="L679" s="130"/>
      <c r="N679" s="130"/>
    </row>
    <row r="680" spans="2:14" ht="13">
      <c r="B680" s="130"/>
      <c r="C680" s="130"/>
      <c r="D680" s="130"/>
      <c r="E680" s="209"/>
      <c r="F680" s="209"/>
      <c r="G680" s="209"/>
      <c r="I680" s="130"/>
      <c r="J680" s="130"/>
      <c r="K680" s="130"/>
      <c r="L680" s="130"/>
      <c r="N680" s="130"/>
    </row>
    <row r="681" spans="2:14" ht="13">
      <c r="B681" s="130"/>
      <c r="C681" s="130"/>
      <c r="D681" s="130"/>
      <c r="E681" s="209"/>
      <c r="F681" s="209"/>
      <c r="G681" s="209"/>
      <c r="I681" s="130"/>
      <c r="J681" s="130"/>
      <c r="K681" s="130"/>
      <c r="L681" s="130"/>
      <c r="N681" s="130"/>
    </row>
    <row r="682" spans="2:14" ht="13">
      <c r="B682" s="130"/>
      <c r="C682" s="130"/>
      <c r="D682" s="130"/>
      <c r="E682" s="209"/>
      <c r="F682" s="209"/>
      <c r="G682" s="209"/>
      <c r="I682" s="130"/>
      <c r="J682" s="130"/>
      <c r="K682" s="130"/>
      <c r="L682" s="130"/>
      <c r="N682" s="130"/>
    </row>
    <row r="683" spans="2:14" ht="13">
      <c r="B683" s="130"/>
      <c r="C683" s="130"/>
      <c r="D683" s="130"/>
      <c r="E683" s="209"/>
      <c r="F683" s="209"/>
      <c r="G683" s="209"/>
      <c r="I683" s="130"/>
      <c r="J683" s="130"/>
      <c r="K683" s="130"/>
      <c r="L683" s="130"/>
      <c r="N683" s="130"/>
    </row>
    <row r="684" spans="2:14" ht="13">
      <c r="B684" s="130"/>
      <c r="C684" s="130"/>
      <c r="D684" s="130"/>
      <c r="E684" s="209"/>
      <c r="F684" s="209"/>
      <c r="G684" s="209"/>
      <c r="I684" s="130"/>
      <c r="J684" s="130"/>
      <c r="K684" s="130"/>
      <c r="L684" s="130"/>
      <c r="N684" s="130"/>
    </row>
    <row r="685" spans="2:14" ht="13">
      <c r="B685" s="130"/>
      <c r="C685" s="130"/>
      <c r="D685" s="130"/>
      <c r="E685" s="209"/>
      <c r="F685" s="209"/>
      <c r="G685" s="209"/>
      <c r="I685" s="130"/>
      <c r="J685" s="130"/>
      <c r="K685" s="130"/>
      <c r="L685" s="130"/>
      <c r="N685" s="130"/>
    </row>
    <row r="686" spans="2:14" ht="13">
      <c r="B686" s="130"/>
      <c r="C686" s="130"/>
      <c r="D686" s="130"/>
      <c r="E686" s="209"/>
      <c r="F686" s="209"/>
      <c r="G686" s="209"/>
      <c r="I686" s="130"/>
      <c r="J686" s="130"/>
      <c r="K686" s="130"/>
      <c r="L686" s="130"/>
      <c r="N686" s="130"/>
    </row>
    <row r="687" spans="2:14" ht="13">
      <c r="B687" s="130"/>
      <c r="C687" s="130"/>
      <c r="D687" s="130"/>
      <c r="E687" s="209"/>
      <c r="F687" s="209"/>
      <c r="G687" s="209"/>
      <c r="I687" s="130"/>
      <c r="J687" s="130"/>
      <c r="K687" s="130"/>
      <c r="L687" s="130"/>
      <c r="N687" s="130"/>
    </row>
    <row r="688" spans="2:14" ht="13">
      <c r="B688" s="130"/>
      <c r="C688" s="130"/>
      <c r="D688" s="130"/>
      <c r="E688" s="209"/>
      <c r="F688" s="209"/>
      <c r="G688" s="209"/>
      <c r="I688" s="130"/>
      <c r="J688" s="130"/>
      <c r="K688" s="130"/>
      <c r="L688" s="130"/>
      <c r="N688" s="130"/>
    </row>
    <row r="689" spans="2:14" ht="13">
      <c r="B689" s="130"/>
      <c r="C689" s="130"/>
      <c r="D689" s="130"/>
      <c r="E689" s="209"/>
      <c r="F689" s="209"/>
      <c r="G689" s="209"/>
      <c r="I689" s="130"/>
      <c r="J689" s="130"/>
      <c r="K689" s="130"/>
      <c r="L689" s="130"/>
      <c r="N689" s="130"/>
    </row>
    <row r="690" spans="2:14" ht="13">
      <c r="B690" s="130"/>
      <c r="C690" s="130"/>
      <c r="D690" s="130"/>
      <c r="E690" s="209"/>
      <c r="F690" s="209"/>
      <c r="G690" s="209"/>
      <c r="I690" s="130"/>
      <c r="J690" s="130"/>
      <c r="K690" s="130"/>
      <c r="L690" s="130"/>
      <c r="N690" s="130"/>
    </row>
    <row r="691" spans="2:14" ht="13">
      <c r="B691" s="130"/>
      <c r="C691" s="130"/>
      <c r="D691" s="130"/>
      <c r="E691" s="209"/>
      <c r="F691" s="209"/>
      <c r="G691" s="209"/>
      <c r="I691" s="130"/>
      <c r="J691" s="130"/>
      <c r="K691" s="130"/>
      <c r="L691" s="130"/>
      <c r="N691" s="130"/>
    </row>
    <row r="692" spans="2:14" ht="13">
      <c r="B692" s="130"/>
      <c r="C692" s="130"/>
      <c r="D692" s="130"/>
      <c r="E692" s="209"/>
      <c r="F692" s="209"/>
      <c r="G692" s="209"/>
      <c r="I692" s="130"/>
      <c r="J692" s="130"/>
      <c r="K692" s="130"/>
      <c r="L692" s="130"/>
      <c r="N692" s="130"/>
    </row>
    <row r="693" spans="2:14" ht="13">
      <c r="B693" s="130"/>
      <c r="C693" s="130"/>
      <c r="D693" s="130"/>
      <c r="E693" s="209"/>
      <c r="F693" s="209"/>
      <c r="G693" s="209"/>
      <c r="I693" s="130"/>
      <c r="J693" s="130"/>
      <c r="K693" s="130"/>
      <c r="L693" s="130"/>
      <c r="N693" s="130"/>
    </row>
    <row r="694" spans="2:14" ht="13">
      <c r="B694" s="130"/>
      <c r="C694" s="130"/>
      <c r="D694" s="130"/>
      <c r="E694" s="209"/>
      <c r="F694" s="209"/>
      <c r="G694" s="209"/>
      <c r="I694" s="130"/>
      <c r="J694" s="130"/>
      <c r="K694" s="130"/>
      <c r="L694" s="130"/>
      <c r="N694" s="130"/>
    </row>
    <row r="695" spans="2:14" ht="13">
      <c r="B695" s="130"/>
      <c r="C695" s="130"/>
      <c r="D695" s="130"/>
      <c r="E695" s="209"/>
      <c r="F695" s="209"/>
      <c r="G695" s="209"/>
      <c r="I695" s="130"/>
      <c r="J695" s="130"/>
      <c r="K695" s="130"/>
      <c r="L695" s="130"/>
      <c r="N695" s="130"/>
    </row>
    <row r="696" spans="2:14" ht="13">
      <c r="B696" s="130"/>
      <c r="C696" s="130"/>
      <c r="D696" s="130"/>
      <c r="E696" s="209"/>
      <c r="F696" s="209"/>
      <c r="G696" s="209"/>
      <c r="I696" s="130"/>
      <c r="J696" s="130"/>
      <c r="K696" s="130"/>
      <c r="L696" s="130"/>
      <c r="N696" s="130"/>
    </row>
    <row r="697" spans="2:14" ht="13">
      <c r="B697" s="130"/>
      <c r="C697" s="130"/>
      <c r="D697" s="130"/>
      <c r="E697" s="209"/>
      <c r="F697" s="209"/>
      <c r="G697" s="209"/>
      <c r="I697" s="130"/>
      <c r="J697" s="130"/>
      <c r="K697" s="130"/>
      <c r="L697" s="130"/>
      <c r="N697" s="130"/>
    </row>
    <row r="698" spans="2:14" ht="13">
      <c r="B698" s="130"/>
      <c r="C698" s="130"/>
      <c r="D698" s="130"/>
      <c r="E698" s="209"/>
      <c r="F698" s="209"/>
      <c r="G698" s="209"/>
      <c r="I698" s="130"/>
      <c r="J698" s="130"/>
      <c r="K698" s="130"/>
      <c r="L698" s="130"/>
      <c r="N698" s="130"/>
    </row>
    <row r="699" spans="2:14" ht="13">
      <c r="B699" s="130"/>
      <c r="C699" s="130"/>
      <c r="D699" s="130"/>
      <c r="E699" s="209"/>
      <c r="F699" s="209"/>
      <c r="G699" s="209"/>
      <c r="I699" s="130"/>
      <c r="J699" s="130"/>
      <c r="K699" s="130"/>
      <c r="L699" s="130"/>
      <c r="N699" s="130"/>
    </row>
    <row r="700" spans="2:14" ht="13">
      <c r="B700" s="130"/>
      <c r="C700" s="130"/>
      <c r="D700" s="130"/>
      <c r="E700" s="209"/>
      <c r="F700" s="209"/>
      <c r="G700" s="209"/>
      <c r="I700" s="130"/>
      <c r="J700" s="130"/>
      <c r="K700" s="130"/>
      <c r="L700" s="130"/>
      <c r="N700" s="130"/>
    </row>
    <row r="701" spans="2:14" ht="13">
      <c r="B701" s="130"/>
      <c r="C701" s="130"/>
      <c r="D701" s="130"/>
      <c r="E701" s="209"/>
      <c r="F701" s="209"/>
      <c r="G701" s="209"/>
      <c r="I701" s="130"/>
      <c r="J701" s="130"/>
      <c r="K701" s="130"/>
      <c r="L701" s="130"/>
      <c r="N701" s="130"/>
    </row>
    <row r="702" spans="2:14" ht="13">
      <c r="B702" s="130"/>
      <c r="C702" s="130"/>
      <c r="D702" s="130"/>
      <c r="E702" s="209"/>
      <c r="F702" s="209"/>
      <c r="G702" s="209"/>
      <c r="I702" s="130"/>
      <c r="J702" s="130"/>
      <c r="K702" s="130"/>
      <c r="L702" s="130"/>
      <c r="N702" s="130"/>
    </row>
    <row r="703" spans="2:14" ht="13">
      <c r="B703" s="130"/>
      <c r="C703" s="130"/>
      <c r="D703" s="130"/>
      <c r="E703" s="209"/>
      <c r="F703" s="209"/>
      <c r="G703" s="209"/>
      <c r="I703" s="130"/>
      <c r="J703" s="130"/>
      <c r="K703" s="130"/>
      <c r="L703" s="130"/>
      <c r="N703" s="130"/>
    </row>
    <row r="704" spans="2:14" ht="13">
      <c r="B704" s="130"/>
      <c r="C704" s="130"/>
      <c r="D704" s="130"/>
      <c r="E704" s="209"/>
      <c r="F704" s="209"/>
      <c r="G704" s="209"/>
      <c r="I704" s="130"/>
      <c r="J704" s="130"/>
      <c r="K704" s="130"/>
      <c r="L704" s="130"/>
      <c r="N704" s="130"/>
    </row>
    <row r="705" spans="2:14" ht="13">
      <c r="B705" s="130"/>
      <c r="C705" s="130"/>
      <c r="D705" s="130"/>
      <c r="E705" s="209"/>
      <c r="F705" s="209"/>
      <c r="G705" s="209"/>
      <c r="I705" s="130"/>
      <c r="J705" s="130"/>
      <c r="K705" s="130"/>
      <c r="L705" s="130"/>
      <c r="N705" s="130"/>
    </row>
    <row r="706" spans="2:14" ht="13">
      <c r="B706" s="130"/>
      <c r="C706" s="130"/>
      <c r="D706" s="130"/>
      <c r="E706" s="209"/>
      <c r="F706" s="209"/>
      <c r="G706" s="209"/>
      <c r="I706" s="130"/>
      <c r="J706" s="130"/>
      <c r="K706" s="130"/>
      <c r="L706" s="130"/>
      <c r="N706" s="130"/>
    </row>
    <row r="707" spans="2:14" ht="13">
      <c r="B707" s="130"/>
      <c r="C707" s="130"/>
      <c r="D707" s="130"/>
      <c r="E707" s="209"/>
      <c r="F707" s="209"/>
      <c r="G707" s="209"/>
      <c r="I707" s="130"/>
      <c r="J707" s="130"/>
      <c r="K707" s="130"/>
      <c r="L707" s="130"/>
      <c r="N707" s="130"/>
    </row>
    <row r="708" spans="2:14" ht="13">
      <c r="B708" s="130"/>
      <c r="C708" s="130"/>
      <c r="D708" s="130"/>
      <c r="E708" s="209"/>
      <c r="F708" s="209"/>
      <c r="G708" s="209"/>
      <c r="I708" s="130"/>
      <c r="J708" s="130"/>
      <c r="K708" s="130"/>
      <c r="L708" s="130"/>
      <c r="N708" s="130"/>
    </row>
    <row r="709" spans="2:14" ht="13">
      <c r="B709" s="130"/>
      <c r="C709" s="130"/>
      <c r="D709" s="130"/>
      <c r="E709" s="209"/>
      <c r="F709" s="209"/>
      <c r="G709" s="209"/>
      <c r="I709" s="130"/>
      <c r="J709" s="130"/>
      <c r="K709" s="130"/>
      <c r="L709" s="130"/>
      <c r="N709" s="130"/>
    </row>
    <row r="710" spans="2:14" ht="13">
      <c r="B710" s="130"/>
      <c r="C710" s="130"/>
      <c r="D710" s="130"/>
      <c r="E710" s="209"/>
      <c r="F710" s="209"/>
      <c r="G710" s="209"/>
      <c r="I710" s="130"/>
      <c r="J710" s="130"/>
      <c r="K710" s="130"/>
      <c r="L710" s="130"/>
      <c r="N710" s="130"/>
    </row>
    <row r="711" spans="2:14" ht="13">
      <c r="B711" s="130"/>
      <c r="C711" s="130"/>
      <c r="D711" s="130"/>
      <c r="E711" s="209"/>
      <c r="F711" s="209"/>
      <c r="G711" s="209"/>
      <c r="I711" s="130"/>
      <c r="J711" s="130"/>
      <c r="K711" s="130"/>
      <c r="L711" s="130"/>
      <c r="N711" s="130"/>
    </row>
    <row r="712" spans="2:14" ht="13">
      <c r="B712" s="130"/>
      <c r="C712" s="130"/>
      <c r="D712" s="130"/>
      <c r="E712" s="209"/>
      <c r="F712" s="209"/>
      <c r="G712" s="209"/>
      <c r="I712" s="130"/>
      <c r="J712" s="130"/>
      <c r="K712" s="130"/>
      <c r="L712" s="130"/>
      <c r="N712" s="130"/>
    </row>
    <row r="713" spans="2:14" ht="13">
      <c r="B713" s="130"/>
      <c r="C713" s="130"/>
      <c r="D713" s="130"/>
      <c r="E713" s="209"/>
      <c r="F713" s="209"/>
      <c r="G713" s="209"/>
      <c r="I713" s="130"/>
      <c r="J713" s="130"/>
      <c r="K713" s="130"/>
      <c r="L713" s="130"/>
      <c r="N713" s="130"/>
    </row>
    <row r="714" spans="2:14" ht="13">
      <c r="B714" s="130"/>
      <c r="C714" s="130"/>
      <c r="D714" s="130"/>
      <c r="E714" s="209"/>
      <c r="F714" s="209"/>
      <c r="G714" s="209"/>
      <c r="I714" s="130"/>
      <c r="J714" s="130"/>
      <c r="K714" s="130"/>
      <c r="L714" s="130"/>
      <c r="N714" s="130"/>
    </row>
    <row r="715" spans="2:14" ht="13">
      <c r="B715" s="130"/>
      <c r="C715" s="130"/>
      <c r="D715" s="130"/>
      <c r="E715" s="209"/>
      <c r="F715" s="209"/>
      <c r="G715" s="209"/>
      <c r="I715" s="130"/>
      <c r="J715" s="130"/>
      <c r="K715" s="130"/>
      <c r="L715" s="130"/>
      <c r="N715" s="130"/>
    </row>
    <row r="716" spans="2:14" ht="13">
      <c r="B716" s="130"/>
      <c r="C716" s="130"/>
      <c r="D716" s="130"/>
      <c r="E716" s="209"/>
      <c r="F716" s="209"/>
      <c r="G716" s="209"/>
      <c r="I716" s="130"/>
      <c r="J716" s="130"/>
      <c r="K716" s="130"/>
      <c r="L716" s="130"/>
      <c r="N716" s="130"/>
    </row>
    <row r="717" spans="2:14" ht="13">
      <c r="B717" s="130"/>
      <c r="C717" s="130"/>
      <c r="D717" s="130"/>
      <c r="E717" s="209"/>
      <c r="F717" s="209"/>
      <c r="G717" s="209"/>
      <c r="I717" s="130"/>
      <c r="J717" s="130"/>
      <c r="K717" s="130"/>
      <c r="L717" s="130"/>
      <c r="N717" s="130"/>
    </row>
    <row r="718" spans="2:14" ht="13">
      <c r="B718" s="130"/>
      <c r="C718" s="130"/>
      <c r="D718" s="130"/>
      <c r="E718" s="209"/>
      <c r="F718" s="209"/>
      <c r="G718" s="209"/>
      <c r="I718" s="130"/>
      <c r="J718" s="130"/>
      <c r="K718" s="130"/>
      <c r="L718" s="130"/>
      <c r="N718" s="130"/>
    </row>
    <row r="719" spans="2:14" ht="13">
      <c r="B719" s="130"/>
      <c r="C719" s="130"/>
      <c r="D719" s="130"/>
      <c r="E719" s="209"/>
      <c r="F719" s="209"/>
      <c r="G719" s="209"/>
      <c r="I719" s="130"/>
      <c r="J719" s="130"/>
      <c r="K719" s="130"/>
      <c r="L719" s="130"/>
      <c r="N719" s="130"/>
    </row>
    <row r="720" spans="2:14" ht="13">
      <c r="B720" s="130"/>
      <c r="C720" s="130"/>
      <c r="D720" s="130"/>
      <c r="E720" s="209"/>
      <c r="F720" s="209"/>
      <c r="G720" s="209"/>
      <c r="I720" s="130"/>
      <c r="J720" s="130"/>
      <c r="K720" s="130"/>
      <c r="L720" s="130"/>
      <c r="N720" s="130"/>
    </row>
    <row r="721" spans="2:14" ht="13">
      <c r="B721" s="130"/>
      <c r="C721" s="130"/>
      <c r="D721" s="130"/>
      <c r="E721" s="209"/>
      <c r="F721" s="209"/>
      <c r="G721" s="209"/>
      <c r="I721" s="130"/>
      <c r="J721" s="130"/>
      <c r="K721" s="130"/>
      <c r="L721" s="130"/>
      <c r="N721" s="130"/>
    </row>
    <row r="722" spans="2:14" ht="13">
      <c r="B722" s="130"/>
      <c r="C722" s="130"/>
      <c r="D722" s="130"/>
      <c r="E722" s="209"/>
      <c r="F722" s="209"/>
      <c r="G722" s="209"/>
      <c r="I722" s="130"/>
      <c r="J722" s="130"/>
      <c r="K722" s="130"/>
      <c r="L722" s="130"/>
      <c r="N722" s="130"/>
    </row>
    <row r="723" spans="2:14" ht="13">
      <c r="B723" s="130"/>
      <c r="C723" s="130"/>
      <c r="D723" s="130"/>
      <c r="E723" s="209"/>
      <c r="F723" s="209"/>
      <c r="G723" s="209"/>
      <c r="I723" s="130"/>
      <c r="J723" s="130"/>
      <c r="K723" s="130"/>
      <c r="L723" s="130"/>
      <c r="N723" s="130"/>
    </row>
    <row r="724" spans="2:14" ht="13">
      <c r="B724" s="130"/>
      <c r="C724" s="130"/>
      <c r="D724" s="130"/>
      <c r="E724" s="209"/>
      <c r="F724" s="209"/>
      <c r="G724" s="209"/>
      <c r="I724" s="130"/>
      <c r="J724" s="130"/>
      <c r="K724" s="130"/>
      <c r="L724" s="130"/>
      <c r="N724" s="130"/>
    </row>
    <row r="725" spans="2:14" ht="13">
      <c r="B725" s="130"/>
      <c r="C725" s="130"/>
      <c r="D725" s="130"/>
      <c r="E725" s="209"/>
      <c r="F725" s="209"/>
      <c r="G725" s="209"/>
      <c r="I725" s="130"/>
      <c r="J725" s="130"/>
      <c r="K725" s="130"/>
      <c r="L725" s="130"/>
      <c r="N725" s="130"/>
    </row>
    <row r="726" spans="2:14" ht="13">
      <c r="B726" s="130"/>
      <c r="C726" s="130"/>
      <c r="D726" s="130"/>
      <c r="E726" s="209"/>
      <c r="F726" s="209"/>
      <c r="G726" s="209"/>
      <c r="I726" s="130"/>
      <c r="J726" s="130"/>
      <c r="K726" s="130"/>
      <c r="L726" s="130"/>
      <c r="N726" s="130"/>
    </row>
    <row r="727" spans="2:14" ht="13">
      <c r="B727" s="130"/>
      <c r="C727" s="130"/>
      <c r="D727" s="130"/>
      <c r="E727" s="209"/>
      <c r="F727" s="209"/>
      <c r="G727" s="209"/>
      <c r="I727" s="130"/>
      <c r="J727" s="130"/>
      <c r="K727" s="130"/>
      <c r="L727" s="130"/>
      <c r="N727" s="130"/>
    </row>
    <row r="728" spans="2:14" ht="13">
      <c r="B728" s="130"/>
      <c r="C728" s="130"/>
      <c r="D728" s="130"/>
      <c r="E728" s="209"/>
      <c r="F728" s="209"/>
      <c r="G728" s="209"/>
      <c r="I728" s="130"/>
      <c r="J728" s="130"/>
      <c r="K728" s="130"/>
      <c r="L728" s="130"/>
      <c r="N728" s="130"/>
    </row>
    <row r="729" spans="2:14" ht="13">
      <c r="B729" s="130"/>
      <c r="C729" s="130"/>
      <c r="D729" s="130"/>
      <c r="E729" s="209"/>
      <c r="F729" s="209"/>
      <c r="G729" s="209"/>
      <c r="I729" s="130"/>
      <c r="J729" s="130"/>
      <c r="K729" s="130"/>
      <c r="L729" s="130"/>
      <c r="N729" s="130"/>
    </row>
    <row r="730" spans="2:14" ht="13">
      <c r="B730" s="130"/>
      <c r="C730" s="130"/>
      <c r="D730" s="130"/>
      <c r="E730" s="209"/>
      <c r="F730" s="209"/>
      <c r="G730" s="209"/>
      <c r="I730" s="130"/>
      <c r="J730" s="130"/>
      <c r="K730" s="130"/>
      <c r="L730" s="130"/>
      <c r="N730" s="130"/>
    </row>
    <row r="731" spans="2:14" ht="13">
      <c r="B731" s="130"/>
      <c r="C731" s="130"/>
      <c r="D731" s="130"/>
      <c r="E731" s="209"/>
      <c r="F731" s="209"/>
      <c r="G731" s="209"/>
      <c r="I731" s="130"/>
      <c r="J731" s="130"/>
      <c r="K731" s="130"/>
      <c r="L731" s="130"/>
      <c r="N731" s="130"/>
    </row>
    <row r="732" spans="2:14" ht="13">
      <c r="B732" s="130"/>
      <c r="C732" s="130"/>
      <c r="D732" s="130"/>
      <c r="E732" s="209"/>
      <c r="F732" s="209"/>
      <c r="G732" s="209"/>
      <c r="I732" s="130"/>
      <c r="J732" s="130"/>
      <c r="K732" s="130"/>
      <c r="L732" s="130"/>
      <c r="N732" s="130"/>
    </row>
    <row r="733" spans="2:14" ht="13">
      <c r="B733" s="130"/>
      <c r="C733" s="130"/>
      <c r="D733" s="130"/>
      <c r="E733" s="209"/>
      <c r="F733" s="209"/>
      <c r="G733" s="209"/>
      <c r="I733" s="130"/>
      <c r="J733" s="130"/>
      <c r="K733" s="130"/>
      <c r="L733" s="130"/>
      <c r="N733" s="130"/>
    </row>
    <row r="734" spans="2:14" ht="13">
      <c r="B734" s="130"/>
      <c r="C734" s="130"/>
      <c r="D734" s="130"/>
      <c r="E734" s="209"/>
      <c r="F734" s="209"/>
      <c r="G734" s="209"/>
      <c r="I734" s="130"/>
      <c r="J734" s="130"/>
      <c r="K734" s="130"/>
      <c r="L734" s="130"/>
      <c r="N734" s="130"/>
    </row>
    <row r="735" spans="2:14" ht="13">
      <c r="B735" s="130"/>
      <c r="C735" s="130"/>
      <c r="D735" s="130"/>
      <c r="E735" s="209"/>
      <c r="F735" s="209"/>
      <c r="G735" s="209"/>
      <c r="I735" s="130"/>
      <c r="J735" s="130"/>
      <c r="K735" s="130"/>
      <c r="L735" s="130"/>
      <c r="N735" s="130"/>
    </row>
    <row r="736" spans="2:14" ht="13">
      <c r="B736" s="130"/>
      <c r="C736" s="130"/>
      <c r="D736" s="130"/>
      <c r="E736" s="209"/>
      <c r="F736" s="209"/>
      <c r="G736" s="209"/>
      <c r="I736" s="130"/>
      <c r="J736" s="130"/>
      <c r="K736" s="130"/>
      <c r="L736" s="130"/>
      <c r="N736" s="130"/>
    </row>
    <row r="737" spans="2:14" ht="13">
      <c r="B737" s="130"/>
      <c r="C737" s="130"/>
      <c r="D737" s="130"/>
      <c r="E737" s="209"/>
      <c r="F737" s="209"/>
      <c r="G737" s="209"/>
      <c r="I737" s="130"/>
      <c r="J737" s="130"/>
      <c r="K737" s="130"/>
      <c r="L737" s="130"/>
      <c r="N737" s="130"/>
    </row>
    <row r="738" spans="2:14" ht="13">
      <c r="B738" s="130"/>
      <c r="C738" s="130"/>
      <c r="D738" s="130"/>
      <c r="E738" s="209"/>
      <c r="F738" s="209"/>
      <c r="G738" s="209"/>
      <c r="I738" s="130"/>
      <c r="J738" s="130"/>
      <c r="K738" s="130"/>
      <c r="L738" s="130"/>
      <c r="N738" s="130"/>
    </row>
    <row r="739" spans="2:14" ht="13">
      <c r="B739" s="130"/>
      <c r="C739" s="130"/>
      <c r="D739" s="130"/>
      <c r="E739" s="209"/>
      <c r="F739" s="209"/>
      <c r="G739" s="209"/>
      <c r="I739" s="130"/>
      <c r="J739" s="130"/>
      <c r="K739" s="130"/>
      <c r="L739" s="130"/>
      <c r="N739" s="130"/>
    </row>
    <row r="740" spans="2:14" ht="13">
      <c r="B740" s="130"/>
      <c r="C740" s="130"/>
      <c r="D740" s="130"/>
      <c r="E740" s="209"/>
      <c r="F740" s="209"/>
      <c r="G740" s="209"/>
      <c r="I740" s="130"/>
      <c r="J740" s="130"/>
      <c r="K740" s="130"/>
      <c r="L740" s="130"/>
      <c r="N740" s="130"/>
    </row>
    <row r="741" spans="2:14" ht="13">
      <c r="B741" s="130"/>
      <c r="C741" s="130"/>
      <c r="D741" s="130"/>
      <c r="E741" s="209"/>
      <c r="F741" s="209"/>
      <c r="G741" s="209"/>
      <c r="I741" s="130"/>
      <c r="J741" s="130"/>
      <c r="K741" s="130"/>
      <c r="L741" s="130"/>
      <c r="N741" s="130"/>
    </row>
    <row r="742" spans="2:14" ht="13">
      <c r="B742" s="130"/>
      <c r="C742" s="130"/>
      <c r="D742" s="130"/>
      <c r="E742" s="209"/>
      <c r="F742" s="209"/>
      <c r="G742" s="209"/>
      <c r="I742" s="130"/>
      <c r="J742" s="130"/>
      <c r="K742" s="130"/>
      <c r="L742" s="130"/>
      <c r="N742" s="130"/>
    </row>
    <row r="743" spans="2:14" ht="13">
      <c r="B743" s="130"/>
      <c r="C743" s="130"/>
      <c r="D743" s="130"/>
      <c r="E743" s="209"/>
      <c r="F743" s="209"/>
      <c r="G743" s="209"/>
      <c r="I743" s="130"/>
      <c r="J743" s="130"/>
      <c r="K743" s="130"/>
      <c r="L743" s="130"/>
      <c r="N743" s="130"/>
    </row>
    <row r="744" spans="2:14" ht="13">
      <c r="B744" s="130"/>
      <c r="C744" s="130"/>
      <c r="D744" s="130"/>
      <c r="E744" s="209"/>
      <c r="F744" s="209"/>
      <c r="G744" s="209"/>
      <c r="I744" s="130"/>
      <c r="J744" s="130"/>
      <c r="K744" s="130"/>
      <c r="L744" s="130"/>
      <c r="N744" s="130"/>
    </row>
    <row r="745" spans="2:14" ht="13">
      <c r="B745" s="130"/>
      <c r="C745" s="130"/>
      <c r="D745" s="130"/>
      <c r="E745" s="209"/>
      <c r="F745" s="209"/>
      <c r="G745" s="209"/>
      <c r="I745" s="130"/>
      <c r="J745" s="130"/>
      <c r="K745" s="130"/>
      <c r="L745" s="130"/>
      <c r="N745" s="130"/>
    </row>
    <row r="746" spans="2:14" ht="13">
      <c r="B746" s="130"/>
      <c r="C746" s="130"/>
      <c r="D746" s="130"/>
      <c r="E746" s="209"/>
      <c r="F746" s="209"/>
      <c r="G746" s="209"/>
      <c r="I746" s="130"/>
      <c r="J746" s="130"/>
      <c r="K746" s="130"/>
      <c r="L746" s="130"/>
      <c r="N746" s="130"/>
    </row>
    <row r="747" spans="2:14" ht="13">
      <c r="B747" s="130"/>
      <c r="C747" s="130"/>
      <c r="D747" s="130"/>
      <c r="E747" s="209"/>
      <c r="F747" s="209"/>
      <c r="G747" s="209"/>
      <c r="I747" s="130"/>
      <c r="J747" s="130"/>
      <c r="K747" s="130"/>
      <c r="L747" s="130"/>
      <c r="N747" s="130"/>
    </row>
    <row r="748" spans="2:14" ht="13">
      <c r="B748" s="130"/>
      <c r="C748" s="130"/>
      <c r="D748" s="130"/>
      <c r="E748" s="209"/>
      <c r="F748" s="209"/>
      <c r="G748" s="209"/>
      <c r="I748" s="130"/>
      <c r="J748" s="130"/>
      <c r="K748" s="130"/>
      <c r="L748" s="130"/>
      <c r="N748" s="130"/>
    </row>
    <row r="749" spans="2:14" ht="13">
      <c r="B749" s="130"/>
      <c r="C749" s="130"/>
      <c r="D749" s="130"/>
      <c r="E749" s="209"/>
      <c r="F749" s="209"/>
      <c r="G749" s="209"/>
      <c r="I749" s="130"/>
      <c r="J749" s="130"/>
      <c r="K749" s="130"/>
      <c r="L749" s="130"/>
      <c r="N749" s="130"/>
    </row>
    <row r="750" spans="2:14" ht="13">
      <c r="B750" s="130"/>
      <c r="C750" s="130"/>
      <c r="D750" s="130"/>
      <c r="E750" s="209"/>
      <c r="F750" s="209"/>
      <c r="G750" s="209"/>
      <c r="I750" s="130"/>
      <c r="J750" s="130"/>
      <c r="K750" s="130"/>
      <c r="L750" s="130"/>
      <c r="N750" s="130"/>
    </row>
    <row r="751" spans="2:14" ht="13">
      <c r="B751" s="130"/>
      <c r="C751" s="130"/>
      <c r="D751" s="130"/>
      <c r="E751" s="209"/>
      <c r="F751" s="209"/>
      <c r="G751" s="209"/>
      <c r="I751" s="130"/>
      <c r="J751" s="130"/>
      <c r="K751" s="130"/>
      <c r="L751" s="130"/>
      <c r="N751" s="130"/>
    </row>
    <row r="752" spans="2:14" ht="13">
      <c r="B752" s="130"/>
      <c r="C752" s="130"/>
      <c r="D752" s="130"/>
      <c r="E752" s="209"/>
      <c r="F752" s="209"/>
      <c r="G752" s="209"/>
      <c r="I752" s="130"/>
      <c r="J752" s="130"/>
      <c r="K752" s="130"/>
      <c r="L752" s="130"/>
      <c r="N752" s="130"/>
    </row>
    <row r="753" spans="2:14" ht="13">
      <c r="B753" s="130"/>
      <c r="C753" s="130"/>
      <c r="D753" s="130"/>
      <c r="E753" s="209"/>
      <c r="F753" s="209"/>
      <c r="G753" s="209"/>
      <c r="I753" s="130"/>
      <c r="J753" s="130"/>
      <c r="K753" s="130"/>
      <c r="L753" s="130"/>
      <c r="N753" s="130"/>
    </row>
    <row r="754" spans="2:14" ht="13">
      <c r="B754" s="130"/>
      <c r="C754" s="130"/>
      <c r="D754" s="130"/>
      <c r="E754" s="209"/>
      <c r="F754" s="209"/>
      <c r="G754" s="209"/>
      <c r="I754" s="130"/>
      <c r="J754" s="130"/>
      <c r="K754" s="130"/>
      <c r="L754" s="130"/>
      <c r="N754" s="130"/>
    </row>
    <row r="755" spans="2:14" ht="13">
      <c r="B755" s="130"/>
      <c r="C755" s="130"/>
      <c r="D755" s="130"/>
      <c r="E755" s="209"/>
      <c r="F755" s="209"/>
      <c r="G755" s="209"/>
      <c r="I755" s="130"/>
      <c r="J755" s="130"/>
      <c r="K755" s="130"/>
      <c r="L755" s="130"/>
      <c r="N755" s="130"/>
    </row>
    <row r="756" spans="2:14" ht="13">
      <c r="B756" s="130"/>
      <c r="C756" s="130"/>
      <c r="D756" s="130"/>
      <c r="E756" s="209"/>
      <c r="F756" s="209"/>
      <c r="G756" s="209"/>
      <c r="I756" s="130"/>
      <c r="J756" s="130"/>
      <c r="K756" s="130"/>
      <c r="L756" s="130"/>
      <c r="N756" s="130"/>
    </row>
    <row r="757" spans="2:14" ht="13">
      <c r="B757" s="130"/>
      <c r="C757" s="130"/>
      <c r="D757" s="130"/>
      <c r="E757" s="209"/>
      <c r="F757" s="209"/>
      <c r="G757" s="209"/>
      <c r="I757" s="130"/>
      <c r="J757" s="130"/>
      <c r="K757" s="130"/>
      <c r="L757" s="130"/>
      <c r="N757" s="130"/>
    </row>
    <row r="758" spans="2:14" ht="13">
      <c r="B758" s="130"/>
      <c r="C758" s="130"/>
      <c r="D758" s="130"/>
      <c r="E758" s="209"/>
      <c r="F758" s="209"/>
      <c r="G758" s="209"/>
      <c r="I758" s="130"/>
      <c r="J758" s="130"/>
      <c r="K758" s="130"/>
      <c r="L758" s="130"/>
      <c r="N758" s="130"/>
    </row>
    <row r="759" spans="2:14" ht="13">
      <c r="B759" s="130"/>
      <c r="C759" s="130"/>
      <c r="D759" s="130"/>
      <c r="E759" s="209"/>
      <c r="F759" s="209"/>
      <c r="G759" s="209"/>
      <c r="I759" s="130"/>
      <c r="J759" s="130"/>
      <c r="K759" s="130"/>
      <c r="L759" s="130"/>
      <c r="N759" s="130"/>
    </row>
    <row r="760" spans="2:14" ht="13">
      <c r="B760" s="130"/>
      <c r="C760" s="130"/>
      <c r="D760" s="130"/>
      <c r="E760" s="209"/>
      <c r="F760" s="209"/>
      <c r="G760" s="209"/>
      <c r="I760" s="130"/>
      <c r="J760" s="130"/>
      <c r="K760" s="130"/>
      <c r="L760" s="130"/>
      <c r="N760" s="130"/>
    </row>
    <row r="761" spans="2:14" ht="13">
      <c r="B761" s="130"/>
      <c r="C761" s="130"/>
      <c r="D761" s="130"/>
      <c r="E761" s="209"/>
      <c r="F761" s="209"/>
      <c r="G761" s="209"/>
      <c r="I761" s="130"/>
      <c r="J761" s="130"/>
      <c r="K761" s="130"/>
      <c r="L761" s="130"/>
      <c r="N761" s="130"/>
    </row>
    <row r="762" spans="2:14" ht="13">
      <c r="B762" s="130"/>
      <c r="C762" s="130"/>
      <c r="D762" s="130"/>
      <c r="E762" s="209"/>
      <c r="F762" s="209"/>
      <c r="G762" s="209"/>
      <c r="I762" s="130"/>
      <c r="J762" s="130"/>
      <c r="K762" s="130"/>
      <c r="L762" s="130"/>
      <c r="N762" s="130"/>
    </row>
    <row r="763" spans="2:14" ht="13">
      <c r="B763" s="130"/>
      <c r="C763" s="130"/>
      <c r="D763" s="130"/>
      <c r="E763" s="209"/>
      <c r="F763" s="209"/>
      <c r="G763" s="209"/>
      <c r="I763" s="130"/>
      <c r="J763" s="130"/>
      <c r="K763" s="130"/>
      <c r="L763" s="130"/>
      <c r="N763" s="130"/>
    </row>
    <row r="764" spans="2:14" ht="13">
      <c r="B764" s="130"/>
      <c r="C764" s="130"/>
      <c r="D764" s="130"/>
      <c r="E764" s="209"/>
      <c r="F764" s="209"/>
      <c r="G764" s="209"/>
      <c r="I764" s="130"/>
      <c r="J764" s="130"/>
      <c r="K764" s="130"/>
      <c r="L764" s="130"/>
      <c r="N764" s="130"/>
    </row>
    <row r="765" spans="2:14" ht="13">
      <c r="B765" s="130"/>
      <c r="C765" s="130"/>
      <c r="D765" s="130"/>
      <c r="E765" s="209"/>
      <c r="F765" s="209"/>
      <c r="G765" s="209"/>
      <c r="I765" s="130"/>
      <c r="J765" s="130"/>
      <c r="K765" s="130"/>
      <c r="L765" s="130"/>
      <c r="N765" s="130"/>
    </row>
    <row r="766" spans="2:14" ht="13">
      <c r="B766" s="130"/>
      <c r="C766" s="130"/>
      <c r="D766" s="130"/>
      <c r="E766" s="209"/>
      <c r="F766" s="209"/>
      <c r="G766" s="209"/>
      <c r="I766" s="130"/>
      <c r="J766" s="130"/>
      <c r="K766" s="130"/>
      <c r="L766" s="130"/>
      <c r="N766" s="130"/>
    </row>
    <row r="767" spans="2:14" ht="13">
      <c r="B767" s="130"/>
      <c r="C767" s="130"/>
      <c r="D767" s="130"/>
      <c r="E767" s="209"/>
      <c r="F767" s="209"/>
      <c r="G767" s="209"/>
      <c r="I767" s="130"/>
      <c r="J767" s="130"/>
      <c r="K767" s="130"/>
      <c r="L767" s="130"/>
      <c r="N767" s="130"/>
    </row>
    <row r="768" spans="2:14" ht="13">
      <c r="B768" s="130"/>
      <c r="C768" s="130"/>
      <c r="D768" s="130"/>
      <c r="E768" s="209"/>
      <c r="F768" s="209"/>
      <c r="G768" s="209"/>
      <c r="I768" s="130"/>
      <c r="J768" s="130"/>
      <c r="K768" s="130"/>
      <c r="L768" s="130"/>
      <c r="N768" s="130"/>
    </row>
    <row r="769" spans="2:14" ht="13">
      <c r="B769" s="130"/>
      <c r="C769" s="130"/>
      <c r="D769" s="130"/>
      <c r="E769" s="209"/>
      <c r="F769" s="209"/>
      <c r="G769" s="209"/>
      <c r="I769" s="130"/>
      <c r="J769" s="130"/>
      <c r="K769" s="130"/>
      <c r="L769" s="130"/>
      <c r="N769" s="130"/>
    </row>
    <row r="770" spans="2:14" ht="13">
      <c r="B770" s="130"/>
      <c r="C770" s="130"/>
      <c r="D770" s="130"/>
      <c r="E770" s="209"/>
      <c r="F770" s="209"/>
      <c r="G770" s="209"/>
      <c r="I770" s="130"/>
      <c r="J770" s="130"/>
      <c r="K770" s="130"/>
      <c r="L770" s="130"/>
      <c r="N770" s="130"/>
    </row>
    <row r="771" spans="2:14" ht="13">
      <c r="B771" s="130"/>
      <c r="C771" s="130"/>
      <c r="D771" s="130"/>
      <c r="E771" s="209"/>
      <c r="F771" s="209"/>
      <c r="G771" s="209"/>
      <c r="I771" s="130"/>
      <c r="J771" s="130"/>
      <c r="K771" s="130"/>
      <c r="L771" s="130"/>
      <c r="N771" s="130"/>
    </row>
    <row r="772" spans="2:14" ht="13">
      <c r="B772" s="130"/>
      <c r="C772" s="130"/>
      <c r="D772" s="130"/>
      <c r="E772" s="209"/>
      <c r="F772" s="209"/>
      <c r="G772" s="209"/>
      <c r="I772" s="130"/>
      <c r="J772" s="130"/>
      <c r="K772" s="130"/>
      <c r="L772" s="130"/>
      <c r="N772" s="130"/>
    </row>
    <row r="773" spans="2:14" ht="13">
      <c r="B773" s="130"/>
      <c r="C773" s="130"/>
      <c r="D773" s="130"/>
      <c r="E773" s="209"/>
      <c r="F773" s="209"/>
      <c r="G773" s="209"/>
      <c r="I773" s="130"/>
      <c r="J773" s="130"/>
      <c r="K773" s="130"/>
      <c r="L773" s="130"/>
      <c r="N773" s="130"/>
    </row>
    <row r="774" spans="2:14" ht="13">
      <c r="B774" s="130"/>
      <c r="C774" s="130"/>
      <c r="D774" s="130"/>
      <c r="E774" s="209"/>
      <c r="F774" s="209"/>
      <c r="G774" s="209"/>
      <c r="I774" s="130"/>
      <c r="J774" s="130"/>
      <c r="K774" s="130"/>
      <c r="L774" s="130"/>
      <c r="N774" s="130"/>
    </row>
    <row r="775" spans="2:14" ht="13">
      <c r="B775" s="130"/>
      <c r="C775" s="130"/>
      <c r="D775" s="130"/>
      <c r="E775" s="209"/>
      <c r="F775" s="209"/>
      <c r="G775" s="209"/>
      <c r="I775" s="130"/>
      <c r="J775" s="130"/>
      <c r="K775" s="130"/>
      <c r="L775" s="130"/>
      <c r="N775" s="130"/>
    </row>
    <row r="776" spans="2:14" ht="13">
      <c r="B776" s="130"/>
      <c r="C776" s="130"/>
      <c r="D776" s="130"/>
      <c r="E776" s="209"/>
      <c r="F776" s="209"/>
      <c r="G776" s="209"/>
      <c r="I776" s="130"/>
      <c r="J776" s="130"/>
      <c r="K776" s="130"/>
      <c r="L776" s="130"/>
      <c r="N776" s="130"/>
    </row>
    <row r="777" spans="2:14" ht="13">
      <c r="B777" s="130"/>
      <c r="C777" s="130"/>
      <c r="D777" s="130"/>
      <c r="E777" s="209"/>
      <c r="F777" s="209"/>
      <c r="G777" s="209"/>
      <c r="I777" s="130"/>
      <c r="J777" s="130"/>
      <c r="K777" s="130"/>
      <c r="L777" s="130"/>
      <c r="N777" s="130"/>
    </row>
    <row r="778" spans="2:14" ht="13">
      <c r="B778" s="130"/>
      <c r="C778" s="130"/>
      <c r="D778" s="130"/>
      <c r="E778" s="209"/>
      <c r="F778" s="209"/>
      <c r="G778" s="209"/>
      <c r="I778" s="130"/>
      <c r="J778" s="130"/>
      <c r="K778" s="130"/>
      <c r="L778" s="130"/>
      <c r="N778" s="130"/>
    </row>
    <row r="779" spans="2:14" ht="13">
      <c r="B779" s="130"/>
      <c r="C779" s="130"/>
      <c r="D779" s="130"/>
      <c r="E779" s="209"/>
      <c r="F779" s="209"/>
      <c r="G779" s="209"/>
      <c r="I779" s="130"/>
      <c r="J779" s="130"/>
      <c r="K779" s="130"/>
      <c r="L779" s="130"/>
      <c r="N779" s="130"/>
    </row>
    <row r="780" spans="2:14" ht="13">
      <c r="B780" s="130"/>
      <c r="C780" s="130"/>
      <c r="D780" s="130"/>
      <c r="E780" s="209"/>
      <c r="F780" s="209"/>
      <c r="G780" s="209"/>
      <c r="I780" s="130"/>
      <c r="J780" s="130"/>
      <c r="K780" s="130"/>
      <c r="L780" s="130"/>
      <c r="N780" s="130"/>
    </row>
    <row r="781" spans="2:14" ht="13">
      <c r="B781" s="130"/>
      <c r="C781" s="130"/>
      <c r="D781" s="130"/>
      <c r="E781" s="209"/>
      <c r="F781" s="209"/>
      <c r="G781" s="209"/>
      <c r="I781" s="130"/>
      <c r="J781" s="130"/>
      <c r="K781" s="130"/>
      <c r="L781" s="130"/>
      <c r="N781" s="130"/>
    </row>
    <row r="782" spans="2:14" ht="13">
      <c r="B782" s="130"/>
      <c r="C782" s="130"/>
      <c r="D782" s="130"/>
      <c r="E782" s="209"/>
      <c r="F782" s="209"/>
      <c r="G782" s="209"/>
      <c r="I782" s="130"/>
      <c r="J782" s="130"/>
      <c r="K782" s="130"/>
      <c r="L782" s="130"/>
      <c r="N782" s="130"/>
    </row>
    <row r="783" spans="2:14" ht="13">
      <c r="B783" s="130"/>
      <c r="C783" s="130"/>
      <c r="D783" s="130"/>
      <c r="E783" s="209"/>
      <c r="F783" s="209"/>
      <c r="G783" s="209"/>
      <c r="I783" s="130"/>
      <c r="J783" s="130"/>
      <c r="K783" s="130"/>
      <c r="L783" s="130"/>
      <c r="N783" s="130"/>
    </row>
    <row r="784" spans="2:14" ht="13">
      <c r="B784" s="130"/>
      <c r="C784" s="130"/>
      <c r="D784" s="130"/>
      <c r="E784" s="209"/>
      <c r="F784" s="209"/>
      <c r="G784" s="209"/>
      <c r="I784" s="130"/>
      <c r="J784" s="130"/>
      <c r="K784" s="130"/>
      <c r="L784" s="130"/>
      <c r="N784" s="130"/>
    </row>
    <row r="785" spans="2:14" ht="13">
      <c r="B785" s="130"/>
      <c r="C785" s="130"/>
      <c r="D785" s="130"/>
      <c r="E785" s="209"/>
      <c r="F785" s="209"/>
      <c r="G785" s="209"/>
      <c r="I785" s="130"/>
      <c r="J785" s="130"/>
      <c r="K785" s="130"/>
      <c r="L785" s="130"/>
      <c r="N785" s="130"/>
    </row>
    <row r="786" spans="2:14" ht="13">
      <c r="B786" s="130"/>
      <c r="C786" s="130"/>
      <c r="D786" s="130"/>
      <c r="E786" s="209"/>
      <c r="F786" s="209"/>
      <c r="G786" s="209"/>
      <c r="I786" s="130"/>
      <c r="J786" s="130"/>
      <c r="K786" s="130"/>
      <c r="L786" s="130"/>
      <c r="N786" s="130"/>
    </row>
    <row r="787" spans="2:14" ht="13">
      <c r="B787" s="130"/>
      <c r="C787" s="130"/>
      <c r="D787" s="130"/>
      <c r="E787" s="209"/>
      <c r="F787" s="209"/>
      <c r="G787" s="209"/>
      <c r="I787" s="130"/>
      <c r="J787" s="130"/>
      <c r="K787" s="130"/>
      <c r="L787" s="130"/>
      <c r="N787" s="130"/>
    </row>
    <row r="788" spans="2:14" ht="13">
      <c r="B788" s="130"/>
      <c r="C788" s="130"/>
      <c r="D788" s="130"/>
      <c r="E788" s="209"/>
      <c r="F788" s="209"/>
      <c r="G788" s="209"/>
      <c r="I788" s="130"/>
      <c r="J788" s="130"/>
      <c r="K788" s="130"/>
      <c r="L788" s="130"/>
      <c r="N788" s="130"/>
    </row>
    <row r="789" spans="2:14" ht="13">
      <c r="B789" s="130"/>
      <c r="C789" s="130"/>
      <c r="D789" s="130"/>
      <c r="E789" s="209"/>
      <c r="F789" s="209"/>
      <c r="G789" s="209"/>
      <c r="I789" s="130"/>
      <c r="J789" s="130"/>
      <c r="K789" s="130"/>
      <c r="L789" s="130"/>
      <c r="N789" s="130"/>
    </row>
    <row r="790" spans="2:14" ht="13">
      <c r="B790" s="130"/>
      <c r="C790" s="130"/>
      <c r="D790" s="130"/>
      <c r="E790" s="209"/>
      <c r="F790" s="209"/>
      <c r="G790" s="209"/>
      <c r="I790" s="130"/>
      <c r="J790" s="130"/>
      <c r="K790" s="130"/>
      <c r="L790" s="130"/>
      <c r="N790" s="130"/>
    </row>
    <row r="791" spans="2:14" ht="13">
      <c r="B791" s="130"/>
      <c r="C791" s="130"/>
      <c r="D791" s="130"/>
      <c r="E791" s="209"/>
      <c r="F791" s="209"/>
      <c r="G791" s="209"/>
      <c r="I791" s="130"/>
      <c r="J791" s="130"/>
      <c r="K791" s="130"/>
      <c r="L791" s="130"/>
      <c r="N791" s="130"/>
    </row>
    <row r="792" spans="2:14" ht="13">
      <c r="B792" s="130"/>
      <c r="C792" s="130"/>
      <c r="D792" s="130"/>
      <c r="E792" s="209"/>
      <c r="F792" s="209"/>
      <c r="G792" s="209"/>
      <c r="I792" s="130"/>
      <c r="J792" s="130"/>
      <c r="K792" s="130"/>
      <c r="L792" s="130"/>
      <c r="N792" s="130"/>
    </row>
    <row r="793" spans="2:14" ht="13">
      <c r="B793" s="130"/>
      <c r="C793" s="130"/>
      <c r="D793" s="130"/>
      <c r="E793" s="209"/>
      <c r="F793" s="209"/>
      <c r="G793" s="209"/>
      <c r="I793" s="130"/>
      <c r="J793" s="130"/>
      <c r="K793" s="130"/>
      <c r="L793" s="130"/>
      <c r="N793" s="130"/>
    </row>
    <row r="794" spans="2:14" ht="13">
      <c r="B794" s="130"/>
      <c r="C794" s="130"/>
      <c r="D794" s="130"/>
      <c r="E794" s="209"/>
      <c r="F794" s="209"/>
      <c r="G794" s="209"/>
      <c r="I794" s="130"/>
      <c r="J794" s="130"/>
      <c r="K794" s="130"/>
      <c r="L794" s="130"/>
      <c r="N794" s="130"/>
    </row>
    <row r="795" spans="2:14" ht="13">
      <c r="B795" s="130"/>
      <c r="C795" s="130"/>
      <c r="D795" s="130"/>
      <c r="E795" s="209"/>
      <c r="F795" s="209"/>
      <c r="G795" s="209"/>
      <c r="I795" s="130"/>
      <c r="J795" s="130"/>
      <c r="K795" s="130"/>
      <c r="L795" s="130"/>
      <c r="N795" s="130"/>
    </row>
    <row r="796" spans="2:14" ht="13">
      <c r="B796" s="130"/>
      <c r="C796" s="130"/>
      <c r="D796" s="130"/>
      <c r="E796" s="209"/>
      <c r="F796" s="209"/>
      <c r="G796" s="209"/>
      <c r="I796" s="130"/>
      <c r="J796" s="130"/>
      <c r="K796" s="130"/>
      <c r="L796" s="130"/>
      <c r="N796" s="130"/>
    </row>
    <row r="797" spans="2:14" ht="13">
      <c r="B797" s="130"/>
      <c r="C797" s="130"/>
      <c r="D797" s="130"/>
      <c r="E797" s="209"/>
      <c r="F797" s="209"/>
      <c r="G797" s="209"/>
      <c r="I797" s="130"/>
      <c r="J797" s="130"/>
      <c r="K797" s="130"/>
      <c r="L797" s="130"/>
      <c r="N797" s="130"/>
    </row>
    <row r="798" spans="2:14" ht="13">
      <c r="B798" s="130"/>
      <c r="C798" s="130"/>
      <c r="D798" s="130"/>
      <c r="E798" s="209"/>
      <c r="F798" s="209"/>
      <c r="G798" s="209"/>
      <c r="I798" s="130"/>
      <c r="J798" s="130"/>
      <c r="K798" s="130"/>
      <c r="L798" s="130"/>
      <c r="N798" s="130"/>
    </row>
    <row r="799" spans="2:14" ht="13">
      <c r="B799" s="130"/>
      <c r="C799" s="130"/>
      <c r="D799" s="130"/>
      <c r="E799" s="209"/>
      <c r="F799" s="209"/>
      <c r="G799" s="209"/>
      <c r="I799" s="130"/>
      <c r="J799" s="130"/>
      <c r="K799" s="130"/>
      <c r="L799" s="130"/>
      <c r="N799" s="130"/>
    </row>
    <row r="800" spans="2:14" ht="13">
      <c r="B800" s="130"/>
      <c r="C800" s="130"/>
      <c r="D800" s="130"/>
      <c r="E800" s="209"/>
      <c r="F800" s="209"/>
      <c r="G800" s="209"/>
      <c r="I800" s="130"/>
      <c r="J800" s="130"/>
      <c r="K800" s="130"/>
      <c r="L800" s="130"/>
      <c r="N800" s="130"/>
    </row>
    <row r="801" spans="2:14" ht="13">
      <c r="B801" s="130"/>
      <c r="C801" s="130"/>
      <c r="D801" s="130"/>
      <c r="E801" s="209"/>
      <c r="F801" s="209"/>
      <c r="G801" s="209"/>
      <c r="I801" s="130"/>
      <c r="J801" s="130"/>
      <c r="K801" s="130"/>
      <c r="L801" s="130"/>
      <c r="N801" s="130"/>
    </row>
    <row r="802" spans="2:14" ht="13">
      <c r="B802" s="130"/>
      <c r="C802" s="130"/>
      <c r="D802" s="130"/>
      <c r="E802" s="209"/>
      <c r="F802" s="209"/>
      <c r="G802" s="209"/>
      <c r="I802" s="130"/>
      <c r="J802" s="130"/>
      <c r="K802" s="130"/>
      <c r="L802" s="130"/>
      <c r="N802" s="130"/>
    </row>
    <row r="803" spans="2:14" ht="13">
      <c r="B803" s="130"/>
      <c r="C803" s="130"/>
      <c r="D803" s="130"/>
      <c r="E803" s="209"/>
      <c r="F803" s="209"/>
      <c r="G803" s="209"/>
      <c r="I803" s="130"/>
      <c r="J803" s="130"/>
      <c r="K803" s="130"/>
      <c r="L803" s="130"/>
      <c r="N803" s="130"/>
    </row>
    <row r="804" spans="2:14" ht="13">
      <c r="B804" s="130"/>
      <c r="C804" s="130"/>
      <c r="D804" s="130"/>
      <c r="E804" s="209"/>
      <c r="F804" s="209"/>
      <c r="G804" s="209"/>
      <c r="I804" s="130"/>
      <c r="J804" s="130"/>
      <c r="K804" s="130"/>
      <c r="L804" s="130"/>
      <c r="N804" s="130"/>
    </row>
    <row r="805" spans="2:14" ht="13">
      <c r="B805" s="130"/>
      <c r="C805" s="130"/>
      <c r="D805" s="130"/>
      <c r="E805" s="209"/>
      <c r="F805" s="209"/>
      <c r="G805" s="209"/>
      <c r="I805" s="130"/>
      <c r="J805" s="130"/>
      <c r="K805" s="130"/>
      <c r="L805" s="130"/>
      <c r="N805" s="130"/>
    </row>
    <row r="806" spans="2:14" ht="13">
      <c r="B806" s="130"/>
      <c r="C806" s="130"/>
      <c r="D806" s="130"/>
      <c r="E806" s="209"/>
      <c r="F806" s="209"/>
      <c r="G806" s="209"/>
      <c r="I806" s="130"/>
      <c r="J806" s="130"/>
      <c r="K806" s="130"/>
      <c r="L806" s="130"/>
      <c r="N806" s="130"/>
    </row>
    <row r="807" spans="2:14" ht="13">
      <c r="B807" s="130"/>
      <c r="C807" s="130"/>
      <c r="D807" s="130"/>
      <c r="E807" s="209"/>
      <c r="F807" s="209"/>
      <c r="G807" s="209"/>
      <c r="I807" s="130"/>
      <c r="J807" s="130"/>
      <c r="K807" s="130"/>
      <c r="L807" s="130"/>
      <c r="N807" s="130"/>
    </row>
    <row r="808" spans="2:14" ht="13">
      <c r="B808" s="130"/>
      <c r="C808" s="130"/>
      <c r="D808" s="130"/>
      <c r="E808" s="209"/>
      <c r="F808" s="209"/>
      <c r="G808" s="209"/>
      <c r="I808" s="130"/>
      <c r="J808" s="130"/>
      <c r="K808" s="130"/>
      <c r="L808" s="130"/>
      <c r="N808" s="130"/>
    </row>
    <row r="809" spans="2:14" ht="13">
      <c r="B809" s="130"/>
      <c r="C809" s="130"/>
      <c r="D809" s="130"/>
      <c r="E809" s="209"/>
      <c r="F809" s="209"/>
      <c r="G809" s="209"/>
      <c r="I809" s="130"/>
      <c r="J809" s="130"/>
      <c r="K809" s="130"/>
      <c r="L809" s="130"/>
      <c r="N809" s="130"/>
    </row>
    <row r="810" spans="2:14" ht="13">
      <c r="B810" s="130"/>
      <c r="C810" s="130"/>
      <c r="D810" s="130"/>
      <c r="E810" s="209"/>
      <c r="F810" s="209"/>
      <c r="G810" s="209"/>
      <c r="I810" s="130"/>
      <c r="J810" s="130"/>
      <c r="K810" s="130"/>
      <c r="L810" s="130"/>
      <c r="N810" s="130"/>
    </row>
    <row r="811" spans="2:14" ht="13">
      <c r="B811" s="130"/>
      <c r="C811" s="130"/>
      <c r="D811" s="130"/>
      <c r="E811" s="209"/>
      <c r="F811" s="209"/>
      <c r="G811" s="209"/>
      <c r="I811" s="130"/>
      <c r="J811" s="130"/>
      <c r="K811" s="130"/>
      <c r="L811" s="130"/>
      <c r="N811" s="130"/>
    </row>
    <row r="812" spans="2:14" ht="13">
      <c r="B812" s="130"/>
      <c r="C812" s="130"/>
      <c r="D812" s="130"/>
      <c r="E812" s="209"/>
      <c r="F812" s="209"/>
      <c r="G812" s="209"/>
      <c r="I812" s="130"/>
      <c r="J812" s="130"/>
      <c r="K812" s="130"/>
      <c r="L812" s="130"/>
      <c r="N812" s="130"/>
    </row>
    <row r="813" spans="2:14" ht="13">
      <c r="B813" s="130"/>
      <c r="C813" s="130"/>
      <c r="D813" s="130"/>
      <c r="E813" s="209"/>
      <c r="F813" s="209"/>
      <c r="G813" s="209"/>
      <c r="I813" s="130"/>
      <c r="J813" s="130"/>
      <c r="K813" s="130"/>
      <c r="L813" s="130"/>
      <c r="N813" s="130"/>
    </row>
    <row r="814" spans="2:14" ht="13">
      <c r="B814" s="130"/>
      <c r="C814" s="130"/>
      <c r="D814" s="130"/>
      <c r="E814" s="209"/>
      <c r="F814" s="209"/>
      <c r="G814" s="209"/>
      <c r="I814" s="130"/>
      <c r="J814" s="130"/>
      <c r="K814" s="130"/>
      <c r="L814" s="130"/>
      <c r="N814" s="130"/>
    </row>
    <row r="815" spans="2:14" ht="13">
      <c r="B815" s="130"/>
      <c r="C815" s="130"/>
      <c r="D815" s="130"/>
      <c r="E815" s="209"/>
      <c r="F815" s="209"/>
      <c r="G815" s="209"/>
      <c r="I815" s="130"/>
      <c r="J815" s="130"/>
      <c r="K815" s="130"/>
      <c r="L815" s="130"/>
      <c r="N815" s="130"/>
    </row>
    <row r="816" spans="2:14" ht="13">
      <c r="B816" s="130"/>
      <c r="C816" s="130"/>
      <c r="D816" s="130"/>
      <c r="E816" s="209"/>
      <c r="F816" s="209"/>
      <c r="G816" s="209"/>
      <c r="I816" s="130"/>
      <c r="J816" s="130"/>
      <c r="K816" s="130"/>
      <c r="L816" s="130"/>
      <c r="N816" s="130"/>
    </row>
    <row r="817" spans="2:14" ht="13">
      <c r="B817" s="130"/>
      <c r="C817" s="130"/>
      <c r="D817" s="130"/>
      <c r="E817" s="209"/>
      <c r="F817" s="209"/>
      <c r="G817" s="209"/>
      <c r="I817" s="130"/>
      <c r="J817" s="130"/>
      <c r="K817" s="130"/>
      <c r="L817" s="130"/>
      <c r="N817" s="130"/>
    </row>
    <row r="818" spans="2:14" ht="13">
      <c r="B818" s="130"/>
      <c r="C818" s="130"/>
      <c r="D818" s="130"/>
      <c r="E818" s="209"/>
      <c r="F818" s="209"/>
      <c r="G818" s="209"/>
      <c r="I818" s="130"/>
      <c r="J818" s="130"/>
      <c r="K818" s="130"/>
      <c r="L818" s="130"/>
      <c r="N818" s="130"/>
    </row>
    <row r="819" spans="2:14" ht="13">
      <c r="B819" s="130"/>
      <c r="C819" s="130"/>
      <c r="D819" s="130"/>
      <c r="E819" s="209"/>
      <c r="F819" s="209"/>
      <c r="G819" s="209"/>
      <c r="I819" s="130"/>
      <c r="J819" s="130"/>
      <c r="K819" s="130"/>
      <c r="L819" s="130"/>
      <c r="N819" s="130"/>
    </row>
    <row r="820" spans="2:14" ht="13">
      <c r="B820" s="130"/>
      <c r="C820" s="130"/>
      <c r="D820" s="130"/>
      <c r="E820" s="209"/>
      <c r="F820" s="209"/>
      <c r="G820" s="209"/>
      <c r="I820" s="130"/>
      <c r="J820" s="130"/>
      <c r="K820" s="130"/>
      <c r="L820" s="130"/>
      <c r="N820" s="130"/>
    </row>
    <row r="821" spans="2:14" ht="13">
      <c r="B821" s="130"/>
      <c r="C821" s="130"/>
      <c r="D821" s="130"/>
      <c r="E821" s="209"/>
      <c r="F821" s="209"/>
      <c r="G821" s="209"/>
      <c r="I821" s="130"/>
      <c r="J821" s="130"/>
      <c r="K821" s="130"/>
      <c r="L821" s="130"/>
      <c r="N821" s="130"/>
    </row>
    <row r="822" spans="2:14" ht="13">
      <c r="B822" s="130"/>
      <c r="C822" s="130"/>
      <c r="D822" s="130"/>
      <c r="E822" s="209"/>
      <c r="F822" s="209"/>
      <c r="G822" s="209"/>
      <c r="I822" s="130"/>
      <c r="J822" s="130"/>
      <c r="K822" s="130"/>
      <c r="L822" s="130"/>
      <c r="N822" s="130"/>
    </row>
    <row r="823" spans="2:14" ht="13">
      <c r="B823" s="130"/>
      <c r="C823" s="130"/>
      <c r="D823" s="130"/>
      <c r="E823" s="209"/>
      <c r="F823" s="209"/>
      <c r="G823" s="209"/>
      <c r="I823" s="130"/>
      <c r="J823" s="130"/>
      <c r="K823" s="130"/>
      <c r="L823" s="130"/>
      <c r="N823" s="130"/>
    </row>
    <row r="824" spans="2:14" ht="13">
      <c r="B824" s="130"/>
      <c r="C824" s="130"/>
      <c r="D824" s="130"/>
      <c r="E824" s="209"/>
      <c r="F824" s="209"/>
      <c r="G824" s="209"/>
      <c r="I824" s="130"/>
      <c r="J824" s="130"/>
      <c r="K824" s="130"/>
      <c r="L824" s="130"/>
      <c r="N824" s="130"/>
    </row>
    <row r="825" spans="2:14" ht="13">
      <c r="B825" s="130"/>
      <c r="C825" s="130"/>
      <c r="D825" s="130"/>
      <c r="E825" s="209"/>
      <c r="F825" s="209"/>
      <c r="G825" s="209"/>
      <c r="I825" s="130"/>
      <c r="J825" s="130"/>
      <c r="K825" s="130"/>
      <c r="L825" s="130"/>
      <c r="N825" s="130"/>
    </row>
    <row r="826" spans="2:14" ht="13">
      <c r="B826" s="130"/>
      <c r="C826" s="130"/>
      <c r="D826" s="130"/>
      <c r="E826" s="209"/>
      <c r="F826" s="209"/>
      <c r="G826" s="209"/>
      <c r="I826" s="130"/>
      <c r="J826" s="130"/>
      <c r="K826" s="130"/>
      <c r="L826" s="130"/>
      <c r="N826" s="130"/>
    </row>
    <row r="827" spans="2:14" ht="13">
      <c r="B827" s="130"/>
      <c r="C827" s="130"/>
      <c r="D827" s="130"/>
      <c r="E827" s="209"/>
      <c r="F827" s="209"/>
      <c r="G827" s="209"/>
      <c r="I827" s="130"/>
      <c r="J827" s="130"/>
      <c r="K827" s="130"/>
      <c r="L827" s="130"/>
      <c r="N827" s="130"/>
    </row>
    <row r="828" spans="2:14" ht="13">
      <c r="B828" s="130"/>
      <c r="C828" s="130"/>
      <c r="D828" s="130"/>
      <c r="E828" s="209"/>
      <c r="F828" s="209"/>
      <c r="G828" s="209"/>
      <c r="I828" s="130"/>
      <c r="J828" s="130"/>
      <c r="K828" s="130"/>
      <c r="L828" s="130"/>
      <c r="N828" s="130"/>
    </row>
    <row r="829" spans="2:14" ht="13">
      <c r="B829" s="130"/>
      <c r="C829" s="130"/>
      <c r="D829" s="130"/>
      <c r="E829" s="209"/>
      <c r="F829" s="209"/>
      <c r="G829" s="209"/>
      <c r="I829" s="130"/>
      <c r="J829" s="130"/>
      <c r="K829" s="130"/>
      <c r="L829" s="130"/>
      <c r="N829" s="130"/>
    </row>
    <row r="830" spans="2:14" ht="13">
      <c r="B830" s="130"/>
      <c r="C830" s="130"/>
      <c r="D830" s="130"/>
      <c r="E830" s="209"/>
      <c r="F830" s="209"/>
      <c r="G830" s="209"/>
      <c r="I830" s="130"/>
      <c r="J830" s="130"/>
      <c r="K830" s="130"/>
      <c r="L830" s="130"/>
      <c r="N830" s="130"/>
    </row>
    <row r="831" spans="2:14" ht="13">
      <c r="B831" s="130"/>
      <c r="C831" s="130"/>
      <c r="D831" s="130"/>
      <c r="E831" s="209"/>
      <c r="F831" s="209"/>
      <c r="G831" s="209"/>
      <c r="I831" s="130"/>
      <c r="J831" s="130"/>
      <c r="K831" s="130"/>
      <c r="L831" s="130"/>
      <c r="N831" s="130"/>
    </row>
    <row r="832" spans="2:14" ht="13">
      <c r="B832" s="130"/>
      <c r="C832" s="130"/>
      <c r="D832" s="130"/>
      <c r="E832" s="209"/>
      <c r="F832" s="209"/>
      <c r="G832" s="209"/>
      <c r="I832" s="130"/>
      <c r="J832" s="130"/>
      <c r="K832" s="130"/>
      <c r="L832" s="130"/>
      <c r="N832" s="130"/>
    </row>
    <row r="833" spans="2:14" ht="13">
      <c r="B833" s="130"/>
      <c r="C833" s="130"/>
      <c r="D833" s="130"/>
      <c r="E833" s="209"/>
      <c r="F833" s="209"/>
      <c r="G833" s="209"/>
      <c r="I833" s="130"/>
      <c r="J833" s="130"/>
      <c r="K833" s="130"/>
      <c r="L833" s="130"/>
      <c r="N833" s="130"/>
    </row>
    <row r="834" spans="2:14" ht="13">
      <c r="B834" s="130"/>
      <c r="C834" s="130"/>
      <c r="D834" s="130"/>
      <c r="E834" s="209"/>
      <c r="F834" s="209"/>
      <c r="G834" s="209"/>
      <c r="I834" s="130"/>
      <c r="J834" s="130"/>
      <c r="K834" s="130"/>
      <c r="L834" s="130"/>
      <c r="N834" s="130"/>
    </row>
    <row r="835" spans="2:14" ht="13">
      <c r="B835" s="130"/>
      <c r="C835" s="130"/>
      <c r="D835" s="130"/>
      <c r="E835" s="209"/>
      <c r="F835" s="209"/>
      <c r="G835" s="209"/>
      <c r="I835" s="130"/>
      <c r="J835" s="130"/>
      <c r="K835" s="130"/>
      <c r="L835" s="130"/>
      <c r="N835" s="130"/>
    </row>
    <row r="836" spans="2:14" ht="13">
      <c r="B836" s="130"/>
      <c r="C836" s="130"/>
      <c r="D836" s="130"/>
      <c r="E836" s="209"/>
      <c r="F836" s="209"/>
      <c r="G836" s="209"/>
      <c r="I836" s="130"/>
      <c r="J836" s="130"/>
      <c r="K836" s="130"/>
      <c r="L836" s="130"/>
      <c r="N836" s="130"/>
    </row>
    <row r="837" spans="2:14" ht="13">
      <c r="B837" s="130"/>
      <c r="C837" s="130"/>
      <c r="D837" s="130"/>
      <c r="E837" s="209"/>
      <c r="F837" s="209"/>
      <c r="G837" s="209"/>
      <c r="I837" s="130"/>
      <c r="J837" s="130"/>
      <c r="K837" s="130"/>
      <c r="L837" s="130"/>
      <c r="N837" s="130"/>
    </row>
    <row r="838" spans="2:14" ht="13">
      <c r="B838" s="130"/>
      <c r="C838" s="130"/>
      <c r="D838" s="130"/>
      <c r="E838" s="209"/>
      <c r="F838" s="209"/>
      <c r="G838" s="209"/>
      <c r="I838" s="130"/>
      <c r="J838" s="130"/>
      <c r="K838" s="130"/>
      <c r="L838" s="130"/>
      <c r="N838" s="130"/>
    </row>
    <row r="839" spans="2:14" ht="13">
      <c r="B839" s="130"/>
      <c r="C839" s="130"/>
      <c r="D839" s="130"/>
      <c r="E839" s="209"/>
      <c r="F839" s="209"/>
      <c r="G839" s="209"/>
      <c r="I839" s="130"/>
      <c r="J839" s="130"/>
      <c r="K839" s="130"/>
      <c r="L839" s="130"/>
      <c r="N839" s="130"/>
    </row>
    <row r="840" spans="2:14" ht="13">
      <c r="B840" s="130"/>
      <c r="C840" s="130"/>
      <c r="D840" s="130"/>
      <c r="E840" s="209"/>
      <c r="F840" s="209"/>
      <c r="G840" s="209"/>
      <c r="I840" s="130"/>
      <c r="J840" s="130"/>
      <c r="K840" s="130"/>
      <c r="L840" s="130"/>
      <c r="N840" s="130"/>
    </row>
    <row r="841" spans="2:14" ht="13">
      <c r="B841" s="130"/>
      <c r="C841" s="130"/>
      <c r="D841" s="130"/>
      <c r="E841" s="209"/>
      <c r="F841" s="209"/>
      <c r="G841" s="209"/>
      <c r="I841" s="130"/>
      <c r="J841" s="130"/>
      <c r="K841" s="130"/>
      <c r="L841" s="130"/>
      <c r="N841" s="130"/>
    </row>
    <row r="842" spans="2:14" ht="13">
      <c r="B842" s="130"/>
      <c r="C842" s="130"/>
      <c r="D842" s="130"/>
      <c r="E842" s="209"/>
      <c r="F842" s="209"/>
      <c r="G842" s="209"/>
      <c r="I842" s="130"/>
      <c r="J842" s="130"/>
      <c r="K842" s="130"/>
      <c r="L842" s="130"/>
      <c r="N842" s="130"/>
    </row>
    <row r="843" spans="2:14" ht="13">
      <c r="B843" s="130"/>
      <c r="C843" s="130"/>
      <c r="D843" s="130"/>
      <c r="E843" s="209"/>
      <c r="F843" s="209"/>
      <c r="G843" s="209"/>
      <c r="I843" s="130"/>
      <c r="J843" s="130"/>
      <c r="K843" s="130"/>
      <c r="L843" s="130"/>
      <c r="N843" s="130"/>
    </row>
    <row r="844" spans="2:14" ht="13">
      <c r="B844" s="130"/>
      <c r="C844" s="130"/>
      <c r="D844" s="130"/>
      <c r="E844" s="209"/>
      <c r="F844" s="209"/>
      <c r="G844" s="209"/>
      <c r="I844" s="130"/>
      <c r="J844" s="130"/>
      <c r="K844" s="130"/>
      <c r="L844" s="130"/>
      <c r="N844" s="130"/>
    </row>
    <row r="845" spans="2:14" ht="13">
      <c r="B845" s="130"/>
      <c r="C845" s="130"/>
      <c r="D845" s="130"/>
      <c r="E845" s="209"/>
      <c r="F845" s="209"/>
      <c r="G845" s="209"/>
      <c r="I845" s="130"/>
      <c r="J845" s="130"/>
      <c r="K845" s="130"/>
      <c r="L845" s="130"/>
      <c r="N845" s="130"/>
    </row>
    <row r="846" spans="2:14" ht="13">
      <c r="B846" s="130"/>
      <c r="C846" s="130"/>
      <c r="D846" s="130"/>
      <c r="E846" s="209"/>
      <c r="F846" s="209"/>
      <c r="G846" s="209"/>
      <c r="I846" s="130"/>
      <c r="J846" s="130"/>
      <c r="K846" s="130"/>
      <c r="L846" s="130"/>
      <c r="N846" s="130"/>
    </row>
    <row r="847" spans="2:14" ht="13">
      <c r="B847" s="130"/>
      <c r="C847" s="130"/>
      <c r="D847" s="130"/>
      <c r="E847" s="209"/>
      <c r="F847" s="209"/>
      <c r="G847" s="209"/>
      <c r="I847" s="130"/>
      <c r="J847" s="130"/>
      <c r="K847" s="130"/>
      <c r="L847" s="130"/>
      <c r="N847" s="130"/>
    </row>
    <row r="848" spans="2:14" ht="13">
      <c r="B848" s="130"/>
      <c r="C848" s="130"/>
      <c r="D848" s="130"/>
      <c r="E848" s="209"/>
      <c r="F848" s="209"/>
      <c r="G848" s="209"/>
      <c r="I848" s="130"/>
      <c r="J848" s="130"/>
      <c r="K848" s="130"/>
      <c r="L848" s="130"/>
      <c r="N848" s="130"/>
    </row>
    <row r="849" spans="2:14" ht="13">
      <c r="B849" s="130"/>
      <c r="C849" s="130"/>
      <c r="D849" s="130"/>
      <c r="E849" s="209"/>
      <c r="F849" s="209"/>
      <c r="G849" s="209"/>
      <c r="I849" s="130"/>
      <c r="J849" s="130"/>
      <c r="K849" s="130"/>
      <c r="L849" s="130"/>
      <c r="N849" s="130"/>
    </row>
    <row r="850" spans="2:14" ht="13">
      <c r="B850" s="130"/>
      <c r="C850" s="130"/>
      <c r="D850" s="130"/>
      <c r="E850" s="209"/>
      <c r="F850" s="209"/>
      <c r="G850" s="209"/>
      <c r="I850" s="130"/>
      <c r="J850" s="130"/>
      <c r="K850" s="130"/>
      <c r="L850" s="130"/>
      <c r="N850" s="130"/>
    </row>
    <row r="851" spans="2:14" ht="13">
      <c r="B851" s="130"/>
      <c r="C851" s="130"/>
      <c r="D851" s="130"/>
      <c r="E851" s="209"/>
      <c r="F851" s="209"/>
      <c r="G851" s="209"/>
      <c r="I851" s="130"/>
      <c r="J851" s="130"/>
      <c r="K851" s="130"/>
      <c r="L851" s="130"/>
      <c r="N851" s="130"/>
    </row>
    <row r="852" spans="2:14" ht="13">
      <c r="B852" s="130"/>
      <c r="C852" s="130"/>
      <c r="D852" s="130"/>
      <c r="E852" s="209"/>
      <c r="F852" s="209"/>
      <c r="G852" s="209"/>
      <c r="I852" s="130"/>
      <c r="J852" s="130"/>
      <c r="K852" s="130"/>
      <c r="L852" s="130"/>
      <c r="N852" s="130"/>
    </row>
    <row r="853" spans="2:14" ht="13">
      <c r="B853" s="130"/>
      <c r="C853" s="130"/>
      <c r="D853" s="130"/>
      <c r="E853" s="209"/>
      <c r="F853" s="209"/>
      <c r="G853" s="209"/>
      <c r="I853" s="130"/>
      <c r="J853" s="130"/>
      <c r="K853" s="130"/>
      <c r="L853" s="130"/>
      <c r="N853" s="130"/>
    </row>
    <row r="854" spans="2:14" ht="13">
      <c r="B854" s="130"/>
      <c r="C854" s="130"/>
      <c r="D854" s="130"/>
      <c r="E854" s="209"/>
      <c r="F854" s="209"/>
      <c r="G854" s="209"/>
      <c r="I854" s="130"/>
      <c r="J854" s="130"/>
      <c r="K854" s="130"/>
      <c r="L854" s="130"/>
      <c r="N854" s="130"/>
    </row>
    <row r="855" spans="2:14" ht="13">
      <c r="B855" s="130"/>
      <c r="C855" s="130"/>
      <c r="D855" s="130"/>
      <c r="E855" s="209"/>
      <c r="F855" s="209"/>
      <c r="G855" s="209"/>
      <c r="I855" s="130"/>
      <c r="J855" s="130"/>
      <c r="K855" s="130"/>
      <c r="L855" s="130"/>
      <c r="N855" s="130"/>
    </row>
    <row r="856" spans="2:14" ht="13">
      <c r="B856" s="130"/>
      <c r="C856" s="130"/>
      <c r="D856" s="130"/>
      <c r="E856" s="209"/>
      <c r="F856" s="209"/>
      <c r="G856" s="209"/>
      <c r="I856" s="130"/>
      <c r="J856" s="130"/>
      <c r="K856" s="130"/>
      <c r="L856" s="130"/>
      <c r="N856" s="130"/>
    </row>
    <row r="857" spans="2:14" ht="13">
      <c r="B857" s="130"/>
      <c r="C857" s="130"/>
      <c r="D857" s="130"/>
      <c r="E857" s="209"/>
      <c r="F857" s="209"/>
      <c r="G857" s="209"/>
      <c r="I857" s="130"/>
      <c r="J857" s="130"/>
      <c r="K857" s="130"/>
      <c r="L857" s="130"/>
      <c r="N857" s="130"/>
    </row>
    <row r="858" spans="2:14" ht="13">
      <c r="B858" s="130"/>
      <c r="C858" s="130"/>
      <c r="D858" s="130"/>
      <c r="E858" s="209"/>
      <c r="F858" s="209"/>
      <c r="G858" s="209"/>
      <c r="I858" s="130"/>
      <c r="J858" s="130"/>
      <c r="K858" s="130"/>
      <c r="L858" s="130"/>
      <c r="N858" s="130"/>
    </row>
    <row r="859" spans="2:14" ht="13">
      <c r="B859" s="130"/>
      <c r="C859" s="130"/>
      <c r="D859" s="130"/>
      <c r="E859" s="209"/>
      <c r="F859" s="209"/>
      <c r="G859" s="209"/>
      <c r="I859" s="130"/>
      <c r="J859" s="130"/>
      <c r="K859" s="130"/>
      <c r="L859" s="130"/>
      <c r="N859" s="130"/>
    </row>
    <row r="860" spans="2:14" ht="13">
      <c r="B860" s="130"/>
      <c r="C860" s="130"/>
      <c r="D860" s="130"/>
      <c r="E860" s="209"/>
      <c r="F860" s="209"/>
      <c r="G860" s="209"/>
      <c r="I860" s="130"/>
      <c r="J860" s="130"/>
      <c r="K860" s="130"/>
      <c r="L860" s="130"/>
      <c r="N860" s="130"/>
    </row>
    <row r="861" spans="2:14" ht="13">
      <c r="B861" s="130"/>
      <c r="C861" s="130"/>
      <c r="D861" s="130"/>
      <c r="E861" s="209"/>
      <c r="F861" s="209"/>
      <c r="G861" s="209"/>
      <c r="I861" s="130"/>
      <c r="J861" s="130"/>
      <c r="K861" s="130"/>
      <c r="L861" s="130"/>
      <c r="N861" s="130"/>
    </row>
    <row r="862" spans="2:14" ht="13">
      <c r="B862" s="130"/>
      <c r="C862" s="130"/>
      <c r="D862" s="130"/>
      <c r="E862" s="209"/>
      <c r="F862" s="209"/>
      <c r="G862" s="209"/>
      <c r="I862" s="130"/>
      <c r="J862" s="130"/>
      <c r="K862" s="130"/>
      <c r="L862" s="130"/>
      <c r="N862" s="130"/>
    </row>
    <row r="863" spans="2:14" ht="13">
      <c r="B863" s="130"/>
      <c r="C863" s="130"/>
      <c r="D863" s="130"/>
      <c r="E863" s="209"/>
      <c r="F863" s="209"/>
      <c r="G863" s="209"/>
      <c r="I863" s="130"/>
      <c r="J863" s="130"/>
      <c r="K863" s="130"/>
      <c r="L863" s="130"/>
      <c r="N863" s="130"/>
    </row>
    <row r="864" spans="2:14" ht="13">
      <c r="B864" s="130"/>
      <c r="C864" s="130"/>
      <c r="D864" s="130"/>
      <c r="E864" s="209"/>
      <c r="F864" s="209"/>
      <c r="G864" s="209"/>
      <c r="I864" s="130"/>
      <c r="J864" s="130"/>
      <c r="K864" s="130"/>
      <c r="L864" s="130"/>
      <c r="N864" s="130"/>
    </row>
    <row r="865" spans="2:14" ht="13">
      <c r="B865" s="130"/>
      <c r="C865" s="130"/>
      <c r="D865" s="130"/>
      <c r="E865" s="209"/>
      <c r="F865" s="209"/>
      <c r="G865" s="209"/>
      <c r="I865" s="130"/>
      <c r="J865" s="130"/>
      <c r="K865" s="130"/>
      <c r="L865" s="130"/>
      <c r="N865" s="130"/>
    </row>
    <row r="866" spans="2:14" ht="13">
      <c r="B866" s="130"/>
      <c r="C866" s="130"/>
      <c r="D866" s="130"/>
      <c r="E866" s="209"/>
      <c r="F866" s="209"/>
      <c r="G866" s="209"/>
      <c r="I866" s="130"/>
      <c r="J866" s="130"/>
      <c r="K866" s="130"/>
      <c r="L866" s="130"/>
      <c r="N866" s="130"/>
    </row>
    <row r="867" spans="2:14" ht="13">
      <c r="B867" s="130"/>
      <c r="C867" s="130"/>
      <c r="D867" s="130"/>
      <c r="E867" s="209"/>
      <c r="F867" s="209"/>
      <c r="G867" s="209"/>
      <c r="I867" s="130"/>
      <c r="J867" s="130"/>
      <c r="K867" s="130"/>
      <c r="L867" s="130"/>
      <c r="N867" s="130"/>
    </row>
    <row r="868" spans="2:14" ht="13">
      <c r="B868" s="130"/>
      <c r="C868" s="130"/>
      <c r="D868" s="130"/>
      <c r="E868" s="209"/>
      <c r="F868" s="209"/>
      <c r="G868" s="209"/>
      <c r="I868" s="130"/>
      <c r="J868" s="130"/>
      <c r="K868" s="130"/>
      <c r="L868" s="130"/>
      <c r="N868" s="130"/>
    </row>
    <row r="869" spans="2:14" ht="13">
      <c r="B869" s="130"/>
      <c r="C869" s="130"/>
      <c r="D869" s="130"/>
      <c r="E869" s="209"/>
      <c r="F869" s="209"/>
      <c r="G869" s="209"/>
      <c r="I869" s="130"/>
      <c r="J869" s="130"/>
      <c r="K869" s="130"/>
      <c r="L869" s="130"/>
      <c r="N869" s="130"/>
    </row>
    <row r="870" spans="2:14" ht="13">
      <c r="B870" s="130"/>
      <c r="C870" s="130"/>
      <c r="D870" s="130"/>
      <c r="E870" s="209"/>
      <c r="F870" s="209"/>
      <c r="G870" s="209"/>
      <c r="I870" s="130"/>
      <c r="J870" s="130"/>
      <c r="K870" s="130"/>
      <c r="L870" s="130"/>
      <c r="N870" s="130"/>
    </row>
    <row r="871" spans="2:14" ht="13">
      <c r="B871" s="130"/>
      <c r="C871" s="130"/>
      <c r="D871" s="130"/>
      <c r="E871" s="209"/>
      <c r="F871" s="209"/>
      <c r="G871" s="209"/>
      <c r="I871" s="130"/>
      <c r="J871" s="130"/>
      <c r="K871" s="130"/>
      <c r="L871" s="130"/>
      <c r="N871" s="130"/>
    </row>
    <row r="872" spans="2:14" ht="13">
      <c r="B872" s="130"/>
      <c r="C872" s="130"/>
      <c r="D872" s="130"/>
      <c r="E872" s="209"/>
      <c r="F872" s="209"/>
      <c r="G872" s="209"/>
      <c r="I872" s="130"/>
      <c r="J872" s="130"/>
      <c r="K872" s="130"/>
      <c r="L872" s="130"/>
      <c r="N872" s="130"/>
    </row>
    <row r="873" spans="2:14" ht="13">
      <c r="B873" s="130"/>
      <c r="C873" s="130"/>
      <c r="D873" s="130"/>
      <c r="E873" s="209"/>
      <c r="F873" s="209"/>
      <c r="G873" s="209"/>
      <c r="I873" s="130"/>
      <c r="J873" s="130"/>
      <c r="K873" s="130"/>
      <c r="L873" s="130"/>
      <c r="N873" s="130"/>
    </row>
    <row r="874" spans="2:14" ht="13">
      <c r="B874" s="130"/>
      <c r="C874" s="130"/>
      <c r="D874" s="130"/>
      <c r="E874" s="209"/>
      <c r="F874" s="209"/>
      <c r="G874" s="209"/>
      <c r="I874" s="130"/>
      <c r="J874" s="130"/>
      <c r="K874" s="130"/>
      <c r="L874" s="130"/>
      <c r="N874" s="130"/>
    </row>
    <row r="875" spans="2:14" ht="13">
      <c r="B875" s="130"/>
      <c r="C875" s="130"/>
      <c r="D875" s="130"/>
      <c r="E875" s="209"/>
      <c r="F875" s="209"/>
      <c r="G875" s="209"/>
      <c r="I875" s="130"/>
      <c r="J875" s="130"/>
      <c r="K875" s="130"/>
      <c r="L875" s="130"/>
      <c r="N875" s="130"/>
    </row>
    <row r="876" spans="2:14" ht="13">
      <c r="B876" s="130"/>
      <c r="C876" s="130"/>
      <c r="D876" s="130"/>
      <c r="E876" s="209"/>
      <c r="F876" s="209"/>
      <c r="G876" s="209"/>
      <c r="I876" s="130"/>
      <c r="J876" s="130"/>
      <c r="K876" s="130"/>
      <c r="L876" s="130"/>
      <c r="N876" s="130"/>
    </row>
    <row r="877" spans="2:14" ht="13">
      <c r="B877" s="130"/>
      <c r="C877" s="130"/>
      <c r="D877" s="130"/>
      <c r="E877" s="209"/>
      <c r="F877" s="209"/>
      <c r="G877" s="209"/>
      <c r="I877" s="130"/>
      <c r="J877" s="130"/>
      <c r="K877" s="130"/>
      <c r="L877" s="130"/>
      <c r="N877" s="130"/>
    </row>
    <row r="878" spans="2:14" ht="13">
      <c r="B878" s="130"/>
      <c r="C878" s="130"/>
      <c r="D878" s="130"/>
      <c r="E878" s="209"/>
      <c r="F878" s="209"/>
      <c r="G878" s="209"/>
      <c r="I878" s="130"/>
      <c r="J878" s="130"/>
      <c r="K878" s="130"/>
      <c r="L878" s="130"/>
      <c r="N878" s="130"/>
    </row>
    <row r="879" spans="2:14" ht="13">
      <c r="B879" s="130"/>
      <c r="C879" s="130"/>
      <c r="D879" s="130"/>
      <c r="E879" s="209"/>
      <c r="F879" s="209"/>
      <c r="G879" s="209"/>
      <c r="I879" s="130"/>
      <c r="J879" s="130"/>
      <c r="K879" s="130"/>
      <c r="L879" s="130"/>
      <c r="N879" s="130"/>
    </row>
    <row r="880" spans="2:14" ht="13">
      <c r="B880" s="130"/>
      <c r="C880" s="130"/>
      <c r="D880" s="130"/>
      <c r="E880" s="209"/>
      <c r="F880" s="209"/>
      <c r="G880" s="209"/>
      <c r="I880" s="130"/>
      <c r="J880" s="130"/>
      <c r="K880" s="130"/>
      <c r="L880" s="130"/>
      <c r="N880" s="130"/>
    </row>
    <row r="881" spans="2:14" ht="13">
      <c r="B881" s="130"/>
      <c r="C881" s="130"/>
      <c r="D881" s="130"/>
      <c r="E881" s="209"/>
      <c r="F881" s="209"/>
      <c r="G881" s="209"/>
      <c r="I881" s="130"/>
      <c r="J881" s="130"/>
      <c r="K881" s="130"/>
      <c r="L881" s="130"/>
      <c r="N881" s="130"/>
    </row>
    <row r="882" spans="2:14" ht="13">
      <c r="B882" s="130"/>
      <c r="C882" s="130"/>
      <c r="D882" s="130"/>
      <c r="E882" s="209"/>
      <c r="F882" s="209"/>
      <c r="G882" s="209"/>
      <c r="I882" s="130"/>
      <c r="J882" s="130"/>
      <c r="K882" s="130"/>
      <c r="L882" s="130"/>
      <c r="N882" s="130"/>
    </row>
    <row r="883" spans="2:14" ht="13">
      <c r="B883" s="130"/>
      <c r="C883" s="130"/>
      <c r="D883" s="130"/>
      <c r="E883" s="209"/>
      <c r="F883" s="209"/>
      <c r="G883" s="209"/>
      <c r="I883" s="130"/>
      <c r="J883" s="130"/>
      <c r="K883" s="130"/>
      <c r="L883" s="130"/>
      <c r="N883" s="130"/>
    </row>
    <row r="884" spans="2:14" ht="13">
      <c r="B884" s="130"/>
      <c r="C884" s="130"/>
      <c r="D884" s="130"/>
      <c r="E884" s="209"/>
      <c r="F884" s="209"/>
      <c r="G884" s="209"/>
      <c r="I884" s="130"/>
      <c r="J884" s="130"/>
      <c r="K884" s="130"/>
      <c r="L884" s="130"/>
      <c r="N884" s="130"/>
    </row>
    <row r="885" spans="2:14" ht="13">
      <c r="B885" s="130"/>
      <c r="C885" s="130"/>
      <c r="D885" s="130"/>
      <c r="E885" s="209"/>
      <c r="F885" s="209"/>
      <c r="G885" s="209"/>
      <c r="I885" s="130"/>
      <c r="J885" s="130"/>
      <c r="K885" s="130"/>
      <c r="L885" s="130"/>
      <c r="N885" s="130"/>
    </row>
    <row r="886" spans="2:14" ht="13">
      <c r="B886" s="130"/>
      <c r="C886" s="130"/>
      <c r="D886" s="130"/>
      <c r="E886" s="209"/>
      <c r="F886" s="209"/>
      <c r="G886" s="209"/>
      <c r="I886" s="130"/>
      <c r="J886" s="130"/>
      <c r="K886" s="130"/>
      <c r="L886" s="130"/>
      <c r="N886" s="130"/>
    </row>
    <row r="887" spans="2:14" ht="13">
      <c r="B887" s="130"/>
      <c r="C887" s="130"/>
      <c r="D887" s="130"/>
      <c r="E887" s="209"/>
      <c r="F887" s="209"/>
      <c r="G887" s="209"/>
      <c r="I887" s="130"/>
      <c r="J887" s="130"/>
      <c r="K887" s="130"/>
      <c r="L887" s="130"/>
      <c r="N887" s="130"/>
    </row>
    <row r="888" spans="2:14" ht="13">
      <c r="B888" s="130"/>
      <c r="C888" s="130"/>
      <c r="D888" s="130"/>
      <c r="E888" s="209"/>
      <c r="F888" s="209"/>
      <c r="G888" s="209"/>
      <c r="I888" s="130"/>
      <c r="J888" s="130"/>
      <c r="K888" s="130"/>
      <c r="L888" s="130"/>
      <c r="N888" s="130"/>
    </row>
    <row r="889" spans="2:14" ht="13">
      <c r="B889" s="130"/>
      <c r="C889" s="130"/>
      <c r="D889" s="130"/>
      <c r="E889" s="209"/>
      <c r="F889" s="209"/>
      <c r="G889" s="209"/>
      <c r="I889" s="130"/>
      <c r="J889" s="130"/>
      <c r="K889" s="130"/>
      <c r="L889" s="130"/>
      <c r="N889" s="130"/>
    </row>
    <row r="890" spans="2:14" ht="13">
      <c r="B890" s="130"/>
      <c r="C890" s="130"/>
      <c r="D890" s="130"/>
      <c r="E890" s="209"/>
      <c r="F890" s="209"/>
      <c r="G890" s="209"/>
      <c r="I890" s="130"/>
      <c r="J890" s="130"/>
      <c r="K890" s="130"/>
      <c r="L890" s="130"/>
      <c r="N890" s="130"/>
    </row>
    <row r="891" spans="2:14" ht="13">
      <c r="B891" s="130"/>
      <c r="C891" s="130"/>
      <c r="D891" s="130"/>
      <c r="E891" s="209"/>
      <c r="F891" s="209"/>
      <c r="G891" s="209"/>
      <c r="I891" s="130"/>
      <c r="J891" s="130"/>
      <c r="K891" s="130"/>
      <c r="L891" s="130"/>
      <c r="N891" s="130"/>
    </row>
    <row r="892" spans="2:14" ht="13">
      <c r="B892" s="130"/>
      <c r="C892" s="130"/>
      <c r="D892" s="130"/>
      <c r="E892" s="209"/>
      <c r="F892" s="209"/>
      <c r="G892" s="209"/>
      <c r="I892" s="130"/>
      <c r="J892" s="130"/>
      <c r="K892" s="130"/>
      <c r="L892" s="130"/>
      <c r="N892" s="130"/>
    </row>
    <row r="893" spans="2:14" ht="13">
      <c r="B893" s="130"/>
      <c r="C893" s="130"/>
      <c r="D893" s="130"/>
      <c r="E893" s="209"/>
      <c r="F893" s="209"/>
      <c r="G893" s="209"/>
      <c r="I893" s="130"/>
      <c r="J893" s="130"/>
      <c r="K893" s="130"/>
      <c r="L893" s="130"/>
      <c r="N893" s="130"/>
    </row>
    <row r="894" spans="2:14" ht="13">
      <c r="B894" s="130"/>
      <c r="C894" s="130"/>
      <c r="D894" s="130"/>
      <c r="E894" s="209"/>
      <c r="F894" s="209"/>
      <c r="G894" s="209"/>
      <c r="I894" s="130"/>
      <c r="J894" s="130"/>
      <c r="K894" s="130"/>
      <c r="L894" s="130"/>
      <c r="N894" s="130"/>
    </row>
    <row r="895" spans="2:14" ht="13">
      <c r="B895" s="130"/>
      <c r="C895" s="130"/>
      <c r="D895" s="130"/>
      <c r="E895" s="209"/>
      <c r="F895" s="209"/>
      <c r="G895" s="209"/>
      <c r="I895" s="130"/>
      <c r="J895" s="130"/>
      <c r="K895" s="130"/>
      <c r="L895" s="130"/>
      <c r="N895" s="130"/>
    </row>
    <row r="896" spans="2:14" ht="13">
      <c r="B896" s="130"/>
      <c r="C896" s="130"/>
      <c r="D896" s="130"/>
      <c r="E896" s="209"/>
      <c r="F896" s="209"/>
      <c r="G896" s="209"/>
      <c r="I896" s="130"/>
      <c r="J896" s="130"/>
      <c r="K896" s="130"/>
      <c r="L896" s="130"/>
      <c r="N896" s="130"/>
    </row>
    <row r="897" spans="2:14" ht="13">
      <c r="B897" s="130"/>
      <c r="C897" s="130"/>
      <c r="D897" s="130"/>
      <c r="E897" s="209"/>
      <c r="F897" s="209"/>
      <c r="G897" s="209"/>
      <c r="I897" s="130"/>
      <c r="J897" s="130"/>
      <c r="K897" s="130"/>
      <c r="L897" s="130"/>
      <c r="N897" s="130"/>
    </row>
    <row r="898" spans="2:14" ht="13">
      <c r="B898" s="130"/>
      <c r="C898" s="130"/>
      <c r="D898" s="130"/>
      <c r="E898" s="209"/>
      <c r="F898" s="209"/>
      <c r="G898" s="209"/>
      <c r="I898" s="130"/>
      <c r="J898" s="130"/>
      <c r="K898" s="130"/>
      <c r="L898" s="130"/>
      <c r="N898" s="130"/>
    </row>
    <row r="899" spans="2:14" ht="13">
      <c r="B899" s="130"/>
      <c r="C899" s="130"/>
      <c r="D899" s="130"/>
      <c r="E899" s="209"/>
      <c r="F899" s="209"/>
      <c r="G899" s="209"/>
      <c r="I899" s="130"/>
      <c r="J899" s="130"/>
      <c r="K899" s="130"/>
      <c r="L899" s="130"/>
      <c r="N899" s="130"/>
    </row>
    <row r="900" spans="2:14" ht="13">
      <c r="B900" s="130"/>
      <c r="C900" s="130"/>
      <c r="D900" s="130"/>
      <c r="E900" s="209"/>
      <c r="F900" s="209"/>
      <c r="G900" s="209"/>
      <c r="I900" s="130"/>
      <c r="J900" s="130"/>
      <c r="K900" s="130"/>
      <c r="L900" s="130"/>
      <c r="N900" s="130"/>
    </row>
    <row r="901" spans="2:14" ht="13">
      <c r="B901" s="130"/>
      <c r="C901" s="130"/>
      <c r="D901" s="130"/>
      <c r="E901" s="209"/>
      <c r="F901" s="209"/>
      <c r="G901" s="209"/>
      <c r="I901" s="130"/>
      <c r="J901" s="130"/>
      <c r="K901" s="130"/>
      <c r="L901" s="130"/>
      <c r="N901" s="130"/>
    </row>
    <row r="902" spans="2:14" ht="13">
      <c r="B902" s="130"/>
      <c r="C902" s="130"/>
      <c r="D902" s="130"/>
      <c r="E902" s="209"/>
      <c r="F902" s="209"/>
      <c r="G902" s="209"/>
      <c r="I902" s="130"/>
      <c r="J902" s="130"/>
      <c r="K902" s="130"/>
      <c r="L902" s="130"/>
      <c r="N902" s="130"/>
    </row>
    <row r="903" spans="2:14" ht="13">
      <c r="B903" s="130"/>
      <c r="C903" s="130"/>
      <c r="D903" s="130"/>
      <c r="E903" s="209"/>
      <c r="F903" s="209"/>
      <c r="G903" s="209"/>
      <c r="I903" s="130"/>
      <c r="J903" s="130"/>
      <c r="K903" s="130"/>
      <c r="L903" s="130"/>
      <c r="N903" s="130"/>
    </row>
    <row r="904" spans="2:14" ht="13">
      <c r="B904" s="130"/>
      <c r="C904" s="130"/>
      <c r="D904" s="130"/>
      <c r="E904" s="209"/>
      <c r="F904" s="209"/>
      <c r="G904" s="209"/>
      <c r="I904" s="130"/>
      <c r="J904" s="130"/>
      <c r="K904" s="130"/>
      <c r="L904" s="130"/>
      <c r="N904" s="130"/>
    </row>
    <row r="905" spans="2:14" ht="13">
      <c r="B905" s="130"/>
      <c r="C905" s="130"/>
      <c r="D905" s="130"/>
      <c r="E905" s="209"/>
      <c r="F905" s="209"/>
      <c r="G905" s="209"/>
      <c r="I905" s="130"/>
      <c r="J905" s="130"/>
      <c r="K905" s="130"/>
      <c r="L905" s="130"/>
      <c r="N905" s="130"/>
    </row>
    <row r="906" spans="2:14" ht="13">
      <c r="B906" s="130"/>
      <c r="C906" s="130"/>
      <c r="D906" s="130"/>
      <c r="E906" s="209"/>
      <c r="F906" s="209"/>
      <c r="G906" s="209"/>
      <c r="I906" s="130"/>
      <c r="J906" s="130"/>
      <c r="K906" s="130"/>
      <c r="L906" s="130"/>
      <c r="N906" s="130"/>
    </row>
    <row r="907" spans="2:14" ht="13">
      <c r="B907" s="130"/>
      <c r="C907" s="130"/>
      <c r="D907" s="130"/>
      <c r="E907" s="209"/>
      <c r="F907" s="209"/>
      <c r="G907" s="209"/>
      <c r="I907" s="130"/>
      <c r="J907" s="130"/>
      <c r="K907" s="130"/>
      <c r="L907" s="130"/>
      <c r="N907" s="130"/>
    </row>
    <row r="908" spans="2:14" ht="13">
      <c r="B908" s="130"/>
      <c r="C908" s="130"/>
      <c r="D908" s="130"/>
      <c r="E908" s="209"/>
      <c r="F908" s="209"/>
      <c r="G908" s="209"/>
      <c r="I908" s="130"/>
      <c r="J908" s="130"/>
      <c r="K908" s="130"/>
      <c r="L908" s="130"/>
      <c r="N908" s="130"/>
    </row>
    <row r="909" spans="2:14" ht="13">
      <c r="B909" s="130"/>
      <c r="C909" s="130"/>
      <c r="D909" s="130"/>
      <c r="E909" s="209"/>
      <c r="F909" s="209"/>
      <c r="G909" s="209"/>
      <c r="I909" s="130"/>
      <c r="J909" s="130"/>
      <c r="K909" s="130"/>
      <c r="L909" s="130"/>
      <c r="N909" s="130"/>
    </row>
    <row r="910" spans="2:14" ht="13">
      <c r="B910" s="130"/>
      <c r="C910" s="130"/>
      <c r="D910" s="130"/>
      <c r="E910" s="209"/>
      <c r="F910" s="209"/>
      <c r="G910" s="209"/>
      <c r="I910" s="130"/>
      <c r="J910" s="130"/>
      <c r="K910" s="130"/>
      <c r="L910" s="130"/>
      <c r="N910" s="130"/>
    </row>
    <row r="911" spans="2:14" ht="13">
      <c r="B911" s="130"/>
      <c r="C911" s="130"/>
      <c r="D911" s="130"/>
      <c r="E911" s="209"/>
      <c r="F911" s="209"/>
      <c r="G911" s="209"/>
      <c r="I911" s="130"/>
      <c r="J911" s="130"/>
      <c r="K911" s="130"/>
      <c r="L911" s="130"/>
      <c r="N911" s="130"/>
    </row>
    <row r="912" spans="2:14" ht="13">
      <c r="B912" s="130"/>
      <c r="C912" s="130"/>
      <c r="D912" s="130"/>
      <c r="E912" s="209"/>
      <c r="F912" s="209"/>
      <c r="G912" s="209"/>
      <c r="I912" s="130"/>
      <c r="J912" s="130"/>
      <c r="K912" s="130"/>
      <c r="L912" s="130"/>
      <c r="N912" s="130"/>
    </row>
    <row r="913" spans="2:14" ht="13">
      <c r="B913" s="130"/>
      <c r="C913" s="130"/>
      <c r="D913" s="130"/>
      <c r="E913" s="209"/>
      <c r="F913" s="209"/>
      <c r="G913" s="209"/>
      <c r="I913" s="130"/>
      <c r="J913" s="130"/>
      <c r="K913" s="130"/>
      <c r="L913" s="130"/>
      <c r="N913" s="130"/>
    </row>
    <row r="914" spans="2:14" ht="13">
      <c r="B914" s="130"/>
      <c r="C914" s="130"/>
      <c r="D914" s="130"/>
      <c r="E914" s="209"/>
      <c r="F914" s="209"/>
      <c r="G914" s="209"/>
      <c r="I914" s="130"/>
      <c r="J914" s="130"/>
      <c r="K914" s="130"/>
      <c r="L914" s="130"/>
      <c r="N914" s="130"/>
    </row>
    <row r="915" spans="2:14" ht="13">
      <c r="B915" s="130"/>
      <c r="C915" s="130"/>
      <c r="D915" s="130"/>
      <c r="E915" s="209"/>
      <c r="F915" s="209"/>
      <c r="G915" s="209"/>
      <c r="I915" s="130"/>
      <c r="J915" s="130"/>
      <c r="K915" s="130"/>
      <c r="L915" s="130"/>
      <c r="N915" s="130"/>
    </row>
    <row r="916" spans="2:14" ht="13">
      <c r="B916" s="130"/>
      <c r="C916" s="130"/>
      <c r="D916" s="130"/>
      <c r="E916" s="209"/>
      <c r="F916" s="209"/>
      <c r="G916" s="209"/>
      <c r="I916" s="130"/>
      <c r="J916" s="130"/>
      <c r="K916" s="130"/>
      <c r="L916" s="130"/>
      <c r="N916" s="130"/>
    </row>
    <row r="917" spans="2:14" ht="13">
      <c r="B917" s="130"/>
      <c r="C917" s="130"/>
      <c r="D917" s="130"/>
      <c r="E917" s="209"/>
      <c r="F917" s="209"/>
      <c r="G917" s="209"/>
      <c r="I917" s="130"/>
      <c r="J917" s="130"/>
      <c r="K917" s="130"/>
      <c r="L917" s="130"/>
      <c r="N917" s="130"/>
    </row>
    <row r="918" spans="2:14" ht="13">
      <c r="B918" s="130"/>
      <c r="C918" s="130"/>
      <c r="D918" s="130"/>
      <c r="E918" s="209"/>
      <c r="F918" s="209"/>
      <c r="G918" s="209"/>
      <c r="I918" s="130"/>
      <c r="J918" s="130"/>
      <c r="K918" s="130"/>
      <c r="L918" s="130"/>
      <c r="N918" s="130"/>
    </row>
    <row r="919" spans="2:14" ht="13">
      <c r="B919" s="130"/>
      <c r="C919" s="130"/>
      <c r="D919" s="130"/>
      <c r="E919" s="209"/>
      <c r="F919" s="209"/>
      <c r="G919" s="209"/>
      <c r="I919" s="130"/>
      <c r="J919" s="130"/>
      <c r="K919" s="130"/>
      <c r="L919" s="130"/>
      <c r="N919" s="130"/>
    </row>
    <row r="920" spans="2:14" ht="13">
      <c r="B920" s="130"/>
      <c r="C920" s="130"/>
      <c r="D920" s="130"/>
      <c r="E920" s="209"/>
      <c r="F920" s="209"/>
      <c r="G920" s="209"/>
      <c r="I920" s="130"/>
      <c r="J920" s="130"/>
      <c r="K920" s="130"/>
      <c r="L920" s="130"/>
      <c r="N920" s="130"/>
    </row>
    <row r="921" spans="2:14" ht="13">
      <c r="B921" s="130"/>
      <c r="C921" s="130"/>
      <c r="D921" s="130"/>
      <c r="E921" s="209"/>
      <c r="F921" s="209"/>
      <c r="G921" s="209"/>
      <c r="I921" s="130"/>
      <c r="J921" s="130"/>
      <c r="K921" s="130"/>
      <c r="L921" s="130"/>
      <c r="N921" s="130"/>
    </row>
    <row r="922" spans="2:14" ht="13">
      <c r="B922" s="130"/>
      <c r="C922" s="130"/>
      <c r="D922" s="130"/>
      <c r="E922" s="209"/>
      <c r="F922" s="209"/>
      <c r="G922" s="209"/>
      <c r="I922" s="130"/>
      <c r="J922" s="130"/>
      <c r="K922" s="130"/>
      <c r="L922" s="130"/>
      <c r="N922" s="130"/>
    </row>
    <row r="923" spans="2:14" ht="13">
      <c r="B923" s="130"/>
      <c r="C923" s="130"/>
      <c r="D923" s="130"/>
      <c r="E923" s="209"/>
      <c r="F923" s="209"/>
      <c r="G923" s="209"/>
      <c r="I923" s="130"/>
      <c r="J923" s="130"/>
      <c r="K923" s="130"/>
      <c r="L923" s="130"/>
      <c r="N923" s="130"/>
    </row>
    <row r="924" spans="2:14" ht="13">
      <c r="B924" s="130"/>
      <c r="C924" s="130"/>
      <c r="D924" s="130"/>
      <c r="E924" s="209"/>
      <c r="F924" s="209"/>
      <c r="G924" s="209"/>
      <c r="I924" s="130"/>
      <c r="J924" s="130"/>
      <c r="K924" s="130"/>
      <c r="L924" s="130"/>
      <c r="N924" s="130"/>
    </row>
    <row r="925" spans="2:14" ht="13">
      <c r="B925" s="130"/>
      <c r="C925" s="130"/>
      <c r="D925" s="130"/>
      <c r="E925" s="209"/>
      <c r="F925" s="209"/>
      <c r="G925" s="209"/>
      <c r="I925" s="130"/>
      <c r="J925" s="130"/>
      <c r="K925" s="130"/>
      <c r="L925" s="130"/>
      <c r="N925" s="130"/>
    </row>
    <row r="926" spans="2:14" ht="13">
      <c r="B926" s="130"/>
      <c r="C926" s="130"/>
      <c r="D926" s="130"/>
      <c r="E926" s="209"/>
      <c r="F926" s="209"/>
      <c r="G926" s="209"/>
      <c r="I926" s="130"/>
      <c r="J926" s="130"/>
      <c r="K926" s="130"/>
      <c r="L926" s="130"/>
      <c r="N926" s="130"/>
    </row>
    <row r="927" spans="2:14" ht="13">
      <c r="B927" s="130"/>
      <c r="C927" s="130"/>
      <c r="D927" s="130"/>
      <c r="E927" s="209"/>
      <c r="F927" s="209"/>
      <c r="G927" s="209"/>
      <c r="I927" s="130"/>
      <c r="J927" s="130"/>
      <c r="K927" s="130"/>
      <c r="L927" s="130"/>
      <c r="N927" s="130"/>
    </row>
    <row r="928" spans="2:14" ht="13">
      <c r="B928" s="130"/>
      <c r="C928" s="130"/>
      <c r="D928" s="130"/>
      <c r="E928" s="209"/>
      <c r="F928" s="209"/>
      <c r="G928" s="209"/>
      <c r="I928" s="130"/>
      <c r="J928" s="130"/>
      <c r="K928" s="130"/>
      <c r="L928" s="130"/>
      <c r="N928" s="130"/>
    </row>
    <row r="929" spans="2:14" ht="13">
      <c r="B929" s="130"/>
      <c r="C929" s="130"/>
      <c r="D929" s="130"/>
      <c r="E929" s="209"/>
      <c r="F929" s="209"/>
      <c r="G929" s="209"/>
      <c r="I929" s="130"/>
      <c r="J929" s="130"/>
      <c r="K929" s="130"/>
      <c r="L929" s="130"/>
      <c r="N929" s="130"/>
    </row>
    <row r="930" spans="2:14" ht="13">
      <c r="B930" s="130"/>
      <c r="C930" s="130"/>
      <c r="D930" s="130"/>
      <c r="E930" s="209"/>
      <c r="F930" s="209"/>
      <c r="G930" s="209"/>
      <c r="I930" s="130"/>
      <c r="J930" s="130"/>
      <c r="K930" s="130"/>
      <c r="L930" s="130"/>
      <c r="N930" s="130"/>
    </row>
    <row r="931" spans="2:14" ht="13">
      <c r="B931" s="130"/>
      <c r="C931" s="130"/>
      <c r="D931" s="130"/>
      <c r="E931" s="209"/>
      <c r="F931" s="209"/>
      <c r="G931" s="209"/>
      <c r="I931" s="130"/>
      <c r="J931" s="130"/>
      <c r="K931" s="130"/>
      <c r="L931" s="130"/>
      <c r="N931" s="130"/>
    </row>
    <row r="932" spans="2:14" ht="13">
      <c r="B932" s="130"/>
      <c r="C932" s="130"/>
      <c r="D932" s="130"/>
      <c r="E932" s="209"/>
      <c r="F932" s="209"/>
      <c r="G932" s="209"/>
      <c r="I932" s="130"/>
      <c r="J932" s="130"/>
      <c r="K932" s="130"/>
      <c r="L932" s="130"/>
      <c r="N932" s="130"/>
    </row>
    <row r="933" spans="2:14" ht="13">
      <c r="B933" s="130"/>
      <c r="C933" s="130"/>
      <c r="D933" s="130"/>
      <c r="E933" s="209"/>
      <c r="F933" s="209"/>
      <c r="G933" s="209"/>
      <c r="I933" s="130"/>
      <c r="J933" s="130"/>
      <c r="K933" s="130"/>
      <c r="L933" s="130"/>
      <c r="N933" s="130"/>
    </row>
    <row r="934" spans="2:14" ht="13">
      <c r="B934" s="130"/>
      <c r="C934" s="130"/>
      <c r="D934" s="130"/>
      <c r="E934" s="209"/>
      <c r="F934" s="209"/>
      <c r="G934" s="209"/>
      <c r="I934" s="130"/>
      <c r="J934" s="130"/>
      <c r="K934" s="130"/>
      <c r="L934" s="130"/>
      <c r="N934" s="130"/>
    </row>
    <row r="935" spans="2:14" ht="13">
      <c r="B935" s="130"/>
      <c r="C935" s="130"/>
      <c r="D935" s="130"/>
      <c r="E935" s="209"/>
      <c r="F935" s="209"/>
      <c r="G935" s="209"/>
      <c r="I935" s="130"/>
      <c r="J935" s="130"/>
      <c r="K935" s="130"/>
      <c r="L935" s="130"/>
      <c r="N935" s="130"/>
    </row>
    <row r="936" spans="2:14" ht="13">
      <c r="B936" s="130"/>
      <c r="C936" s="130"/>
      <c r="D936" s="130"/>
      <c r="E936" s="209"/>
      <c r="F936" s="209"/>
      <c r="G936" s="209"/>
      <c r="I936" s="130"/>
      <c r="J936" s="130"/>
      <c r="K936" s="130"/>
      <c r="L936" s="130"/>
      <c r="N936" s="130"/>
    </row>
    <row r="937" spans="2:14" ht="13">
      <c r="B937" s="130"/>
      <c r="C937" s="130"/>
      <c r="D937" s="130"/>
      <c r="E937" s="209"/>
      <c r="F937" s="209"/>
      <c r="G937" s="209"/>
      <c r="I937" s="130"/>
      <c r="J937" s="130"/>
      <c r="K937" s="130"/>
      <c r="L937" s="130"/>
      <c r="N937" s="130"/>
    </row>
    <row r="938" spans="2:14" ht="13">
      <c r="B938" s="130"/>
      <c r="C938" s="130"/>
      <c r="D938" s="130"/>
      <c r="E938" s="209"/>
      <c r="F938" s="209"/>
      <c r="G938" s="209"/>
      <c r="I938" s="130"/>
      <c r="J938" s="130"/>
      <c r="K938" s="130"/>
      <c r="L938" s="130"/>
      <c r="N938" s="130"/>
    </row>
    <row r="939" spans="2:14" ht="13">
      <c r="B939" s="130"/>
      <c r="C939" s="130"/>
      <c r="D939" s="130"/>
      <c r="E939" s="209"/>
      <c r="F939" s="209"/>
      <c r="G939" s="209"/>
      <c r="I939" s="130"/>
      <c r="J939" s="130"/>
      <c r="K939" s="130"/>
      <c r="L939" s="130"/>
      <c r="N939" s="130"/>
    </row>
    <row r="940" spans="2:14" ht="13">
      <c r="B940" s="130"/>
      <c r="C940" s="130"/>
      <c r="D940" s="130"/>
      <c r="E940" s="209"/>
      <c r="F940" s="209"/>
      <c r="G940" s="209"/>
      <c r="I940" s="130"/>
      <c r="J940" s="130"/>
      <c r="K940" s="130"/>
      <c r="L940" s="130"/>
      <c r="N940" s="130"/>
    </row>
    <row r="941" spans="2:14" ht="13">
      <c r="B941" s="130"/>
      <c r="C941" s="130"/>
      <c r="D941" s="130"/>
      <c r="E941" s="209"/>
      <c r="F941" s="209"/>
      <c r="G941" s="209"/>
      <c r="I941" s="130"/>
      <c r="J941" s="130"/>
      <c r="K941" s="130"/>
      <c r="L941" s="130"/>
      <c r="N941" s="130"/>
    </row>
    <row r="942" spans="2:14" ht="13">
      <c r="B942" s="130"/>
      <c r="C942" s="130"/>
      <c r="D942" s="130"/>
      <c r="E942" s="209"/>
      <c r="F942" s="209"/>
      <c r="G942" s="209"/>
      <c r="I942" s="130"/>
      <c r="J942" s="130"/>
      <c r="K942" s="130"/>
      <c r="L942" s="130"/>
      <c r="N942" s="130"/>
    </row>
    <row r="943" spans="2:14" ht="13">
      <c r="B943" s="130"/>
      <c r="C943" s="130"/>
      <c r="D943" s="130"/>
      <c r="E943" s="209"/>
      <c r="F943" s="209"/>
      <c r="G943" s="209"/>
      <c r="I943" s="130"/>
      <c r="J943" s="130"/>
      <c r="K943" s="130"/>
      <c r="L943" s="130"/>
      <c r="N943" s="130"/>
    </row>
    <row r="944" spans="2:14" ht="13">
      <c r="B944" s="130"/>
      <c r="C944" s="130"/>
      <c r="D944" s="130"/>
      <c r="E944" s="209"/>
      <c r="F944" s="209"/>
      <c r="G944" s="209"/>
      <c r="I944" s="130"/>
      <c r="J944" s="130"/>
      <c r="K944" s="130"/>
      <c r="L944" s="130"/>
      <c r="N944" s="130"/>
    </row>
    <row r="945" spans="2:14" ht="13">
      <c r="B945" s="130"/>
      <c r="C945" s="130"/>
      <c r="D945" s="130"/>
      <c r="E945" s="209"/>
      <c r="F945" s="209"/>
      <c r="G945" s="209"/>
      <c r="I945" s="130"/>
      <c r="J945" s="130"/>
      <c r="K945" s="130"/>
      <c r="L945" s="130"/>
      <c r="N945" s="130"/>
    </row>
    <row r="946" spans="2:14" ht="13">
      <c r="B946" s="130"/>
      <c r="C946" s="130"/>
      <c r="D946" s="130"/>
      <c r="E946" s="209"/>
      <c r="F946" s="209"/>
      <c r="G946" s="209"/>
      <c r="I946" s="130"/>
      <c r="J946" s="130"/>
      <c r="K946" s="130"/>
      <c r="L946" s="130"/>
      <c r="N946" s="130"/>
    </row>
    <row r="947" spans="2:14" ht="13">
      <c r="B947" s="130"/>
      <c r="C947" s="130"/>
      <c r="D947" s="130"/>
      <c r="E947" s="209"/>
      <c r="F947" s="209"/>
      <c r="G947" s="209"/>
      <c r="I947" s="130"/>
      <c r="J947" s="130"/>
      <c r="K947" s="130"/>
      <c r="L947" s="130"/>
      <c r="N947" s="130"/>
    </row>
    <row r="948" spans="2:14" ht="13">
      <c r="B948" s="130"/>
      <c r="C948" s="130"/>
      <c r="D948" s="130"/>
      <c r="E948" s="209"/>
      <c r="F948" s="209"/>
      <c r="G948" s="209"/>
      <c r="I948" s="130"/>
      <c r="J948" s="130"/>
      <c r="K948" s="130"/>
      <c r="L948" s="130"/>
      <c r="N948" s="130"/>
    </row>
    <row r="949" spans="2:14" ht="13">
      <c r="B949" s="130"/>
      <c r="C949" s="130"/>
      <c r="D949" s="130"/>
      <c r="E949" s="209"/>
      <c r="F949" s="209"/>
      <c r="G949" s="209"/>
      <c r="I949" s="130"/>
      <c r="J949" s="130"/>
      <c r="K949" s="130"/>
      <c r="L949" s="130"/>
      <c r="N949" s="130"/>
    </row>
    <row r="950" spans="2:14" ht="13">
      <c r="B950" s="130"/>
      <c r="C950" s="130"/>
      <c r="D950" s="130"/>
      <c r="E950" s="209"/>
      <c r="F950" s="209"/>
      <c r="G950" s="209"/>
      <c r="I950" s="130"/>
      <c r="J950" s="130"/>
      <c r="K950" s="130"/>
      <c r="L950" s="130"/>
      <c r="N950" s="130"/>
    </row>
    <row r="951" spans="2:14" ht="13">
      <c r="B951" s="130"/>
      <c r="C951" s="130"/>
      <c r="D951" s="130"/>
      <c r="E951" s="209"/>
      <c r="F951" s="209"/>
      <c r="G951" s="209"/>
      <c r="I951" s="130"/>
      <c r="J951" s="130"/>
      <c r="K951" s="130"/>
      <c r="L951" s="130"/>
      <c r="N951" s="130"/>
    </row>
    <row r="952" spans="2:14" ht="13">
      <c r="B952" s="130"/>
      <c r="C952" s="130"/>
      <c r="D952" s="130"/>
      <c r="E952" s="209"/>
      <c r="F952" s="209"/>
      <c r="G952" s="209"/>
      <c r="I952" s="130"/>
      <c r="J952" s="130"/>
      <c r="K952" s="130"/>
      <c r="L952" s="130"/>
      <c r="N952" s="130"/>
    </row>
    <row r="953" spans="2:14" ht="13">
      <c r="B953" s="130"/>
      <c r="C953" s="130"/>
      <c r="D953" s="130"/>
      <c r="E953" s="209"/>
      <c r="F953" s="209"/>
      <c r="G953" s="209"/>
      <c r="I953" s="130"/>
      <c r="J953" s="130"/>
      <c r="K953" s="130"/>
      <c r="L953" s="130"/>
      <c r="N953" s="130"/>
    </row>
    <row r="954" spans="2:14" ht="13">
      <c r="B954" s="130"/>
      <c r="C954" s="130"/>
      <c r="D954" s="130"/>
      <c r="E954" s="209"/>
      <c r="F954" s="209"/>
      <c r="G954" s="209"/>
      <c r="I954" s="130"/>
      <c r="J954" s="130"/>
      <c r="K954" s="130"/>
      <c r="L954" s="130"/>
      <c r="N954" s="130"/>
    </row>
    <row r="955" spans="2:14" ht="13">
      <c r="B955" s="130"/>
      <c r="C955" s="130"/>
      <c r="D955" s="130"/>
      <c r="E955" s="209"/>
      <c r="F955" s="209"/>
      <c r="G955" s="209"/>
      <c r="I955" s="130"/>
      <c r="J955" s="130"/>
      <c r="K955" s="130"/>
      <c r="L955" s="130"/>
      <c r="N955" s="130"/>
    </row>
    <row r="956" spans="2:14" ht="13">
      <c r="B956" s="130"/>
      <c r="C956" s="130"/>
      <c r="D956" s="130"/>
      <c r="E956" s="209"/>
      <c r="F956" s="209"/>
      <c r="G956" s="209"/>
      <c r="I956" s="130"/>
      <c r="J956" s="130"/>
      <c r="K956" s="130"/>
      <c r="L956" s="130"/>
      <c r="N956" s="130"/>
    </row>
    <row r="957" spans="2:14" ht="13">
      <c r="B957" s="130"/>
      <c r="C957" s="130"/>
      <c r="D957" s="130"/>
      <c r="E957" s="209"/>
      <c r="F957" s="209"/>
      <c r="G957" s="209"/>
      <c r="I957" s="130"/>
      <c r="J957" s="130"/>
      <c r="K957" s="130"/>
      <c r="L957" s="130"/>
      <c r="N957" s="130"/>
    </row>
    <row r="958" spans="2:14" ht="13">
      <c r="B958" s="130"/>
      <c r="C958" s="130"/>
      <c r="D958" s="130"/>
      <c r="E958" s="209"/>
      <c r="F958" s="209"/>
      <c r="G958" s="209"/>
      <c r="I958" s="130"/>
      <c r="J958" s="130"/>
      <c r="K958" s="130"/>
      <c r="L958" s="130"/>
      <c r="N958" s="130"/>
    </row>
    <row r="959" spans="2:14" ht="13">
      <c r="B959" s="130"/>
      <c r="C959" s="130"/>
      <c r="D959" s="130"/>
      <c r="E959" s="209"/>
      <c r="F959" s="209"/>
      <c r="G959" s="209"/>
      <c r="I959" s="130"/>
      <c r="J959" s="130"/>
      <c r="K959" s="130"/>
      <c r="L959" s="130"/>
      <c r="N959" s="130"/>
    </row>
    <row r="960" spans="2:14" ht="13">
      <c r="B960" s="130"/>
      <c r="C960" s="130"/>
      <c r="D960" s="130"/>
      <c r="E960" s="209"/>
      <c r="F960" s="209"/>
      <c r="G960" s="209"/>
      <c r="I960" s="130"/>
      <c r="J960" s="130"/>
      <c r="K960" s="130"/>
      <c r="L960" s="130"/>
      <c r="N960" s="130"/>
    </row>
    <row r="961" spans="2:14" ht="13">
      <c r="B961" s="130"/>
      <c r="C961" s="130"/>
      <c r="D961" s="130"/>
      <c r="E961" s="209"/>
      <c r="F961" s="209"/>
      <c r="G961" s="209"/>
      <c r="I961" s="130"/>
      <c r="J961" s="130"/>
      <c r="K961" s="130"/>
      <c r="L961" s="130"/>
      <c r="N961" s="130"/>
    </row>
    <row r="962" spans="2:14" ht="13">
      <c r="B962" s="130"/>
      <c r="C962" s="130"/>
      <c r="D962" s="130"/>
      <c r="E962" s="209"/>
      <c r="F962" s="209"/>
      <c r="G962" s="209"/>
      <c r="I962" s="130"/>
      <c r="J962" s="130"/>
      <c r="K962" s="130"/>
      <c r="L962" s="130"/>
      <c r="N962" s="130"/>
    </row>
    <row r="963" spans="2:14" ht="13">
      <c r="B963" s="130"/>
      <c r="C963" s="130"/>
      <c r="D963" s="130"/>
      <c r="E963" s="209"/>
      <c r="F963" s="209"/>
      <c r="G963" s="209"/>
      <c r="I963" s="130"/>
      <c r="J963" s="130"/>
      <c r="K963" s="130"/>
      <c r="L963" s="130"/>
      <c r="N963" s="130"/>
    </row>
    <row r="964" spans="2:14" ht="13">
      <c r="B964" s="130"/>
      <c r="C964" s="130"/>
      <c r="D964" s="130"/>
      <c r="E964" s="209"/>
      <c r="F964" s="209"/>
      <c r="G964" s="209"/>
      <c r="I964" s="130"/>
      <c r="J964" s="130"/>
      <c r="K964" s="130"/>
      <c r="L964" s="130"/>
      <c r="N964" s="130"/>
    </row>
    <row r="965" spans="2:14" ht="13">
      <c r="B965" s="130"/>
      <c r="C965" s="130"/>
      <c r="D965" s="130"/>
      <c r="E965" s="209"/>
      <c r="F965" s="209"/>
      <c r="G965" s="209"/>
      <c r="I965" s="130"/>
      <c r="J965" s="130"/>
      <c r="K965" s="130"/>
      <c r="L965" s="130"/>
      <c r="N965" s="130"/>
    </row>
    <row r="966" spans="2:14" ht="13">
      <c r="B966" s="130"/>
      <c r="C966" s="130"/>
      <c r="D966" s="130"/>
      <c r="E966" s="209"/>
      <c r="F966" s="209"/>
      <c r="G966" s="209"/>
      <c r="I966" s="130"/>
      <c r="J966" s="130"/>
      <c r="K966" s="130"/>
      <c r="L966" s="130"/>
      <c r="N966" s="130"/>
    </row>
    <row r="967" spans="2:14" ht="13">
      <c r="B967" s="130"/>
      <c r="C967" s="130"/>
      <c r="D967" s="130"/>
      <c r="E967" s="209"/>
      <c r="F967" s="209"/>
      <c r="G967" s="209"/>
      <c r="I967" s="130"/>
      <c r="J967" s="130"/>
      <c r="K967" s="130"/>
      <c r="L967" s="130"/>
      <c r="N967" s="130"/>
    </row>
    <row r="968" spans="2:14" ht="13">
      <c r="B968" s="130"/>
      <c r="C968" s="130"/>
      <c r="D968" s="130"/>
      <c r="E968" s="209"/>
      <c r="F968" s="209"/>
      <c r="G968" s="209"/>
      <c r="I968" s="130"/>
      <c r="J968" s="130"/>
      <c r="K968" s="130"/>
      <c r="L968" s="130"/>
      <c r="N968" s="130"/>
    </row>
    <row r="969" spans="2:14" ht="13">
      <c r="B969" s="130"/>
      <c r="C969" s="130"/>
      <c r="D969" s="130"/>
      <c r="E969" s="209"/>
      <c r="F969" s="209"/>
      <c r="G969" s="209"/>
      <c r="I969" s="130"/>
      <c r="J969" s="130"/>
      <c r="K969" s="130"/>
      <c r="L969" s="130"/>
      <c r="N969" s="130"/>
    </row>
    <row r="970" spans="2:14" ht="13">
      <c r="B970" s="130"/>
      <c r="C970" s="130"/>
      <c r="D970" s="130"/>
      <c r="E970" s="209"/>
      <c r="F970" s="209"/>
      <c r="G970" s="209"/>
      <c r="I970" s="130"/>
      <c r="J970" s="130"/>
      <c r="K970" s="130"/>
      <c r="L970" s="130"/>
      <c r="N970" s="130"/>
    </row>
    <row r="971" spans="2:14" ht="13">
      <c r="B971" s="130"/>
      <c r="C971" s="130"/>
      <c r="D971" s="130"/>
      <c r="E971" s="209"/>
      <c r="F971" s="209"/>
      <c r="G971" s="209"/>
      <c r="I971" s="130"/>
      <c r="J971" s="130"/>
      <c r="K971" s="130"/>
      <c r="L971" s="130"/>
      <c r="N971" s="130"/>
    </row>
    <row r="972" spans="2:14" ht="13">
      <c r="B972" s="130"/>
      <c r="C972" s="130"/>
      <c r="D972" s="130"/>
      <c r="E972" s="209"/>
      <c r="F972" s="209"/>
      <c r="G972" s="209"/>
      <c r="I972" s="130"/>
      <c r="J972" s="130"/>
      <c r="K972" s="130"/>
      <c r="L972" s="130"/>
      <c r="N972" s="130"/>
    </row>
    <row r="973" spans="2:14" ht="13">
      <c r="B973" s="130"/>
      <c r="C973" s="130"/>
      <c r="D973" s="130"/>
      <c r="E973" s="209"/>
      <c r="F973" s="209"/>
      <c r="G973" s="209"/>
      <c r="I973" s="130"/>
      <c r="J973" s="130"/>
      <c r="K973" s="130"/>
      <c r="L973" s="130"/>
      <c r="N973" s="130"/>
    </row>
    <row r="974" spans="2:14" ht="13">
      <c r="B974" s="130"/>
      <c r="C974" s="130"/>
      <c r="D974" s="130"/>
      <c r="E974" s="209"/>
      <c r="F974" s="209"/>
      <c r="G974" s="209"/>
      <c r="I974" s="130"/>
      <c r="J974" s="130"/>
      <c r="K974" s="130"/>
      <c r="L974" s="130"/>
      <c r="N974" s="130"/>
    </row>
    <row r="975" spans="2:14" ht="13">
      <c r="B975" s="130"/>
      <c r="C975" s="130"/>
      <c r="D975" s="130"/>
      <c r="E975" s="209"/>
      <c r="F975" s="209"/>
      <c r="G975" s="209"/>
      <c r="I975" s="130"/>
      <c r="J975" s="130"/>
      <c r="K975" s="130"/>
      <c r="L975" s="130"/>
      <c r="N975" s="130"/>
    </row>
    <row r="976" spans="2:14" ht="13">
      <c r="B976" s="130"/>
      <c r="C976" s="130"/>
      <c r="D976" s="130"/>
      <c r="E976" s="209"/>
      <c r="F976" s="209"/>
      <c r="G976" s="209"/>
      <c r="I976" s="130"/>
      <c r="J976" s="130"/>
      <c r="K976" s="130"/>
      <c r="L976" s="130"/>
      <c r="N976" s="130"/>
    </row>
    <row r="977" spans="2:14" ht="13">
      <c r="B977" s="130"/>
      <c r="C977" s="130"/>
      <c r="D977" s="130"/>
      <c r="E977" s="209"/>
      <c r="F977" s="209"/>
      <c r="G977" s="209"/>
      <c r="I977" s="130"/>
      <c r="J977" s="130"/>
      <c r="K977" s="130"/>
      <c r="L977" s="130"/>
      <c r="N977" s="130"/>
    </row>
    <row r="978" spans="2:14" ht="13">
      <c r="B978" s="130"/>
      <c r="C978" s="130"/>
      <c r="D978" s="130"/>
      <c r="E978" s="209"/>
      <c r="F978" s="209"/>
      <c r="G978" s="209"/>
      <c r="I978" s="130"/>
      <c r="J978" s="130"/>
      <c r="K978" s="130"/>
      <c r="L978" s="130"/>
      <c r="N978" s="130"/>
    </row>
    <row r="979" spans="2:14" ht="13">
      <c r="B979" s="130"/>
      <c r="C979" s="130"/>
      <c r="D979" s="130"/>
      <c r="E979" s="209"/>
      <c r="F979" s="209"/>
      <c r="G979" s="209"/>
      <c r="I979" s="130"/>
      <c r="J979" s="130"/>
      <c r="K979" s="130"/>
      <c r="L979" s="130"/>
      <c r="N979" s="130"/>
    </row>
    <row r="980" spans="2:14" ht="13">
      <c r="B980" s="130"/>
      <c r="C980" s="130"/>
      <c r="D980" s="130"/>
      <c r="E980" s="209"/>
      <c r="F980" s="209"/>
      <c r="G980" s="209"/>
      <c r="I980" s="130"/>
      <c r="J980" s="130"/>
      <c r="K980" s="130"/>
      <c r="L980" s="130"/>
      <c r="N980" s="130"/>
    </row>
    <row r="981" spans="2:14" ht="13">
      <c r="B981" s="130"/>
      <c r="C981" s="130"/>
      <c r="D981" s="130"/>
      <c r="E981" s="209"/>
      <c r="F981" s="209"/>
      <c r="G981" s="209"/>
      <c r="I981" s="130"/>
      <c r="J981" s="130"/>
      <c r="K981" s="130"/>
      <c r="L981" s="130"/>
      <c r="N981" s="130"/>
    </row>
    <row r="982" spans="2:14" ht="13">
      <c r="B982" s="130"/>
      <c r="C982" s="130"/>
      <c r="D982" s="130"/>
      <c r="E982" s="209"/>
      <c r="F982" s="209"/>
      <c r="G982" s="209"/>
      <c r="I982" s="130"/>
      <c r="J982" s="130"/>
      <c r="K982" s="130"/>
      <c r="L982" s="130"/>
      <c r="N982" s="130"/>
    </row>
    <row r="983" spans="2:14" ht="13">
      <c r="B983" s="130"/>
      <c r="C983" s="130"/>
      <c r="D983" s="130"/>
      <c r="E983" s="209"/>
      <c r="F983" s="209"/>
      <c r="G983" s="209"/>
      <c r="I983" s="130"/>
      <c r="J983" s="130"/>
      <c r="K983" s="130"/>
      <c r="L983" s="130"/>
      <c r="N983" s="130"/>
    </row>
    <row r="984" spans="2:14" ht="13">
      <c r="B984" s="130"/>
      <c r="C984" s="130"/>
      <c r="D984" s="130"/>
      <c r="E984" s="209"/>
      <c r="F984" s="209"/>
      <c r="G984" s="209"/>
      <c r="I984" s="130"/>
      <c r="J984" s="130"/>
      <c r="K984" s="130"/>
      <c r="L984" s="130"/>
      <c r="N984" s="130"/>
    </row>
    <row r="985" spans="2:14" ht="13">
      <c r="B985" s="130"/>
      <c r="C985" s="130"/>
      <c r="D985" s="130"/>
      <c r="E985" s="209"/>
      <c r="F985" s="209"/>
      <c r="G985" s="209"/>
      <c r="I985" s="130"/>
      <c r="J985" s="130"/>
      <c r="K985" s="130"/>
      <c r="L985" s="130"/>
      <c r="N985" s="130"/>
    </row>
    <row r="986" spans="2:14" ht="13">
      <c r="B986" s="130"/>
      <c r="C986" s="130"/>
      <c r="D986" s="130"/>
      <c r="E986" s="209"/>
      <c r="F986" s="209"/>
      <c r="G986" s="209"/>
      <c r="I986" s="130"/>
      <c r="J986" s="130"/>
      <c r="K986" s="130"/>
      <c r="L986" s="130"/>
      <c r="N986" s="130"/>
    </row>
    <row r="987" spans="2:14" ht="13">
      <c r="B987" s="130"/>
      <c r="C987" s="130"/>
      <c r="D987" s="130"/>
      <c r="E987" s="209"/>
      <c r="F987" s="209"/>
      <c r="G987" s="209"/>
      <c r="I987" s="130"/>
      <c r="J987" s="130"/>
      <c r="K987" s="130"/>
      <c r="L987" s="130"/>
      <c r="N987" s="130"/>
    </row>
    <row r="988" spans="2:14" ht="13">
      <c r="B988" s="130"/>
      <c r="C988" s="130"/>
      <c r="D988" s="130"/>
      <c r="E988" s="209"/>
      <c r="F988" s="209"/>
      <c r="G988" s="209"/>
      <c r="I988" s="130"/>
      <c r="J988" s="130"/>
      <c r="K988" s="130"/>
      <c r="L988" s="130"/>
      <c r="N988" s="130"/>
    </row>
    <row r="989" spans="2:14" ht="13">
      <c r="B989" s="130"/>
      <c r="C989" s="130"/>
      <c r="D989" s="130"/>
      <c r="E989" s="209"/>
      <c r="F989" s="209"/>
      <c r="G989" s="209"/>
      <c r="I989" s="130"/>
      <c r="J989" s="130"/>
      <c r="K989" s="130"/>
      <c r="L989" s="130"/>
      <c r="N989" s="130"/>
    </row>
    <row r="990" spans="2:14" ht="13">
      <c r="B990" s="130"/>
      <c r="C990" s="130"/>
      <c r="D990" s="130"/>
      <c r="E990" s="209"/>
      <c r="F990" s="209"/>
      <c r="G990" s="209"/>
      <c r="I990" s="130"/>
      <c r="J990" s="130"/>
      <c r="K990" s="130"/>
      <c r="L990" s="130"/>
      <c r="N990" s="130"/>
    </row>
    <row r="991" spans="2:14" ht="13">
      <c r="B991" s="130"/>
      <c r="C991" s="130"/>
      <c r="D991" s="130"/>
      <c r="E991" s="209"/>
      <c r="F991" s="209"/>
      <c r="G991" s="209"/>
      <c r="I991" s="130"/>
      <c r="J991" s="130"/>
      <c r="K991" s="130"/>
      <c r="L991" s="130"/>
      <c r="N991" s="130"/>
    </row>
    <row r="992" spans="2:14" ht="13">
      <c r="B992" s="130"/>
      <c r="C992" s="130"/>
      <c r="D992" s="130"/>
      <c r="E992" s="209"/>
      <c r="F992" s="209"/>
      <c r="G992" s="209"/>
      <c r="I992" s="130"/>
      <c r="J992" s="130"/>
      <c r="K992" s="130"/>
      <c r="L992" s="130"/>
      <c r="N992" s="130"/>
    </row>
    <row r="993" spans="2:14" ht="13">
      <c r="B993" s="130"/>
      <c r="C993" s="130"/>
      <c r="D993" s="130"/>
      <c r="E993" s="209"/>
      <c r="F993" s="209"/>
      <c r="G993" s="209"/>
      <c r="I993" s="130"/>
      <c r="J993" s="130"/>
      <c r="K993" s="130"/>
      <c r="L993" s="130"/>
      <c r="N993" s="130"/>
    </row>
    <row r="994" spans="2:14" ht="13">
      <c r="B994" s="130"/>
      <c r="C994" s="130"/>
      <c r="D994" s="130"/>
      <c r="E994" s="209"/>
      <c r="F994" s="209"/>
      <c r="G994" s="209"/>
      <c r="I994" s="130"/>
      <c r="J994" s="130"/>
      <c r="K994" s="130"/>
      <c r="L994" s="130"/>
      <c r="N994" s="130"/>
    </row>
    <row r="995" spans="2:14" ht="13">
      <c r="B995" s="130"/>
      <c r="C995" s="130"/>
      <c r="D995" s="130"/>
      <c r="E995" s="209"/>
      <c r="F995" s="209"/>
      <c r="G995" s="209"/>
      <c r="I995" s="130"/>
      <c r="J995" s="130"/>
      <c r="K995" s="130"/>
      <c r="L995" s="130"/>
      <c r="N995" s="130"/>
    </row>
    <row r="996" spans="2:14" ht="13">
      <c r="B996" s="130"/>
      <c r="C996" s="130"/>
      <c r="D996" s="130"/>
      <c r="E996" s="209"/>
      <c r="F996" s="209"/>
      <c r="G996" s="209"/>
      <c r="I996" s="130"/>
      <c r="J996" s="130"/>
      <c r="K996" s="130"/>
      <c r="L996" s="130"/>
      <c r="N996" s="130"/>
    </row>
    <row r="997" spans="2:14" ht="13">
      <c r="B997" s="130"/>
      <c r="C997" s="130"/>
      <c r="D997" s="130"/>
      <c r="E997" s="209"/>
      <c r="F997" s="209"/>
      <c r="G997" s="209"/>
      <c r="I997" s="130"/>
      <c r="J997" s="130"/>
      <c r="K997" s="130"/>
      <c r="L997" s="130"/>
      <c r="N997" s="130"/>
    </row>
    <row r="998" spans="2:14" ht="13">
      <c r="B998" s="130"/>
      <c r="C998" s="130"/>
      <c r="D998" s="130"/>
      <c r="E998" s="209"/>
      <c r="F998" s="209"/>
      <c r="G998" s="209"/>
      <c r="I998" s="130"/>
      <c r="J998" s="130"/>
      <c r="K998" s="130"/>
      <c r="L998" s="130"/>
      <c r="N998" s="130"/>
    </row>
    <row r="999" spans="2:14" ht="13">
      <c r="B999" s="130"/>
      <c r="C999" s="130"/>
      <c r="D999" s="130"/>
      <c r="E999" s="209"/>
      <c r="F999" s="209"/>
      <c r="G999" s="209"/>
      <c r="I999" s="130"/>
      <c r="J999" s="130"/>
      <c r="K999" s="130"/>
      <c r="L999" s="130"/>
      <c r="N999" s="130"/>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Z61"/>
  <sheetViews>
    <sheetView workbookViewId="0"/>
  </sheetViews>
  <sheetFormatPr baseColWidth="10" defaultColWidth="14.5" defaultRowHeight="15.75" customHeight="1"/>
  <sheetData>
    <row r="1" spans="1:26" ht="15.75" customHeight="1">
      <c r="A1" s="129" t="s">
        <v>2985</v>
      </c>
      <c r="B1" s="50"/>
      <c r="C1" s="129" t="s">
        <v>2986</v>
      </c>
      <c r="D1" s="129" t="s">
        <v>2266</v>
      </c>
      <c r="E1" s="50"/>
      <c r="F1" s="50"/>
      <c r="G1" s="50"/>
      <c r="H1" s="50"/>
      <c r="I1" s="50"/>
      <c r="J1" s="50"/>
      <c r="K1" s="50"/>
      <c r="L1" s="50"/>
      <c r="M1" s="50"/>
      <c r="N1" s="50"/>
      <c r="O1" s="50"/>
      <c r="P1" s="50"/>
      <c r="Q1" s="50"/>
      <c r="R1" s="50"/>
      <c r="S1" s="50"/>
      <c r="T1" s="50"/>
      <c r="U1" s="50"/>
      <c r="V1" s="50"/>
      <c r="W1" s="50"/>
      <c r="X1" s="50"/>
      <c r="Y1" s="50"/>
      <c r="Z1" s="50"/>
    </row>
    <row r="2" spans="1:26" ht="15.75" customHeight="1">
      <c r="A2" s="270">
        <v>100</v>
      </c>
      <c r="C2" s="42">
        <v>0.05</v>
      </c>
      <c r="D2" s="42">
        <v>0</v>
      </c>
      <c r="E2">
        <f t="shared" ref="E2:E61" si="0">ROUND($A$2*(1+C2)*(1+D2*$A$5),0)</f>
        <v>105</v>
      </c>
    </row>
    <row r="3" spans="1:26" ht="15.75" customHeight="1">
      <c r="C3" s="42">
        <v>0.1</v>
      </c>
      <c r="D3" s="42">
        <v>0</v>
      </c>
      <c r="E3">
        <f t="shared" si="0"/>
        <v>110</v>
      </c>
    </row>
    <row r="4" spans="1:26" ht="15.75" customHeight="1">
      <c r="A4" s="42" t="s">
        <v>2987</v>
      </c>
      <c r="C4" s="42">
        <v>0.15</v>
      </c>
      <c r="D4" s="42">
        <v>0</v>
      </c>
      <c r="E4">
        <f t="shared" si="0"/>
        <v>115</v>
      </c>
    </row>
    <row r="5" spans="1:26" ht="15.75" customHeight="1">
      <c r="A5" s="270">
        <v>1.25</v>
      </c>
      <c r="C5" s="42">
        <v>0.2</v>
      </c>
      <c r="D5" s="42">
        <v>0</v>
      </c>
      <c r="E5">
        <f t="shared" si="0"/>
        <v>120</v>
      </c>
    </row>
    <row r="6" spans="1:26" ht="15.75" customHeight="1">
      <c r="C6" s="42">
        <v>0.25</v>
      </c>
      <c r="D6" s="42">
        <v>0</v>
      </c>
      <c r="E6">
        <f t="shared" si="0"/>
        <v>125</v>
      </c>
    </row>
    <row r="7" spans="1:26" ht="15.75" customHeight="1">
      <c r="C7" s="42">
        <v>0.3</v>
      </c>
      <c r="D7" s="42">
        <v>0</v>
      </c>
      <c r="E7">
        <f t="shared" si="0"/>
        <v>130</v>
      </c>
    </row>
    <row r="8" spans="1:26" ht="15.75" customHeight="1">
      <c r="C8" s="42">
        <v>0.35</v>
      </c>
      <c r="D8" s="42">
        <v>0</v>
      </c>
      <c r="E8">
        <f t="shared" si="0"/>
        <v>135</v>
      </c>
    </row>
    <row r="9" spans="1:26" ht="15.75" customHeight="1">
      <c r="C9" s="42">
        <v>0.4</v>
      </c>
      <c r="D9" s="42">
        <v>0</v>
      </c>
      <c r="E9">
        <f t="shared" si="0"/>
        <v>140</v>
      </c>
    </row>
    <row r="10" spans="1:26" ht="15.75" customHeight="1">
      <c r="C10" s="42">
        <v>0.45</v>
      </c>
      <c r="D10" s="42">
        <v>0</v>
      </c>
      <c r="E10">
        <f t="shared" si="0"/>
        <v>145</v>
      </c>
    </row>
    <row r="11" spans="1:26" ht="15.75" customHeight="1">
      <c r="C11" s="42">
        <v>0.5</v>
      </c>
      <c r="D11" s="42">
        <v>0</v>
      </c>
      <c r="E11">
        <f t="shared" si="0"/>
        <v>150</v>
      </c>
    </row>
    <row r="12" spans="1:26" ht="15.75" customHeight="1">
      <c r="C12" s="42">
        <v>0.55000000000000004</v>
      </c>
      <c r="D12" s="42">
        <v>0</v>
      </c>
      <c r="E12">
        <f t="shared" si="0"/>
        <v>155</v>
      </c>
    </row>
    <row r="13" spans="1:26" ht="15.75" customHeight="1">
      <c r="C13" s="42">
        <v>0.6</v>
      </c>
      <c r="D13" s="42">
        <v>0</v>
      </c>
      <c r="E13">
        <f t="shared" si="0"/>
        <v>160</v>
      </c>
    </row>
    <row r="14" spans="1:26" ht="15.75" customHeight="1">
      <c r="C14" s="42">
        <v>0.65</v>
      </c>
      <c r="D14" s="42">
        <v>0</v>
      </c>
      <c r="E14">
        <f t="shared" si="0"/>
        <v>165</v>
      </c>
    </row>
    <row r="15" spans="1:26" ht="15.75" customHeight="1">
      <c r="C15" s="42">
        <v>0.7</v>
      </c>
      <c r="D15" s="42">
        <v>0</v>
      </c>
      <c r="E15">
        <f t="shared" si="0"/>
        <v>170</v>
      </c>
    </row>
    <row r="16" spans="1:26" ht="15.75" customHeight="1">
      <c r="C16" s="42">
        <v>0.75</v>
      </c>
      <c r="D16" s="42">
        <v>0</v>
      </c>
      <c r="E16">
        <f t="shared" si="0"/>
        <v>175</v>
      </c>
    </row>
    <row r="17" spans="3:5" ht="15.75" customHeight="1">
      <c r="C17" s="42">
        <v>0.8</v>
      </c>
      <c r="D17" s="42">
        <v>0</v>
      </c>
      <c r="E17">
        <f t="shared" si="0"/>
        <v>180</v>
      </c>
    </row>
    <row r="18" spans="3:5" ht="15.75" customHeight="1">
      <c r="C18" s="42">
        <v>0.85</v>
      </c>
      <c r="D18" s="42">
        <v>0</v>
      </c>
      <c r="E18">
        <f t="shared" si="0"/>
        <v>185</v>
      </c>
    </row>
    <row r="19" spans="3:5" ht="15.75" customHeight="1">
      <c r="C19" s="42">
        <v>0.9</v>
      </c>
      <c r="D19" s="42">
        <v>0</v>
      </c>
      <c r="E19">
        <f t="shared" si="0"/>
        <v>190</v>
      </c>
    </row>
    <row r="20" spans="3:5" ht="15.75" customHeight="1">
      <c r="C20" s="42">
        <v>0.95</v>
      </c>
      <c r="D20" s="42">
        <v>0</v>
      </c>
      <c r="E20">
        <f t="shared" si="0"/>
        <v>195</v>
      </c>
    </row>
    <row r="21" spans="3:5" ht="15.75" customHeight="1">
      <c r="C21" s="42">
        <v>1</v>
      </c>
      <c r="D21" s="42">
        <v>0</v>
      </c>
      <c r="E21">
        <f t="shared" si="0"/>
        <v>200</v>
      </c>
    </row>
    <row r="22" spans="3:5" ht="15.75" customHeight="1">
      <c r="C22" s="42">
        <v>0.05</v>
      </c>
      <c r="D22" s="42">
        <v>0.01</v>
      </c>
      <c r="E22">
        <f t="shared" si="0"/>
        <v>106</v>
      </c>
    </row>
    <row r="23" spans="3:5" ht="15.75" customHeight="1">
      <c r="C23" s="42">
        <v>0.1</v>
      </c>
      <c r="D23" s="42">
        <v>0.01</v>
      </c>
      <c r="E23">
        <f t="shared" si="0"/>
        <v>111</v>
      </c>
    </row>
    <row r="24" spans="3:5" ht="15.75" customHeight="1">
      <c r="C24" s="42">
        <v>0.15</v>
      </c>
      <c r="D24" s="42">
        <v>0.01</v>
      </c>
      <c r="E24">
        <f t="shared" si="0"/>
        <v>116</v>
      </c>
    </row>
    <row r="25" spans="3:5" ht="15.75" customHeight="1">
      <c r="C25" s="42">
        <v>0.2</v>
      </c>
      <c r="D25" s="42">
        <v>0.01</v>
      </c>
      <c r="E25">
        <f t="shared" si="0"/>
        <v>122</v>
      </c>
    </row>
    <row r="26" spans="3:5" ht="15.75" customHeight="1">
      <c r="C26" s="42">
        <v>0.25</v>
      </c>
      <c r="D26" s="42">
        <v>0.01</v>
      </c>
      <c r="E26">
        <f t="shared" si="0"/>
        <v>127</v>
      </c>
    </row>
    <row r="27" spans="3:5" ht="15.75" customHeight="1">
      <c r="C27" s="42">
        <v>0.3</v>
      </c>
      <c r="D27" s="42">
        <v>0.01</v>
      </c>
      <c r="E27">
        <f t="shared" si="0"/>
        <v>132</v>
      </c>
    </row>
    <row r="28" spans="3:5" ht="15.75" customHeight="1">
      <c r="C28" s="42">
        <v>0.35</v>
      </c>
      <c r="D28" s="42">
        <v>0.01</v>
      </c>
      <c r="E28">
        <f t="shared" si="0"/>
        <v>137</v>
      </c>
    </row>
    <row r="29" spans="3:5" ht="15.75" customHeight="1">
      <c r="C29" s="42">
        <v>0.4</v>
      </c>
      <c r="D29" s="42">
        <v>0.01</v>
      </c>
      <c r="E29">
        <f t="shared" si="0"/>
        <v>142</v>
      </c>
    </row>
    <row r="30" spans="3:5" ht="15.75" customHeight="1">
      <c r="C30" s="42">
        <v>0.45</v>
      </c>
      <c r="D30" s="42">
        <v>0.01</v>
      </c>
      <c r="E30">
        <f t="shared" si="0"/>
        <v>147</v>
      </c>
    </row>
    <row r="31" spans="3:5" ht="15.75" customHeight="1">
      <c r="C31" s="42">
        <v>0.5</v>
      </c>
      <c r="D31" s="42">
        <v>0.01</v>
      </c>
      <c r="E31">
        <f t="shared" si="0"/>
        <v>152</v>
      </c>
    </row>
    <row r="32" spans="3:5" ht="15.75" customHeight="1">
      <c r="C32" s="42">
        <v>0.55000000000000004</v>
      </c>
      <c r="D32" s="42">
        <v>0.01</v>
      </c>
      <c r="E32">
        <f t="shared" si="0"/>
        <v>157</v>
      </c>
    </row>
    <row r="33" spans="3:5" ht="15.75" customHeight="1">
      <c r="C33" s="42">
        <v>0.6</v>
      </c>
      <c r="D33" s="42">
        <v>0.01</v>
      </c>
      <c r="E33">
        <f t="shared" si="0"/>
        <v>162</v>
      </c>
    </row>
    <row r="34" spans="3:5" ht="15.75" customHeight="1">
      <c r="C34" s="42">
        <v>0.65</v>
      </c>
      <c r="D34" s="42">
        <v>0.01</v>
      </c>
      <c r="E34">
        <f t="shared" si="0"/>
        <v>167</v>
      </c>
    </row>
    <row r="35" spans="3:5" ht="15.75" customHeight="1">
      <c r="C35" s="42">
        <v>0.7</v>
      </c>
      <c r="D35" s="42">
        <v>0.01</v>
      </c>
      <c r="E35">
        <f t="shared" si="0"/>
        <v>172</v>
      </c>
    </row>
    <row r="36" spans="3:5" ht="15.75" customHeight="1">
      <c r="C36" s="42">
        <v>0.75</v>
      </c>
      <c r="D36" s="42">
        <v>0.01</v>
      </c>
      <c r="E36">
        <f t="shared" si="0"/>
        <v>177</v>
      </c>
    </row>
    <row r="37" spans="3:5" ht="15.75" customHeight="1">
      <c r="C37" s="42">
        <v>0.8</v>
      </c>
      <c r="D37" s="42">
        <v>0.01</v>
      </c>
      <c r="E37">
        <f t="shared" si="0"/>
        <v>182</v>
      </c>
    </row>
    <row r="38" spans="3:5" ht="15.75" customHeight="1">
      <c r="C38" s="42">
        <v>0.85</v>
      </c>
      <c r="D38" s="42">
        <v>0.01</v>
      </c>
      <c r="E38">
        <f t="shared" si="0"/>
        <v>187</v>
      </c>
    </row>
    <row r="39" spans="3:5" ht="15.75" customHeight="1">
      <c r="C39" s="42">
        <v>0.9</v>
      </c>
      <c r="D39" s="42">
        <v>0.01</v>
      </c>
      <c r="E39">
        <f t="shared" si="0"/>
        <v>192</v>
      </c>
    </row>
    <row r="40" spans="3:5" ht="15.75" customHeight="1">
      <c r="C40" s="42">
        <v>0.95</v>
      </c>
      <c r="D40" s="42">
        <v>0.01</v>
      </c>
      <c r="E40">
        <f t="shared" si="0"/>
        <v>197</v>
      </c>
    </row>
    <row r="41" spans="3:5" ht="15.75" customHeight="1">
      <c r="C41" s="42">
        <v>1</v>
      </c>
      <c r="D41" s="42">
        <v>0.01</v>
      </c>
      <c r="E41">
        <f t="shared" si="0"/>
        <v>203</v>
      </c>
    </row>
    <row r="42" spans="3:5" ht="15.75" customHeight="1">
      <c r="C42" s="42">
        <v>0.05</v>
      </c>
      <c r="D42" s="42">
        <v>0.02</v>
      </c>
      <c r="E42">
        <f t="shared" si="0"/>
        <v>108</v>
      </c>
    </row>
    <row r="43" spans="3:5" ht="15.75" customHeight="1">
      <c r="C43" s="42">
        <v>0.1</v>
      </c>
      <c r="D43" s="42">
        <v>0.02</v>
      </c>
      <c r="E43">
        <f t="shared" si="0"/>
        <v>113</v>
      </c>
    </row>
    <row r="44" spans="3:5" ht="15.75" customHeight="1">
      <c r="C44" s="42">
        <v>0.15</v>
      </c>
      <c r="D44" s="42">
        <v>0.02</v>
      </c>
      <c r="E44">
        <f t="shared" si="0"/>
        <v>118</v>
      </c>
    </row>
    <row r="45" spans="3:5" ht="15.75" customHeight="1">
      <c r="C45" s="42">
        <v>0.2</v>
      </c>
      <c r="D45" s="42">
        <v>0.02</v>
      </c>
      <c r="E45">
        <f t="shared" si="0"/>
        <v>123</v>
      </c>
    </row>
    <row r="46" spans="3:5" ht="15.75" customHeight="1">
      <c r="C46" s="42">
        <v>0.25</v>
      </c>
      <c r="D46" s="42">
        <v>0.02</v>
      </c>
      <c r="E46">
        <f t="shared" si="0"/>
        <v>128</v>
      </c>
    </row>
    <row r="47" spans="3:5" ht="15.75" customHeight="1">
      <c r="C47" s="42">
        <v>0.3</v>
      </c>
      <c r="D47" s="42">
        <v>0.02</v>
      </c>
      <c r="E47">
        <f t="shared" si="0"/>
        <v>133</v>
      </c>
    </row>
    <row r="48" spans="3:5" ht="15.75" customHeight="1">
      <c r="C48" s="42">
        <v>0.35</v>
      </c>
      <c r="D48" s="42">
        <v>0.02</v>
      </c>
      <c r="E48">
        <f t="shared" si="0"/>
        <v>138</v>
      </c>
    </row>
    <row r="49" spans="3:5" ht="15.75" customHeight="1">
      <c r="C49" s="42">
        <v>0.4</v>
      </c>
      <c r="D49" s="42">
        <v>0.02</v>
      </c>
      <c r="E49">
        <f t="shared" si="0"/>
        <v>144</v>
      </c>
    </row>
    <row r="50" spans="3:5" ht="15.75" customHeight="1">
      <c r="C50" s="42">
        <v>0.45</v>
      </c>
      <c r="D50" s="42">
        <v>0.02</v>
      </c>
      <c r="E50">
        <f t="shared" si="0"/>
        <v>149</v>
      </c>
    </row>
    <row r="51" spans="3:5" ht="15.75" customHeight="1">
      <c r="C51" s="42">
        <v>0.5</v>
      </c>
      <c r="D51" s="42">
        <v>0.02</v>
      </c>
      <c r="E51">
        <f t="shared" si="0"/>
        <v>154</v>
      </c>
    </row>
    <row r="52" spans="3:5" ht="15.75" customHeight="1">
      <c r="C52" s="42">
        <v>0.55000000000000004</v>
      </c>
      <c r="D52" s="42">
        <v>0.02</v>
      </c>
      <c r="E52">
        <f t="shared" si="0"/>
        <v>159</v>
      </c>
    </row>
    <row r="53" spans="3:5" ht="15.75" customHeight="1">
      <c r="C53" s="42">
        <v>0.6</v>
      </c>
      <c r="D53" s="42">
        <v>0.02</v>
      </c>
      <c r="E53">
        <f t="shared" si="0"/>
        <v>164</v>
      </c>
    </row>
    <row r="54" spans="3:5" ht="15.75" customHeight="1">
      <c r="C54" s="42">
        <v>0.65</v>
      </c>
      <c r="D54" s="42">
        <v>0.02</v>
      </c>
      <c r="E54">
        <f t="shared" si="0"/>
        <v>169</v>
      </c>
    </row>
    <row r="55" spans="3:5" ht="13">
      <c r="C55" s="42">
        <v>0.7</v>
      </c>
      <c r="D55" s="42">
        <v>0.02</v>
      </c>
      <c r="E55">
        <f t="shared" si="0"/>
        <v>174</v>
      </c>
    </row>
    <row r="56" spans="3:5" ht="13">
      <c r="C56" s="42">
        <v>0.75</v>
      </c>
      <c r="D56" s="42">
        <v>0.02</v>
      </c>
      <c r="E56">
        <f t="shared" si="0"/>
        <v>179</v>
      </c>
    </row>
    <row r="57" spans="3:5" ht="13">
      <c r="C57" s="42">
        <v>0.8</v>
      </c>
      <c r="D57" s="42">
        <v>0.02</v>
      </c>
      <c r="E57">
        <f t="shared" si="0"/>
        <v>185</v>
      </c>
    </row>
    <row r="58" spans="3:5" ht="13">
      <c r="C58" s="42">
        <v>0.85</v>
      </c>
      <c r="D58" s="42">
        <v>0.02</v>
      </c>
      <c r="E58">
        <f t="shared" si="0"/>
        <v>190</v>
      </c>
    </row>
    <row r="59" spans="3:5" ht="13">
      <c r="C59" s="42">
        <v>0.9</v>
      </c>
      <c r="D59" s="42">
        <v>0.02</v>
      </c>
      <c r="E59">
        <f t="shared" si="0"/>
        <v>195</v>
      </c>
    </row>
    <row r="60" spans="3:5" ht="13">
      <c r="C60" s="42">
        <v>0.95</v>
      </c>
      <c r="D60" s="42">
        <v>0.02</v>
      </c>
      <c r="E60">
        <f t="shared" si="0"/>
        <v>200</v>
      </c>
    </row>
    <row r="61" spans="3:5" ht="13">
      <c r="C61" s="42">
        <v>1</v>
      </c>
      <c r="D61" s="42">
        <v>0.02</v>
      </c>
      <c r="E61">
        <f t="shared" si="0"/>
        <v>205</v>
      </c>
    </row>
  </sheetData>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KN24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75" customHeight="1"/>
  <cols>
    <col min="1" max="1" width="35.1640625" customWidth="1"/>
    <col min="2" max="2" width="35.5" customWidth="1"/>
    <col min="3" max="3" width="30.6640625" customWidth="1"/>
    <col min="4" max="4" width="31.83203125" customWidth="1"/>
    <col min="5" max="5" width="28.6640625" customWidth="1"/>
    <col min="6" max="6" width="32.5" customWidth="1"/>
    <col min="7" max="7" width="27.33203125" customWidth="1"/>
    <col min="8" max="8" width="26" customWidth="1"/>
    <col min="9" max="9" width="28.1640625" customWidth="1"/>
    <col min="10" max="10" width="28.5" customWidth="1"/>
    <col min="11" max="11" width="28.83203125" customWidth="1"/>
    <col min="12" max="12" width="30.6640625" customWidth="1"/>
    <col min="13" max="13" width="28.6640625" customWidth="1"/>
    <col min="14" max="14" width="28.5" customWidth="1"/>
    <col min="15" max="15" width="24.1640625" customWidth="1"/>
    <col min="16" max="16" width="27.1640625" customWidth="1"/>
    <col min="17" max="17" width="25" customWidth="1"/>
    <col min="18" max="18" width="25.83203125" customWidth="1"/>
    <col min="19" max="19" width="27.33203125" customWidth="1"/>
    <col min="20" max="20" width="28" customWidth="1"/>
    <col min="21" max="21" width="26" customWidth="1"/>
    <col min="22" max="22" width="30.5" customWidth="1"/>
    <col min="23" max="23" width="26.83203125" customWidth="1"/>
    <col min="24" max="24" width="24.6640625" customWidth="1"/>
    <col min="25" max="25" width="24.83203125" customWidth="1"/>
    <col min="26" max="26" width="23.5" customWidth="1"/>
    <col min="27" max="27" width="20.33203125" customWidth="1"/>
    <col min="28" max="28" width="22.6640625" customWidth="1"/>
    <col min="29" max="29" width="14.5" customWidth="1"/>
    <col min="30" max="30" width="17.33203125" customWidth="1"/>
    <col min="31" max="31" width="22.5" customWidth="1"/>
    <col min="32" max="32" width="20.5" customWidth="1"/>
    <col min="33" max="33" width="11.5" customWidth="1"/>
    <col min="34" max="34" width="16.5" customWidth="1"/>
    <col min="35" max="35" width="23.5" customWidth="1"/>
    <col min="36" max="36" width="14.6640625" customWidth="1"/>
    <col min="37" max="37" width="11.1640625" customWidth="1"/>
    <col min="38" max="38" width="17.83203125" customWidth="1"/>
    <col min="39" max="39" width="17.6640625" customWidth="1"/>
    <col min="40" max="40" width="12.33203125" customWidth="1"/>
    <col min="41" max="41" width="16" customWidth="1"/>
    <col min="42" max="42" width="10.83203125" customWidth="1"/>
    <col min="43" max="43" width="14.6640625" customWidth="1"/>
    <col min="44" max="44" width="21.6640625" customWidth="1"/>
    <col min="45" max="45" width="15.1640625" customWidth="1"/>
    <col min="46" max="46" width="16" customWidth="1"/>
    <col min="47" max="47" width="16.1640625" customWidth="1"/>
    <col min="48" max="48" width="18.1640625" customWidth="1"/>
    <col min="49" max="49" width="19.5" customWidth="1"/>
    <col min="50" max="50" width="16" customWidth="1"/>
    <col min="51" max="51" width="17.1640625" customWidth="1"/>
    <col min="52" max="52" width="18.83203125" customWidth="1"/>
    <col min="53" max="53" width="22.6640625" customWidth="1"/>
    <col min="54" max="54" width="10.1640625" customWidth="1"/>
    <col min="55" max="55" width="24.5" customWidth="1"/>
    <col min="56" max="56" width="18.83203125" customWidth="1"/>
    <col min="57" max="57" width="16.33203125" customWidth="1"/>
    <col min="58" max="58" width="19.1640625" customWidth="1"/>
    <col min="59" max="59" width="15.83203125" customWidth="1"/>
    <col min="60" max="60" width="16.83203125" customWidth="1"/>
    <col min="61" max="61" width="20.33203125" customWidth="1"/>
    <col min="62" max="62" width="20.1640625" customWidth="1"/>
    <col min="63" max="63" width="12.33203125" customWidth="1"/>
    <col min="64" max="64" width="19.5" customWidth="1"/>
    <col min="65" max="65" width="18.83203125" customWidth="1"/>
    <col min="66" max="66" width="14.5" customWidth="1"/>
    <col min="67" max="67" width="18" customWidth="1"/>
    <col min="68" max="68" width="14.6640625" customWidth="1"/>
    <col min="69" max="69" width="16.1640625" customWidth="1"/>
    <col min="70" max="70" width="22.33203125" customWidth="1"/>
    <col min="71" max="71" width="17.33203125" customWidth="1"/>
    <col min="72" max="72" width="21.6640625" customWidth="1"/>
    <col min="73" max="73" width="19.5" customWidth="1"/>
    <col min="74" max="74" width="15.33203125" customWidth="1"/>
    <col min="75" max="75" width="17" customWidth="1"/>
    <col min="76" max="76" width="17.6640625" customWidth="1"/>
    <col min="77" max="77" width="13" customWidth="1"/>
    <col min="78" max="300" width="16.33203125" customWidth="1"/>
  </cols>
  <sheetData>
    <row r="1" spans="1:300" ht="15.75" customHeight="1">
      <c r="A1" s="154" t="s">
        <v>1176</v>
      </c>
      <c r="B1" s="154" t="s">
        <v>2988</v>
      </c>
      <c r="C1" s="152"/>
      <c r="D1" s="152"/>
      <c r="E1" s="152"/>
      <c r="F1" s="152"/>
      <c r="G1" s="152"/>
      <c r="H1" s="152"/>
      <c r="I1" s="152"/>
      <c r="J1" s="152"/>
      <c r="K1" s="152"/>
      <c r="L1" s="152"/>
      <c r="M1" s="152"/>
      <c r="N1" s="152"/>
      <c r="O1" s="152"/>
      <c r="P1" s="152"/>
      <c r="Q1" s="152"/>
      <c r="R1" s="152"/>
      <c r="S1" s="152"/>
      <c r="T1" s="152"/>
      <c r="U1" s="152"/>
      <c r="V1" s="152"/>
      <c r="W1" s="152"/>
      <c r="X1" s="152"/>
      <c r="Y1" s="152"/>
      <c r="Z1" s="152"/>
      <c r="AA1" s="152"/>
      <c r="AB1" s="152"/>
      <c r="AC1" s="152"/>
      <c r="AD1" s="152"/>
      <c r="AE1" s="152"/>
      <c r="AF1" s="152"/>
      <c r="AG1" s="152"/>
      <c r="AH1" s="152"/>
      <c r="AI1" s="152"/>
      <c r="AJ1" s="152"/>
      <c r="AK1" s="152"/>
      <c r="AL1" s="152"/>
      <c r="AM1" s="152"/>
      <c r="AN1" s="152"/>
      <c r="AO1" s="152"/>
      <c r="AP1" s="152"/>
      <c r="AQ1" s="152"/>
      <c r="AR1" s="152"/>
      <c r="AS1" s="152"/>
      <c r="AT1" s="152"/>
      <c r="AU1" s="152"/>
      <c r="AV1" s="152"/>
      <c r="AW1" s="152"/>
      <c r="AX1" s="152"/>
      <c r="AY1" s="152"/>
      <c r="AZ1" s="152"/>
      <c r="BA1" s="152"/>
      <c r="BB1" s="152"/>
      <c r="BC1" s="152"/>
      <c r="BD1" s="152"/>
      <c r="BE1" s="152"/>
      <c r="BF1" s="152"/>
      <c r="BG1" s="152"/>
      <c r="BH1" s="152"/>
      <c r="BI1" s="152"/>
      <c r="BJ1" s="152"/>
      <c r="BK1" s="152"/>
      <c r="BL1" s="152"/>
      <c r="BM1" s="152"/>
      <c r="BN1" s="152"/>
      <c r="BO1" s="152"/>
      <c r="BP1" s="152"/>
      <c r="BQ1" s="152"/>
      <c r="BR1" s="152"/>
      <c r="BS1" s="152"/>
      <c r="BT1" s="152"/>
      <c r="BU1" s="152"/>
      <c r="BV1" s="152"/>
      <c r="BW1" s="152"/>
      <c r="BX1" s="152"/>
      <c r="BY1" s="152"/>
      <c r="BZ1" s="154" t="s">
        <v>2989</v>
      </c>
      <c r="CA1" s="129"/>
      <c r="CB1" s="129"/>
      <c r="CC1" s="129"/>
      <c r="CD1" s="129"/>
      <c r="CE1" s="129"/>
      <c r="CF1" s="129"/>
      <c r="CG1" s="129"/>
      <c r="CH1" s="129"/>
      <c r="CI1" s="129"/>
      <c r="CJ1" s="129"/>
      <c r="CK1" s="129"/>
      <c r="CL1" s="129"/>
      <c r="CM1" s="129"/>
      <c r="CN1" s="129"/>
      <c r="CO1" s="129"/>
      <c r="CP1" s="129"/>
      <c r="CQ1" s="129"/>
      <c r="CR1" s="129"/>
      <c r="CS1" s="129"/>
      <c r="CT1" s="129"/>
      <c r="CU1" s="129"/>
      <c r="CV1" s="129"/>
      <c r="CW1" s="129"/>
      <c r="CX1" s="129"/>
      <c r="CY1" s="129"/>
      <c r="CZ1" s="129"/>
      <c r="DA1" s="129"/>
      <c r="DB1" s="129"/>
      <c r="DC1" s="129"/>
      <c r="DD1" s="129"/>
      <c r="DE1" s="129"/>
      <c r="DF1" s="129"/>
      <c r="DG1" s="129"/>
      <c r="DH1" s="129"/>
      <c r="DI1" s="129"/>
      <c r="DJ1" s="129"/>
      <c r="DK1" s="129"/>
      <c r="DL1" s="129"/>
      <c r="DM1" s="129"/>
      <c r="DN1" s="129"/>
      <c r="DO1" s="129"/>
      <c r="DP1" s="129"/>
      <c r="DQ1" s="129"/>
      <c r="DR1" s="129"/>
      <c r="DS1" s="129"/>
      <c r="DT1" s="129"/>
      <c r="DU1" s="129"/>
      <c r="DV1" s="129"/>
      <c r="DW1" s="129"/>
      <c r="DX1" s="129"/>
      <c r="DY1" s="129"/>
      <c r="DZ1" s="129"/>
      <c r="EA1" s="129"/>
      <c r="EB1" s="129"/>
      <c r="EC1" s="129"/>
      <c r="ED1" s="129"/>
      <c r="EE1" s="129"/>
      <c r="EF1" s="129"/>
      <c r="EG1" s="129"/>
      <c r="EH1" s="129"/>
      <c r="EI1" s="129"/>
      <c r="EJ1" s="129"/>
      <c r="EK1" s="129"/>
      <c r="EL1" s="129"/>
      <c r="EM1" s="129"/>
      <c r="EN1" s="129"/>
      <c r="EO1" s="129"/>
      <c r="EP1" s="129"/>
      <c r="EQ1" s="129"/>
      <c r="ER1" s="129"/>
      <c r="ES1" s="129"/>
      <c r="ET1" s="129"/>
      <c r="EU1" s="129"/>
      <c r="EV1" s="129"/>
      <c r="EW1" s="129"/>
      <c r="EX1" s="129"/>
      <c r="EY1" s="129"/>
      <c r="EZ1" s="129"/>
      <c r="FA1" s="129"/>
      <c r="FB1" s="129"/>
      <c r="FC1" s="129"/>
      <c r="FD1" s="129"/>
      <c r="FE1" s="129"/>
      <c r="FF1" s="129"/>
      <c r="FG1" s="129"/>
      <c r="FH1" s="129"/>
      <c r="FI1" s="129"/>
      <c r="FJ1" s="129"/>
      <c r="FK1" s="129"/>
      <c r="FL1" s="129"/>
      <c r="FM1" s="129"/>
      <c r="FN1" s="129"/>
      <c r="FO1" s="129"/>
      <c r="FP1" s="129"/>
      <c r="FQ1" s="129"/>
      <c r="FR1" s="129"/>
      <c r="FS1" s="129"/>
      <c r="FT1" s="129"/>
      <c r="FU1" s="129"/>
      <c r="FV1" s="129"/>
      <c r="FW1" s="129"/>
      <c r="FX1" s="129"/>
      <c r="FY1" s="129"/>
      <c r="FZ1" s="129"/>
      <c r="GA1" s="129"/>
      <c r="GB1" s="129"/>
      <c r="GC1" s="129"/>
      <c r="GD1" s="129"/>
      <c r="GE1" s="129"/>
      <c r="GF1" s="129"/>
      <c r="GG1" s="129"/>
      <c r="GH1" s="129"/>
      <c r="GI1" s="129"/>
      <c r="GJ1" s="129"/>
      <c r="GK1" s="129"/>
      <c r="GL1" s="129"/>
      <c r="GM1" s="129"/>
      <c r="GN1" s="129"/>
      <c r="GO1" s="129"/>
      <c r="GP1" s="129"/>
      <c r="GQ1" s="129"/>
      <c r="GR1" s="129"/>
      <c r="GS1" s="129"/>
      <c r="GT1" s="129"/>
      <c r="GU1" s="129"/>
      <c r="GV1" s="129"/>
      <c r="GW1" s="129"/>
      <c r="GX1" s="129"/>
      <c r="GY1" s="129"/>
      <c r="GZ1" s="129"/>
      <c r="HA1" s="129"/>
      <c r="HB1" s="129"/>
      <c r="HC1" s="129"/>
      <c r="HD1" s="129"/>
      <c r="HE1" s="129"/>
      <c r="HF1" s="129"/>
      <c r="HG1" s="129"/>
      <c r="HH1" s="129"/>
      <c r="HI1" s="129"/>
      <c r="HJ1" s="129"/>
      <c r="HK1" s="129"/>
      <c r="HL1" s="129"/>
      <c r="HM1" s="129"/>
      <c r="HN1" s="129"/>
      <c r="HO1" s="129"/>
      <c r="HP1" s="129"/>
      <c r="HQ1" s="129"/>
      <c r="HR1" s="129"/>
      <c r="HS1" s="129"/>
      <c r="HT1" s="129"/>
      <c r="HU1" s="129"/>
      <c r="HV1" s="129"/>
      <c r="HW1" s="129"/>
      <c r="HX1" s="129"/>
      <c r="HY1" s="129"/>
      <c r="HZ1" s="129"/>
      <c r="IA1" s="129"/>
      <c r="IB1" s="129"/>
      <c r="IC1" s="129"/>
      <c r="ID1" s="129"/>
      <c r="IE1" s="129"/>
      <c r="IF1" s="129"/>
      <c r="IG1" s="129"/>
      <c r="IH1" s="129"/>
      <c r="II1" s="129"/>
      <c r="IJ1" s="129"/>
      <c r="IK1" s="129"/>
      <c r="IL1" s="129"/>
      <c r="IM1" s="129"/>
      <c r="IN1" s="129"/>
      <c r="IO1" s="129"/>
      <c r="IP1" s="129"/>
      <c r="IQ1" s="129"/>
      <c r="IR1" s="129"/>
      <c r="IS1" s="129"/>
      <c r="IT1" s="129"/>
      <c r="IU1" s="129"/>
      <c r="IV1" s="129"/>
      <c r="IW1" s="129"/>
      <c r="IX1" s="129"/>
      <c r="IY1" s="129"/>
      <c r="IZ1" s="129"/>
      <c r="JA1" s="129"/>
      <c r="JB1" s="129"/>
      <c r="JC1" s="129"/>
      <c r="JD1" s="129"/>
      <c r="JE1" s="129"/>
      <c r="JF1" s="129"/>
      <c r="JG1" s="129"/>
      <c r="JH1" s="129"/>
      <c r="JI1" s="129"/>
      <c r="JJ1" s="129"/>
      <c r="JK1" s="129"/>
      <c r="JL1" s="129"/>
      <c r="JM1" s="129"/>
      <c r="JN1" s="129"/>
      <c r="JO1" s="129"/>
      <c r="JP1" s="129"/>
      <c r="JQ1" s="129"/>
      <c r="JR1" s="129"/>
      <c r="JS1" s="129"/>
      <c r="JT1" s="129"/>
      <c r="JU1" s="129"/>
      <c r="JV1" s="129"/>
      <c r="JW1" s="129"/>
      <c r="JX1" s="129"/>
      <c r="JY1" s="129"/>
      <c r="JZ1" s="129"/>
      <c r="KA1" s="129"/>
      <c r="KB1" s="129"/>
      <c r="KC1" s="129"/>
      <c r="KD1" s="129"/>
      <c r="KE1" s="129"/>
      <c r="KF1" s="129"/>
      <c r="KG1" s="129"/>
      <c r="KH1" s="129"/>
      <c r="KI1" s="129"/>
      <c r="KJ1" s="129"/>
      <c r="KK1" s="129"/>
      <c r="KL1" s="129"/>
      <c r="KM1" s="129"/>
      <c r="KN1" s="129"/>
    </row>
    <row r="2" spans="1:300" ht="15.75" customHeight="1">
      <c r="A2" s="152" t="str">
        <f ca="1">IFERROR(__xludf.DUMMYFUNCTION("sort(unique({filter(Recipes!L2:L2490, len(Recipes!L2:L2490)); filter(Recipes!O2:O2490, len(Recipes!O2:O2490)); filter(Recipes!R2:R2490, len(Recipes!R2:R2490)); filter(Recipes!U2:U2490, len(Recipes!U2:U2490)); filter(Recipes!X2:X2490, len(Recipes!X2:X2490)"&amp;")}))"),"[Air Skillbook]")</f>
        <v>[Air Skillbook]</v>
      </c>
      <c r="B2" s="47" t="str">
        <f ca="1">IFERROR(__xludf.DUMMYFUNCTION("TRANSPOSE(unique(filter(Recipes!A$2:A2490,(Recipes!L$2:L2490=A2)+(Recipes!O$2:O2490=A2)+(Recipes!R$2:R2490=A2)+(Recipes!U$2:U2490=A2)+(Recipes!X$2:X2490=A2))))"),"Blessed Smoke Cloud Skillbook")</f>
        <v>Blessed Smoke Cloud Skillbook</v>
      </c>
      <c r="C2" s="47" t="str">
        <f ca="1">IFERROR(__xludf.DUMMYFUNCTION("""COMPUTED_VALUE"""),"Breathing Bubble Skillbook")</f>
        <v>Breathing Bubble Skillbook</v>
      </c>
      <c r="D2" s="47" t="str">
        <f ca="1">IFERROR(__xludf.DUMMYFUNCTION("""COMPUTED_VALUE"""),"Cursed Electric Infusion Skillbook")</f>
        <v>Cursed Electric Infusion Skillbook</v>
      </c>
      <c r="E2" s="47" t="str">
        <f ca="1">IFERROR(__xludf.DUMMYFUNCTION("""COMPUTED_VALUE"""),"Electric Infusion Skillbook")</f>
        <v>Electric Infusion Skillbook</v>
      </c>
      <c r="F2" s="47" t="str">
        <f ca="1">IFERROR(__xludf.DUMMYFUNCTION("""COMPUTED_VALUE"""),"Jellyfish Skin Skillbook")</f>
        <v>Jellyfish Skin Skillbook</v>
      </c>
      <c r="G2" s="47" t="str">
        <f ca="1">IFERROR(__xludf.DUMMYFUNCTION("""COMPUTED_VALUE"""),"Mass Breathing Bubbles Skillbook")</f>
        <v>Mass Breathing Bubbles Skillbook</v>
      </c>
      <c r="H2" s="47" t="str">
        <f ca="1">IFERROR(__xludf.DUMMYFUNCTION("""COMPUTED_VALUE"""),"Smoke Cover Skillbook")</f>
        <v>Smoke Cover Skillbook</v>
      </c>
      <c r="I2" s="47" t="str">
        <f ca="1">IFERROR(__xludf.DUMMYFUNCTION("""COMPUTED_VALUE"""),"Vacuum Aura Skillbook")</f>
        <v>Vacuum Aura Skillbook</v>
      </c>
      <c r="J2" s="47" t="str">
        <f ca="1">IFERROR(__xludf.DUMMYFUNCTION("""COMPUTED_VALUE"""),"Vacuum Touch Skillbook")</f>
        <v>Vacuum Touch Skillbook</v>
      </c>
      <c r="K2" s="47" t="str">
        <f ca="1">IFERROR(__xludf.DUMMYFUNCTION("""COMPUTED_VALUE"""),"Vaporize Skillbook")</f>
        <v>Vaporize Skillbook</v>
      </c>
      <c r="L2" s="47" t="str">
        <f ca="1">IFERROR(__xludf.DUMMYFUNCTION("""COMPUTED_VALUE"""),"Windwalker Skillbook")</f>
        <v>Windwalker Skillbook</v>
      </c>
      <c r="M2" s="47"/>
      <c r="N2" s="47"/>
      <c r="O2" s="47"/>
      <c r="P2" s="47"/>
      <c r="Q2" s="47"/>
      <c r="R2" s="47"/>
      <c r="S2" s="47"/>
      <c r="T2" s="47"/>
      <c r="U2" s="47"/>
      <c r="V2" s="47"/>
      <c r="W2" s="47"/>
      <c r="X2" s="47"/>
      <c r="Y2" s="47"/>
      <c r="Z2" s="47"/>
      <c r="AA2" s="47"/>
      <c r="AB2" s="47"/>
      <c r="AC2" s="47"/>
      <c r="AD2" s="47"/>
      <c r="AE2" s="47"/>
      <c r="AF2" s="47"/>
      <c r="AG2" s="47"/>
      <c r="AH2" s="47"/>
      <c r="AI2" s="47"/>
      <c r="AJ2" s="47"/>
      <c r="AK2" s="47"/>
      <c r="AL2" s="47"/>
      <c r="AM2" s="47"/>
      <c r="AN2" s="47"/>
      <c r="AO2" s="47"/>
      <c r="AP2" s="47"/>
      <c r="AQ2" s="47"/>
      <c r="AR2" s="47"/>
      <c r="AS2" s="47"/>
      <c r="AT2" s="47"/>
      <c r="AU2" s="47"/>
      <c r="AV2" s="47"/>
      <c r="AW2" s="47"/>
      <c r="AX2" s="47"/>
      <c r="AY2" s="47"/>
      <c r="AZ2" s="47"/>
      <c r="BA2" s="47"/>
      <c r="BB2" s="47"/>
      <c r="BC2" s="47"/>
      <c r="BD2" s="47"/>
      <c r="BE2" s="47"/>
      <c r="BF2" s="47"/>
      <c r="BG2" s="47"/>
      <c r="BH2" s="47"/>
      <c r="BI2" s="47"/>
      <c r="BJ2" s="47"/>
      <c r="BK2" s="47"/>
      <c r="BL2" s="47"/>
      <c r="BM2" s="47"/>
      <c r="BN2" s="47"/>
      <c r="BO2" s="47"/>
      <c r="BP2" s="47"/>
      <c r="BQ2" s="47"/>
      <c r="BR2" s="47"/>
      <c r="BS2" s="47"/>
      <c r="BT2" s="47"/>
      <c r="BU2" s="47"/>
      <c r="BV2" s="47"/>
      <c r="BW2" s="47"/>
      <c r="BX2" s="47"/>
      <c r="BY2" s="47"/>
      <c r="BZ2" s="47"/>
    </row>
    <row r="3" spans="1:300" ht="15.75" customHeight="1">
      <c r="A3" s="154" t="str">
        <f ca="1">IFERROR(__xludf.DUMMYFUNCTION("""COMPUTED_VALUE"""),"[Air Source Skillbook]")</f>
        <v>[Air Source Skillbook]</v>
      </c>
      <c r="B3" s="47" t="str">
        <f ca="1">IFERROR(__xludf.DUMMYFUNCTION("TRANSPOSE(unique(filter(Recipes!A$2:A2490,(Recipes!L$2:L2490=A3)+(Recipes!O$2:O2490=A3)+(Recipes!R$2:R2490=A3)+(Recipes!U$2:U2490=A3)+(Recipes!X$2:X2490=A3))))"),"Blessed Smoke Cloud Skillbook")</f>
        <v>Blessed Smoke Cloud Skillbook</v>
      </c>
      <c r="C3" s="47" t="str">
        <f ca="1">IFERROR(__xludf.DUMMYFUNCTION("""COMPUTED_VALUE"""),"Cursed Electric Infusion Skillbook")</f>
        <v>Cursed Electric Infusion Skillbook</v>
      </c>
      <c r="D3" s="47" t="str">
        <f ca="1">IFERROR(__xludf.DUMMYFUNCTION("""COMPUTED_VALUE"""),"Jellyfish Skin Skillbook")</f>
        <v>Jellyfish Skin Skillbook</v>
      </c>
      <c r="E3" s="47" t="str">
        <f ca="1">IFERROR(__xludf.DUMMYFUNCTION("""COMPUTED_VALUE"""),"Mass Breathing Bubbles Skillbook")</f>
        <v>Mass Breathing Bubbles Skillbook</v>
      </c>
      <c r="F3" s="47" t="str">
        <f ca="1">IFERROR(__xludf.DUMMYFUNCTION("""COMPUTED_VALUE"""),"Uncanny Evasion Skillbook")</f>
        <v>Uncanny Evasion Skillbook</v>
      </c>
      <c r="G3" s="47" t="str">
        <f ca="1">IFERROR(__xludf.DUMMYFUNCTION("""COMPUTED_VALUE"""),"Vacuum Aura Skillbook")</f>
        <v>Vacuum Aura Skillbook</v>
      </c>
      <c r="H3" s="47"/>
      <c r="I3" s="47"/>
      <c r="J3" s="47"/>
      <c r="K3" s="47"/>
      <c r="L3" s="47"/>
      <c r="M3" s="47"/>
      <c r="N3" s="47"/>
      <c r="O3" s="47"/>
      <c r="P3" s="47"/>
      <c r="Q3" s="47"/>
      <c r="R3" s="47"/>
      <c r="S3" s="47"/>
      <c r="T3" s="47"/>
      <c r="U3" s="47"/>
      <c r="V3" s="47"/>
      <c r="W3" s="47"/>
      <c r="X3" s="47"/>
      <c r="Y3" s="47"/>
      <c r="Z3" s="47"/>
      <c r="AA3" s="47"/>
      <c r="AB3" s="47"/>
      <c r="AC3" s="47"/>
      <c r="AD3" s="47"/>
      <c r="AE3" s="47"/>
      <c r="AF3" s="47"/>
      <c r="AG3" s="47"/>
      <c r="AH3" s="47"/>
      <c r="AI3" s="47"/>
      <c r="AJ3" s="47"/>
      <c r="AK3" s="47"/>
      <c r="AL3" s="47"/>
      <c r="AM3" s="47"/>
      <c r="AN3" s="47"/>
      <c r="AO3" s="47"/>
      <c r="AP3" s="47"/>
      <c r="AQ3" s="47"/>
      <c r="AR3" s="47"/>
      <c r="AS3" s="47"/>
      <c r="AT3" s="47"/>
      <c r="AU3" s="47"/>
      <c r="AV3" s="47"/>
      <c r="AW3" s="47"/>
      <c r="AX3" s="47"/>
      <c r="AY3" s="47"/>
      <c r="AZ3" s="47"/>
      <c r="BA3" s="47"/>
      <c r="BB3" s="47"/>
      <c r="BC3" s="47"/>
      <c r="BD3" s="47"/>
      <c r="BE3" s="47"/>
      <c r="BF3" s="47"/>
      <c r="BG3" s="47"/>
      <c r="BH3" s="47"/>
      <c r="BI3" s="47"/>
      <c r="BJ3" s="47"/>
      <c r="BK3" s="47"/>
      <c r="BL3" s="47"/>
      <c r="BM3" s="47"/>
      <c r="BN3" s="47"/>
      <c r="BO3" s="47"/>
      <c r="BP3" s="47"/>
      <c r="BQ3" s="47"/>
      <c r="BR3" s="47"/>
      <c r="BS3" s="47"/>
      <c r="BT3" s="47"/>
      <c r="BU3" s="47"/>
      <c r="BV3" s="47"/>
      <c r="BW3" s="47"/>
      <c r="BX3" s="47"/>
      <c r="BY3" s="47"/>
      <c r="BZ3" s="47"/>
    </row>
    <row r="4" spans="1:300" ht="15.75" customHeight="1">
      <c r="A4" s="152" t="str">
        <f ca="1">IFERROR(__xludf.DUMMYFUNCTION("""COMPUTED_VALUE"""),"[Earth Skillbook]")</f>
        <v>[Earth Skillbook]</v>
      </c>
      <c r="B4" s="47" t="str">
        <f ca="1">IFERROR(__xludf.DUMMYFUNCTION("TRANSPOSE(unique(filter(Recipes!A$2:A2490,(Recipes!L$2:L2490=A4)+(Recipes!O$2:O2490=A4)+(Recipes!R$2:R2490=A4)+(Recipes!U$2:U2490=A4)+(Recipes!X$2:X2490=A4))))"),"Acid Infusion Skillbook")</f>
        <v>Acid Infusion Skillbook</v>
      </c>
      <c r="C4" s="47" t="str">
        <f ca="1">IFERROR(__xludf.DUMMYFUNCTION("""COMPUTED_VALUE"""),"Corrosive Spray Skillbook")</f>
        <v>Corrosive Spray Skillbook</v>
      </c>
      <c r="D4" s="47" t="str">
        <f ca="1">IFERROR(__xludf.DUMMYFUNCTION("""COMPUTED_VALUE"""),"Dust Blast Skillbook")</f>
        <v>Dust Blast Skillbook</v>
      </c>
      <c r="E4" s="47" t="str">
        <f ca="1">IFERROR(__xludf.DUMMYFUNCTION("""COMPUTED_VALUE"""),"Mass Oily Carapace Skillbook")</f>
        <v>Mass Oily Carapace Skillbook</v>
      </c>
      <c r="F4" s="47" t="str">
        <f ca="1">IFERROR(__xludf.DUMMYFUNCTION("""COMPUTED_VALUE"""),"Oily Carapace Skillbook")</f>
        <v>Oily Carapace Skillbook</v>
      </c>
      <c r="G4" s="47" t="str">
        <f ca="1">IFERROR(__xludf.DUMMYFUNCTION("""COMPUTED_VALUE"""),"Poison Infusion Skillbook")</f>
        <v>Poison Infusion Skillbook</v>
      </c>
      <c r="H4" s="47" t="str">
        <f ca="1">IFERROR(__xludf.DUMMYFUNCTION("""COMPUTED_VALUE"""),"Poisonous Skin Skillbook")</f>
        <v>Poisonous Skin Skillbook</v>
      </c>
      <c r="I4" s="47" t="str">
        <f ca="1">IFERROR(__xludf.DUMMYFUNCTION("""COMPUTED_VALUE"""),"Throw Dust Skillbook")</f>
        <v>Throw Dust Skillbook</v>
      </c>
      <c r="J4" s="47" t="str">
        <f ca="1">IFERROR(__xludf.DUMMYFUNCTION("""COMPUTED_VALUE"""),"Turn To Oil Skillbook")</f>
        <v>Turn To Oil Skillbook</v>
      </c>
      <c r="K4" s="47" t="str">
        <f ca="1">IFERROR(__xludf.DUMMYFUNCTION("""COMPUTED_VALUE"""),"Venom Coating Skillbook")</f>
        <v>Venom Coating Skillbook</v>
      </c>
      <c r="L4" s="47" t="str">
        <f ca="1">IFERROR(__xludf.DUMMYFUNCTION("""COMPUTED_VALUE"""),"Venomous Aura Skillbook")</f>
        <v>Venomous Aura Skillbook</v>
      </c>
      <c r="M4" s="47"/>
      <c r="N4" s="47"/>
      <c r="O4" s="47"/>
      <c r="P4" s="47"/>
      <c r="Q4" s="47"/>
      <c r="R4" s="47"/>
      <c r="S4" s="47"/>
      <c r="T4" s="47"/>
      <c r="U4" s="47"/>
      <c r="V4" s="47"/>
      <c r="W4" s="47"/>
      <c r="X4" s="47"/>
      <c r="Y4" s="47"/>
      <c r="Z4" s="47"/>
      <c r="AA4" s="47"/>
      <c r="AB4" s="47"/>
      <c r="AC4" s="47"/>
      <c r="AD4" s="47"/>
      <c r="AE4" s="47"/>
      <c r="AF4" s="47"/>
      <c r="AG4" s="47"/>
      <c r="AH4" s="47"/>
      <c r="AI4" s="47"/>
      <c r="AJ4" s="47"/>
      <c r="AK4" s="47"/>
      <c r="AL4" s="47"/>
      <c r="AM4" s="47"/>
      <c r="AN4" s="47"/>
      <c r="AO4" s="47"/>
      <c r="AP4" s="47"/>
      <c r="AQ4" s="47"/>
      <c r="AR4" s="47"/>
      <c r="AS4" s="47"/>
      <c r="AT4" s="47"/>
      <c r="AU4" s="47"/>
      <c r="AV4" s="47"/>
      <c r="AW4" s="47"/>
      <c r="AX4" s="47"/>
      <c r="AY4" s="47"/>
      <c r="AZ4" s="47"/>
      <c r="BA4" s="47"/>
      <c r="BB4" s="47"/>
      <c r="BC4" s="47"/>
      <c r="BD4" s="47"/>
      <c r="BE4" s="47"/>
      <c r="BF4" s="47"/>
      <c r="BG4" s="47"/>
      <c r="BH4" s="47"/>
      <c r="BI4" s="47"/>
      <c r="BJ4" s="47"/>
      <c r="BK4" s="47"/>
      <c r="BL4" s="47"/>
      <c r="BM4" s="47"/>
      <c r="BN4" s="47"/>
      <c r="BO4" s="47"/>
      <c r="BP4" s="47"/>
      <c r="BQ4" s="47"/>
      <c r="BR4" s="47"/>
      <c r="BS4" s="47"/>
      <c r="BT4" s="47"/>
      <c r="BU4" s="47"/>
      <c r="BV4" s="47"/>
      <c r="BW4" s="47"/>
      <c r="BX4" s="47"/>
      <c r="BY4" s="47"/>
      <c r="BZ4" s="47"/>
    </row>
    <row r="5" spans="1:300" ht="15.75" customHeight="1">
      <c r="A5" s="152" t="str">
        <f ca="1">IFERROR(__xludf.DUMMYFUNCTION("""COMPUTED_VALUE"""),"[Earth Source Skillbook]")</f>
        <v>[Earth Source Skillbook]</v>
      </c>
      <c r="B5" s="47" t="str">
        <f ca="1">IFERROR(__xludf.DUMMYFUNCTION("TRANSPOSE(unique(filter(Recipes!A$2:A2490,(Recipes!L$2:L2490=A5)+(Recipes!O$2:O2490=A5)+(Recipes!R$2:R2490=A5)+(Recipes!U$2:U2490=A5)+(Recipes!X$2:X2490=A5))))"),"Acid Infusion Skillbook")</f>
        <v>Acid Infusion Skillbook</v>
      </c>
      <c r="C5" s="47" t="str">
        <f ca="1">IFERROR(__xludf.DUMMYFUNCTION("""COMPUTED_VALUE"""),"Corrosive Spray Skillbook")</f>
        <v>Corrosive Spray Skillbook</v>
      </c>
      <c r="D5" s="47" t="str">
        <f ca="1">IFERROR(__xludf.DUMMYFUNCTION("""COMPUTED_VALUE"""),"Dust Blast Skillbook")</f>
        <v>Dust Blast Skillbook</v>
      </c>
      <c r="E5" s="47" t="str">
        <f ca="1">IFERROR(__xludf.DUMMYFUNCTION("""COMPUTED_VALUE"""),"Mass Oily Carapace Skillbook")</f>
        <v>Mass Oily Carapace Skillbook</v>
      </c>
      <c r="F5" s="47" t="str">
        <f ca="1">IFERROR(__xludf.DUMMYFUNCTION("""COMPUTED_VALUE"""),"Poisonous Skin Skillbook")</f>
        <v>Poisonous Skin Skillbook</v>
      </c>
      <c r="G5" s="47" t="str">
        <f ca="1">IFERROR(__xludf.DUMMYFUNCTION("""COMPUTED_VALUE"""),"Venomous Aura Skillbook")</f>
        <v>Venomous Aura Skillbook</v>
      </c>
      <c r="H5" s="47"/>
      <c r="I5" s="47"/>
      <c r="J5" s="47"/>
      <c r="K5" s="47"/>
      <c r="L5" s="47"/>
      <c r="M5" s="47"/>
      <c r="N5" s="47"/>
      <c r="O5" s="47"/>
      <c r="P5" s="47"/>
      <c r="Q5" s="47"/>
      <c r="R5" s="47"/>
      <c r="S5" s="47"/>
      <c r="T5" s="47"/>
      <c r="U5" s="47"/>
      <c r="V5" s="47"/>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7"/>
      <c r="BD5" s="47"/>
      <c r="BE5" s="47"/>
      <c r="BF5" s="47"/>
      <c r="BG5" s="47"/>
      <c r="BH5" s="47"/>
      <c r="BI5" s="47"/>
      <c r="BJ5" s="47"/>
      <c r="BK5" s="47"/>
      <c r="BL5" s="47"/>
      <c r="BM5" s="47"/>
      <c r="BN5" s="47"/>
      <c r="BO5" s="47"/>
      <c r="BP5" s="47"/>
      <c r="BQ5" s="47"/>
      <c r="BR5" s="47"/>
      <c r="BS5" s="47"/>
      <c r="BT5" s="47"/>
      <c r="BU5" s="47"/>
      <c r="BV5" s="47"/>
      <c r="BW5" s="47"/>
      <c r="BX5" s="47"/>
      <c r="BY5" s="47"/>
      <c r="BZ5" s="47"/>
    </row>
    <row r="6" spans="1:300" ht="15.75" customHeight="1">
      <c r="A6" s="152" t="str">
        <f ca="1">IFERROR(__xludf.DUMMYFUNCTION("""COMPUTED_VALUE"""),"[Fire Skillbook]")</f>
        <v>[Fire Skillbook]</v>
      </c>
      <c r="B6" s="47" t="str">
        <f ca="1">IFERROR(__xludf.DUMMYFUNCTION("TRANSPOSE(unique(filter(Recipes!A$2:A2490,(Recipes!L$2:L2490=A6)+(Recipes!O$2:O2490=A6)+(Recipes!R$2:R2490=A6)+(Recipes!U$2:U2490=A6)+(Recipes!X$2:X2490=A6))))"),"Bleed Fire Skillbook")</f>
        <v>Bleed Fire Skillbook</v>
      </c>
      <c r="C6" s="47" t="str">
        <f ca="1">IFERROR(__xludf.DUMMYFUNCTION("""COMPUTED_VALUE"""),"Corpse Explosion Skillbook")</f>
        <v>Corpse Explosion Skillbook</v>
      </c>
      <c r="D6" s="47" t="str">
        <f ca="1">IFERROR(__xludf.DUMMYFUNCTION("""COMPUTED_VALUE"""),"Deploy Mass Traps Skillbook")</f>
        <v>Deploy Mass Traps Skillbook</v>
      </c>
      <c r="E6" s="47" t="str">
        <f ca="1">IFERROR(__xludf.DUMMYFUNCTION("""COMPUTED_VALUE"""),"Explosive Trap Skillbook")</f>
        <v>Explosive Trap Skillbook</v>
      </c>
      <c r="F6" s="47" t="str">
        <f ca="1">IFERROR(__xludf.DUMMYFUNCTION("""COMPUTED_VALUE"""),"Fire Infusion Skillbook")</f>
        <v>Fire Infusion Skillbook</v>
      </c>
      <c r="G6" s="47" t="str">
        <f ca="1">IFERROR(__xludf.DUMMYFUNCTION("""COMPUTED_VALUE"""),"Flaming Skin Skillbook")</f>
        <v>Flaming Skin Skillbook</v>
      </c>
      <c r="H6" s="47" t="str">
        <f ca="1">IFERROR(__xludf.DUMMYFUNCTION("""COMPUTED_VALUE"""),"Mass Corpse Explosion Skillbook")</f>
        <v>Mass Corpse Explosion Skillbook</v>
      </c>
      <c r="I6" s="47" t="str">
        <f ca="1">IFERROR(__xludf.DUMMYFUNCTION("""COMPUTED_VALUE"""),"Mass Sabotage Skillbook")</f>
        <v>Mass Sabotage Skillbook</v>
      </c>
      <c r="J6" s="47" t="str">
        <f ca="1">IFERROR(__xludf.DUMMYFUNCTION("""COMPUTED_VALUE"""),"Master of Sparks Skillbook")</f>
        <v>Master of Sparks Skillbook</v>
      </c>
      <c r="K6" s="47" t="str">
        <f ca="1">IFERROR(__xludf.DUMMYFUNCTION("""COMPUTED_VALUE"""),"Necrofire Infusion Skillbook")</f>
        <v>Necrofire Infusion Skillbook</v>
      </c>
      <c r="L6" s="47" t="str">
        <f ca="1">IFERROR(__xludf.DUMMYFUNCTION("""COMPUTED_VALUE"""),"Sabotage Skillbook")</f>
        <v>Sabotage Skillbook</v>
      </c>
      <c r="M6" s="47" t="str">
        <f ca="1">IFERROR(__xludf.DUMMYFUNCTION("""COMPUTED_VALUE"""),"Sparking Swings Skillbook")</f>
        <v>Sparking Swings Skillbook</v>
      </c>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row>
    <row r="7" spans="1:300" ht="15.75" customHeight="1">
      <c r="A7" s="152" t="str">
        <f ca="1">IFERROR(__xludf.DUMMYFUNCTION("""COMPUTED_VALUE"""),"[Fire Source Skillbook]")</f>
        <v>[Fire Source Skillbook]</v>
      </c>
      <c r="B7" s="47" t="str">
        <f ca="1">IFERROR(__xludf.DUMMYFUNCTION("TRANSPOSE(unique(filter(Recipes!A$2:A2490,(Recipes!L$2:L2490=A7)+(Recipes!O$2:O2490=A7)+(Recipes!R$2:R2490=A7)+(Recipes!U$2:U2490=A7)+(Recipes!X$2:X2490=A7))))"),"Deploy Mass Traps Skillbook")</f>
        <v>Deploy Mass Traps Skillbook</v>
      </c>
      <c r="C7" s="47" t="str">
        <f ca="1">IFERROR(__xludf.DUMMYFUNCTION("""COMPUTED_VALUE"""),"Flaming Skin Skillbook")</f>
        <v>Flaming Skin Skillbook</v>
      </c>
      <c r="D7" s="47" t="str">
        <f ca="1">IFERROR(__xludf.DUMMYFUNCTION("""COMPUTED_VALUE"""),"Mass Corpse Explosion Skillbook")</f>
        <v>Mass Corpse Explosion Skillbook</v>
      </c>
      <c r="E7" s="47" t="str">
        <f ca="1">IFERROR(__xludf.DUMMYFUNCTION("""COMPUTED_VALUE"""),"Mass Sabotage Skillbook")</f>
        <v>Mass Sabotage Skillbook</v>
      </c>
      <c r="F7" s="47" t="str">
        <f ca="1">IFERROR(__xludf.DUMMYFUNCTION("""COMPUTED_VALUE"""),"Master of Sparks Skillbook")</f>
        <v>Master of Sparks Skillbook</v>
      </c>
      <c r="G7" s="47" t="str">
        <f ca="1">IFERROR(__xludf.DUMMYFUNCTION("""COMPUTED_VALUE"""),"Necrofire Infusion Skillbook")</f>
        <v>Necrofire Infusion Skillbook</v>
      </c>
      <c r="H7" s="47"/>
      <c r="I7" s="47"/>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row>
    <row r="8" spans="1:300" ht="15.75" customHeight="1">
      <c r="A8" s="152" t="str">
        <f ca="1">IFERROR(__xludf.DUMMYFUNCTION("""COMPUTED_VALUE"""),"[Huntsman Skillbook]")</f>
        <v>[Huntsman Skillbook]</v>
      </c>
      <c r="B8" s="47" t="str">
        <f ca="1">IFERROR(__xludf.DUMMYFUNCTION("TRANSPOSE(unique(filter(Recipes!A$2:A2490,(Recipes!L$2:L2490=A8)+(Recipes!O$2:O2490=A8)+(Recipes!R$2:R2490=A8)+(Recipes!U$2:U2490=A8)+(Recipes!X$2:X2490=A8))))"),"Cryotherapy Skillbook")</f>
        <v>Cryotherapy Skillbook</v>
      </c>
      <c r="C8" s="47" t="str">
        <f ca="1">IFERROR(__xludf.DUMMYFUNCTION("""COMPUTED_VALUE"""),"Deploy Mass Traps Skillbook")</f>
        <v>Deploy Mass Traps Skillbook</v>
      </c>
      <c r="D8" s="47" t="str">
        <f ca="1">IFERROR(__xludf.DUMMYFUNCTION("""COMPUTED_VALUE"""),"Dust Blast Skillbook")</f>
        <v>Dust Blast Skillbook</v>
      </c>
      <c r="E8" s="47" t="str">
        <f ca="1">IFERROR(__xludf.DUMMYFUNCTION("""COMPUTED_VALUE"""),"Explosive Trap Skillbook")</f>
        <v>Explosive Trap Skillbook</v>
      </c>
      <c r="F8" s="47" t="str">
        <f ca="1">IFERROR(__xludf.DUMMYFUNCTION("""COMPUTED_VALUE"""),"Mass Cryotherapy Skillbook")</f>
        <v>Mass Cryotherapy Skillbook</v>
      </c>
      <c r="G8" s="47" t="str">
        <f ca="1">IFERROR(__xludf.DUMMYFUNCTION("""COMPUTED_VALUE"""),"Throw Dust Skillbook")</f>
        <v>Throw Dust Skillbook</v>
      </c>
      <c r="H8" s="47" t="str">
        <f ca="1">IFERROR(__xludf.DUMMYFUNCTION("""COMPUTED_VALUE"""),"Uncanny Evasion Skillbook")</f>
        <v>Uncanny Evasion Skillbook</v>
      </c>
      <c r="I8" s="47" t="str">
        <f ca="1">IFERROR(__xludf.DUMMYFUNCTION("""COMPUTED_VALUE"""),"Windwalker Skillbook")</f>
        <v>Windwalker Skillbook</v>
      </c>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47"/>
      <c r="BO8" s="47"/>
      <c r="BP8" s="47"/>
      <c r="BQ8" s="47"/>
      <c r="BR8" s="47"/>
      <c r="BS8" s="47"/>
      <c r="BT8" s="47"/>
      <c r="BU8" s="47"/>
      <c r="BV8" s="47"/>
      <c r="BW8" s="47"/>
      <c r="BX8" s="47"/>
      <c r="BY8" s="47"/>
      <c r="BZ8" s="47"/>
    </row>
    <row r="9" spans="1:300" ht="15.75" customHeight="1">
      <c r="A9" s="152" t="str">
        <f ca="1">IFERROR(__xludf.DUMMYFUNCTION("""COMPUTED_VALUE"""),"[Huntsman Source Skillbook]")</f>
        <v>[Huntsman Source Skillbook]</v>
      </c>
      <c r="B9" s="47" t="str">
        <f ca="1">IFERROR(__xludf.DUMMYFUNCTION("TRANSPOSE(unique(filter(Recipes!A$2:A2490,(Recipes!L$2:L2490=A9)+(Recipes!O$2:O2490=A9)+(Recipes!R$2:R2490=A9)+(Recipes!U$2:U2490=A9)+(Recipes!X$2:X2490=A9))))"),"Deploy Mass Traps Skillbook")</f>
        <v>Deploy Mass Traps Skillbook</v>
      </c>
      <c r="C9" s="47" t="str">
        <f ca="1">IFERROR(__xludf.DUMMYFUNCTION("""COMPUTED_VALUE"""),"Dust Blast Skillbook")</f>
        <v>Dust Blast Skillbook</v>
      </c>
      <c r="D9" s="47" t="str">
        <f ca="1">IFERROR(__xludf.DUMMYFUNCTION("""COMPUTED_VALUE"""),"Mass Cryotherapy Skillbook")</f>
        <v>Mass Cryotherapy Skillbook</v>
      </c>
      <c r="E9" s="47" t="str">
        <f ca="1">IFERROR(__xludf.DUMMYFUNCTION("""COMPUTED_VALUE"""),"Uncanny Evasion Skillbook")</f>
        <v>Uncanny Evasion Skillbook</v>
      </c>
      <c r="F9" s="47"/>
      <c r="G9" s="47"/>
      <c r="H9" s="47"/>
      <c r="I9" s="47"/>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7"/>
      <c r="BD9" s="47"/>
      <c r="BE9" s="47"/>
      <c r="BF9" s="47"/>
      <c r="BG9" s="47"/>
      <c r="BH9" s="47"/>
      <c r="BI9" s="47"/>
      <c r="BJ9" s="47"/>
      <c r="BK9" s="47"/>
      <c r="BL9" s="47"/>
      <c r="BM9" s="47"/>
      <c r="BN9" s="47"/>
      <c r="BO9" s="47"/>
      <c r="BP9" s="47"/>
      <c r="BQ9" s="47"/>
      <c r="BR9" s="47"/>
      <c r="BS9" s="47"/>
      <c r="BT9" s="47"/>
      <c r="BU9" s="47"/>
      <c r="BV9" s="47"/>
      <c r="BW9" s="47"/>
      <c r="BX9" s="47"/>
      <c r="BY9" s="47"/>
      <c r="BZ9" s="47"/>
    </row>
    <row r="10" spans="1:300" ht="15.75" customHeight="1">
      <c r="A10" s="154" t="str">
        <f ca="1">IFERROR(__xludf.DUMMYFUNCTION("""COMPUTED_VALUE"""),"[Necromancy Skillbook]")</f>
        <v>[Necromancy Skillbook]</v>
      </c>
      <c r="B10" s="47" t="str">
        <f ca="1">IFERROR(__xludf.DUMMYFUNCTION("TRANSPOSE(unique(filter(Recipes!A$2:A2490,(Recipes!L$2:L2490=A10)+(Recipes!O$2:O2490=A10)+(Recipes!R$2:R2490=A10)+(Recipes!U$2:U2490=A10)+(Recipes!X$2:X2490=A10))))"),"Blood Storm Skillbook")</f>
        <v>Blood Storm Skillbook</v>
      </c>
      <c r="C10" s="47" t="str">
        <f ca="1">IFERROR(__xludf.DUMMYFUNCTION("""COMPUTED_VALUE"""),"Corpse Explosion Skillbook")</f>
        <v>Corpse Explosion Skillbook</v>
      </c>
      <c r="D10" s="47" t="str">
        <f ca="1">IFERROR(__xludf.DUMMYFUNCTION("""COMPUTED_VALUE"""),"Corrosive Spray Skillbook")</f>
        <v>Corrosive Spray Skillbook</v>
      </c>
      <c r="E10" s="47" t="str">
        <f ca="1">IFERROR(__xludf.DUMMYFUNCTION("""COMPUTED_VALUE"""),"Mass Corpse Explosion Skillbook")</f>
        <v>Mass Corpse Explosion Skillbook</v>
      </c>
      <c r="F10" s="47" t="str">
        <f ca="1">IFERROR(__xludf.DUMMYFUNCTION("""COMPUTED_VALUE"""),"Raining Blood Skillbook")</f>
        <v>Raining Blood Skillbook</v>
      </c>
      <c r="G10" s="47" t="str">
        <f ca="1">IFERROR(__xludf.DUMMYFUNCTION("""COMPUTED_VALUE"""),"Vacuum Aura Skillbook")</f>
        <v>Vacuum Aura Skillbook</v>
      </c>
      <c r="H10" s="47" t="str">
        <f ca="1">IFERROR(__xludf.DUMMYFUNCTION("""COMPUTED_VALUE"""),"Vacuum Touch Skillbook")</f>
        <v>Vacuum Touch Skillbook</v>
      </c>
      <c r="I10" s="47"/>
      <c r="J10" s="47"/>
      <c r="K10" s="47"/>
      <c r="L10" s="47"/>
      <c r="M10" s="47"/>
      <c r="N10" s="47"/>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c r="BE10" s="47"/>
      <c r="BF10" s="47"/>
      <c r="BG10" s="47"/>
      <c r="BH10" s="47"/>
      <c r="BI10" s="47"/>
      <c r="BJ10" s="47"/>
      <c r="BK10" s="47"/>
      <c r="BL10" s="47"/>
      <c r="BM10" s="47"/>
      <c r="BN10" s="47"/>
      <c r="BO10" s="47"/>
      <c r="BP10" s="47"/>
      <c r="BQ10" s="47"/>
      <c r="BR10" s="47"/>
      <c r="BS10" s="47"/>
      <c r="BT10" s="47"/>
      <c r="BU10" s="47"/>
      <c r="BV10" s="47"/>
      <c r="BW10" s="47"/>
      <c r="BX10" s="47"/>
      <c r="BY10" s="47"/>
      <c r="BZ10" s="47"/>
    </row>
    <row r="11" spans="1:300" ht="15.75" customHeight="1">
      <c r="A11" s="152" t="str">
        <f ca="1">IFERROR(__xludf.DUMMYFUNCTION("""COMPUTED_VALUE"""),"[Necromancy Source Skillbook]")</f>
        <v>[Necromancy Source Skillbook]</v>
      </c>
      <c r="B11" s="47" t="str">
        <f ca="1">IFERROR(__xludf.DUMMYFUNCTION("TRANSPOSE(unique(filter(Recipes!A$2:A2490,(Recipes!L$2:L2490=A11)+(Recipes!O$2:O2490=A11)+(Recipes!R$2:R2490=A11)+(Recipes!U$2:U2490=A11)+(Recipes!X$2:X2490=A11))))"),"Blood Storm Skillbook")</f>
        <v>Blood Storm Skillbook</v>
      </c>
      <c r="C11" s="47" t="str">
        <f ca="1">IFERROR(__xludf.DUMMYFUNCTION("""COMPUTED_VALUE"""),"Corrosive Spray Skillbook")</f>
        <v>Corrosive Spray Skillbook</v>
      </c>
      <c r="D11" s="47" t="str">
        <f ca="1">IFERROR(__xludf.DUMMYFUNCTION("""COMPUTED_VALUE"""),"Mass Corpse Explosion Skillbook")</f>
        <v>Mass Corpse Explosion Skillbook</v>
      </c>
      <c r="E11" s="47" t="str">
        <f ca="1">IFERROR(__xludf.DUMMYFUNCTION("""COMPUTED_VALUE"""),"Vacuum Aura Skillbook")</f>
        <v>Vacuum Aura Skillbook</v>
      </c>
      <c r="F11" s="47"/>
      <c r="G11" s="47"/>
      <c r="H11" s="47"/>
      <c r="I11" s="47"/>
      <c r="J11" s="47"/>
      <c r="K11" s="47"/>
      <c r="L11" s="47"/>
      <c r="M11" s="47"/>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47"/>
      <c r="BD11" s="47"/>
      <c r="BE11" s="47"/>
      <c r="BF11" s="47"/>
      <c r="BG11" s="47"/>
      <c r="BH11" s="47"/>
      <c r="BI11" s="47"/>
      <c r="BJ11" s="47"/>
      <c r="BK11" s="47"/>
      <c r="BL11" s="47"/>
      <c r="BM11" s="47"/>
      <c r="BN11" s="47"/>
      <c r="BO11" s="47"/>
      <c r="BP11" s="47"/>
      <c r="BQ11" s="47"/>
      <c r="BR11" s="47"/>
      <c r="BS11" s="47"/>
      <c r="BT11" s="47"/>
      <c r="BU11" s="47"/>
      <c r="BV11" s="47"/>
      <c r="BW11" s="47"/>
      <c r="BX11" s="47"/>
      <c r="BY11" s="47"/>
      <c r="BZ11" s="47"/>
    </row>
    <row r="12" spans="1:300" ht="15.75" customHeight="1">
      <c r="A12" s="152" t="str">
        <f ca="1">IFERROR(__xludf.DUMMYFUNCTION("""COMPUTED_VALUE"""),"[Polymorph Skillbook]")</f>
        <v>[Polymorph Skillbook]</v>
      </c>
      <c r="B12" s="47" t="str">
        <f ca="1">IFERROR(__xludf.DUMMYFUNCTION("TRANSPOSE(unique(filter(Recipes!A$2:A2490,(Recipes!L$2:L2490=A12)+(Recipes!O$2:O2490=A12)+(Recipes!R$2:R2490=A12)+(Recipes!U$2:U2490=A12)+(Recipes!X$2:X2490=A12))))"),"Bleed Fire Skillbook")</f>
        <v>Bleed Fire Skillbook</v>
      </c>
      <c r="C12" s="47" t="str">
        <f ca="1">IFERROR(__xludf.DUMMYFUNCTION("""COMPUTED_VALUE"""),"Flaming Skin Skillbook")</f>
        <v>Flaming Skin Skillbook</v>
      </c>
      <c r="D12" s="47" t="str">
        <f ca="1">IFERROR(__xludf.DUMMYFUNCTION("""COMPUTED_VALUE"""),"Healing Tears Skillbook")</f>
        <v>Healing Tears Skillbook</v>
      </c>
      <c r="E12" s="47" t="str">
        <f ca="1">IFERROR(__xludf.DUMMYFUNCTION("""COMPUTED_VALUE"""),"Icy Skin Skillbook")</f>
        <v>Icy Skin Skillbook</v>
      </c>
      <c r="F12" s="47" t="str">
        <f ca="1">IFERROR(__xludf.DUMMYFUNCTION("""COMPUTED_VALUE"""),"Jellyfish Skin Skillbook")</f>
        <v>Jellyfish Skin Skillbook</v>
      </c>
      <c r="G12" s="47" t="str">
        <f ca="1">IFERROR(__xludf.DUMMYFUNCTION("""COMPUTED_VALUE"""),"Poisonous Skin Skillbook")</f>
        <v>Poisonous Skin Skillbook</v>
      </c>
      <c r="H12" s="47" t="str">
        <f ca="1">IFERROR(__xludf.DUMMYFUNCTION("""COMPUTED_VALUE"""),"Turn To Oil Skillbook")</f>
        <v>Turn To Oil Skillbook</v>
      </c>
      <c r="I12" s="47" t="str">
        <f ca="1">IFERROR(__xludf.DUMMYFUNCTION("""COMPUTED_VALUE"""),"Vaporize Skillbook")</f>
        <v>Vaporize Skillbook</v>
      </c>
      <c r="J12" s="47"/>
      <c r="K12" s="47"/>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47"/>
      <c r="BD12" s="47"/>
      <c r="BE12" s="47"/>
      <c r="BF12" s="47"/>
      <c r="BG12" s="47"/>
      <c r="BH12" s="47"/>
      <c r="BI12" s="47"/>
      <c r="BJ12" s="47"/>
      <c r="BK12" s="47"/>
      <c r="BL12" s="47"/>
      <c r="BM12" s="47"/>
      <c r="BN12" s="47"/>
      <c r="BO12" s="47"/>
      <c r="BP12" s="47"/>
      <c r="BQ12" s="47"/>
      <c r="BR12" s="47"/>
      <c r="BS12" s="47"/>
      <c r="BT12" s="47"/>
      <c r="BU12" s="47"/>
      <c r="BV12" s="47"/>
      <c r="BW12" s="47"/>
      <c r="BX12" s="47"/>
      <c r="BY12" s="47"/>
      <c r="BZ12" s="47"/>
    </row>
    <row r="13" spans="1:300" ht="15.75" customHeight="1">
      <c r="A13" s="152" t="str">
        <f ca="1">IFERROR(__xludf.DUMMYFUNCTION("""COMPUTED_VALUE"""),"[Polymorph Source Skillbook]")</f>
        <v>[Polymorph Source Skillbook]</v>
      </c>
      <c r="B13" s="47" t="str">
        <f ca="1">IFERROR(__xludf.DUMMYFUNCTION("TRANSPOSE(unique(filter(Recipes!A$2:A2490,(Recipes!L$2:L2490=A13)+(Recipes!O$2:O2490=A13)+(Recipes!R$2:R2490=A13)+(Recipes!U$2:U2490=A13)+(Recipes!X$2:X2490=A13))))"),"Flaming Skin Skillbook")</f>
        <v>Flaming Skin Skillbook</v>
      </c>
      <c r="C13" s="47" t="str">
        <f ca="1">IFERROR(__xludf.DUMMYFUNCTION("""COMPUTED_VALUE"""),"Icy Skin Skillbook")</f>
        <v>Icy Skin Skillbook</v>
      </c>
      <c r="D13" s="47" t="str">
        <f ca="1">IFERROR(__xludf.DUMMYFUNCTION("""COMPUTED_VALUE"""),"Jellyfish Skin Skillbook")</f>
        <v>Jellyfish Skin Skillbook</v>
      </c>
      <c r="E13" s="47" t="str">
        <f ca="1">IFERROR(__xludf.DUMMYFUNCTION("""COMPUTED_VALUE"""),"Poisonous Skin Skillbook")</f>
        <v>Poisonous Skin Skillbook</v>
      </c>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7"/>
      <c r="BC13" s="47"/>
      <c r="BD13" s="47"/>
      <c r="BE13" s="47"/>
      <c r="BF13" s="47"/>
      <c r="BG13" s="47"/>
      <c r="BH13" s="47"/>
      <c r="BI13" s="47"/>
      <c r="BJ13" s="47"/>
      <c r="BK13" s="47"/>
      <c r="BL13" s="47"/>
      <c r="BM13" s="47"/>
      <c r="BN13" s="47"/>
      <c r="BO13" s="47"/>
      <c r="BP13" s="47"/>
      <c r="BQ13" s="47"/>
      <c r="BR13" s="47"/>
      <c r="BS13" s="47"/>
      <c r="BT13" s="47"/>
      <c r="BU13" s="47"/>
      <c r="BV13" s="47"/>
      <c r="BW13" s="47"/>
      <c r="BX13" s="47"/>
      <c r="BY13" s="47"/>
      <c r="BZ13" s="47"/>
    </row>
    <row r="14" spans="1:300" ht="15.75" customHeight="1">
      <c r="A14" s="152" t="str">
        <f ca="1">IFERROR(__xludf.DUMMYFUNCTION("""COMPUTED_VALUE"""),"[Scoundrel Skillbook]")</f>
        <v>[Scoundrel Skillbook]</v>
      </c>
      <c r="B14" s="47" t="str">
        <f ca="1">IFERROR(__xludf.DUMMYFUNCTION("TRANSPOSE(unique(filter(Recipes!A$2:A2490,(Recipes!L$2:L2490=A14)+(Recipes!O$2:O2490=A14)+(Recipes!R$2:R2490=A14)+(Recipes!U$2:U2490=A14)+(Recipes!X$2:X2490=A14))))"),"Blessed Smoke Cloud Skillbook")</f>
        <v>Blessed Smoke Cloud Skillbook</v>
      </c>
      <c r="C14" s="47" t="str">
        <f ca="1">IFERROR(__xludf.DUMMYFUNCTION("""COMPUTED_VALUE"""),"Mass Sabotage Skillbook")</f>
        <v>Mass Sabotage Skillbook</v>
      </c>
      <c r="D14" s="47" t="str">
        <f ca="1">IFERROR(__xludf.DUMMYFUNCTION("""COMPUTED_VALUE"""),"Sabotage Skillbook")</f>
        <v>Sabotage Skillbook</v>
      </c>
      <c r="E14" s="47" t="str">
        <f ca="1">IFERROR(__xludf.DUMMYFUNCTION("""COMPUTED_VALUE"""),"Smoke Cover Skillbook")</f>
        <v>Smoke Cover Skillbook</v>
      </c>
      <c r="F14" s="47" t="str">
        <f ca="1">IFERROR(__xludf.DUMMYFUNCTION("""COMPUTED_VALUE"""),"Vampiric Hunger Aura Skillbook")</f>
        <v>Vampiric Hunger Aura Skillbook</v>
      </c>
      <c r="G14" s="47" t="str">
        <f ca="1">IFERROR(__xludf.DUMMYFUNCTION("""COMPUTED_VALUE"""),"Vampiric Hunger Skillbook")</f>
        <v>Vampiric Hunger Skillbook</v>
      </c>
      <c r="H14" s="47" t="str">
        <f ca="1">IFERROR(__xludf.DUMMYFUNCTION("""COMPUTED_VALUE"""),"Venom Coating Skillbook")</f>
        <v>Venom Coating Skillbook</v>
      </c>
      <c r="I14" s="47" t="str">
        <f ca="1">IFERROR(__xludf.DUMMYFUNCTION("""COMPUTED_VALUE"""),"Venomous Aura Skillbook")</f>
        <v>Venomous Aura Skillbook</v>
      </c>
      <c r="J14" s="47"/>
      <c r="K14" s="47"/>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7"/>
      <c r="BD14" s="47"/>
      <c r="BE14" s="47"/>
      <c r="BF14" s="47"/>
      <c r="BG14" s="47"/>
      <c r="BH14" s="47"/>
      <c r="BI14" s="47"/>
      <c r="BJ14" s="47"/>
      <c r="BK14" s="47"/>
      <c r="BL14" s="47"/>
      <c r="BM14" s="47"/>
      <c r="BN14" s="47"/>
      <c r="BO14" s="47"/>
      <c r="BP14" s="47"/>
      <c r="BQ14" s="47"/>
      <c r="BR14" s="47"/>
      <c r="BS14" s="47"/>
      <c r="BT14" s="47"/>
      <c r="BU14" s="47"/>
      <c r="BV14" s="47"/>
      <c r="BW14" s="47"/>
      <c r="BX14" s="47"/>
      <c r="BY14" s="47"/>
      <c r="BZ14" s="47"/>
    </row>
    <row r="15" spans="1:300" ht="15.75" customHeight="1">
      <c r="A15" s="152" t="str">
        <f ca="1">IFERROR(__xludf.DUMMYFUNCTION("""COMPUTED_VALUE"""),"[Scoundrel Source Skillbook]")</f>
        <v>[Scoundrel Source Skillbook]</v>
      </c>
      <c r="B15" s="47" t="str">
        <f ca="1">IFERROR(__xludf.DUMMYFUNCTION("TRANSPOSE(unique(filter(Recipes!A$2:A2490,(Recipes!L$2:L2490=A15)+(Recipes!O$2:O2490=A15)+(Recipes!R$2:R2490=A15)+(Recipes!U$2:U2490=A15)+(Recipes!X$2:X2490=A15))))"),"Blessed Smoke Cloud Skillbook")</f>
        <v>Blessed Smoke Cloud Skillbook</v>
      </c>
      <c r="C15" s="156" t="str">
        <f ca="1">IFERROR(__xludf.DUMMYFUNCTION("""COMPUTED_VALUE"""),"Mass Sabotage Skillbook")</f>
        <v>Mass Sabotage Skillbook</v>
      </c>
      <c r="D15" s="47" t="str">
        <f ca="1">IFERROR(__xludf.DUMMYFUNCTION("""COMPUTED_VALUE"""),"Vampiric Hunger Aura Skillbook")</f>
        <v>Vampiric Hunger Aura Skillbook</v>
      </c>
      <c r="E15" s="47" t="str">
        <f ca="1">IFERROR(__xludf.DUMMYFUNCTION("""COMPUTED_VALUE"""),"Venomous Aura Skillbook")</f>
        <v>Venomous Aura Skillbook</v>
      </c>
      <c r="F15" s="47"/>
      <c r="G15" s="47"/>
      <c r="H15" s="47"/>
      <c r="I15" s="47"/>
      <c r="J15" s="47"/>
      <c r="K15" s="47"/>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47"/>
      <c r="BD15" s="47"/>
      <c r="BE15" s="47"/>
      <c r="BF15" s="47"/>
      <c r="BG15" s="47"/>
      <c r="BH15" s="47"/>
      <c r="BI15" s="47"/>
      <c r="BJ15" s="47"/>
      <c r="BK15" s="47"/>
      <c r="BL15" s="47"/>
      <c r="BM15" s="47"/>
      <c r="BN15" s="47"/>
      <c r="BO15" s="47"/>
      <c r="BP15" s="47"/>
      <c r="BQ15" s="47"/>
      <c r="BR15" s="47"/>
      <c r="BS15" s="47"/>
      <c r="BT15" s="47"/>
      <c r="BU15" s="47"/>
      <c r="BV15" s="47"/>
      <c r="BW15" s="47"/>
      <c r="BX15" s="47"/>
      <c r="BY15" s="47"/>
      <c r="BZ15" s="47"/>
    </row>
    <row r="16" spans="1:300" ht="15.75" customHeight="1">
      <c r="A16" s="152" t="str">
        <f ca="1">IFERROR(__xludf.DUMMYFUNCTION("""COMPUTED_VALUE"""),"[Summoning Skillbook]")</f>
        <v>[Summoning Skillbook]</v>
      </c>
      <c r="B16" s="47" t="str">
        <f ca="1">IFERROR(__xludf.DUMMYFUNCTION("TRANSPOSE(unique(filter(Recipes!A$2:A2490,(Recipes!L$2:L2490=A16)+(Recipes!O$2:O2490=A16)+(Recipes!R$2:R2490=A16)+(Recipes!U$2:U2490=A16)+(Recipes!X$2:X2490=A16))))"),"Acid Infusion Skillbook")</f>
        <v>Acid Infusion Skillbook</v>
      </c>
      <c r="C16" s="156" t="str">
        <f ca="1">IFERROR(__xludf.DUMMYFUNCTION("""COMPUTED_VALUE"""),"Blessed Ice Infusion Skillbook")</f>
        <v>Blessed Ice Infusion Skillbook</v>
      </c>
      <c r="D16" s="47" t="str">
        <f ca="1">IFERROR(__xludf.DUMMYFUNCTION("""COMPUTED_VALUE"""),"Cursed Electric Infusion Skillbook")</f>
        <v>Cursed Electric Infusion Skillbook</v>
      </c>
      <c r="E16" s="47" t="str">
        <f ca="1">IFERROR(__xludf.DUMMYFUNCTION("""COMPUTED_VALUE"""),"Electric Infusion Skillbook")</f>
        <v>Electric Infusion Skillbook</v>
      </c>
      <c r="F16" s="47" t="str">
        <f ca="1">IFERROR(__xludf.DUMMYFUNCTION("""COMPUTED_VALUE"""),"Fire Infusion Skillbook")</f>
        <v>Fire Infusion Skillbook</v>
      </c>
      <c r="G16" s="47" t="str">
        <f ca="1">IFERROR(__xludf.DUMMYFUNCTION("""COMPUTED_VALUE"""),"Necrofire Infusion Skillbook")</f>
        <v>Necrofire Infusion Skillbook</v>
      </c>
      <c r="H16" s="47" t="str">
        <f ca="1">IFERROR(__xludf.DUMMYFUNCTION("""COMPUTED_VALUE"""),"Poison Infusion Skillbook")</f>
        <v>Poison Infusion Skillbook</v>
      </c>
      <c r="I16" s="47" t="str">
        <f ca="1">IFERROR(__xludf.DUMMYFUNCTION("""COMPUTED_VALUE"""),"Water Infusion Skillbook")</f>
        <v>Water Infusion Skillbook</v>
      </c>
      <c r="J16" s="47"/>
      <c r="K16" s="47"/>
      <c r="L16" s="47"/>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7"/>
      <c r="BC16" s="47"/>
      <c r="BD16" s="47"/>
      <c r="BE16" s="47"/>
      <c r="BF16" s="47"/>
      <c r="BG16" s="47"/>
      <c r="BH16" s="47"/>
      <c r="BI16" s="47"/>
      <c r="BJ16" s="47"/>
      <c r="BK16" s="47"/>
      <c r="BL16" s="47"/>
      <c r="BM16" s="47"/>
      <c r="BN16" s="47"/>
      <c r="BO16" s="47"/>
      <c r="BP16" s="47"/>
      <c r="BQ16" s="47"/>
      <c r="BR16" s="47"/>
      <c r="BS16" s="47"/>
      <c r="BT16" s="47"/>
      <c r="BU16" s="47"/>
      <c r="BV16" s="47"/>
      <c r="BW16" s="47"/>
      <c r="BX16" s="47"/>
      <c r="BY16" s="47"/>
      <c r="BZ16" s="47"/>
    </row>
    <row r="17" spans="1:78" ht="15.75" customHeight="1">
      <c r="A17" s="152" t="str">
        <f ca="1">IFERROR(__xludf.DUMMYFUNCTION("""COMPUTED_VALUE"""),"[Summoning Source Skillbook]")</f>
        <v>[Summoning Source Skillbook]</v>
      </c>
      <c r="B17" s="47" t="str">
        <f ca="1">IFERROR(__xludf.DUMMYFUNCTION("TRANSPOSE(unique(filter(Recipes!A$2:A2490,(Recipes!L$2:L2490=A17)+(Recipes!O$2:O2490=A17)+(Recipes!R$2:R2490=A17)+(Recipes!U$2:U2490=A17)+(Recipes!X$2:X2490=A17))))"),"Acid Infusion Skillbook")</f>
        <v>Acid Infusion Skillbook</v>
      </c>
      <c r="C17" s="156" t="str">
        <f ca="1">IFERROR(__xludf.DUMMYFUNCTION("""COMPUTED_VALUE"""),"Blessed Ice Infusion Skillbook")</f>
        <v>Blessed Ice Infusion Skillbook</v>
      </c>
      <c r="D17" s="47" t="str">
        <f ca="1">IFERROR(__xludf.DUMMYFUNCTION("""COMPUTED_VALUE"""),"Cursed Electric Infusion Skillbook")</f>
        <v>Cursed Electric Infusion Skillbook</v>
      </c>
      <c r="E17" s="47" t="str">
        <f ca="1">IFERROR(__xludf.DUMMYFUNCTION("""COMPUTED_VALUE"""),"Necrofire Infusion Skillbook")</f>
        <v>Necrofire Infusion Skillbook</v>
      </c>
      <c r="F17" s="47"/>
      <c r="G17" s="47"/>
      <c r="H17" s="47"/>
      <c r="I17" s="47"/>
      <c r="J17" s="47"/>
      <c r="K17" s="47"/>
      <c r="L17" s="47"/>
      <c r="M17" s="47"/>
      <c r="N17" s="47"/>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7"/>
      <c r="BC17" s="47"/>
      <c r="BD17" s="47"/>
      <c r="BE17" s="47"/>
      <c r="BF17" s="47"/>
      <c r="BG17" s="47"/>
      <c r="BH17" s="47"/>
      <c r="BI17" s="47"/>
      <c r="BJ17" s="47"/>
      <c r="BK17" s="47"/>
      <c r="BL17" s="47"/>
      <c r="BM17" s="47"/>
      <c r="BN17" s="47"/>
      <c r="BO17" s="47"/>
      <c r="BP17" s="47"/>
      <c r="BQ17" s="47"/>
      <c r="BR17" s="47"/>
      <c r="BS17" s="47"/>
      <c r="BT17" s="47"/>
      <c r="BU17" s="47"/>
      <c r="BV17" s="47"/>
      <c r="BW17" s="47"/>
      <c r="BX17" s="47"/>
      <c r="BY17" s="47"/>
      <c r="BZ17" s="47"/>
    </row>
    <row r="18" spans="1:78" ht="15.75" customHeight="1">
      <c r="A18" s="152" t="str">
        <f ca="1">IFERROR(__xludf.DUMMYFUNCTION("""COMPUTED_VALUE"""),"[Warfare Skillbook]")</f>
        <v>[Warfare Skillbook]</v>
      </c>
      <c r="B18" s="47" t="str">
        <f ca="1">IFERROR(__xludf.DUMMYFUNCTION("TRANSPOSE(unique(filter(Recipes!A$2:A2490,(Recipes!L$2:L2490=A18)+(Recipes!O$2:O2490=A18)+(Recipes!R$2:R2490=A18)+(Recipes!U$2:U2490=A18)+(Recipes!X$2:X2490=A18))))"),"Breathing Bubble Skillbook")</f>
        <v>Breathing Bubble Skillbook</v>
      </c>
      <c r="C18" s="156" t="str">
        <f ca="1">IFERROR(__xludf.DUMMYFUNCTION("""COMPUTED_VALUE"""),"Cleanse Wounds Skillbook")</f>
        <v>Cleanse Wounds Skillbook</v>
      </c>
      <c r="D18" s="47" t="str">
        <f ca="1">IFERROR(__xludf.DUMMYFUNCTION("""COMPUTED_VALUE"""),"Mass Breathing Bubbles Skillbook")</f>
        <v>Mass Breathing Bubbles Skillbook</v>
      </c>
      <c r="E18" s="47" t="str">
        <f ca="1">IFERROR(__xludf.DUMMYFUNCTION("""COMPUTED_VALUE"""),"Mass Cleanse Wounds Skillbook")</f>
        <v>Mass Cleanse Wounds Skillbook</v>
      </c>
      <c r="F18" s="47" t="str">
        <f ca="1">IFERROR(__xludf.DUMMYFUNCTION("""COMPUTED_VALUE"""),"Mass Oily Carapace Skillbook")</f>
        <v>Mass Oily Carapace Skillbook</v>
      </c>
      <c r="G18" s="47" t="str">
        <f ca="1">IFERROR(__xludf.DUMMYFUNCTION("""COMPUTED_VALUE"""),"Master of Sparks Skillbook")</f>
        <v>Master of Sparks Skillbook</v>
      </c>
      <c r="H18" s="47" t="str">
        <f ca="1">IFERROR(__xludf.DUMMYFUNCTION("""COMPUTED_VALUE"""),"Oily Carapace Skillbook")</f>
        <v>Oily Carapace Skillbook</v>
      </c>
      <c r="I18" s="47" t="str">
        <f ca="1">IFERROR(__xludf.DUMMYFUNCTION("""COMPUTED_VALUE"""),"Sparking Swings Skillbook")</f>
        <v>Sparking Swings Skillbook</v>
      </c>
      <c r="J18" s="47"/>
      <c r="K18" s="47"/>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7"/>
      <c r="BI18" s="47"/>
      <c r="BJ18" s="47"/>
      <c r="BK18" s="47"/>
      <c r="BL18" s="47"/>
      <c r="BM18" s="47"/>
      <c r="BN18" s="47"/>
      <c r="BO18" s="47"/>
      <c r="BP18" s="47"/>
      <c r="BQ18" s="47"/>
      <c r="BR18" s="47"/>
      <c r="BS18" s="47"/>
      <c r="BT18" s="47"/>
      <c r="BU18" s="47"/>
      <c r="BV18" s="47"/>
      <c r="BW18" s="47"/>
      <c r="BX18" s="47"/>
      <c r="BY18" s="47"/>
      <c r="BZ18" s="47"/>
    </row>
    <row r="19" spans="1:78" ht="15.75" customHeight="1">
      <c r="A19" s="152" t="str">
        <f ca="1">IFERROR(__xludf.DUMMYFUNCTION("""COMPUTED_VALUE"""),"[Warfare Source Skillbook]")</f>
        <v>[Warfare Source Skillbook]</v>
      </c>
      <c r="B19" s="47" t="str">
        <f ca="1">IFERROR(__xludf.DUMMYFUNCTION("TRANSPOSE(unique(filter(Recipes!A$2:A2490,(Recipes!L$2:L2490=A19)+(Recipes!O$2:O2490=A19)+(Recipes!R$2:R2490=A19)+(Recipes!U$2:U2490=A19)+(Recipes!X$2:X2490=A19))))"),"Mass Breathing Bubbles Skillbook")</f>
        <v>Mass Breathing Bubbles Skillbook</v>
      </c>
      <c r="C19" s="156" t="str">
        <f ca="1">IFERROR(__xludf.DUMMYFUNCTION("""COMPUTED_VALUE"""),"Mass Cleanse Wounds Skillbook")</f>
        <v>Mass Cleanse Wounds Skillbook</v>
      </c>
      <c r="D19" s="47" t="str">
        <f ca="1">IFERROR(__xludf.DUMMYFUNCTION("""COMPUTED_VALUE"""),"Mass Oily Carapace Skillbook")</f>
        <v>Mass Oily Carapace Skillbook</v>
      </c>
      <c r="E19" s="47" t="str">
        <f ca="1">IFERROR(__xludf.DUMMYFUNCTION("""COMPUTED_VALUE"""),"Master of Sparks Skillbook")</f>
        <v>Master of Sparks Skillbook</v>
      </c>
      <c r="F19" s="47"/>
      <c r="G19" s="47"/>
      <c r="H19" s="47"/>
      <c r="I19" s="47"/>
      <c r="J19" s="47"/>
      <c r="K19" s="47"/>
      <c r="L19" s="47"/>
      <c r="M19" s="47"/>
      <c r="N19" s="47"/>
      <c r="O19" s="47"/>
      <c r="P19" s="47"/>
      <c r="Q19" s="47"/>
      <c r="R19" s="47"/>
      <c r="S19" s="47"/>
      <c r="T19" s="47"/>
      <c r="U19" s="47"/>
      <c r="V19" s="47"/>
      <c r="W19" s="47"/>
      <c r="X19" s="47"/>
      <c r="Y19" s="47"/>
      <c r="Z19" s="47"/>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7"/>
      <c r="BD19" s="47"/>
      <c r="BE19" s="47"/>
      <c r="BF19" s="47"/>
      <c r="BG19" s="47"/>
      <c r="BH19" s="47"/>
      <c r="BI19" s="47"/>
      <c r="BJ19" s="47"/>
      <c r="BK19" s="47"/>
      <c r="BL19" s="47"/>
      <c r="BM19" s="47"/>
      <c r="BN19" s="47"/>
      <c r="BO19" s="47"/>
      <c r="BP19" s="47"/>
      <c r="BQ19" s="47"/>
      <c r="BR19" s="47"/>
      <c r="BS19" s="47"/>
      <c r="BT19" s="47"/>
      <c r="BU19" s="47"/>
      <c r="BV19" s="47"/>
      <c r="BW19" s="47"/>
      <c r="BX19" s="47"/>
      <c r="BY19" s="47"/>
      <c r="BZ19" s="47"/>
    </row>
    <row r="20" spans="1:78" ht="15.75" customHeight="1">
      <c r="A20" s="152" t="str">
        <f ca="1">IFERROR(__xludf.DUMMYFUNCTION("""COMPUTED_VALUE"""),"[Water Skillbook]")</f>
        <v>[Water Skillbook]</v>
      </c>
      <c r="B20" s="47" t="str">
        <f ca="1">IFERROR(__xludf.DUMMYFUNCTION("TRANSPOSE(unique(filter(Recipes!A$2:A2490,(Recipes!L$2:L2490=A20)+(Recipes!O$2:O2490=A20)+(Recipes!R$2:R2490=A20)+(Recipes!U$2:U2490=A20)+(Recipes!X$2:X2490=A20))))"),"Blessed Ice Infusion Skillbook")</f>
        <v>Blessed Ice Infusion Skillbook</v>
      </c>
      <c r="C20" s="47" t="str">
        <f ca="1">IFERROR(__xludf.DUMMYFUNCTION("""COMPUTED_VALUE"""),"Blood Storm Skillbook")</f>
        <v>Blood Storm Skillbook</v>
      </c>
      <c r="D20" s="47" t="str">
        <f ca="1">IFERROR(__xludf.DUMMYFUNCTION("""COMPUTED_VALUE"""),"Cleanse Wounds Skillbook")</f>
        <v>Cleanse Wounds Skillbook</v>
      </c>
      <c r="E20" s="47" t="str">
        <f ca="1">IFERROR(__xludf.DUMMYFUNCTION("""COMPUTED_VALUE"""),"Cryotherapy Skillbook")</f>
        <v>Cryotherapy Skillbook</v>
      </c>
      <c r="F20" s="47" t="str">
        <f ca="1">IFERROR(__xludf.DUMMYFUNCTION("""COMPUTED_VALUE"""),"Healing Tears Skillbook")</f>
        <v>Healing Tears Skillbook</v>
      </c>
      <c r="G20" s="47" t="str">
        <f ca="1">IFERROR(__xludf.DUMMYFUNCTION("""COMPUTED_VALUE"""),"Icy Skin Skillbook")</f>
        <v>Icy Skin Skillbook</v>
      </c>
      <c r="H20" s="47" t="str">
        <f ca="1">IFERROR(__xludf.DUMMYFUNCTION("""COMPUTED_VALUE"""),"Mass Cleanse Wounds Skillbook")</f>
        <v>Mass Cleanse Wounds Skillbook</v>
      </c>
      <c r="I20" s="47" t="str">
        <f ca="1">IFERROR(__xludf.DUMMYFUNCTION("""COMPUTED_VALUE"""),"Mass Cryotherapy Skillbook")</f>
        <v>Mass Cryotherapy Skillbook</v>
      </c>
      <c r="J20" s="47" t="str">
        <f ca="1">IFERROR(__xludf.DUMMYFUNCTION("""COMPUTED_VALUE"""),"Raining Blood Skillbook")</f>
        <v>Raining Blood Skillbook</v>
      </c>
      <c r="K20" s="47" t="str">
        <f ca="1">IFERROR(__xludf.DUMMYFUNCTION("""COMPUTED_VALUE"""),"Vampiric Hunger Aura Skillbook")</f>
        <v>Vampiric Hunger Aura Skillbook</v>
      </c>
      <c r="L20" s="47" t="str">
        <f ca="1">IFERROR(__xludf.DUMMYFUNCTION("""COMPUTED_VALUE"""),"Vampiric Hunger Skillbook")</f>
        <v>Vampiric Hunger Skillbook</v>
      </c>
      <c r="M20" s="47" t="str">
        <f ca="1">IFERROR(__xludf.DUMMYFUNCTION("""COMPUTED_VALUE"""),"Water Infusion Skillbook")</f>
        <v>Water Infusion Skillbook</v>
      </c>
      <c r="N20" s="47"/>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7"/>
      <c r="BD20" s="47"/>
      <c r="BE20" s="47"/>
      <c r="BF20" s="47"/>
      <c r="BG20" s="47"/>
      <c r="BH20" s="47"/>
      <c r="BI20" s="47"/>
      <c r="BJ20" s="47"/>
      <c r="BK20" s="47"/>
      <c r="BL20" s="47"/>
      <c r="BM20" s="47"/>
      <c r="BN20" s="47"/>
      <c r="BO20" s="47"/>
      <c r="BP20" s="47"/>
      <c r="BQ20" s="47"/>
      <c r="BR20" s="47"/>
      <c r="BS20" s="47"/>
      <c r="BT20" s="47"/>
      <c r="BU20" s="47"/>
      <c r="BV20" s="47"/>
      <c r="BW20" s="47"/>
      <c r="BX20" s="47"/>
      <c r="BY20" s="47"/>
      <c r="BZ20" s="47"/>
    </row>
    <row r="21" spans="1:78" ht="15.75" customHeight="1">
      <c r="A21" s="152" t="str">
        <f ca="1">IFERROR(__xludf.DUMMYFUNCTION("""COMPUTED_VALUE"""),"[Water Source Skillbook]")</f>
        <v>[Water Source Skillbook]</v>
      </c>
      <c r="B21" s="47" t="str">
        <f ca="1">IFERROR(__xludf.DUMMYFUNCTION("TRANSPOSE(unique(filter(Recipes!A$2:A2490,(Recipes!L$2:L2490=A21)+(Recipes!O$2:O2490=A21)+(Recipes!R$2:R2490=A21)+(Recipes!U$2:U2490=A21)+(Recipes!X$2:X2490=A21))))"),"Blessed Ice Infusion Skillbook")</f>
        <v>Blessed Ice Infusion Skillbook</v>
      </c>
      <c r="C21" s="47" t="str">
        <f ca="1">IFERROR(__xludf.DUMMYFUNCTION("""COMPUTED_VALUE"""),"Blood Storm Skillbook")</f>
        <v>Blood Storm Skillbook</v>
      </c>
      <c r="D21" s="47" t="str">
        <f ca="1">IFERROR(__xludf.DUMMYFUNCTION("""COMPUTED_VALUE"""),"Icy Skin Skillbook")</f>
        <v>Icy Skin Skillbook</v>
      </c>
      <c r="E21" s="47" t="str">
        <f ca="1">IFERROR(__xludf.DUMMYFUNCTION("""COMPUTED_VALUE"""),"Mass Cleanse Wounds Skillbook")</f>
        <v>Mass Cleanse Wounds Skillbook</v>
      </c>
      <c r="F21" s="47" t="str">
        <f ca="1">IFERROR(__xludf.DUMMYFUNCTION("""COMPUTED_VALUE"""),"Mass Cryotherapy Skillbook")</f>
        <v>Mass Cryotherapy Skillbook</v>
      </c>
      <c r="G21" s="47" t="str">
        <f ca="1">IFERROR(__xludf.DUMMYFUNCTION("""COMPUTED_VALUE"""),"Vampiric Hunger Aura Skillbook")</f>
        <v>Vampiric Hunger Aura Skillbook</v>
      </c>
      <c r="H21" s="47"/>
      <c r="I21" s="47"/>
      <c r="J21" s="47"/>
      <c r="K21" s="47"/>
      <c r="L21" s="47"/>
      <c r="M21" s="47"/>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7"/>
      <c r="BC21" s="47"/>
      <c r="BD21" s="47"/>
      <c r="BE21" s="47"/>
      <c r="BF21" s="47"/>
      <c r="BG21" s="47"/>
      <c r="BH21" s="47"/>
      <c r="BI21" s="47"/>
      <c r="BJ21" s="47"/>
      <c r="BK21" s="47"/>
      <c r="BL21" s="47"/>
      <c r="BM21" s="47"/>
      <c r="BN21" s="47"/>
      <c r="BO21" s="47"/>
      <c r="BP21" s="47"/>
      <c r="BQ21" s="47"/>
      <c r="BR21" s="47"/>
      <c r="BS21" s="47"/>
      <c r="BT21" s="47"/>
      <c r="BU21" s="47"/>
      <c r="BV21" s="47"/>
      <c r="BW21" s="47"/>
      <c r="BX21" s="47"/>
      <c r="BY21" s="47"/>
      <c r="BZ21" s="47"/>
    </row>
    <row r="22" spans="1:78" ht="15.75" customHeight="1">
      <c r="A22" s="152" t="str">
        <f ca="1">IFERROR(__xludf.DUMMYFUNCTION("""COMPUTED_VALUE"""),"Acid Spores Scroll")</f>
        <v>Acid Spores Scroll</v>
      </c>
      <c r="B22" s="47" t="str">
        <f ca="1">IFERROR(__xludf.DUMMYFUNCTION("TRANSPOSE(unique(filter(Recipes!A$2:A2490,(Recipes!L$2:L2490=A22)+(Recipes!O$2:O2490=A22)+(Recipes!R$2:R2490=A22)+(Recipes!U$2:U2490=A22)+(Recipes!X$2:X2490=A22))))"),"Acid Spores Skillbook")</f>
        <v>Acid Spores Skillbook</v>
      </c>
      <c r="C22" s="47"/>
      <c r="D22" s="47"/>
      <c r="E22" s="47"/>
      <c r="F22" s="47"/>
      <c r="G22" s="47"/>
      <c r="H22" s="47"/>
      <c r="I22" s="47"/>
      <c r="J22" s="47"/>
      <c r="K22" s="47"/>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47"/>
      <c r="AZ22" s="47"/>
      <c r="BA22" s="47"/>
      <c r="BB22" s="47"/>
      <c r="BC22" s="47"/>
      <c r="BD22" s="47"/>
      <c r="BE22" s="47"/>
      <c r="BF22" s="47"/>
      <c r="BG22" s="47"/>
      <c r="BH22" s="47"/>
      <c r="BI22" s="47"/>
      <c r="BJ22" s="47"/>
      <c r="BK22" s="47"/>
      <c r="BL22" s="47"/>
      <c r="BM22" s="47"/>
      <c r="BN22" s="47"/>
      <c r="BO22" s="47"/>
      <c r="BP22" s="47"/>
      <c r="BQ22" s="47"/>
      <c r="BR22" s="47"/>
      <c r="BS22" s="47"/>
      <c r="BT22" s="47"/>
      <c r="BU22" s="47"/>
      <c r="BV22" s="47"/>
      <c r="BW22" s="47"/>
      <c r="BX22" s="47"/>
      <c r="BY22" s="47"/>
      <c r="BZ22" s="47"/>
    </row>
    <row r="23" spans="1:78" ht="15.75" customHeight="1">
      <c r="A23" s="152" t="str">
        <f ca="1">IFERROR(__xludf.DUMMYFUNCTION("""COMPUTED_VALUE"""),"Adult Antler")</f>
        <v>Adult Antler</v>
      </c>
      <c r="B23" s="47" t="str">
        <f ca="1">IFERROR(__xludf.DUMMYFUNCTION("TRANSPOSE(unique(filter(Recipes!A$2:A2490,(Recipes!L$2:L2490=A23)+(Recipes!O$2:O2490=A23)+(Recipes!R$2:R2490=A23)+(Recipes!U$2:U2490=A23)+(Recipes!X$2:X2490=A23))))"),"Knockdown Arrowhead")</f>
        <v>Knockdown Arrowhead</v>
      </c>
      <c r="C23" s="47" t="str">
        <f ca="1">IFERROR(__xludf.DUMMYFUNCTION("""COMPUTED_VALUE"""),"Bull Horns Scroll")</f>
        <v>Bull Horns Scroll</v>
      </c>
      <c r="D23" s="47" t="str">
        <f ca="1">IFERROR(__xludf.DUMMYFUNCTION("""COMPUTED_VALUE"""),"Flaming Tongues Scroll")</f>
        <v>Flaming Tongues Scroll</v>
      </c>
      <c r="E23" s="47"/>
      <c r="F23" s="47"/>
      <c r="G23" s="47"/>
      <c r="H23" s="47"/>
      <c r="I23" s="47"/>
      <c r="J23" s="47"/>
      <c r="K23" s="47"/>
      <c r="L23" s="47"/>
      <c r="M23" s="47"/>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7"/>
      <c r="BD23" s="47"/>
      <c r="BE23" s="47"/>
      <c r="BF23" s="47"/>
      <c r="BG23" s="47"/>
      <c r="BH23" s="47"/>
      <c r="BI23" s="47"/>
      <c r="BJ23" s="47"/>
      <c r="BK23" s="47"/>
      <c r="BL23" s="47"/>
      <c r="BM23" s="47"/>
      <c r="BN23" s="47"/>
      <c r="BO23" s="47"/>
      <c r="BP23" s="47"/>
      <c r="BQ23" s="47"/>
      <c r="BR23" s="47"/>
      <c r="BS23" s="47"/>
      <c r="BT23" s="47"/>
      <c r="BU23" s="47"/>
      <c r="BV23" s="47"/>
      <c r="BW23" s="47"/>
      <c r="BX23" s="47"/>
      <c r="BY23" s="47"/>
      <c r="BZ23" s="47"/>
    </row>
    <row r="24" spans="1:78" ht="15.75" customHeight="1">
      <c r="A24" s="152" t="str">
        <f ca="1">IFERROR(__xludf.DUMMYFUNCTION("""COMPUTED_VALUE"""),"Air Essence")</f>
        <v>Air Essence</v>
      </c>
      <c r="B24" s="47" t="str">
        <f ca="1">IFERROR(__xludf.DUMMYFUNCTION("TRANSPOSE(unique(filter(Recipes!A$2:A2490,(Recipes!L$2:L2490=A24)+(Recipes!O$2:O2490=A24)+(Recipes!R$2:R2490=A24)+(Recipes!U$2:U2490=A24)+(Recipes!X$2:X2490=A24))))"),"Shocking Arrow")</f>
        <v>Shocking Arrow</v>
      </c>
      <c r="C24" s="47" t="str">
        <f ca="1">IFERROR(__xludf.DUMMYFUNCTION("""COMPUTED_VALUE"""),"Shocking Arrowhead")</f>
        <v>Shocking Arrowhead</v>
      </c>
      <c r="D24" s="47" t="str">
        <f ca="1">IFERROR(__xludf.DUMMYFUNCTION("""COMPUTED_VALUE"""),"Thunderbolt Grenade")</f>
        <v>Thunderbolt Grenade</v>
      </c>
      <c r="E24" s="47" t="str">
        <f ca="1">IFERROR(__xludf.DUMMYFUNCTION("""COMPUTED_VALUE"""),"Blinding Radiance Scroll")</f>
        <v>Blinding Radiance Scroll</v>
      </c>
      <c r="F24" s="47" t="str">
        <f ca="1">IFERROR(__xludf.DUMMYFUNCTION("""COMPUTED_VALUE"""),"Electric Discharge Scroll")</f>
        <v>Electric Discharge Scroll</v>
      </c>
      <c r="G24" s="47" t="str">
        <f ca="1">IFERROR(__xludf.DUMMYFUNCTION("""COMPUTED_VALUE"""),"Favourable Wind Scroll")</f>
        <v>Favourable Wind Scroll</v>
      </c>
      <c r="H24" s="47" t="str">
        <f ca="1">IFERROR(__xludf.DUMMYFUNCTION("""COMPUTED_VALUE"""),"Shocking Touch Scroll")</f>
        <v>Shocking Touch Scroll</v>
      </c>
      <c r="I24" s="47" t="str">
        <f ca="1">IFERROR(__xludf.DUMMYFUNCTION("""COMPUTED_VALUE"""),"Teleportation Scroll")</f>
        <v>Teleportation Scroll</v>
      </c>
      <c r="J24" s="47" t="str">
        <f ca="1">IFERROR(__xludf.DUMMYFUNCTION("""COMPUTED_VALUE"""),"Potion of Jellyfish Skin")</f>
        <v>Potion of Jellyfish Skin</v>
      </c>
      <c r="K24" s="47"/>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7"/>
      <c r="BC24" s="47"/>
      <c r="BD24" s="47"/>
      <c r="BE24" s="47"/>
      <c r="BF24" s="47"/>
      <c r="BG24" s="47"/>
      <c r="BH24" s="47"/>
      <c r="BI24" s="47"/>
      <c r="BJ24" s="47"/>
      <c r="BK24" s="47"/>
      <c r="BL24" s="47"/>
      <c r="BM24" s="47"/>
      <c r="BN24" s="47"/>
      <c r="BO24" s="47"/>
      <c r="BP24" s="47"/>
      <c r="BQ24" s="47"/>
      <c r="BR24" s="47"/>
      <c r="BS24" s="47"/>
      <c r="BT24" s="47"/>
      <c r="BU24" s="47"/>
      <c r="BV24" s="47"/>
      <c r="BW24" s="47"/>
      <c r="BX24" s="47"/>
      <c r="BY24" s="47"/>
      <c r="BZ24" s="47"/>
    </row>
    <row r="25" spans="1:78" ht="15.75" customHeight="1">
      <c r="A25" s="152" t="str">
        <f ca="1">IFERROR(__xludf.DUMMYFUNCTION("""COMPUTED_VALUE"""),"Alertness Herbmix")</f>
        <v>Alertness Herbmix</v>
      </c>
      <c r="B25" s="47" t="str">
        <f ca="1">IFERROR(__xludf.DUMMYFUNCTION("TRANSPOSE(unique(filter(Recipes!A$2:A2490,(Recipes!L$2:L2490=A25)+(Recipes!O$2:O2490=A25)+(Recipes!R$2:R2490=A25)+(Recipes!U$2:U2490=A25)+(Recipes!X$2:X2490=A25))))"),"Potent Alertness Herbmix")</f>
        <v>Potent Alertness Herbmix</v>
      </c>
      <c r="C25" s="47"/>
      <c r="D25" s="47"/>
      <c r="E25" s="47"/>
      <c r="F25" s="47"/>
      <c r="G25" s="47"/>
      <c r="H25" s="47"/>
      <c r="I25" s="47"/>
      <c r="J25" s="47"/>
      <c r="K25" s="47"/>
      <c r="L25" s="47"/>
      <c r="M25" s="47"/>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7"/>
      <c r="BC25" s="47"/>
      <c r="BD25" s="47"/>
      <c r="BE25" s="47"/>
      <c r="BF25" s="47"/>
      <c r="BG25" s="47"/>
      <c r="BH25" s="47"/>
      <c r="BI25" s="47"/>
      <c r="BJ25" s="47"/>
      <c r="BK25" s="47"/>
      <c r="BL25" s="47"/>
      <c r="BM25" s="47"/>
      <c r="BN25" s="47"/>
      <c r="BO25" s="47"/>
      <c r="BP25" s="47"/>
      <c r="BQ25" s="47"/>
      <c r="BR25" s="47"/>
      <c r="BS25" s="47"/>
      <c r="BT25" s="47"/>
      <c r="BU25" s="47"/>
      <c r="BV25" s="47"/>
      <c r="BW25" s="47"/>
      <c r="BX25" s="47"/>
      <c r="BY25" s="47"/>
      <c r="BZ25" s="47"/>
    </row>
    <row r="26" spans="1:78" ht="15.75" customHeight="1">
      <c r="A26" s="152" t="str">
        <f ca="1">IFERROR(__xludf.DUMMYFUNCTION("""COMPUTED_VALUE"""),"Alien Air Essence")</f>
        <v>Alien Air Essence</v>
      </c>
      <c r="B26" s="47" t="str">
        <f ca="1">IFERROR(__xludf.DUMMYFUNCTION("TRANSPOSE(unique(filter(Recipes!A$2:A2490,(Recipes!L$2:L2490=A26)+(Recipes!O$2:O2490=A26)+(Recipes!R$2:R2490=A26)+(Recipes!U$2:U2490=A26)+(Recipes!X$2:X2490=A26))))"),"Superconductor Scroll")</f>
        <v>Superconductor Scroll</v>
      </c>
      <c r="C26" s="47" t="str">
        <f ca="1">IFERROR(__xludf.DUMMYFUNCTION("""COMPUTED_VALUE"""),"Tornado Scroll")</f>
        <v>Tornado Scroll</v>
      </c>
      <c r="D26" s="47"/>
      <c r="E26" s="47"/>
      <c r="F26" s="47"/>
      <c r="G26" s="47"/>
      <c r="H26" s="47"/>
      <c r="I26" s="47"/>
      <c r="J26" s="47"/>
      <c r="K26" s="47"/>
      <c r="L26" s="47"/>
      <c r="M26" s="47"/>
      <c r="N26" s="47"/>
      <c r="O26" s="47"/>
      <c r="P26" s="47"/>
      <c r="Q26" s="47"/>
      <c r="R26" s="47"/>
      <c r="S26" s="47"/>
      <c r="T26" s="47"/>
      <c r="U26" s="47"/>
      <c r="V26" s="47"/>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7"/>
      <c r="BD26" s="47"/>
      <c r="BE26" s="47"/>
      <c r="BF26" s="47"/>
      <c r="BG26" s="47"/>
      <c r="BH26" s="47"/>
      <c r="BI26" s="47"/>
      <c r="BJ26" s="47"/>
      <c r="BK26" s="47"/>
      <c r="BL26" s="47"/>
      <c r="BM26" s="47"/>
      <c r="BN26" s="47"/>
      <c r="BO26" s="47"/>
      <c r="BP26" s="47"/>
      <c r="BQ26" s="47"/>
      <c r="BR26" s="47"/>
      <c r="BS26" s="47"/>
      <c r="BT26" s="47"/>
      <c r="BU26" s="47"/>
      <c r="BV26" s="47"/>
      <c r="BW26" s="47"/>
      <c r="BX26" s="47"/>
      <c r="BY26" s="47"/>
      <c r="BZ26" s="47"/>
    </row>
    <row r="27" spans="1:78" ht="15.75" customHeight="1">
      <c r="A27" s="152" t="str">
        <f ca="1">IFERROR(__xludf.DUMMYFUNCTION("""COMPUTED_VALUE"""),"Alien Earth Essence")</f>
        <v>Alien Earth Essence</v>
      </c>
      <c r="B27" s="47" t="str">
        <f ca="1">IFERROR(__xludf.DUMMYFUNCTION("TRANSPOSE(unique(filter(Recipes!A$2:A2490,(Recipes!L$2:L2490=A27)+(Recipes!O$2:O2490=A27)+(Recipes!R$2:R2490=A27)+(Recipes!U$2:U2490=A27)+(Recipes!X$2:X2490=A27))))"),"Living Wall Scroll")</f>
        <v>Living Wall Scroll</v>
      </c>
      <c r="C27" s="47"/>
      <c r="D27" s="47"/>
      <c r="E27" s="47"/>
      <c r="F27" s="47"/>
      <c r="G27" s="47"/>
      <c r="H27" s="47"/>
      <c r="I27" s="47"/>
      <c r="J27" s="47"/>
      <c r="K27" s="47"/>
      <c r="L27" s="47"/>
      <c r="M27" s="47"/>
      <c r="N27" s="47"/>
      <c r="O27" s="47"/>
      <c r="P27" s="47"/>
      <c r="Q27" s="47"/>
      <c r="R27" s="47"/>
      <c r="S27" s="47"/>
      <c r="T27" s="47"/>
      <c r="U27" s="47"/>
      <c r="V27" s="47"/>
      <c r="W27" s="47"/>
      <c r="X27" s="47"/>
      <c r="Y27" s="47"/>
      <c r="Z27" s="47"/>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7"/>
      <c r="BD27" s="47"/>
      <c r="BE27" s="47"/>
      <c r="BF27" s="47"/>
      <c r="BG27" s="47"/>
      <c r="BH27" s="47"/>
      <c r="BI27" s="47"/>
      <c r="BJ27" s="47"/>
      <c r="BK27" s="47"/>
      <c r="BL27" s="47"/>
      <c r="BM27" s="47"/>
      <c r="BN27" s="47"/>
      <c r="BO27" s="47"/>
      <c r="BP27" s="47"/>
      <c r="BQ27" s="47"/>
      <c r="BR27" s="47"/>
      <c r="BS27" s="47"/>
      <c r="BT27" s="47"/>
      <c r="BU27" s="47"/>
      <c r="BV27" s="47"/>
      <c r="BW27" s="47"/>
      <c r="BX27" s="47"/>
      <c r="BY27" s="47"/>
      <c r="BZ27" s="47"/>
    </row>
    <row r="28" spans="1:78" ht="15.75" customHeight="1">
      <c r="A28" s="152" t="str">
        <f ca="1">IFERROR(__xludf.DUMMYFUNCTION("""COMPUTED_VALUE"""),"Alien Fire Essence")</f>
        <v>Alien Fire Essence</v>
      </c>
      <c r="B28" s="47" t="str">
        <f ca="1">IFERROR(__xludf.DUMMYFUNCTION("TRANSPOSE(unique(filter(Recipes!A$2:A2490,(Recipes!L$2:L2490=A28)+(Recipes!O$2:O2490=A28)+(Recipes!R$2:R2490=A28)+(Recipes!U$2:U2490=A28)+(Recipes!X$2:X2490=A28))))"),"Firebrand Scroll")</f>
        <v>Firebrand Scroll</v>
      </c>
      <c r="C28" s="47" t="str">
        <f ca="1">IFERROR(__xludf.DUMMYFUNCTION("""COMPUTED_VALUE"""),"Flaming Crescendo Scroll")</f>
        <v>Flaming Crescendo Scroll</v>
      </c>
      <c r="D28" s="47"/>
      <c r="E28" s="47"/>
      <c r="F28" s="47"/>
      <c r="G28" s="47"/>
      <c r="H28" s="47"/>
      <c r="I28" s="47"/>
      <c r="J28" s="47"/>
      <c r="K28" s="47"/>
      <c r="L28" s="47"/>
      <c r="M28" s="47"/>
      <c r="N28" s="47"/>
      <c r="O28" s="47"/>
      <c r="P28" s="47"/>
      <c r="Q28" s="47"/>
      <c r="R28" s="47"/>
      <c r="S28" s="47"/>
      <c r="T28" s="47"/>
      <c r="U28" s="47"/>
      <c r="V28" s="47"/>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47"/>
      <c r="AZ28" s="47"/>
      <c r="BA28" s="47"/>
      <c r="BB28" s="47"/>
      <c r="BC28" s="47"/>
      <c r="BD28" s="47"/>
      <c r="BE28" s="47"/>
      <c r="BF28" s="47"/>
      <c r="BG28" s="47"/>
      <c r="BH28" s="47"/>
      <c r="BI28" s="47"/>
      <c r="BJ28" s="47"/>
      <c r="BK28" s="47"/>
      <c r="BL28" s="47"/>
      <c r="BM28" s="47"/>
      <c r="BN28" s="47"/>
      <c r="BO28" s="47"/>
      <c r="BP28" s="47"/>
      <c r="BQ28" s="47"/>
      <c r="BR28" s="47"/>
      <c r="BS28" s="47"/>
      <c r="BT28" s="47"/>
      <c r="BU28" s="47"/>
      <c r="BV28" s="47"/>
      <c r="BW28" s="47"/>
      <c r="BX28" s="47"/>
      <c r="BY28" s="47"/>
      <c r="BZ28" s="47"/>
    </row>
    <row r="29" spans="1:78" ht="15.75" customHeight="1">
      <c r="A29" s="152" t="str">
        <f ca="1">IFERROR(__xludf.DUMMYFUNCTION("""COMPUTED_VALUE"""),"Alien Life Essence")</f>
        <v>Alien Life Essence</v>
      </c>
      <c r="B29" s="47" t="str">
        <f ca="1">IFERROR(__xludf.DUMMYFUNCTION("TRANSPOSE(unique(filter(Recipes!A$2:A2490,(Recipes!L$2:L2490=A29)+(Recipes!O$2:O2490=A29)+(Recipes!R$2:R2490=A29)+(Recipes!U$2:U2490=A29)+(Recipes!X$2:X2490=A29))))"),"Equalise Scroll")</f>
        <v>Equalise Scroll</v>
      </c>
      <c r="C29" s="47"/>
      <c r="D29" s="47"/>
      <c r="E29" s="47"/>
      <c r="F29" s="47"/>
      <c r="G29" s="47"/>
      <c r="H29" s="47"/>
      <c r="I29" s="47"/>
      <c r="J29" s="47"/>
      <c r="K29" s="47"/>
      <c r="L29" s="47"/>
      <c r="M29" s="47"/>
      <c r="N29" s="47"/>
      <c r="O29" s="47"/>
      <c r="P29" s="47"/>
      <c r="Q29" s="47"/>
      <c r="R29" s="47"/>
      <c r="S29" s="47"/>
      <c r="T29" s="47"/>
      <c r="U29" s="47"/>
      <c r="V29" s="47"/>
      <c r="W29" s="47"/>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7"/>
      <c r="BC29" s="47"/>
      <c r="BD29" s="47"/>
      <c r="BE29" s="47"/>
      <c r="BF29" s="47"/>
      <c r="BG29" s="47"/>
      <c r="BH29" s="47"/>
      <c r="BI29" s="47"/>
      <c r="BJ29" s="47"/>
      <c r="BK29" s="47"/>
      <c r="BL29" s="47"/>
      <c r="BM29" s="47"/>
      <c r="BN29" s="47"/>
      <c r="BO29" s="47"/>
      <c r="BP29" s="47"/>
      <c r="BQ29" s="47"/>
      <c r="BR29" s="47"/>
      <c r="BS29" s="47"/>
      <c r="BT29" s="47"/>
      <c r="BU29" s="47"/>
      <c r="BV29" s="47"/>
      <c r="BW29" s="47"/>
      <c r="BX29" s="47"/>
      <c r="BY29" s="47"/>
      <c r="BZ29" s="47"/>
    </row>
    <row r="30" spans="1:78" ht="15.75" customHeight="1">
      <c r="A30" s="152" t="str">
        <f ca="1">IFERROR(__xludf.DUMMYFUNCTION("""COMPUTED_VALUE"""),"Alien Shadow Essence")</f>
        <v>Alien Shadow Essence</v>
      </c>
      <c r="B30" s="47" t="str">
        <f ca="1">IFERROR(__xludf.DUMMYFUNCTION("TRANSPOSE(unique(filter(Recipes!A$2:A2490,(Recipes!L$2:L2490=A30)+(Recipes!O$2:O2490=A30)+(Recipes!R$2:R2490=A30)+(Recipes!U$2:U2490=A30)+(Recipes!X$2:X2490=A30))))"),"Silencing Stare Scroll")</f>
        <v>Silencing Stare Scroll</v>
      </c>
      <c r="C30" s="47"/>
      <c r="D30" s="47"/>
      <c r="E30" s="47"/>
      <c r="F30" s="47"/>
      <c r="G30" s="47"/>
      <c r="H30" s="47"/>
      <c r="I30" s="47"/>
      <c r="J30" s="47"/>
      <c r="K30" s="47"/>
      <c r="L30" s="47"/>
      <c r="M30" s="47"/>
      <c r="N30" s="47"/>
      <c r="O30" s="47"/>
      <c r="P30" s="47"/>
      <c r="Q30" s="47"/>
      <c r="R30" s="47"/>
      <c r="S30" s="47"/>
      <c r="T30" s="47"/>
      <c r="U30" s="47"/>
      <c r="V30" s="47"/>
      <c r="W30" s="47"/>
      <c r="X30" s="47"/>
      <c r="Y30" s="47"/>
      <c r="Z30" s="47"/>
      <c r="AA30" s="47"/>
      <c r="AB30" s="47"/>
      <c r="AC30" s="47"/>
      <c r="AD30" s="47"/>
      <c r="AE30" s="47"/>
      <c r="AF30" s="47"/>
      <c r="AG30" s="47"/>
      <c r="AH30" s="47"/>
      <c r="AI30" s="47"/>
      <c r="AJ30" s="47"/>
      <c r="AK30" s="47"/>
      <c r="AL30" s="47"/>
      <c r="AM30" s="47"/>
      <c r="AN30" s="47"/>
      <c r="AO30" s="47"/>
      <c r="AP30" s="47"/>
      <c r="AQ30" s="47"/>
      <c r="AR30" s="47"/>
      <c r="AS30" s="47"/>
      <c r="AT30" s="47"/>
      <c r="AU30" s="47"/>
      <c r="AV30" s="47"/>
      <c r="AW30" s="47"/>
      <c r="AX30" s="47"/>
      <c r="AY30" s="47"/>
      <c r="AZ30" s="47"/>
      <c r="BA30" s="47"/>
      <c r="BB30" s="47"/>
      <c r="BC30" s="47"/>
      <c r="BD30" s="47"/>
      <c r="BE30" s="47"/>
      <c r="BF30" s="47"/>
      <c r="BG30" s="47"/>
      <c r="BH30" s="47"/>
      <c r="BI30" s="47"/>
      <c r="BJ30" s="47"/>
      <c r="BK30" s="47"/>
      <c r="BL30" s="47"/>
      <c r="BM30" s="47"/>
      <c r="BN30" s="47"/>
      <c r="BO30" s="47"/>
      <c r="BP30" s="47"/>
      <c r="BQ30" s="47"/>
      <c r="BR30" s="47"/>
      <c r="BS30" s="47"/>
      <c r="BT30" s="47"/>
      <c r="BU30" s="47"/>
      <c r="BV30" s="47"/>
      <c r="BW30" s="47"/>
      <c r="BX30" s="47"/>
      <c r="BY30" s="47"/>
      <c r="BZ30" s="47"/>
    </row>
    <row r="31" spans="1:78" ht="15.75" customHeight="1">
      <c r="A31" s="152" t="str">
        <f ca="1">IFERROR(__xludf.DUMMYFUNCTION("""COMPUTED_VALUE"""),"Alien Tormented Soul")</f>
        <v>Alien Tormented Soul</v>
      </c>
      <c r="B31" s="47" t="str">
        <f ca="1">IFERROR(__xludf.DUMMYFUNCTION("TRANSPOSE(unique(filter(Recipes!A$2:A2490,(Recipes!L$2:L2490=A31)+(Recipes!O$2:O2490=A31)+(Recipes!R$2:R2490=A31)+(Recipes!U$2:U2490=A31)+(Recipes!X$2:X2490=A31))))"),"Charm Scroll")</f>
        <v>Charm Scroll</v>
      </c>
      <c r="C31" s="47"/>
      <c r="D31" s="47"/>
      <c r="E31" s="47"/>
      <c r="F31" s="47"/>
      <c r="G31" s="47"/>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7"/>
      <c r="BC31" s="47"/>
      <c r="BD31" s="47"/>
      <c r="BE31" s="47"/>
      <c r="BF31" s="47"/>
      <c r="BG31" s="47"/>
      <c r="BH31" s="47"/>
      <c r="BI31" s="47"/>
      <c r="BJ31" s="47"/>
      <c r="BK31" s="47"/>
      <c r="BL31" s="47"/>
      <c r="BM31" s="47"/>
      <c r="BN31" s="47"/>
      <c r="BO31" s="47"/>
      <c r="BP31" s="47"/>
      <c r="BQ31" s="47"/>
      <c r="BR31" s="47"/>
      <c r="BS31" s="47"/>
      <c r="BT31" s="47"/>
      <c r="BU31" s="47"/>
      <c r="BV31" s="47"/>
      <c r="BW31" s="47"/>
      <c r="BX31" s="47"/>
      <c r="BY31" s="47"/>
      <c r="BZ31" s="47"/>
    </row>
    <row r="32" spans="1:78" ht="15.75" customHeight="1">
      <c r="A32" s="152" t="str">
        <f ca="1">IFERROR(__xludf.DUMMYFUNCTION("""COMPUTED_VALUE"""),"Alien Water Essence")</f>
        <v>Alien Water Essence</v>
      </c>
      <c r="B32" s="47" t="str">
        <f ca="1">IFERROR(__xludf.DUMMYFUNCTION("TRANSPOSE(unique(filter(Recipes!A$2:A2490,(Recipes!L$2:L2490=A32)+(Recipes!O$2:O2490=A32)+(Recipes!R$2:R2490=A32)+(Recipes!U$2:U2490=A32)+(Recipes!X$2:X2490=A32))))"),"Deep Freeze Scroll")</f>
        <v>Deep Freeze Scroll</v>
      </c>
      <c r="C32" s="47"/>
      <c r="D32" s="47"/>
      <c r="E32" s="47"/>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47"/>
      <c r="BJ32" s="47"/>
      <c r="BK32" s="47"/>
      <c r="BL32" s="47"/>
      <c r="BM32" s="47"/>
      <c r="BN32" s="47"/>
      <c r="BO32" s="47"/>
      <c r="BP32" s="47"/>
      <c r="BQ32" s="47"/>
      <c r="BR32" s="47"/>
      <c r="BS32" s="47"/>
      <c r="BT32" s="47"/>
      <c r="BU32" s="47"/>
      <c r="BV32" s="47"/>
      <c r="BW32" s="47"/>
      <c r="BX32" s="47"/>
      <c r="BY32" s="47"/>
      <c r="BZ32" s="47"/>
    </row>
    <row r="33" spans="1:78" ht="15.75" customHeight="1">
      <c r="A33" s="152" t="str">
        <f ca="1">IFERROR(__xludf.DUMMYFUNCTION("""COMPUTED_VALUE"""),"Amadouvier")</f>
        <v>Amadouvier</v>
      </c>
      <c r="B33" s="47" t="str">
        <f ca="1">IFERROR(__xludf.DUMMYFUNCTION("TRANSPOSE(unique(filter(Recipes!A$2:A2490,(Recipes!L$2:L2490=A33)+(Recipes!O$2:O2490=A33)+(Recipes!R$2:R2490=A33)+(Recipes!U$2:U2490=A33)+(Recipes!X$2:X2490=A33))))"),"Physical Armor Potion")</f>
        <v>Physical Armor Potion</v>
      </c>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7"/>
      <c r="AJ33" s="47"/>
      <c r="AK33" s="47"/>
      <c r="AL33" s="47"/>
      <c r="AM33" s="47"/>
      <c r="AN33" s="47"/>
      <c r="AO33" s="47"/>
      <c r="AP33" s="47"/>
      <c r="AQ33" s="47"/>
      <c r="AR33" s="47"/>
      <c r="AS33" s="47"/>
      <c r="AT33" s="47"/>
      <c r="AU33" s="47"/>
      <c r="AV33" s="47"/>
      <c r="AW33" s="47"/>
      <c r="AX33" s="47"/>
      <c r="AY33" s="47"/>
      <c r="AZ33" s="47"/>
      <c r="BA33" s="47"/>
      <c r="BB33" s="47"/>
      <c r="BC33" s="47"/>
      <c r="BD33" s="47"/>
      <c r="BE33" s="47"/>
      <c r="BF33" s="47"/>
      <c r="BG33" s="47"/>
      <c r="BH33" s="47"/>
      <c r="BI33" s="47"/>
      <c r="BJ33" s="47"/>
      <c r="BK33" s="47"/>
      <c r="BL33" s="47"/>
      <c r="BM33" s="47"/>
      <c r="BN33" s="47"/>
      <c r="BO33" s="47"/>
      <c r="BP33" s="47"/>
      <c r="BQ33" s="47"/>
      <c r="BR33" s="47"/>
      <c r="BS33" s="47"/>
      <c r="BT33" s="47"/>
      <c r="BU33" s="47"/>
      <c r="BV33" s="47"/>
      <c r="BW33" s="47"/>
      <c r="BX33" s="47"/>
      <c r="BY33" s="47"/>
      <c r="BZ33" s="47"/>
    </row>
    <row r="34" spans="1:78" ht="15.75" customHeight="1">
      <c r="A34" s="152" t="str">
        <f ca="1">IFERROR(__xludf.DUMMYFUNCTION("""COMPUTED_VALUE"""),"Amethyst Deceiver")</f>
        <v>Amethyst Deceiver</v>
      </c>
      <c r="B34" s="47" t="str">
        <f ca="1">IFERROR(__xludf.DUMMYFUNCTION("TRANSPOSE(unique(filter(Recipes!A$2:A2490,(Recipes!L$2:L2490=A34)+(Recipes!O$2:O2490=A34)+(Recipes!R$2:R2490=A34)+(Recipes!U$2:U2490=A34)+(Recipes!X$2:X2490=A34))))"),"Minor Strength Potion")</f>
        <v>Minor Strength Potion</v>
      </c>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7"/>
      <c r="BC34" s="47"/>
      <c r="BD34" s="47"/>
      <c r="BE34" s="47"/>
      <c r="BF34" s="47"/>
      <c r="BG34" s="47"/>
      <c r="BH34" s="47"/>
      <c r="BI34" s="47"/>
      <c r="BJ34" s="47"/>
      <c r="BK34" s="47"/>
      <c r="BL34" s="47"/>
      <c r="BM34" s="47"/>
      <c r="BN34" s="47"/>
      <c r="BO34" s="47"/>
      <c r="BP34" s="47"/>
      <c r="BQ34" s="47"/>
      <c r="BR34" s="47"/>
      <c r="BS34" s="47"/>
      <c r="BT34" s="47"/>
      <c r="BU34" s="47"/>
      <c r="BV34" s="47"/>
      <c r="BW34" s="47"/>
      <c r="BX34" s="47"/>
      <c r="BY34" s="47"/>
      <c r="BZ34" s="47"/>
    </row>
    <row r="35" spans="1:78" ht="15.75" customHeight="1">
      <c r="A35" s="152" t="str">
        <f ca="1">IFERROR(__xludf.DUMMYFUNCTION("""COMPUTED_VALUE"""),"Amulet")</f>
        <v>Amulet</v>
      </c>
      <c r="B35" s="47" t="str">
        <f ca="1">IFERROR(__xludf.DUMMYFUNCTION("TRANSPOSE(unique(filter(Recipes!A$2:A2490,(Recipes!L$2:L2490=A35)+(Recipes!O$2:O2490=A35)+(Recipes!R$2:R2490=A35)+(Recipes!U$2:U2490=A35)+(Recipes!X$2:X2490=A35))))"),"Boost Amulet")</f>
        <v>Boost Amulet</v>
      </c>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7"/>
      <c r="AJ35" s="47"/>
      <c r="AK35" s="47"/>
      <c r="AL35" s="47"/>
      <c r="AM35" s="47"/>
      <c r="AN35" s="47"/>
      <c r="AO35" s="47"/>
      <c r="AP35" s="47"/>
      <c r="AQ35" s="47"/>
      <c r="AR35" s="47"/>
      <c r="AS35" s="47"/>
      <c r="AT35" s="47"/>
      <c r="AU35" s="47"/>
      <c r="AV35" s="47"/>
      <c r="AW35" s="47"/>
      <c r="AX35" s="47"/>
      <c r="AY35" s="47"/>
      <c r="AZ35" s="47"/>
      <c r="BA35" s="47"/>
      <c r="BB35" s="47"/>
      <c r="BC35" s="47"/>
      <c r="BD35" s="47"/>
      <c r="BE35" s="47"/>
      <c r="BF35" s="47"/>
      <c r="BG35" s="47"/>
      <c r="BH35" s="47"/>
      <c r="BI35" s="47"/>
      <c r="BJ35" s="47"/>
      <c r="BK35" s="47"/>
      <c r="BL35" s="47"/>
      <c r="BM35" s="47"/>
      <c r="BN35" s="47"/>
      <c r="BO35" s="47"/>
      <c r="BP35" s="47"/>
      <c r="BQ35" s="47"/>
      <c r="BR35" s="47"/>
      <c r="BS35" s="47"/>
      <c r="BT35" s="47"/>
      <c r="BU35" s="47"/>
      <c r="BV35" s="47"/>
      <c r="BW35" s="47"/>
      <c r="BX35" s="47"/>
      <c r="BY35" s="47"/>
      <c r="BZ35" s="47"/>
    </row>
    <row r="36" spans="1:78" ht="15.75" customHeight="1">
      <c r="A36" s="152" t="str">
        <f ca="1">IFERROR(__xludf.DUMMYFUNCTION("""COMPUTED_VALUE"""),"Ancient Forge")</f>
        <v>Ancient Forge</v>
      </c>
      <c r="B36" s="47" t="str">
        <f ca="1">IFERROR(__xludf.DUMMYFUNCTION("TRANSPOSE(unique(filter(Recipes!A$2:A2490,(Recipes!L$2:L2490=A36)+(Recipes!O$2:O2490=A36)+(Recipes!R$2:R2490=A36)+(Recipes!U$2:U2490=A36)+(Recipes!X$2:X2490=A36))))"),"Silver Lever Shaft")</f>
        <v>Silver Lever Shaft</v>
      </c>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7"/>
      <c r="BD36" s="47"/>
      <c r="BE36" s="47"/>
      <c r="BF36" s="47"/>
      <c r="BG36" s="47"/>
      <c r="BH36" s="47"/>
      <c r="BI36" s="47"/>
      <c r="BJ36" s="47"/>
      <c r="BK36" s="47"/>
      <c r="BL36" s="47"/>
      <c r="BM36" s="47"/>
      <c r="BN36" s="47"/>
      <c r="BO36" s="47"/>
      <c r="BP36" s="47"/>
      <c r="BQ36" s="47"/>
      <c r="BR36" s="47"/>
      <c r="BS36" s="47"/>
      <c r="BT36" s="47"/>
      <c r="BU36" s="47"/>
      <c r="BV36" s="47"/>
      <c r="BW36" s="47"/>
      <c r="BX36" s="47"/>
      <c r="BY36" s="47"/>
      <c r="BZ36" s="47"/>
    </row>
    <row r="37" spans="1:78" ht="15.75" customHeight="1">
      <c r="A37" s="152" t="str">
        <f ca="1">IFERROR(__xludf.DUMMYFUNCTION("""COMPUTED_VALUE"""),"Ancient Human Skull")</f>
        <v>Ancient Human Skull</v>
      </c>
      <c r="B37" s="47" t="str">
        <f ca="1">IFERROR(__xludf.DUMMYFUNCTION("TRANSPOSE(unique(filter(Recipes!A$2:A2490,(Recipes!L$2:L2490=A37)+(Recipes!O$2:O2490=A37)+(Recipes!R$2:R2490=A37)+(Recipes!U$2:U2490=A37)+(Recipes!X$2:X2490=A37))))"),"Raise Bone Widow Scroll")</f>
        <v>Raise Bone Widow Scroll</v>
      </c>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47"/>
      <c r="AV37" s="47"/>
      <c r="AW37" s="47"/>
      <c r="AX37" s="47"/>
      <c r="AY37" s="47"/>
      <c r="AZ37" s="47"/>
      <c r="BA37" s="47"/>
      <c r="BB37" s="47"/>
      <c r="BC37" s="47"/>
      <c r="BD37" s="47"/>
      <c r="BE37" s="47"/>
      <c r="BF37" s="47"/>
      <c r="BG37" s="47"/>
      <c r="BH37" s="47"/>
      <c r="BI37" s="47"/>
      <c r="BJ37" s="47"/>
      <c r="BK37" s="47"/>
      <c r="BL37" s="47"/>
      <c r="BM37" s="47"/>
      <c r="BN37" s="47"/>
      <c r="BO37" s="47"/>
      <c r="BP37" s="47"/>
      <c r="BQ37" s="47"/>
      <c r="BR37" s="47"/>
      <c r="BS37" s="47"/>
      <c r="BT37" s="47"/>
      <c r="BU37" s="47"/>
      <c r="BV37" s="47"/>
      <c r="BW37" s="47"/>
      <c r="BX37" s="47"/>
      <c r="BY37" s="47"/>
      <c r="BZ37" s="47"/>
    </row>
    <row r="38" spans="1:78" ht="15.75" customHeight="1">
      <c r="A38" s="152" t="str">
        <f ca="1">IFERROR(__xludf.DUMMYFUNCTION("""COMPUTED_VALUE"""),"Animal Hide")</f>
        <v>Animal Hide</v>
      </c>
      <c r="B38" s="47" t="str">
        <f ca="1">IFERROR(__xludf.DUMMYFUNCTION("TRANSPOSE(unique(filter(Recipes!A$2:A2490,(Recipes!L$2:L2490=A38)+(Recipes!O$2:O2490=A38)+(Recipes!R$2:R2490=A38)+(Recipes!U$2:U2490=A38)+(Recipes!X$2:X2490=A38))))"),"Leather Scraps")</f>
        <v>Leather Scraps</v>
      </c>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7"/>
      <c r="AJ38" s="47"/>
      <c r="AK38" s="47"/>
      <c r="AL38" s="47"/>
      <c r="AM38" s="47"/>
      <c r="AN38" s="47"/>
      <c r="AO38" s="47"/>
      <c r="AP38" s="47"/>
      <c r="AQ38" s="47"/>
      <c r="AR38" s="47"/>
      <c r="AS38" s="47"/>
      <c r="AT38" s="47"/>
      <c r="AU38" s="47"/>
      <c r="AV38" s="47"/>
      <c r="AW38" s="47"/>
      <c r="AX38" s="47"/>
      <c r="AY38" s="47"/>
      <c r="AZ38" s="47"/>
      <c r="BA38" s="47"/>
      <c r="BB38" s="47"/>
      <c r="BC38" s="47"/>
      <c r="BD38" s="47"/>
      <c r="BE38" s="47"/>
      <c r="BF38" s="47"/>
      <c r="BG38" s="47"/>
      <c r="BH38" s="47"/>
      <c r="BI38" s="47"/>
      <c r="BJ38" s="47"/>
      <c r="BK38" s="47"/>
      <c r="BL38" s="47"/>
      <c r="BM38" s="47"/>
      <c r="BN38" s="47"/>
      <c r="BO38" s="47"/>
      <c r="BP38" s="47"/>
      <c r="BQ38" s="47"/>
      <c r="BR38" s="47"/>
      <c r="BS38" s="47"/>
      <c r="BT38" s="47"/>
      <c r="BU38" s="47"/>
      <c r="BV38" s="47"/>
      <c r="BW38" s="47"/>
      <c r="BX38" s="47"/>
      <c r="BY38" s="47"/>
      <c r="BZ38" s="47"/>
    </row>
    <row r="39" spans="1:78" ht="15.75" customHeight="1">
      <c r="A39" s="152" t="str">
        <f ca="1">IFERROR(__xludf.DUMMYFUNCTION("""COMPUTED_VALUE"""),"Animal Scales")</f>
        <v>Animal Scales</v>
      </c>
      <c r="B39" s="47" t="str">
        <f ca="1">IFERROR(__xludf.DUMMYFUNCTION("TRANSPOSE(unique(filter(Recipes!A$2:A2490,(Recipes!L$2:L2490=A39)+(Recipes!O$2:O2490=A39)+(Recipes!R$2:R2490=A39)+(Recipes!U$2:U2490=A39)+(Recipes!X$2:X2490=A39))))"),"Skin Graft Scroll")</f>
        <v>Skin Graft Scroll</v>
      </c>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7"/>
      <c r="BC39" s="47"/>
      <c r="BD39" s="47"/>
      <c r="BE39" s="47"/>
      <c r="BF39" s="47"/>
      <c r="BG39" s="47"/>
      <c r="BH39" s="47"/>
      <c r="BI39" s="47"/>
      <c r="BJ39" s="47"/>
      <c r="BK39" s="47"/>
      <c r="BL39" s="47"/>
      <c r="BM39" s="47"/>
      <c r="BN39" s="47"/>
      <c r="BO39" s="47"/>
      <c r="BP39" s="47"/>
      <c r="BQ39" s="47"/>
      <c r="BR39" s="47"/>
      <c r="BS39" s="47"/>
      <c r="BT39" s="47"/>
      <c r="BU39" s="47"/>
      <c r="BV39" s="47"/>
      <c r="BW39" s="47"/>
      <c r="BX39" s="47"/>
      <c r="BY39" s="47"/>
      <c r="BZ39" s="47"/>
    </row>
    <row r="40" spans="1:78" ht="15.75" customHeight="1">
      <c r="A40" s="152" t="str">
        <f ca="1">IFERROR(__xludf.DUMMYFUNCTION("""COMPUTED_VALUE"""),"Antler")</f>
        <v>Antler</v>
      </c>
      <c r="B40" s="47" t="str">
        <f ca="1">IFERROR(__xludf.DUMMYFUNCTION("TRANSPOSE(unique(filter(Recipes!A$2:A2490,(Recipes!L$2:L2490=A40)+(Recipes!O$2:O2490=A40)+(Recipes!R$2:R2490=A40)+(Recipes!U$2:U2490=A40)+(Recipes!X$2:X2490=A40))))"),"Knockdown Arrowhead")</f>
        <v>Knockdown Arrowhead</v>
      </c>
      <c r="C40" s="47" t="str">
        <f ca="1">IFERROR(__xludf.DUMMYFUNCTION("""COMPUTED_VALUE"""),"Bull Horns Scroll")</f>
        <v>Bull Horns Scroll</v>
      </c>
      <c r="D40" s="47" t="str">
        <f ca="1">IFERROR(__xludf.DUMMYFUNCTION("""COMPUTED_VALUE"""),"Haste Scroll")</f>
        <v>Haste Scroll</v>
      </c>
      <c r="E40" s="47"/>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7"/>
      <c r="BC40" s="47"/>
      <c r="BD40" s="47"/>
      <c r="BE40" s="47"/>
      <c r="BF40" s="47"/>
      <c r="BG40" s="47"/>
      <c r="BH40" s="47"/>
      <c r="BI40" s="47"/>
      <c r="BJ40" s="47"/>
      <c r="BK40" s="47"/>
      <c r="BL40" s="47"/>
      <c r="BM40" s="47"/>
      <c r="BN40" s="47"/>
      <c r="BO40" s="47"/>
      <c r="BP40" s="47"/>
      <c r="BQ40" s="47"/>
      <c r="BR40" s="47"/>
      <c r="BS40" s="47"/>
      <c r="BT40" s="47"/>
      <c r="BU40" s="47"/>
      <c r="BV40" s="47"/>
      <c r="BW40" s="47"/>
      <c r="BX40" s="47"/>
      <c r="BY40" s="47"/>
      <c r="BZ40" s="47"/>
    </row>
    <row r="41" spans="1:78" ht="15.75" customHeight="1">
      <c r="A41" s="152" t="str">
        <f ca="1">IFERROR(__xludf.DUMMYFUNCTION("""COMPUTED_VALUE"""),"Apotheosis Scroll")</f>
        <v>Apotheosis Scroll</v>
      </c>
      <c r="B41" s="47" t="str">
        <f ca="1">IFERROR(__xludf.DUMMYFUNCTION("TRANSPOSE(unique(filter(Recipes!A$2:A2490,(Recipes!L$2:L2490=A41)+(Recipes!O$2:O2490=A41)+(Recipes!R$2:R2490=A41)+(Recipes!U$2:U2490=A41)+(Recipes!X$2:X2490=A41))))"),"Apotheosis Skillbook")</f>
        <v>Apotheosis Skillbook</v>
      </c>
      <c r="C41" s="47"/>
      <c r="D41" s="47"/>
      <c r="E41" s="47"/>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7"/>
      <c r="BC41" s="47"/>
      <c r="BD41" s="47"/>
      <c r="BE41" s="47"/>
      <c r="BF41" s="47"/>
      <c r="BG41" s="47"/>
      <c r="BH41" s="47"/>
      <c r="BI41" s="47"/>
      <c r="BJ41" s="47"/>
      <c r="BK41" s="47"/>
      <c r="BL41" s="47"/>
      <c r="BM41" s="47"/>
      <c r="BN41" s="47"/>
      <c r="BO41" s="47"/>
      <c r="BP41" s="47"/>
      <c r="BQ41" s="47"/>
      <c r="BR41" s="47"/>
      <c r="BS41" s="47"/>
      <c r="BT41" s="47"/>
      <c r="BU41" s="47"/>
      <c r="BV41" s="47"/>
      <c r="BW41" s="47"/>
      <c r="BX41" s="47"/>
      <c r="BY41" s="47"/>
      <c r="BZ41" s="47"/>
    </row>
    <row r="42" spans="1:78" ht="15.75" customHeight="1">
      <c r="A42" s="152" t="str">
        <f ca="1">IFERROR(__xludf.DUMMYFUNCTION("""COMPUTED_VALUE"""),"Apple")</f>
        <v>Apple</v>
      </c>
      <c r="B42" s="47" t="str">
        <f ca="1">IFERROR(__xludf.DUMMYFUNCTION("TRANSPOSE(unique(filter(Recipes!A$2:A2490,(Recipes!L$2:L2490=A42)+(Recipes!O$2:O2490=A42)+(Recipes!R$2:R2490=A42)+(Recipes!U$2:U2490=A42)+(Recipes!X$2:X2490=A42))))"),"Apple Juice")</f>
        <v>Apple Juice</v>
      </c>
      <c r="C42" s="47" t="str">
        <f ca="1">IFERROR(__xludf.DUMMYFUNCTION("""COMPUTED_VALUE"""),"Apple Pie Dough")</f>
        <v>Apple Pie Dough</v>
      </c>
      <c r="D42" s="47"/>
      <c r="E42" s="47"/>
      <c r="F42" s="47"/>
      <c r="G42" s="47"/>
      <c r="H42" s="47"/>
      <c r="I42" s="47"/>
      <c r="J42" s="47"/>
      <c r="K42" s="47"/>
      <c r="L42" s="47"/>
      <c r="M42" s="47"/>
      <c r="N42" s="47"/>
      <c r="O42" s="47"/>
      <c r="P42" s="47"/>
      <c r="Q42" s="47"/>
      <c r="R42" s="47"/>
      <c r="S42" s="47"/>
      <c r="T42" s="47"/>
      <c r="U42" s="47"/>
      <c r="V42" s="47"/>
      <c r="W42" s="47"/>
      <c r="X42" s="47"/>
      <c r="Y42" s="47"/>
      <c r="Z42" s="47"/>
      <c r="AA42" s="47"/>
      <c r="AB42" s="47"/>
      <c r="AC42" s="47"/>
      <c r="AD42" s="47"/>
      <c r="AE42" s="47"/>
      <c r="AF42" s="47"/>
      <c r="AG42" s="47"/>
      <c r="AH42" s="47"/>
      <c r="AI42" s="47"/>
      <c r="AJ42" s="47"/>
      <c r="AK42" s="47"/>
      <c r="AL42" s="47"/>
      <c r="AM42" s="47"/>
      <c r="AN42" s="47"/>
      <c r="AO42" s="47"/>
      <c r="AP42" s="47"/>
      <c r="AQ42" s="47"/>
      <c r="AR42" s="47"/>
      <c r="AS42" s="47"/>
      <c r="AT42" s="47"/>
      <c r="AU42" s="47"/>
      <c r="AV42" s="47"/>
      <c r="AW42" s="47"/>
      <c r="AX42" s="47"/>
      <c r="AY42" s="47"/>
      <c r="AZ42" s="47"/>
      <c r="BA42" s="47"/>
      <c r="BB42" s="47"/>
      <c r="BC42" s="47"/>
      <c r="BD42" s="47"/>
      <c r="BE42" s="47"/>
      <c r="BF42" s="47"/>
      <c r="BG42" s="47"/>
      <c r="BH42" s="47"/>
      <c r="BI42" s="47"/>
      <c r="BJ42" s="47"/>
      <c r="BK42" s="47"/>
      <c r="BL42" s="47"/>
      <c r="BM42" s="47"/>
      <c r="BN42" s="47"/>
      <c r="BO42" s="47"/>
      <c r="BP42" s="47"/>
      <c r="BQ42" s="47"/>
      <c r="BR42" s="47"/>
      <c r="BS42" s="47"/>
      <c r="BT42" s="47"/>
      <c r="BU42" s="47"/>
      <c r="BV42" s="47"/>
      <c r="BW42" s="47"/>
      <c r="BX42" s="47"/>
      <c r="BY42" s="47"/>
      <c r="BZ42" s="47"/>
    </row>
    <row r="43" spans="1:78" ht="15.75" customHeight="1">
      <c r="A43" s="152" t="str">
        <f ca="1">IFERROR(__xludf.DUMMYFUNCTION("""COMPUTED_VALUE"""),"Apple Pie Dough")</f>
        <v>Apple Pie Dough</v>
      </c>
      <c r="B43" s="47" t="str">
        <f ca="1">IFERROR(__xludf.DUMMYFUNCTION("TRANSPOSE(unique(filter(Recipes!A$2:A2490,(Recipes!L$2:L2490=A43)+(Recipes!O$2:O2490=A43)+(Recipes!R$2:R2490=A43)+(Recipes!U$2:U2490=A43)+(Recipes!X$2:X2490=A43))))"),"Apple Pie")</f>
        <v>Apple Pie</v>
      </c>
      <c r="C43" s="47"/>
      <c r="D43" s="47"/>
      <c r="E43" s="47"/>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7"/>
      <c r="AJ43" s="47"/>
      <c r="AK43" s="47"/>
      <c r="AL43" s="47"/>
      <c r="AM43" s="47"/>
      <c r="AN43" s="47"/>
      <c r="AO43" s="47"/>
      <c r="AP43" s="47"/>
      <c r="AQ43" s="47"/>
      <c r="AR43" s="47"/>
      <c r="AS43" s="47"/>
      <c r="AT43" s="47"/>
      <c r="AU43" s="47"/>
      <c r="AV43" s="47"/>
      <c r="AW43" s="47"/>
      <c r="AX43" s="47"/>
      <c r="AY43" s="47"/>
      <c r="AZ43" s="47"/>
      <c r="BA43" s="47"/>
      <c r="BB43" s="47"/>
      <c r="BC43" s="47"/>
      <c r="BD43" s="47"/>
      <c r="BE43" s="47"/>
      <c r="BF43" s="47"/>
      <c r="BG43" s="47"/>
      <c r="BH43" s="47"/>
      <c r="BI43" s="47"/>
      <c r="BJ43" s="47"/>
      <c r="BK43" s="47"/>
      <c r="BL43" s="47"/>
      <c r="BM43" s="47"/>
      <c r="BN43" s="47"/>
      <c r="BO43" s="47"/>
      <c r="BP43" s="47"/>
      <c r="BQ43" s="47"/>
      <c r="BR43" s="47"/>
      <c r="BS43" s="47"/>
      <c r="BT43" s="47"/>
      <c r="BU43" s="47"/>
      <c r="BV43" s="47"/>
      <c r="BW43" s="47"/>
      <c r="BX43" s="47"/>
      <c r="BY43" s="47"/>
      <c r="BZ43" s="47"/>
    </row>
    <row r="44" spans="1:78" ht="15.75" customHeight="1">
      <c r="A44" s="152" t="str">
        <f ca="1">IFERROR(__xludf.DUMMYFUNCTION("""COMPUTED_VALUE"""),"Apportation Scroll")</f>
        <v>Apportation Scroll</v>
      </c>
      <c r="B44" s="47" t="str">
        <f ca="1">IFERROR(__xludf.DUMMYFUNCTION("TRANSPOSE(unique(filter(Recipes!A$2:A2490,(Recipes!L$2:L2490=A44)+(Recipes!O$2:O2490=A44)+(Recipes!R$2:R2490=A44)+(Recipes!U$2:U2490=A44)+(Recipes!X$2:X2490=A44))))"),"Apportation Skillbook")</f>
        <v>Apportation Skillbook</v>
      </c>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7"/>
      <c r="AJ44" s="47"/>
      <c r="AK44" s="47"/>
      <c r="AL44" s="47"/>
      <c r="AM44" s="47"/>
      <c r="AN44" s="47"/>
      <c r="AO44" s="47"/>
      <c r="AP44" s="47"/>
      <c r="AQ44" s="47"/>
      <c r="AR44" s="47"/>
      <c r="AS44" s="47"/>
      <c r="AT44" s="47"/>
      <c r="AU44" s="47"/>
      <c r="AV44" s="47"/>
      <c r="AW44" s="47"/>
      <c r="AX44" s="47"/>
      <c r="AY44" s="47"/>
      <c r="AZ44" s="47"/>
      <c r="BA44" s="47"/>
      <c r="BB44" s="47"/>
      <c r="BC44" s="47"/>
      <c r="BD44" s="47"/>
      <c r="BE44" s="47"/>
      <c r="BF44" s="47"/>
      <c r="BG44" s="47"/>
      <c r="BH44" s="47"/>
      <c r="BI44" s="47"/>
      <c r="BJ44" s="47"/>
      <c r="BK44" s="47"/>
      <c r="BL44" s="47"/>
      <c r="BM44" s="47"/>
      <c r="BN44" s="47"/>
      <c r="BO44" s="47"/>
      <c r="BP44" s="47"/>
      <c r="BQ44" s="47"/>
      <c r="BR44" s="47"/>
      <c r="BS44" s="47"/>
      <c r="BT44" s="47"/>
      <c r="BU44" s="47"/>
      <c r="BV44" s="47"/>
      <c r="BW44" s="47"/>
      <c r="BX44" s="47"/>
      <c r="BY44" s="47"/>
      <c r="BZ44" s="47"/>
    </row>
    <row r="45" spans="1:78" ht="15.75" customHeight="1">
      <c r="A45" s="152" t="str">
        <f ca="1">IFERROR(__xludf.DUMMYFUNCTION("""COMPUTED_VALUE"""),"Arcane Stitch Scroll")</f>
        <v>Arcane Stitch Scroll</v>
      </c>
      <c r="B45" s="47" t="str">
        <f ca="1">IFERROR(__xludf.DUMMYFUNCTION("TRANSPOSE(unique(filter(Recipes!A$2:A2490,(Recipes!L$2:L2490=A45)+(Recipes!O$2:O2490=A45)+(Recipes!R$2:R2490=A45)+(Recipes!U$2:U2490=A45)+(Recipes!X$2:X2490=A45))))"),"Arcane Stitch Skillbook")</f>
        <v>Arcane Stitch Skillbook</v>
      </c>
      <c r="C45" s="47"/>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7"/>
      <c r="AJ45" s="47"/>
      <c r="AK45" s="47"/>
      <c r="AL45" s="47"/>
      <c r="AM45" s="47"/>
      <c r="AN45" s="47"/>
      <c r="AO45" s="47"/>
      <c r="AP45" s="47"/>
      <c r="AQ45" s="47"/>
      <c r="AR45" s="47"/>
      <c r="AS45" s="47"/>
      <c r="AT45" s="47"/>
      <c r="AU45" s="47"/>
      <c r="AV45" s="47"/>
      <c r="AW45" s="47"/>
      <c r="AX45" s="47"/>
      <c r="AY45" s="47"/>
      <c r="AZ45" s="47"/>
      <c r="BA45" s="47"/>
      <c r="BB45" s="47"/>
      <c r="BC45" s="47"/>
      <c r="BD45" s="47"/>
      <c r="BE45" s="47"/>
      <c r="BF45" s="47"/>
      <c r="BG45" s="47"/>
      <c r="BH45" s="47"/>
      <c r="BI45" s="47"/>
      <c r="BJ45" s="47"/>
      <c r="BK45" s="47"/>
      <c r="BL45" s="47"/>
      <c r="BM45" s="47"/>
      <c r="BN45" s="47"/>
      <c r="BO45" s="47"/>
      <c r="BP45" s="47"/>
      <c r="BQ45" s="47"/>
      <c r="BR45" s="47"/>
      <c r="BS45" s="47"/>
      <c r="BT45" s="47"/>
      <c r="BU45" s="47"/>
      <c r="BV45" s="47"/>
      <c r="BW45" s="47"/>
      <c r="BX45" s="47"/>
      <c r="BY45" s="47"/>
      <c r="BZ45" s="47"/>
    </row>
    <row r="46" spans="1:78" ht="15.75" customHeight="1">
      <c r="A46" s="152" t="str">
        <f ca="1">IFERROR(__xludf.DUMMYFUNCTION("""COMPUTED_VALUE"""),"Armour of Frost Scroll")</f>
        <v>Armour of Frost Scroll</v>
      </c>
      <c r="B46" s="47" t="str">
        <f ca="1">IFERROR(__xludf.DUMMYFUNCTION("TRANSPOSE(unique(filter(Recipes!A$2:A2490,(Recipes!L$2:L2490=A46)+(Recipes!O$2:O2490=A46)+(Recipes!R$2:R2490=A46)+(Recipes!U$2:U2490=A46)+(Recipes!X$2:X2490=A46))))"),"Armour of Frost Skillbook")</f>
        <v>Armour of Frost Skillbook</v>
      </c>
      <c r="C46" s="47"/>
      <c r="D46" s="47"/>
      <c r="E46" s="47"/>
      <c r="F46" s="47"/>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c r="AF46" s="47"/>
      <c r="AG46" s="47"/>
      <c r="AH46" s="47"/>
      <c r="AI46" s="47"/>
      <c r="AJ46" s="47"/>
      <c r="AK46" s="47"/>
      <c r="AL46" s="47"/>
      <c r="AM46" s="47"/>
      <c r="AN46" s="47"/>
      <c r="AO46" s="47"/>
      <c r="AP46" s="47"/>
      <c r="AQ46" s="47"/>
      <c r="AR46" s="47"/>
      <c r="AS46" s="47"/>
      <c r="AT46" s="47"/>
      <c r="AU46" s="47"/>
      <c r="AV46" s="47"/>
      <c r="AW46" s="47"/>
      <c r="AX46" s="47"/>
      <c r="AY46" s="47"/>
      <c r="AZ46" s="47"/>
      <c r="BA46" s="47"/>
      <c r="BB46" s="47"/>
      <c r="BC46" s="47"/>
      <c r="BD46" s="47"/>
      <c r="BE46" s="47"/>
      <c r="BF46" s="47"/>
      <c r="BG46" s="47"/>
      <c r="BH46" s="47"/>
      <c r="BI46" s="47"/>
      <c r="BJ46" s="47"/>
      <c r="BK46" s="47"/>
      <c r="BL46" s="47"/>
      <c r="BM46" s="47"/>
      <c r="BN46" s="47"/>
      <c r="BO46" s="47"/>
      <c r="BP46" s="47"/>
      <c r="BQ46" s="47"/>
      <c r="BR46" s="47"/>
      <c r="BS46" s="47"/>
      <c r="BT46" s="47"/>
      <c r="BU46" s="47"/>
      <c r="BV46" s="47"/>
      <c r="BW46" s="47"/>
      <c r="BX46" s="47"/>
      <c r="BY46" s="47"/>
      <c r="BZ46" s="47"/>
    </row>
    <row r="47" spans="1:78" ht="15.75" customHeight="1">
      <c r="A47" s="152" t="str">
        <f ca="1">IFERROR(__xludf.DUMMYFUNCTION("""COMPUTED_VALUE"""),"Arrow")</f>
        <v>Arrow</v>
      </c>
      <c r="B47" s="47" t="str">
        <f ca="1">IFERROR(__xludf.DUMMYFUNCTION("TRANSPOSE(unique(filter(Recipes!A$2:A2490,(Recipes!L$2:L2490=A47)+(Recipes!O$2:O2490=A47)+(Recipes!R$2:R2490=A47)+(Recipes!U$2:U2490=A47)+(Recipes!X$2:X2490=A47))))"),"Charming Arrow")</f>
        <v>Charming Arrow</v>
      </c>
      <c r="C47" s="47" t="str">
        <f ca="1">IFERROR(__xludf.DUMMYFUNCTION("""COMPUTED_VALUE"""),"Fire Arrow")</f>
        <v>Fire Arrow</v>
      </c>
      <c r="D47" s="47" t="str">
        <f ca="1">IFERROR(__xludf.DUMMYFUNCTION("""COMPUTED_VALUE"""),"Freezing Arrow")</f>
        <v>Freezing Arrow</v>
      </c>
      <c r="E47" s="47" t="str">
        <f ca="1">IFERROR(__xludf.DUMMYFUNCTION("""COMPUTED_VALUE"""),"Poisoncloud Arrow")</f>
        <v>Poisoncloud Arrow</v>
      </c>
      <c r="F47" s="47" t="str">
        <f ca="1">IFERROR(__xludf.DUMMYFUNCTION("""COMPUTED_VALUE"""),"Poisoned Arrow")</f>
        <v>Poisoned Arrow</v>
      </c>
      <c r="G47" s="47" t="str">
        <f ca="1">IFERROR(__xludf.DUMMYFUNCTION("""COMPUTED_VALUE"""),"Shocking Arrow")</f>
        <v>Shocking Arrow</v>
      </c>
      <c r="H47" s="47" t="str">
        <f ca="1">IFERROR(__xludf.DUMMYFUNCTION("""COMPUTED_VALUE"""),"Slowdown Arrow")</f>
        <v>Slowdown Arrow</v>
      </c>
      <c r="I47" s="47" t="str">
        <f ca="1">IFERROR(__xludf.DUMMYFUNCTION("""COMPUTED_VALUE"""),"Water Arrow")</f>
        <v>Water Arrow</v>
      </c>
      <c r="J47" s="47"/>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7"/>
      <c r="AJ47" s="47"/>
      <c r="AK47" s="47"/>
      <c r="AL47" s="47"/>
      <c r="AM47" s="47"/>
      <c r="AN47" s="47"/>
      <c r="AO47" s="47"/>
      <c r="AP47" s="47"/>
      <c r="AQ47" s="47"/>
      <c r="AR47" s="47"/>
      <c r="AS47" s="47"/>
      <c r="AT47" s="47"/>
      <c r="AU47" s="47"/>
      <c r="AV47" s="47"/>
      <c r="AW47" s="47"/>
      <c r="AX47" s="47"/>
      <c r="AY47" s="47"/>
      <c r="AZ47" s="47"/>
      <c r="BA47" s="47"/>
      <c r="BB47" s="47"/>
      <c r="BC47" s="47"/>
      <c r="BD47" s="47"/>
      <c r="BE47" s="47"/>
      <c r="BF47" s="47"/>
      <c r="BG47" s="47"/>
      <c r="BH47" s="47"/>
      <c r="BI47" s="47"/>
      <c r="BJ47" s="47"/>
      <c r="BK47" s="47"/>
      <c r="BL47" s="47"/>
      <c r="BM47" s="47"/>
      <c r="BN47" s="47"/>
      <c r="BO47" s="47"/>
      <c r="BP47" s="47"/>
      <c r="BQ47" s="47"/>
      <c r="BR47" s="47"/>
      <c r="BS47" s="47"/>
      <c r="BT47" s="47"/>
      <c r="BU47" s="47"/>
      <c r="BV47" s="47"/>
      <c r="BW47" s="47"/>
      <c r="BX47" s="47"/>
      <c r="BY47" s="47"/>
      <c r="BZ47" s="47"/>
    </row>
    <row r="48" spans="1:78" ht="15.75" customHeight="1">
      <c r="A48" s="152" t="str">
        <f ca="1">IFERROR(__xludf.DUMMYFUNCTION("""COMPUTED_VALUE"""),"Arrow Shaft")</f>
        <v>Arrow Shaft</v>
      </c>
      <c r="B48" s="47" t="str">
        <f ca="1">IFERROR(__xludf.DUMMYFUNCTION("TRANSPOSE(unique(filter(Recipes!A$2:A2490,(Recipes!L$2:L2490=A48)+(Recipes!O$2:O2490=A48)+(Recipes!R$2:R2490=A48)+(Recipes!U$2:U2490=A48)+(Recipes!X$2:X2490=A48))))"),"Blessed Water Arrow")</f>
        <v>Blessed Water Arrow</v>
      </c>
      <c r="C48" s="47" t="str">
        <f ca="1">IFERROR(__xludf.DUMMYFUNCTION("""COMPUTED_VALUE"""),"Charming Arrow")</f>
        <v>Charming Arrow</v>
      </c>
      <c r="D48" s="47" t="str">
        <f ca="1">IFERROR(__xludf.DUMMYFUNCTION("""COMPUTED_VALUE"""),"Cursed Fire Arrow")</f>
        <v>Cursed Fire Arrow</v>
      </c>
      <c r="E48" s="47" t="str">
        <f ca="1">IFERROR(__xludf.DUMMYFUNCTION("""COMPUTED_VALUE"""),"Explosive Arrow")</f>
        <v>Explosive Arrow</v>
      </c>
      <c r="F48" s="47" t="str">
        <f ca="1">IFERROR(__xludf.DUMMYFUNCTION("""COMPUTED_VALUE"""),"Fire Arrow")</f>
        <v>Fire Arrow</v>
      </c>
      <c r="G48" s="47" t="str">
        <f ca="1">IFERROR(__xludf.DUMMYFUNCTION("""COMPUTED_VALUE"""),"Freezing Arrow")</f>
        <v>Freezing Arrow</v>
      </c>
      <c r="H48" s="47" t="str">
        <f ca="1">IFERROR(__xludf.DUMMYFUNCTION("""COMPUTED_VALUE"""),"Knockdown Arrow")</f>
        <v>Knockdown Arrow</v>
      </c>
      <c r="I48" s="47" t="str">
        <f ca="1">IFERROR(__xludf.DUMMYFUNCTION("""COMPUTED_VALUE"""),"Poisoncloud Arrow")</f>
        <v>Poisoncloud Arrow</v>
      </c>
      <c r="J48" s="47" t="str">
        <f ca="1">IFERROR(__xludf.DUMMYFUNCTION("""COMPUTED_VALUE"""),"Poisoned Arrow")</f>
        <v>Poisoned Arrow</v>
      </c>
      <c r="K48" s="47" t="str">
        <f ca="1">IFERROR(__xludf.DUMMYFUNCTION("""COMPUTED_VALUE"""),"Shocking Arrow")</f>
        <v>Shocking Arrow</v>
      </c>
      <c r="L48" s="47" t="str">
        <f ca="1">IFERROR(__xludf.DUMMYFUNCTION("""COMPUTED_VALUE"""),"Slowdown Arrow")</f>
        <v>Slowdown Arrow</v>
      </c>
      <c r="M48" s="47" t="str">
        <f ca="1">IFERROR(__xludf.DUMMYFUNCTION("""COMPUTED_VALUE"""),"Smokescreen Arrow")</f>
        <v>Smokescreen Arrow</v>
      </c>
      <c r="N48" s="47" t="str">
        <f ca="1">IFERROR(__xludf.DUMMYFUNCTION("""COMPUTED_VALUE"""),"Static Cloud Arrow")</f>
        <v>Static Cloud Arrow</v>
      </c>
      <c r="O48" s="47" t="str">
        <f ca="1">IFERROR(__xludf.DUMMYFUNCTION("""COMPUTED_VALUE"""),"Steamcloud Arrow")</f>
        <v>Steamcloud Arrow</v>
      </c>
      <c r="P48" s="47" t="str">
        <f ca="1">IFERROR(__xludf.DUMMYFUNCTION("""COMPUTED_VALUE"""),"Water Arrow")</f>
        <v>Water Arrow</v>
      </c>
      <c r="Q48" s="47" t="str">
        <f ca="1">IFERROR(__xludf.DUMMYFUNCTION("""COMPUTED_VALUE"""),"Arrow")</f>
        <v>Arrow</v>
      </c>
      <c r="R48" s="47"/>
      <c r="S48" s="47"/>
      <c r="T48" s="47"/>
      <c r="U48" s="47"/>
      <c r="V48" s="47"/>
      <c r="W48" s="47"/>
      <c r="X48" s="47"/>
      <c r="Y48" s="47"/>
      <c r="Z48" s="47"/>
      <c r="AA48" s="47"/>
      <c r="AB48" s="47"/>
      <c r="AC48" s="47"/>
      <c r="AD48" s="47"/>
      <c r="AE48" s="47"/>
      <c r="AF48" s="47"/>
      <c r="AG48" s="47"/>
      <c r="AH48" s="47"/>
      <c r="AI48" s="47"/>
      <c r="AJ48" s="47"/>
      <c r="AK48" s="47"/>
      <c r="AL48" s="47"/>
      <c r="AM48" s="47"/>
      <c r="AN48" s="47"/>
      <c r="AO48" s="47"/>
      <c r="AP48" s="47"/>
      <c r="AQ48" s="47"/>
      <c r="AR48" s="47"/>
      <c r="AS48" s="47"/>
      <c r="AT48" s="47"/>
      <c r="AU48" s="47"/>
      <c r="AV48" s="47"/>
      <c r="AW48" s="47"/>
      <c r="AX48" s="47"/>
      <c r="AY48" s="47"/>
      <c r="AZ48" s="47"/>
      <c r="BA48" s="47"/>
      <c r="BB48" s="47"/>
      <c r="BC48" s="47"/>
      <c r="BD48" s="47"/>
      <c r="BE48" s="47"/>
      <c r="BF48" s="47"/>
      <c r="BG48" s="47"/>
      <c r="BH48" s="47"/>
      <c r="BI48" s="47"/>
      <c r="BJ48" s="47"/>
      <c r="BK48" s="47"/>
      <c r="BL48" s="47"/>
      <c r="BM48" s="47"/>
      <c r="BN48" s="47"/>
      <c r="BO48" s="47"/>
      <c r="BP48" s="47"/>
      <c r="BQ48" s="47"/>
      <c r="BR48" s="47"/>
      <c r="BS48" s="47"/>
      <c r="BT48" s="47"/>
      <c r="BU48" s="47"/>
      <c r="BV48" s="47"/>
      <c r="BW48" s="47"/>
      <c r="BX48" s="47"/>
      <c r="BY48" s="47"/>
      <c r="BZ48" s="47"/>
    </row>
    <row r="49" spans="1:78" ht="15.75" customHeight="1">
      <c r="A49" s="152" t="str">
        <f ca="1">IFERROR(__xludf.DUMMYFUNCTION("""COMPUTED_VALUE"""),"Arrowhead")</f>
        <v>Arrowhead</v>
      </c>
      <c r="B49" s="47" t="str">
        <f ca="1">IFERROR(__xludf.DUMMYFUNCTION("TRANSPOSE(unique(filter(Recipes!A$2:A2490,(Recipes!L$2:L2490=A49)+(Recipes!O$2:O2490=A49)+(Recipes!R$2:R2490=A49)+(Recipes!U$2:U2490=A49)+(Recipes!X$2:X2490=A49))))"),"Arrow")</f>
        <v>Arrow</v>
      </c>
      <c r="C49" s="47" t="str">
        <f ca="1">IFERROR(__xludf.DUMMYFUNCTION("""COMPUTED_VALUE"""),"Charming Arrowhead")</f>
        <v>Charming Arrowhead</v>
      </c>
      <c r="D49" s="47" t="str">
        <f ca="1">IFERROR(__xludf.DUMMYFUNCTION("""COMPUTED_VALUE"""),"Fire Arrowhead")</f>
        <v>Fire Arrowhead</v>
      </c>
      <c r="E49" s="47" t="str">
        <f ca="1">IFERROR(__xludf.DUMMYFUNCTION("""COMPUTED_VALUE"""),"Freezing Arrowhead")</f>
        <v>Freezing Arrowhead</v>
      </c>
      <c r="F49" s="47" t="str">
        <f ca="1">IFERROR(__xludf.DUMMYFUNCTION("""COMPUTED_VALUE"""),"Poisoncloud Arrowhead")</f>
        <v>Poisoncloud Arrowhead</v>
      </c>
      <c r="G49" s="47" t="str">
        <f ca="1">IFERROR(__xludf.DUMMYFUNCTION("""COMPUTED_VALUE"""),"Poisoned Arrowhead")</f>
        <v>Poisoned Arrowhead</v>
      </c>
      <c r="H49" s="47" t="str">
        <f ca="1">IFERROR(__xludf.DUMMYFUNCTION("""COMPUTED_VALUE"""),"Shocking Arrowhead")</f>
        <v>Shocking Arrowhead</v>
      </c>
      <c r="I49" s="47" t="str">
        <f ca="1">IFERROR(__xludf.DUMMYFUNCTION("""COMPUTED_VALUE"""),"Slowdown Arrowhead")</f>
        <v>Slowdown Arrowhead</v>
      </c>
      <c r="J49" s="47" t="str">
        <f ca="1">IFERROR(__xludf.DUMMYFUNCTION("""COMPUTED_VALUE"""),"Water Arrowhead")</f>
        <v>Water Arrowhead</v>
      </c>
      <c r="K49" s="47" t="str">
        <f ca="1">IFERROR(__xludf.DUMMYFUNCTION("""COMPUTED_VALUE"""),"Primitive Harpoon")</f>
        <v>Primitive Harpoon</v>
      </c>
      <c r="L49" s="47"/>
      <c r="M49" s="47"/>
      <c r="N49" s="47"/>
      <c r="O49" s="47"/>
      <c r="P49" s="47"/>
      <c r="Q49" s="47"/>
      <c r="R49" s="47"/>
      <c r="S49" s="47"/>
      <c r="T49" s="47"/>
      <c r="U49" s="47"/>
      <c r="V49" s="47"/>
      <c r="W49" s="47"/>
      <c r="X49" s="47"/>
      <c r="Y49" s="47"/>
      <c r="Z49" s="47"/>
      <c r="AA49" s="47"/>
      <c r="AB49" s="47"/>
      <c r="AC49" s="47"/>
      <c r="AD49" s="47"/>
      <c r="AE49" s="47"/>
      <c r="AF49" s="47"/>
      <c r="AG49" s="47"/>
      <c r="AH49" s="47"/>
      <c r="AI49" s="47"/>
      <c r="AJ49" s="47"/>
      <c r="AK49" s="47"/>
      <c r="AL49" s="47"/>
      <c r="AM49" s="47"/>
      <c r="AN49" s="47"/>
      <c r="AO49" s="47"/>
      <c r="AP49" s="47"/>
      <c r="AQ49" s="47"/>
      <c r="AR49" s="47"/>
      <c r="AS49" s="47"/>
      <c r="AT49" s="47"/>
      <c r="AU49" s="47"/>
      <c r="AV49" s="47"/>
      <c r="AW49" s="47"/>
      <c r="AX49" s="47"/>
      <c r="AY49" s="47"/>
      <c r="AZ49" s="47"/>
      <c r="BA49" s="47"/>
      <c r="BB49" s="47"/>
      <c r="BC49" s="47"/>
      <c r="BD49" s="47"/>
      <c r="BE49" s="47"/>
      <c r="BF49" s="47"/>
      <c r="BG49" s="47"/>
      <c r="BH49" s="47"/>
      <c r="BI49" s="47"/>
      <c r="BJ49" s="47"/>
      <c r="BK49" s="47"/>
      <c r="BL49" s="47"/>
      <c r="BM49" s="47"/>
      <c r="BN49" s="47"/>
      <c r="BO49" s="47"/>
      <c r="BP49" s="47"/>
      <c r="BQ49" s="47"/>
      <c r="BR49" s="47"/>
      <c r="BS49" s="47"/>
      <c r="BT49" s="47"/>
      <c r="BU49" s="47"/>
      <c r="BV49" s="47"/>
      <c r="BW49" s="47"/>
      <c r="BX49" s="47"/>
      <c r="BY49" s="47"/>
      <c r="BZ49" s="47"/>
    </row>
    <row r="50" spans="1:78" ht="15.75" customHeight="1">
      <c r="A50" s="152" t="str">
        <f ca="1">IFERROR(__xludf.DUMMYFUNCTION("""COMPUTED_VALUE"""),"Arthropod Leg")</f>
        <v>Arthropod Leg</v>
      </c>
      <c r="B50" s="47" t="str">
        <f ca="1">IFERROR(__xludf.DUMMYFUNCTION("TRANSPOSE(unique(filter(Recipes!A$2:A2490,(Recipes!L$2:L2490=A50)+(Recipes!O$2:O2490=A50)+(Recipes!R$2:R2490=A50)+(Recipes!U$2:U2490=A50)+(Recipes!X$2:X2490=A50))))"),"Spider Legs Scroll")</f>
        <v>Spider Legs Scroll</v>
      </c>
      <c r="C50" s="47"/>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7"/>
      <c r="AJ50" s="47"/>
      <c r="AK50" s="47"/>
      <c r="AL50" s="47"/>
      <c r="AM50" s="47"/>
      <c r="AN50" s="47"/>
      <c r="AO50" s="47"/>
      <c r="AP50" s="47"/>
      <c r="AQ50" s="47"/>
      <c r="AR50" s="47"/>
      <c r="AS50" s="47"/>
      <c r="AT50" s="47"/>
      <c r="AU50" s="47"/>
      <c r="AV50" s="47"/>
      <c r="AW50" s="47"/>
      <c r="AX50" s="47"/>
      <c r="AY50" s="47"/>
      <c r="AZ50" s="47"/>
      <c r="BA50" s="47"/>
      <c r="BB50" s="47"/>
      <c r="BC50" s="47"/>
      <c r="BD50" s="47"/>
      <c r="BE50" s="47"/>
      <c r="BF50" s="47"/>
      <c r="BG50" s="47"/>
      <c r="BH50" s="47"/>
      <c r="BI50" s="47"/>
      <c r="BJ50" s="47"/>
      <c r="BK50" s="47"/>
      <c r="BL50" s="47"/>
      <c r="BM50" s="47"/>
      <c r="BN50" s="47"/>
      <c r="BO50" s="47"/>
      <c r="BP50" s="47"/>
      <c r="BQ50" s="47"/>
      <c r="BR50" s="47"/>
      <c r="BS50" s="47"/>
      <c r="BT50" s="47"/>
      <c r="BU50" s="47"/>
      <c r="BV50" s="47"/>
      <c r="BW50" s="47"/>
      <c r="BX50" s="47"/>
      <c r="BY50" s="47"/>
      <c r="BZ50" s="47"/>
    </row>
    <row r="51" spans="1:78" ht="15.75" customHeight="1">
      <c r="A51" s="152" t="str">
        <f ca="1">IFERROR(__xludf.DUMMYFUNCTION("""COMPUTED_VALUE"""),"Artillery Plant Scroll")</f>
        <v>Artillery Plant Scroll</v>
      </c>
      <c r="B51" s="47" t="str">
        <f ca="1">IFERROR(__xludf.DUMMYFUNCTION("TRANSPOSE(unique(filter(Recipes!A$2:A2490,(Recipes!L$2:L2490=A51)+(Recipes!O$2:O2490=A51)+(Recipes!R$2:R2490=A51)+(Recipes!U$2:U2490=A51)+(Recipes!X$2:X2490=A51))))"),"Artillery Plant Skillbook")</f>
        <v>Artillery Plant Skillbook</v>
      </c>
      <c r="C51" s="47"/>
      <c r="D51" s="47"/>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47"/>
      <c r="AZ51" s="47"/>
      <c r="BA51" s="47"/>
      <c r="BB51" s="47"/>
      <c r="BC51" s="47"/>
      <c r="BD51" s="47"/>
      <c r="BE51" s="47"/>
      <c r="BF51" s="47"/>
      <c r="BG51" s="47"/>
      <c r="BH51" s="47"/>
      <c r="BI51" s="47"/>
      <c r="BJ51" s="47"/>
      <c r="BK51" s="47"/>
      <c r="BL51" s="47"/>
      <c r="BM51" s="47"/>
      <c r="BN51" s="47"/>
      <c r="BO51" s="47"/>
      <c r="BP51" s="47"/>
      <c r="BQ51" s="47"/>
      <c r="BR51" s="47"/>
      <c r="BS51" s="47"/>
      <c r="BT51" s="47"/>
      <c r="BU51" s="47"/>
      <c r="BV51" s="47"/>
      <c r="BW51" s="47"/>
      <c r="BX51" s="47"/>
      <c r="BY51" s="47"/>
      <c r="BZ51" s="47"/>
    </row>
    <row r="52" spans="1:78" ht="15.75" customHeight="1">
      <c r="A52" s="152" t="str">
        <f ca="1">IFERROR(__xludf.DUMMYFUNCTION("""COMPUTED_VALUE"""),"Ashen Idol of Rebirth")</f>
        <v>Ashen Idol of Rebirth</v>
      </c>
      <c r="B52" s="47" t="str">
        <f ca="1">IFERROR(__xludf.DUMMYFUNCTION("TRANSPOSE(unique(filter(Recipes!A$2:A2490,(Recipes!L$2:L2490=A52)+(Recipes!O$2:O2490=A52)+(Recipes!R$2:R2490=A52)+(Recipes!U$2:U2490=A52)+(Recipes!X$2:X2490=A52))))"),"Glowing Idol of Rebirth")</f>
        <v>Glowing Idol of Rebirth</v>
      </c>
      <c r="C52" s="47"/>
      <c r="D52" s="47"/>
      <c r="E52" s="47"/>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7"/>
      <c r="AR52" s="47"/>
      <c r="AS52" s="47"/>
      <c r="AT52" s="47"/>
      <c r="AU52" s="47"/>
      <c r="AV52" s="47"/>
      <c r="AW52" s="47"/>
      <c r="AX52" s="47"/>
      <c r="AY52" s="47"/>
      <c r="AZ52" s="47"/>
      <c r="BA52" s="47"/>
      <c r="BB52" s="47"/>
      <c r="BC52" s="47"/>
      <c r="BD52" s="47"/>
      <c r="BE52" s="47"/>
      <c r="BF52" s="47"/>
      <c r="BG52" s="47"/>
      <c r="BH52" s="47"/>
      <c r="BI52" s="47"/>
      <c r="BJ52" s="47"/>
      <c r="BK52" s="47"/>
      <c r="BL52" s="47"/>
      <c r="BM52" s="47"/>
      <c r="BN52" s="47"/>
      <c r="BO52" s="47"/>
      <c r="BP52" s="47"/>
      <c r="BQ52" s="47"/>
      <c r="BR52" s="47"/>
      <c r="BS52" s="47"/>
      <c r="BT52" s="47"/>
      <c r="BU52" s="47"/>
      <c r="BV52" s="47"/>
      <c r="BW52" s="47"/>
      <c r="BX52" s="47"/>
      <c r="BY52" s="47"/>
      <c r="BZ52" s="47"/>
    </row>
    <row r="53" spans="1:78" ht="15.75" customHeight="1">
      <c r="A53" s="152" t="str">
        <f ca="1">IFERROR(__xludf.DUMMYFUNCTION("""COMPUTED_VALUE"""),"Augmentor")</f>
        <v>Augmentor</v>
      </c>
      <c r="B53" s="47" t="str">
        <f ca="1">IFERROR(__xludf.DUMMYFUNCTION("TRANSPOSE(unique(filter(Recipes!A$2:A2490,(Recipes!L$2:L2490=A53)+(Recipes!O$2:O2490=A53)+(Recipes!R$2:R2490=A53)+(Recipes!U$2:U2490=A53)+(Recipes!X$2:X2490=A53))))"),"Living Wall Scroll")</f>
        <v>Living Wall Scroll</v>
      </c>
      <c r="C53" s="47" t="str">
        <f ca="1">IFERROR(__xludf.DUMMYFUNCTION("""COMPUTED_VALUE"""),"Medium Magic Armor Potion")</f>
        <v>Medium Magic Armor Potion</v>
      </c>
      <c r="D53" s="47" t="str">
        <f ca="1">IFERROR(__xludf.DUMMYFUNCTION("""COMPUTED_VALUE"""),"Medium Physical Armor Potion")</f>
        <v>Medium Physical Armor Potion</v>
      </c>
      <c r="E53" s="47" t="str">
        <f ca="1">IFERROR(__xludf.DUMMYFUNCTION("""COMPUTED_VALUE"""),"Healing Potion [Large]")</f>
        <v>Healing Potion [Large]</v>
      </c>
      <c r="F53" s="47" t="str">
        <f ca="1">IFERROR(__xludf.DUMMYFUNCTION("""COMPUTED_VALUE"""),"Medium Healing Potion")</f>
        <v>Medium Healing Potion</v>
      </c>
      <c r="G53" s="47" t="str">
        <f ca="1">IFERROR(__xludf.DUMMYFUNCTION("""COMPUTED_VALUE"""),"Ferocity Herbmix")</f>
        <v>Ferocity Herbmix</v>
      </c>
      <c r="H53" s="47" t="str">
        <f ca="1">IFERROR(__xludf.DUMMYFUNCTION("""COMPUTED_VALUE"""),"Large Poison Bottle")</f>
        <v>Large Poison Bottle</v>
      </c>
      <c r="I53" s="47" t="str">
        <f ca="1">IFERROR(__xludf.DUMMYFUNCTION("""COMPUTED_VALUE"""),"Medium Poison Bottle")</f>
        <v>Medium Poison Bottle</v>
      </c>
      <c r="J53" s="47" t="str">
        <f ca="1">IFERROR(__xludf.DUMMYFUNCTION("""COMPUTED_VALUE"""),"Witch Potion")</f>
        <v>Witch Potion</v>
      </c>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7"/>
      <c r="AJ53" s="47"/>
      <c r="AK53" s="47"/>
      <c r="AL53" s="47"/>
      <c r="AM53" s="47"/>
      <c r="AN53" s="47"/>
      <c r="AO53" s="47"/>
      <c r="AP53" s="47"/>
      <c r="AQ53" s="47"/>
      <c r="AR53" s="47"/>
      <c r="AS53" s="47"/>
      <c r="AT53" s="47"/>
      <c r="AU53" s="47"/>
      <c r="AV53" s="47"/>
      <c r="AW53" s="47"/>
      <c r="AX53" s="47"/>
      <c r="AY53" s="47"/>
      <c r="AZ53" s="47"/>
      <c r="BA53" s="47"/>
      <c r="BB53" s="47"/>
      <c r="BC53" s="47"/>
      <c r="BD53" s="47"/>
      <c r="BE53" s="47"/>
      <c r="BF53" s="47"/>
      <c r="BG53" s="47"/>
      <c r="BH53" s="47"/>
      <c r="BI53" s="47"/>
      <c r="BJ53" s="47"/>
      <c r="BK53" s="47"/>
      <c r="BL53" s="47"/>
      <c r="BM53" s="47"/>
      <c r="BN53" s="47"/>
      <c r="BO53" s="47"/>
      <c r="BP53" s="47"/>
      <c r="BQ53" s="47"/>
      <c r="BR53" s="47"/>
      <c r="BS53" s="47"/>
      <c r="BT53" s="47"/>
      <c r="BU53" s="47"/>
      <c r="BV53" s="47"/>
      <c r="BW53" s="47"/>
      <c r="BX53" s="47"/>
      <c r="BY53" s="47"/>
      <c r="BZ53" s="47"/>
    </row>
    <row r="54" spans="1:78" ht="15.75" customHeight="1">
      <c r="A54" s="152" t="str">
        <f ca="1">IFERROR(__xludf.DUMMYFUNCTION("""COMPUTED_VALUE"""),"Barrel")</f>
        <v>Barrel</v>
      </c>
      <c r="B54" s="47" t="str">
        <f ca="1">IFERROR(__xludf.DUMMYFUNCTION("TRANSPOSE(unique(filter(Recipes!A$2:A2490,(Recipes!L$2:L2490=A54)+(Recipes!O$2:O2490=A54)+(Recipes!R$2:R2490=A54)+(Recipes!U$2:U2490=A54)+(Recipes!X$2:X2490=A54))))"),"Oil Barrel")</f>
        <v>Oil Barrel</v>
      </c>
      <c r="C54" s="47"/>
      <c r="D54" s="47"/>
      <c r="E54" s="47"/>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7"/>
      <c r="AJ54" s="47"/>
      <c r="AK54" s="47"/>
      <c r="AL54" s="47"/>
      <c r="AM54" s="47"/>
      <c r="AN54" s="47"/>
      <c r="AO54" s="47"/>
      <c r="AP54" s="47"/>
      <c r="AQ54" s="47"/>
      <c r="AR54" s="47"/>
      <c r="AS54" s="47"/>
      <c r="AT54" s="47"/>
      <c r="AU54" s="47"/>
      <c r="AV54" s="47"/>
      <c r="AW54" s="47"/>
      <c r="AX54" s="47"/>
      <c r="AY54" s="47"/>
      <c r="AZ54" s="47"/>
      <c r="BA54" s="47"/>
      <c r="BB54" s="47"/>
      <c r="BC54" s="47"/>
      <c r="BD54" s="47"/>
      <c r="BE54" s="47"/>
      <c r="BF54" s="47"/>
      <c r="BG54" s="47"/>
      <c r="BH54" s="47"/>
      <c r="BI54" s="47"/>
      <c r="BJ54" s="47"/>
      <c r="BK54" s="47"/>
      <c r="BL54" s="47"/>
      <c r="BM54" s="47"/>
      <c r="BN54" s="47"/>
      <c r="BO54" s="47"/>
      <c r="BP54" s="47"/>
      <c r="BQ54" s="47"/>
      <c r="BR54" s="47"/>
      <c r="BS54" s="47"/>
      <c r="BT54" s="47"/>
      <c r="BU54" s="47"/>
      <c r="BV54" s="47"/>
      <c r="BW54" s="47"/>
      <c r="BX54" s="47"/>
      <c r="BY54" s="47"/>
      <c r="BZ54" s="47"/>
    </row>
    <row r="55" spans="1:78" ht="15.75" customHeight="1">
      <c r="A55" s="152" t="str">
        <f ca="1">IFERROR(__xludf.DUMMYFUNCTION("""COMPUTED_VALUE"""),"Bed Linen")</f>
        <v>Bed Linen</v>
      </c>
      <c r="B55" s="47" t="str">
        <f ca="1">IFERROR(__xludf.DUMMYFUNCTION("TRANSPOSE(unique(filter(Recipes!A$2:A2490,(Recipes!L$2:L2490=A55)+(Recipes!O$2:O2490=A55)+(Recipes!R$2:R2490=A55)+(Recipes!U$2:U2490=A55)+(Recipes!X$2:X2490=A55))))"),"Cloth Scraps")</f>
        <v>Cloth Scraps</v>
      </c>
      <c r="C55" s="47"/>
      <c r="D55" s="47"/>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c r="AL55" s="47"/>
      <c r="AM55" s="47"/>
      <c r="AN55" s="47"/>
      <c r="AO55" s="47"/>
      <c r="AP55" s="47"/>
      <c r="AQ55" s="47"/>
      <c r="AR55" s="47"/>
      <c r="AS55" s="47"/>
      <c r="AT55" s="47"/>
      <c r="AU55" s="47"/>
      <c r="AV55" s="47"/>
      <c r="AW55" s="47"/>
      <c r="AX55" s="47"/>
      <c r="AY55" s="47"/>
      <c r="AZ55" s="47"/>
      <c r="BA55" s="47"/>
      <c r="BB55" s="47"/>
      <c r="BC55" s="47"/>
      <c r="BD55" s="47"/>
      <c r="BE55" s="47"/>
      <c r="BF55" s="47"/>
      <c r="BG55" s="47"/>
      <c r="BH55" s="47"/>
      <c r="BI55" s="47"/>
      <c r="BJ55" s="47"/>
      <c r="BK55" s="47"/>
      <c r="BL55" s="47"/>
      <c r="BM55" s="47"/>
      <c r="BN55" s="47"/>
      <c r="BO55" s="47"/>
      <c r="BP55" s="47"/>
      <c r="BQ55" s="47"/>
      <c r="BR55" s="47"/>
      <c r="BS55" s="47"/>
      <c r="BT55" s="47"/>
      <c r="BU55" s="47"/>
      <c r="BV55" s="47"/>
      <c r="BW55" s="47"/>
      <c r="BX55" s="47"/>
      <c r="BY55" s="47"/>
      <c r="BZ55" s="47"/>
    </row>
    <row r="56" spans="1:78" ht="15.75" customHeight="1">
      <c r="A56" s="152" t="str">
        <f ca="1">IFERROR(__xludf.DUMMYFUNCTION("""COMPUTED_VALUE"""),"Beer")</f>
        <v>Beer</v>
      </c>
      <c r="B56" s="47" t="str">
        <f ca="1">IFERROR(__xludf.DUMMYFUNCTION("TRANSPOSE(unique(filter(Recipes!A$2:A2490,(Recipes!L$2:L2490=A56)+(Recipes!O$2:O2490=A56)+(Recipes!R$2:R2490=A56)+(Recipes!U$2:U2490=A56)+(Recipes!X$2:X2490=A56))))"),"Dwarven Stew")</f>
        <v>Dwarven Stew</v>
      </c>
      <c r="C56" s="47" t="str">
        <f ca="1">IFERROR(__xludf.DUMMYFUNCTION("""COMPUTED_VALUE"""),"Small Rock Rune")</f>
        <v>Small Rock Rune</v>
      </c>
      <c r="D56" s="47"/>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7"/>
      <c r="AJ56" s="47"/>
      <c r="AK56" s="47"/>
      <c r="AL56" s="47"/>
      <c r="AM56" s="47"/>
      <c r="AN56" s="47"/>
      <c r="AO56" s="47"/>
      <c r="AP56" s="47"/>
      <c r="AQ56" s="47"/>
      <c r="AR56" s="47"/>
      <c r="AS56" s="47"/>
      <c r="AT56" s="47"/>
      <c r="AU56" s="47"/>
      <c r="AV56" s="47"/>
      <c r="AW56" s="47"/>
      <c r="AX56" s="47"/>
      <c r="AY56" s="47"/>
      <c r="AZ56" s="47"/>
      <c r="BA56" s="47"/>
      <c r="BB56" s="47"/>
      <c r="BC56" s="47"/>
      <c r="BD56" s="47"/>
      <c r="BE56" s="47"/>
      <c r="BF56" s="47"/>
      <c r="BG56" s="47"/>
      <c r="BH56" s="47"/>
      <c r="BI56" s="47"/>
      <c r="BJ56" s="47"/>
      <c r="BK56" s="47"/>
      <c r="BL56" s="47"/>
      <c r="BM56" s="47"/>
      <c r="BN56" s="47"/>
      <c r="BO56" s="47"/>
      <c r="BP56" s="47"/>
      <c r="BQ56" s="47"/>
      <c r="BR56" s="47"/>
      <c r="BS56" s="47"/>
      <c r="BT56" s="47"/>
      <c r="BU56" s="47"/>
      <c r="BV56" s="47"/>
      <c r="BW56" s="47"/>
      <c r="BX56" s="47"/>
      <c r="BY56" s="47"/>
      <c r="BZ56" s="47"/>
    </row>
    <row r="57" spans="1:78" ht="15.75" customHeight="1">
      <c r="A57" s="152" t="str">
        <f ca="1">IFERROR(__xludf.DUMMYFUNCTION("""COMPUTED_VALUE"""),"Beer Barrel")</f>
        <v>Beer Barrel</v>
      </c>
      <c r="B57" s="47" t="str">
        <f ca="1">IFERROR(__xludf.DUMMYFUNCTION("TRANSPOSE(unique(filter(Recipes!A$2:A2490,(Recipes!L$2:L2490=A57)+(Recipes!O$2:O2490=A57)+(Recipes!R$2:R2490=A57)+(Recipes!U$2:U2490=A57)+(Recipes!X$2:X2490=A57))))"),"Bottle of Beer")</f>
        <v>Bottle of Beer</v>
      </c>
      <c r="C57" s="47" t="str">
        <f ca="1">IFERROR(__xludf.DUMMYFUNCTION("""COMPUTED_VALUE"""),"Mug of Beer")</f>
        <v>Mug of Beer</v>
      </c>
      <c r="D57" s="47"/>
      <c r="E57" s="47"/>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7"/>
      <c r="AS57" s="47"/>
      <c r="AT57" s="47"/>
      <c r="AU57" s="47"/>
      <c r="AV57" s="47"/>
      <c r="AW57" s="47"/>
      <c r="AX57" s="47"/>
      <c r="AY57" s="47"/>
      <c r="AZ57" s="47"/>
      <c r="BA57" s="47"/>
      <c r="BB57" s="47"/>
      <c r="BC57" s="47"/>
      <c r="BD57" s="47"/>
      <c r="BE57" s="47"/>
      <c r="BF57" s="47"/>
      <c r="BG57" s="47"/>
      <c r="BH57" s="47"/>
      <c r="BI57" s="47"/>
      <c r="BJ57" s="47"/>
      <c r="BK57" s="47"/>
      <c r="BL57" s="47"/>
      <c r="BM57" s="47"/>
      <c r="BN57" s="47"/>
      <c r="BO57" s="47"/>
      <c r="BP57" s="47"/>
      <c r="BQ57" s="47"/>
      <c r="BR57" s="47"/>
      <c r="BS57" s="47"/>
      <c r="BT57" s="47"/>
      <c r="BU57" s="47"/>
      <c r="BV57" s="47"/>
      <c r="BW57" s="47"/>
      <c r="BX57" s="47"/>
      <c r="BY57" s="47"/>
      <c r="BZ57" s="47"/>
    </row>
    <row r="58" spans="1:78" ht="13">
      <c r="A58" s="152" t="str">
        <f ca="1">IFERROR(__xludf.DUMMYFUNCTION("""COMPUTED_VALUE"""),"Belt")</f>
        <v>Belt</v>
      </c>
      <c r="B58" s="47" t="str">
        <f ca="1">IFERROR(__xludf.DUMMYFUNCTION("TRANSPOSE(unique(filter(Recipes!A$2:A2490,(Recipes!L$2:L2490=A58)+(Recipes!O$2:O2490=A58)+(Recipes!R$2:R2490=A58)+(Recipes!U$2:U2490=A58)+(Recipes!X$2:X2490=A58))))"),"Boost Belt")</f>
        <v>Boost Belt</v>
      </c>
      <c r="C58" s="47"/>
      <c r="D58" s="47"/>
      <c r="E58" s="47"/>
      <c r="F58" s="47"/>
      <c r="G58" s="47"/>
      <c r="H58" s="47"/>
      <c r="I58" s="47"/>
      <c r="J58" s="47"/>
      <c r="K58" s="47"/>
      <c r="L58" s="47"/>
      <c r="M58" s="47"/>
      <c r="N58" s="47"/>
      <c r="O58" s="47"/>
      <c r="P58" s="47"/>
      <c r="Q58" s="47"/>
      <c r="R58" s="47"/>
      <c r="S58" s="47"/>
      <c r="T58" s="47"/>
      <c r="U58" s="47"/>
      <c r="V58" s="47"/>
      <c r="W58" s="47"/>
      <c r="X58" s="47"/>
      <c r="Y58" s="47"/>
      <c r="Z58" s="47"/>
      <c r="AA58" s="47"/>
      <c r="AB58" s="47"/>
      <c r="AC58" s="47"/>
      <c r="AD58" s="47"/>
      <c r="AE58" s="47"/>
      <c r="AF58" s="47"/>
      <c r="AG58" s="47"/>
      <c r="AH58" s="47"/>
      <c r="AI58" s="47"/>
      <c r="AJ58" s="47"/>
      <c r="AK58" s="47"/>
      <c r="AL58" s="47"/>
      <c r="AM58" s="47"/>
      <c r="AN58" s="47"/>
      <c r="AO58" s="47"/>
      <c r="AP58" s="47"/>
      <c r="AQ58" s="47"/>
      <c r="AR58" s="47"/>
      <c r="AS58" s="47"/>
      <c r="AT58" s="47"/>
      <c r="AU58" s="47"/>
      <c r="AV58" s="47"/>
      <c r="AW58" s="47"/>
      <c r="AX58" s="47"/>
      <c r="AY58" s="47"/>
      <c r="AZ58" s="47"/>
      <c r="BA58" s="47"/>
      <c r="BB58" s="47"/>
      <c r="BC58" s="47"/>
      <c r="BD58" s="47"/>
      <c r="BE58" s="47"/>
      <c r="BF58" s="47"/>
      <c r="BG58" s="47"/>
      <c r="BH58" s="47"/>
      <c r="BI58" s="47"/>
      <c r="BJ58" s="47"/>
      <c r="BK58" s="47"/>
      <c r="BL58" s="47"/>
      <c r="BM58" s="47"/>
      <c r="BN58" s="47"/>
      <c r="BO58" s="47"/>
      <c r="BP58" s="47"/>
      <c r="BQ58" s="47"/>
      <c r="BR58" s="47"/>
      <c r="BS58" s="47"/>
      <c r="BT58" s="47"/>
      <c r="BU58" s="47"/>
      <c r="BV58" s="47"/>
      <c r="BW58" s="47"/>
      <c r="BX58" s="47"/>
      <c r="BY58" s="47"/>
      <c r="BZ58" s="47"/>
    </row>
    <row r="59" spans="1:78" ht="13">
      <c r="A59" s="152" t="str">
        <f ca="1">IFERROR(__xludf.DUMMYFUNCTION("""COMPUTED_VALUE"""),"Big Chicken Foot")</f>
        <v>Big Chicken Foot</v>
      </c>
      <c r="B59" s="47" t="str">
        <f ca="1">IFERROR(__xludf.DUMMYFUNCTION("TRANSPOSE(unique(filter(Recipes!A$2:A2490,(Recipes!L$2:L2490=A59)+(Recipes!O$2:O2490=A59)+(Recipes!R$2:R2490=A59)+(Recipes!U$2:U2490=A59)+(Recipes!X$2:X2490=A59))))"),"Chicken Claw Scroll")</f>
        <v>Chicken Claw Scroll</v>
      </c>
      <c r="C59" s="47"/>
      <c r="D59" s="47"/>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7"/>
      <c r="AJ59" s="47"/>
      <c r="AK59" s="47"/>
      <c r="AL59" s="47"/>
      <c r="AM59" s="47"/>
      <c r="AN59" s="47"/>
      <c r="AO59" s="47"/>
      <c r="AP59" s="47"/>
      <c r="AQ59" s="47"/>
      <c r="AR59" s="47"/>
      <c r="AS59" s="47"/>
      <c r="AT59" s="47"/>
      <c r="AU59" s="47"/>
      <c r="AV59" s="47"/>
      <c r="AW59" s="47"/>
      <c r="AX59" s="47"/>
      <c r="AY59" s="47"/>
      <c r="AZ59" s="47"/>
      <c r="BA59" s="47"/>
      <c r="BB59" s="47"/>
      <c r="BC59" s="47"/>
      <c r="BD59" s="47"/>
      <c r="BE59" s="47"/>
      <c r="BF59" s="47"/>
      <c r="BG59" s="47"/>
      <c r="BH59" s="47"/>
      <c r="BI59" s="47"/>
      <c r="BJ59" s="47"/>
      <c r="BK59" s="47"/>
      <c r="BL59" s="47"/>
      <c r="BM59" s="47"/>
      <c r="BN59" s="47"/>
      <c r="BO59" s="47"/>
      <c r="BP59" s="47"/>
      <c r="BQ59" s="47"/>
      <c r="BR59" s="47"/>
      <c r="BS59" s="47"/>
      <c r="BT59" s="47"/>
      <c r="BU59" s="47"/>
      <c r="BV59" s="47"/>
      <c r="BW59" s="47"/>
      <c r="BX59" s="47"/>
      <c r="BY59" s="47"/>
      <c r="BZ59" s="47"/>
    </row>
    <row r="60" spans="1:78" ht="13">
      <c r="A60" s="152" t="str">
        <f ca="1">IFERROR(__xludf.DUMMYFUNCTION("""COMPUTED_VALUE"""),"Black Shroud Scroll")</f>
        <v>Black Shroud Scroll</v>
      </c>
      <c r="B60" s="47" t="str">
        <f ca="1">IFERROR(__xludf.DUMMYFUNCTION("TRANSPOSE(unique(filter(Recipes!A$2:A2490,(Recipes!L$2:L2490=A60)+(Recipes!O$2:O2490=A60)+(Recipes!R$2:R2490=A60)+(Recipes!U$2:U2490=A60)+(Recipes!X$2:X2490=A60))))"),"Black Shroud Skillbook")</f>
        <v>Black Shroud Skillbook</v>
      </c>
      <c r="C60" s="47"/>
      <c r="D60" s="47"/>
      <c r="E60" s="47"/>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7"/>
      <c r="AR60" s="47"/>
      <c r="AS60" s="47"/>
      <c r="AT60" s="47"/>
      <c r="AU60" s="47"/>
      <c r="AV60" s="47"/>
      <c r="AW60" s="47"/>
      <c r="AX60" s="47"/>
      <c r="AY60" s="47"/>
      <c r="AZ60" s="47"/>
      <c r="BA60" s="47"/>
      <c r="BB60" s="47"/>
      <c r="BC60" s="47"/>
      <c r="BD60" s="47"/>
      <c r="BE60" s="47"/>
      <c r="BF60" s="47"/>
      <c r="BG60" s="47"/>
      <c r="BH60" s="47"/>
      <c r="BI60" s="47"/>
      <c r="BJ60" s="47"/>
      <c r="BK60" s="47"/>
      <c r="BL60" s="47"/>
      <c r="BM60" s="47"/>
      <c r="BN60" s="47"/>
      <c r="BO60" s="47"/>
      <c r="BP60" s="47"/>
      <c r="BQ60" s="47"/>
      <c r="BR60" s="47"/>
      <c r="BS60" s="47"/>
      <c r="BT60" s="47"/>
      <c r="BU60" s="47"/>
      <c r="BV60" s="47"/>
      <c r="BW60" s="47"/>
      <c r="BX60" s="47"/>
      <c r="BY60" s="47"/>
      <c r="BZ60" s="47"/>
    </row>
    <row r="61" spans="1:78" ht="13">
      <c r="A61" s="152" t="str">
        <f ca="1">IFERROR(__xludf.DUMMYFUNCTION("""COMPUTED_VALUE"""),"Black Tea Leaves")</f>
        <v>Black Tea Leaves</v>
      </c>
      <c r="B61" s="47" t="str">
        <f ca="1">IFERROR(__xludf.DUMMYFUNCTION("TRANSPOSE(unique(filter(Recipes!A$2:A2490,(Recipes!L$2:L2490=A61)+(Recipes!O$2:O2490=A61)+(Recipes!R$2:R2490=A61)+(Recipes!U$2:U2490=A61)+(Recipes!X$2:X2490=A61))))"),"Black Tea")</f>
        <v>Black Tea</v>
      </c>
      <c r="C61" s="47"/>
      <c r="D61" s="47"/>
      <c r="E61" s="47"/>
      <c r="F61" s="47"/>
      <c r="G61" s="47"/>
      <c r="H61" s="47"/>
      <c r="I61" s="47"/>
      <c r="J61" s="47"/>
      <c r="K61" s="47"/>
      <c r="L61" s="47"/>
      <c r="M61" s="47"/>
      <c r="N61" s="47"/>
      <c r="O61" s="47"/>
      <c r="P61" s="47"/>
      <c r="Q61" s="47"/>
      <c r="R61" s="47"/>
      <c r="S61" s="47"/>
      <c r="T61" s="47"/>
      <c r="U61" s="47"/>
      <c r="V61" s="47"/>
      <c r="W61" s="47"/>
      <c r="X61" s="47"/>
      <c r="Y61" s="47"/>
      <c r="Z61" s="47"/>
      <c r="AA61" s="47"/>
      <c r="AB61" s="47"/>
      <c r="AC61" s="47"/>
      <c r="AD61" s="47"/>
      <c r="AE61" s="47"/>
      <c r="AF61" s="47"/>
      <c r="AG61" s="47"/>
      <c r="AH61" s="47"/>
      <c r="AI61" s="47"/>
      <c r="AJ61" s="47"/>
      <c r="AK61" s="47"/>
      <c r="AL61" s="47"/>
      <c r="AM61" s="47"/>
      <c r="AN61" s="47"/>
      <c r="AO61" s="47"/>
      <c r="AP61" s="47"/>
      <c r="AQ61" s="47"/>
      <c r="AR61" s="47"/>
      <c r="AS61" s="47"/>
      <c r="AT61" s="47"/>
      <c r="AU61" s="47"/>
      <c r="AV61" s="47"/>
      <c r="AW61" s="47"/>
      <c r="AX61" s="47"/>
      <c r="AY61" s="47"/>
      <c r="AZ61" s="47"/>
      <c r="BA61" s="47"/>
      <c r="BB61" s="47"/>
      <c r="BC61" s="47"/>
      <c r="BD61" s="47"/>
      <c r="BE61" s="47"/>
      <c r="BF61" s="47"/>
      <c r="BG61" s="47"/>
      <c r="BH61" s="47"/>
      <c r="BI61" s="47"/>
      <c r="BJ61" s="47"/>
      <c r="BK61" s="47"/>
      <c r="BL61" s="47"/>
      <c r="BM61" s="47"/>
      <c r="BN61" s="47"/>
      <c r="BO61" s="47"/>
      <c r="BP61" s="47"/>
      <c r="BQ61" s="47"/>
      <c r="BR61" s="47"/>
      <c r="BS61" s="47"/>
      <c r="BT61" s="47"/>
      <c r="BU61" s="47"/>
      <c r="BV61" s="47"/>
      <c r="BW61" s="47"/>
      <c r="BX61" s="47"/>
      <c r="BY61" s="47"/>
      <c r="BZ61" s="47"/>
    </row>
    <row r="62" spans="1:78" ht="13">
      <c r="A62" s="152" t="str">
        <f ca="1">IFERROR(__xludf.DUMMYFUNCTION("""COMPUTED_VALUE"""),"Blackroot")</f>
        <v>Blackroot</v>
      </c>
      <c r="B62" s="47" t="str">
        <f ca="1">IFERROR(__xludf.DUMMYFUNCTION("TRANSPOSE(unique(filter(Recipes!A$2:A2490,(Recipes!L$2:L2490=A62)+(Recipes!O$2:O2490=A62)+(Recipes!R$2:R2490=A62)+(Recipes!U$2:U2490=A62)+(Recipes!X$2:X2490=A62))))"),"Ritual Bowl [Ready]")</f>
        <v>Ritual Bowl [Ready]</v>
      </c>
      <c r="C62" s="47" t="str">
        <f ca="1">IFERROR(__xludf.DUMMYFUNCTION("""COMPUTED_VALUE"""),"Ritual Bowl [with Blackroot]")</f>
        <v>Ritual Bowl [with Blackroot]</v>
      </c>
      <c r="D62" s="47"/>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7"/>
      <c r="AJ62" s="47"/>
      <c r="AK62" s="47"/>
      <c r="AL62" s="47"/>
      <c r="AM62" s="47"/>
      <c r="AN62" s="47"/>
      <c r="AO62" s="47"/>
      <c r="AP62" s="47"/>
      <c r="AQ62" s="47"/>
      <c r="AR62" s="47"/>
      <c r="AS62" s="47"/>
      <c r="AT62" s="47"/>
      <c r="AU62" s="47"/>
      <c r="AV62" s="47"/>
      <c r="AW62" s="47"/>
      <c r="AX62" s="47"/>
      <c r="AY62" s="47"/>
      <c r="AZ62" s="47"/>
      <c r="BA62" s="47"/>
      <c r="BB62" s="47"/>
      <c r="BC62" s="47"/>
      <c r="BD62" s="47"/>
      <c r="BE62" s="47"/>
      <c r="BF62" s="47"/>
      <c r="BG62" s="47"/>
      <c r="BH62" s="47"/>
      <c r="BI62" s="47"/>
      <c r="BJ62" s="47"/>
      <c r="BK62" s="47"/>
      <c r="BL62" s="47"/>
      <c r="BM62" s="47"/>
      <c r="BN62" s="47"/>
      <c r="BO62" s="47"/>
      <c r="BP62" s="47"/>
      <c r="BQ62" s="47"/>
      <c r="BR62" s="47"/>
      <c r="BS62" s="47"/>
      <c r="BT62" s="47"/>
      <c r="BU62" s="47"/>
      <c r="BV62" s="47"/>
      <c r="BW62" s="47"/>
      <c r="BX62" s="47"/>
      <c r="BY62" s="47"/>
      <c r="BZ62" s="47"/>
    </row>
    <row r="63" spans="1:78" ht="13">
      <c r="A63" s="152" t="str">
        <f ca="1">IFERROR(__xludf.DUMMYFUNCTION("""COMPUTED_VALUE"""),"Blade of the Promise Breaker")</f>
        <v>Blade of the Promise Breaker</v>
      </c>
      <c r="B63" s="47" t="str">
        <f ca="1">IFERROR(__xludf.DUMMYFUNCTION("TRANSPOSE(unique(filter(Recipes!A$2:A2490,(Recipes!L$2:L2490=A63)+(Recipes!O$2:O2490=A63)+(Recipes!R$2:R2490=A63)+(Recipes!U$2:U2490=A63)+(Recipes!X$2:X2490=A63))))"),"The Swornbreaker")</f>
        <v>The Swornbreaker</v>
      </c>
      <c r="C63" s="47"/>
      <c r="D63" s="47"/>
      <c r="E63" s="47"/>
      <c r="F63" s="47"/>
      <c r="G63" s="47"/>
      <c r="H63" s="47"/>
      <c r="I63" s="47"/>
      <c r="J63" s="47"/>
      <c r="K63" s="47"/>
      <c r="L63" s="47"/>
      <c r="M63" s="47"/>
      <c r="N63" s="47"/>
      <c r="O63" s="47"/>
      <c r="P63" s="47"/>
      <c r="Q63" s="47"/>
      <c r="R63" s="47"/>
      <c r="S63" s="47"/>
      <c r="T63" s="47"/>
      <c r="U63" s="47"/>
      <c r="V63" s="47"/>
      <c r="W63" s="47"/>
      <c r="X63" s="47"/>
      <c r="Y63" s="47"/>
      <c r="Z63" s="47"/>
      <c r="AA63" s="47"/>
      <c r="AB63" s="47"/>
      <c r="AC63" s="47"/>
      <c r="AD63" s="47"/>
      <c r="AE63" s="47"/>
      <c r="AF63" s="47"/>
      <c r="AG63" s="47"/>
      <c r="AH63" s="47"/>
      <c r="AI63" s="47"/>
      <c r="AJ63" s="47"/>
      <c r="AK63" s="47"/>
      <c r="AL63" s="47"/>
      <c r="AM63" s="47"/>
      <c r="AN63" s="47"/>
      <c r="AO63" s="47"/>
      <c r="AP63" s="47"/>
      <c r="AQ63" s="47"/>
      <c r="AR63" s="47"/>
      <c r="AS63" s="47"/>
      <c r="AT63" s="47"/>
      <c r="AU63" s="47"/>
      <c r="AV63" s="47"/>
      <c r="AW63" s="47"/>
      <c r="AX63" s="47"/>
      <c r="AY63" s="47"/>
      <c r="AZ63" s="47"/>
      <c r="BA63" s="47"/>
      <c r="BB63" s="47"/>
      <c r="BC63" s="47"/>
      <c r="BD63" s="47"/>
      <c r="BE63" s="47"/>
      <c r="BF63" s="47"/>
      <c r="BG63" s="47"/>
      <c r="BH63" s="47"/>
      <c r="BI63" s="47"/>
      <c r="BJ63" s="47"/>
      <c r="BK63" s="47"/>
      <c r="BL63" s="47"/>
      <c r="BM63" s="47"/>
      <c r="BN63" s="47"/>
      <c r="BO63" s="47"/>
      <c r="BP63" s="47"/>
      <c r="BQ63" s="47"/>
      <c r="BR63" s="47"/>
      <c r="BS63" s="47"/>
      <c r="BT63" s="47"/>
      <c r="BU63" s="47"/>
      <c r="BV63" s="47"/>
      <c r="BW63" s="47"/>
      <c r="BX63" s="47"/>
      <c r="BY63" s="47"/>
      <c r="BZ63" s="47"/>
    </row>
    <row r="64" spans="1:78" ht="13">
      <c r="A64" s="152" t="str">
        <f ca="1">IFERROR(__xludf.DUMMYFUNCTION("""COMPUTED_VALUE"""),"Blank Skillbook Air")</f>
        <v>Blank Skillbook Air</v>
      </c>
      <c r="B64" s="47" t="str">
        <f ca="1">IFERROR(__xludf.DUMMYFUNCTION("TRANSPOSE(unique(filter(Recipes!A$2:A2490,(Recipes!L$2:L2490=A64)+(Recipes!O$2:O2490=A64)+(Recipes!R$2:R2490=A64)+(Recipes!U$2:U2490=A64)+(Recipes!X$2:X2490=A64))))"),"Apportation Skillbook")</f>
        <v>Apportation Skillbook</v>
      </c>
      <c r="C64" s="47" t="str">
        <f ca="1">IFERROR(__xludf.DUMMYFUNCTION("""COMPUTED_VALUE"""),"Dazing Bolt Skillbook")</f>
        <v>Dazing Bolt Skillbook</v>
      </c>
      <c r="D64" s="47" t="str">
        <f ca="1">IFERROR(__xludf.DUMMYFUNCTION("""COMPUTED_VALUE"""),"Electric Discharge Skillbook")</f>
        <v>Electric Discharge Skillbook</v>
      </c>
      <c r="E64" s="47" t="str">
        <f ca="1">IFERROR(__xludf.DUMMYFUNCTION("""COMPUTED_VALUE"""),"Favourable Wind Skillbook")</f>
        <v>Favourable Wind Skillbook</v>
      </c>
      <c r="F64" s="47" t="str">
        <f ca="1">IFERROR(__xludf.DUMMYFUNCTION("""COMPUTED_VALUE"""),"Pressure Spike Skillbook")</f>
        <v>Pressure Spike Skillbook</v>
      </c>
      <c r="G64" s="47" t="str">
        <f ca="1">IFERROR(__xludf.DUMMYFUNCTION("""COMPUTED_VALUE"""),"Shocking Touch Skillbook")</f>
        <v>Shocking Touch Skillbook</v>
      </c>
      <c r="H64" s="47" t="str">
        <f ca="1">IFERROR(__xludf.DUMMYFUNCTION("""COMPUTED_VALUE"""),"Teleportation Skillbook")</f>
        <v>Teleportation Skillbook</v>
      </c>
      <c r="I64" s="47" t="str">
        <f ca="1">IFERROR(__xludf.DUMMYFUNCTION("""COMPUTED_VALUE"""),"Uncanny Evasion Skillbook")</f>
        <v>Uncanny Evasion Skillbook</v>
      </c>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7"/>
      <c r="AJ64" s="47"/>
      <c r="AK64" s="47"/>
      <c r="AL64" s="47"/>
      <c r="AM64" s="47"/>
      <c r="AN64" s="47"/>
      <c r="AO64" s="47"/>
      <c r="AP64" s="47"/>
      <c r="AQ64" s="47"/>
      <c r="AR64" s="47"/>
      <c r="AS64" s="47"/>
      <c r="AT64" s="47"/>
      <c r="AU64" s="47"/>
      <c r="AV64" s="47"/>
      <c r="AW64" s="47"/>
      <c r="AX64" s="47"/>
      <c r="AY64" s="47"/>
      <c r="AZ64" s="47"/>
      <c r="BA64" s="47"/>
      <c r="BB64" s="47"/>
      <c r="BC64" s="47"/>
      <c r="BD64" s="47"/>
      <c r="BE64" s="47"/>
      <c r="BF64" s="47"/>
      <c r="BG64" s="47"/>
      <c r="BH64" s="47"/>
      <c r="BI64" s="47"/>
      <c r="BJ64" s="47"/>
      <c r="BK64" s="47"/>
      <c r="BL64" s="47"/>
      <c r="BM64" s="47"/>
      <c r="BN64" s="47"/>
      <c r="BO64" s="47"/>
      <c r="BP64" s="47"/>
      <c r="BQ64" s="47"/>
      <c r="BR64" s="47"/>
      <c r="BS64" s="47"/>
      <c r="BT64" s="47"/>
      <c r="BU64" s="47"/>
      <c r="BV64" s="47"/>
      <c r="BW64" s="47"/>
      <c r="BX64" s="47"/>
      <c r="BY64" s="47"/>
      <c r="BZ64" s="47"/>
    </row>
    <row r="65" spans="1:78" ht="13">
      <c r="A65" s="152" t="str">
        <f ca="1">IFERROR(__xludf.DUMMYFUNCTION("""COMPUTED_VALUE"""),"Blank Skillbook Earth")</f>
        <v>Blank Skillbook Earth</v>
      </c>
      <c r="B65" s="47" t="str">
        <f ca="1">IFERROR(__xludf.DUMMYFUNCTION("TRANSPOSE(unique(filter(Recipes!A$2:A2490,(Recipes!L$2:L2490=A65)+(Recipes!O$2:O2490=A65)+(Recipes!R$2:R2490=A65)+(Recipes!U$2:U2490=A65)+(Recipes!X$2:X2490=A65))))"),"Artillery Plant Skillbook")</f>
        <v>Artillery Plant Skillbook</v>
      </c>
      <c r="C65" s="47" t="str">
        <f ca="1">IFERROR(__xludf.DUMMYFUNCTION("""COMPUTED_VALUE"""),"Contamination Skillbook")</f>
        <v>Contamination Skillbook</v>
      </c>
      <c r="D65" s="47" t="str">
        <f ca="1">IFERROR(__xludf.DUMMYFUNCTION("""COMPUTED_VALUE"""),"Earthquake Skillbook")</f>
        <v>Earthquake Skillbook</v>
      </c>
      <c r="E65" s="47" t="str">
        <f ca="1">IFERROR(__xludf.DUMMYFUNCTION("""COMPUTED_VALUE"""),"Fortify Skillbook")</f>
        <v>Fortify Skillbook</v>
      </c>
      <c r="F65" s="47" t="str">
        <f ca="1">IFERROR(__xludf.DUMMYFUNCTION("""COMPUTED_VALUE"""),"Fossil Strike Skillbook")</f>
        <v>Fossil Strike Skillbook</v>
      </c>
      <c r="G65" s="47" t="str">
        <f ca="1">IFERROR(__xludf.DUMMYFUNCTION("""COMPUTED_VALUE"""),"Impalement Skillbook")</f>
        <v>Impalement Skillbook</v>
      </c>
      <c r="H65" s="47" t="str">
        <f ca="1">IFERROR(__xludf.DUMMYFUNCTION("""COMPUTED_VALUE"""),"Mend Metal Skillbook")</f>
        <v>Mend Metal Skillbook</v>
      </c>
      <c r="I65" s="47" t="str">
        <f ca="1">IFERROR(__xludf.DUMMYFUNCTION("""COMPUTED_VALUE"""),"Poison Dart Skillbook")</f>
        <v>Poison Dart Skillbook</v>
      </c>
      <c r="J65" s="47" t="str">
        <f ca="1">IFERROR(__xludf.DUMMYFUNCTION("""COMPUTED_VALUE"""),"Poison Wave Skillbook")</f>
        <v>Poison Wave Skillbook</v>
      </c>
      <c r="K65" s="47" t="str">
        <f ca="1">IFERROR(__xludf.DUMMYFUNCTION("""COMPUTED_VALUE"""),"Reactive Armor Skillbook")</f>
        <v>Reactive Armor Skillbook</v>
      </c>
      <c r="L65" s="47" t="str">
        <f ca="1">IFERROR(__xludf.DUMMYFUNCTION("""COMPUTED_VALUE"""),"Worm Tremor Skillbook")</f>
        <v>Worm Tremor Skillbook</v>
      </c>
      <c r="M65" s="47"/>
      <c r="N65" s="47"/>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7"/>
      <c r="AR65" s="47"/>
      <c r="AS65" s="47"/>
      <c r="AT65" s="47"/>
      <c r="AU65" s="47"/>
      <c r="AV65" s="47"/>
      <c r="AW65" s="47"/>
      <c r="AX65" s="47"/>
      <c r="AY65" s="47"/>
      <c r="AZ65" s="47"/>
      <c r="BA65" s="47"/>
      <c r="BB65" s="47"/>
      <c r="BC65" s="47"/>
      <c r="BD65" s="47"/>
      <c r="BE65" s="47"/>
      <c r="BF65" s="47"/>
      <c r="BG65" s="47"/>
      <c r="BH65" s="47"/>
      <c r="BI65" s="47"/>
      <c r="BJ65" s="47"/>
      <c r="BK65" s="47"/>
      <c r="BL65" s="47"/>
      <c r="BM65" s="47"/>
      <c r="BN65" s="47"/>
      <c r="BO65" s="47"/>
      <c r="BP65" s="47"/>
      <c r="BQ65" s="47"/>
      <c r="BR65" s="47"/>
      <c r="BS65" s="47"/>
      <c r="BT65" s="47"/>
      <c r="BU65" s="47"/>
      <c r="BV65" s="47"/>
      <c r="BW65" s="47"/>
      <c r="BX65" s="47"/>
      <c r="BY65" s="47"/>
      <c r="BZ65" s="47"/>
    </row>
    <row r="66" spans="1:78" ht="13">
      <c r="A66" s="152" t="str">
        <f ca="1">IFERROR(__xludf.DUMMYFUNCTION("""COMPUTED_VALUE"""),"Blank Skillbook Fire")</f>
        <v>Blank Skillbook Fire</v>
      </c>
      <c r="B66" s="47" t="str">
        <f ca="1">IFERROR(__xludf.DUMMYFUNCTION("TRANSPOSE(unique(filter(Recipes!A$2:A2490,(Recipes!L$2:L2490=A66)+(Recipes!O$2:O2490=A66)+(Recipes!R$2:R2490=A66)+(Recipes!U$2:U2490=A66)+(Recipes!X$2:X2490=A66))))"),"Bleed Fire Skillbook")</f>
        <v>Bleed Fire Skillbook</v>
      </c>
      <c r="C66" s="47" t="str">
        <f ca="1">IFERROR(__xludf.DUMMYFUNCTION("""COMPUTED_VALUE"""),"Fire Whip Skillbook")</f>
        <v>Fire Whip Skillbook</v>
      </c>
      <c r="D66" s="47" t="str">
        <f ca="1">IFERROR(__xludf.DUMMYFUNCTION("""COMPUTED_VALUE"""),"Fireball Skillbook")</f>
        <v>Fireball Skillbook</v>
      </c>
      <c r="E66" s="47" t="str">
        <f ca="1">IFERROR(__xludf.DUMMYFUNCTION("""COMPUTED_VALUE"""),"Flaming Tongues Skillbook")</f>
        <v>Flaming Tongues Skillbook</v>
      </c>
      <c r="F66" s="47" t="str">
        <f ca="1">IFERROR(__xludf.DUMMYFUNCTION("""COMPUTED_VALUE"""),"Haste Skillbook")</f>
        <v>Haste Skillbook</v>
      </c>
      <c r="G66" s="47" t="str">
        <f ca="1">IFERROR(__xludf.DUMMYFUNCTION("""COMPUTED_VALUE"""),"Ignition Skillbook")</f>
        <v>Ignition Skillbook</v>
      </c>
      <c r="H66" s="47" t="str">
        <f ca="1">IFERROR(__xludf.DUMMYFUNCTION("""COMPUTED_VALUE"""),"Laser Ray Skillbook")</f>
        <v>Laser Ray Skillbook</v>
      </c>
      <c r="I66" s="47" t="str">
        <f ca="1">IFERROR(__xludf.DUMMYFUNCTION("""COMPUTED_VALUE"""),"Peace of Mind Skillbook")</f>
        <v>Peace of Mind Skillbook</v>
      </c>
      <c r="J66" s="47" t="str">
        <f ca="1">IFERROR(__xludf.DUMMYFUNCTION("""COMPUTED_VALUE"""),"Searing Daggers Skillbook")</f>
        <v>Searing Daggers Skillbook</v>
      </c>
      <c r="K66" s="47" t="str">
        <f ca="1">IFERROR(__xludf.DUMMYFUNCTION("""COMPUTED_VALUE"""),"Spontaneous Combustion Skillbook")</f>
        <v>Spontaneous Combustion Skillbook</v>
      </c>
      <c r="L66" s="47" t="str">
        <f ca="1">IFERROR(__xludf.DUMMYFUNCTION("""COMPUTED_VALUE"""),"Summon Fire Slug Skillbook")</f>
        <v>Summon Fire Slug Skillbook</v>
      </c>
      <c r="M66" s="47" t="str">
        <f ca="1">IFERROR(__xludf.DUMMYFUNCTION("""COMPUTED_VALUE"""),"Supernova Skillbook")</f>
        <v>Supernova Skillbook</v>
      </c>
      <c r="N66" s="47"/>
      <c r="O66" s="47"/>
      <c r="P66" s="47"/>
      <c r="Q66" s="47"/>
      <c r="R66" s="47"/>
      <c r="S66" s="47"/>
      <c r="T66" s="47"/>
      <c r="U66" s="47"/>
      <c r="V66" s="47"/>
      <c r="W66" s="47"/>
      <c r="X66" s="47"/>
      <c r="Y66" s="47"/>
      <c r="Z66" s="47"/>
      <c r="AA66" s="47"/>
      <c r="AB66" s="47"/>
      <c r="AC66" s="47"/>
      <c r="AD66" s="47"/>
      <c r="AE66" s="47"/>
      <c r="AF66" s="47"/>
      <c r="AG66" s="47"/>
      <c r="AH66" s="47"/>
      <c r="AI66" s="47"/>
      <c r="AJ66" s="47"/>
      <c r="AK66" s="47"/>
      <c r="AL66" s="47"/>
      <c r="AM66" s="47"/>
      <c r="AN66" s="47"/>
      <c r="AO66" s="47"/>
      <c r="AP66" s="47"/>
      <c r="AQ66" s="47"/>
      <c r="AR66" s="47"/>
      <c r="AS66" s="47"/>
      <c r="AT66" s="47"/>
      <c r="AU66" s="47"/>
      <c r="AV66" s="47"/>
      <c r="AW66" s="47"/>
      <c r="AX66" s="47"/>
      <c r="AY66" s="47"/>
      <c r="AZ66" s="47"/>
      <c r="BA66" s="47"/>
      <c r="BB66" s="47"/>
      <c r="BC66" s="47"/>
      <c r="BD66" s="47"/>
      <c r="BE66" s="47"/>
      <c r="BF66" s="47"/>
      <c r="BG66" s="47"/>
      <c r="BH66" s="47"/>
      <c r="BI66" s="47"/>
      <c r="BJ66" s="47"/>
      <c r="BK66" s="47"/>
      <c r="BL66" s="47"/>
      <c r="BM66" s="47"/>
      <c r="BN66" s="47"/>
      <c r="BO66" s="47"/>
      <c r="BP66" s="47"/>
      <c r="BQ66" s="47"/>
      <c r="BR66" s="47"/>
      <c r="BS66" s="47"/>
      <c r="BT66" s="47"/>
      <c r="BU66" s="47"/>
      <c r="BV66" s="47"/>
      <c r="BW66" s="47"/>
      <c r="BX66" s="47"/>
      <c r="BY66" s="47"/>
      <c r="BZ66" s="47"/>
    </row>
    <row r="67" spans="1:78" ht="13">
      <c r="A67" s="152" t="str">
        <f ca="1">IFERROR(__xludf.DUMMYFUNCTION("""COMPUTED_VALUE"""),"Blank Skillbook Necromancy")</f>
        <v>Blank Skillbook Necromancy</v>
      </c>
      <c r="B67" s="47" t="str">
        <f ca="1">IFERROR(__xludf.DUMMYFUNCTION("TRANSPOSE(unique(filter(Recipes!A$2:A2490,(Recipes!L$2:L2490=A67)+(Recipes!O$2:O2490=A67)+(Recipes!R$2:R2490=A67)+(Recipes!U$2:U2490=A67)+(Recipes!X$2:X2490=A67))))"),"Black Shroud Skillbook")</f>
        <v>Black Shroud Skillbook</v>
      </c>
      <c r="C67" s="47" t="str">
        <f ca="1">IFERROR(__xludf.DUMMYFUNCTION("""COMPUTED_VALUE"""),"Blood Sucker Skillbook")</f>
        <v>Blood Sucker Skillbook</v>
      </c>
      <c r="D67" s="47" t="str">
        <f ca="1">IFERROR(__xludf.DUMMYFUNCTION("""COMPUTED_VALUE"""),"Bone Cage Skillbook")</f>
        <v>Bone Cage Skillbook</v>
      </c>
      <c r="E67" s="47" t="str">
        <f ca="1">IFERROR(__xludf.DUMMYFUNCTION("""COMPUTED_VALUE"""),"Death Wish Skillbook")</f>
        <v>Death Wish Skillbook</v>
      </c>
      <c r="F67" s="47" t="str">
        <f ca="1">IFERROR(__xludf.DUMMYFUNCTION("""COMPUTED_VALUE"""),"Decaying Touch Skillbook")</f>
        <v>Decaying Touch Skillbook</v>
      </c>
      <c r="G67" s="47" t="str">
        <f ca="1">IFERROR(__xludf.DUMMYFUNCTION("""COMPUTED_VALUE"""),"Infect Skillbook")</f>
        <v>Infect Skillbook</v>
      </c>
      <c r="H67" s="47" t="str">
        <f ca="1">IFERROR(__xludf.DUMMYFUNCTION("""COMPUTED_VALUE"""),"Living on the Edge Skillbook")</f>
        <v>Living on the Edge Skillbook</v>
      </c>
      <c r="I67" s="47" t="str">
        <f ca="1">IFERROR(__xludf.DUMMYFUNCTION("""COMPUTED_VALUE"""),"Mosquito Swarm Skillbook")</f>
        <v>Mosquito Swarm Skillbook</v>
      </c>
      <c r="J67" s="47" t="str">
        <f ca="1">IFERROR(__xludf.DUMMYFUNCTION("""COMPUTED_VALUE"""),"Raining Blood Skillbook")</f>
        <v>Raining Blood Skillbook</v>
      </c>
      <c r="K67" s="47" t="str">
        <f ca="1">IFERROR(__xludf.DUMMYFUNCTION("""COMPUTED_VALUE"""),"Raise Bloated Corpse Skillbook")</f>
        <v>Raise Bloated Corpse Skillbook</v>
      </c>
      <c r="L67" s="47" t="str">
        <f ca="1">IFERROR(__xludf.DUMMYFUNCTION("""COMPUTED_VALUE"""),"Raise Bone Widow Skillbook")</f>
        <v>Raise Bone Widow Skillbook</v>
      </c>
      <c r="M67" s="47" t="str">
        <f ca="1">IFERROR(__xludf.DUMMYFUNCTION("""COMPUTED_VALUE"""),"Shackles of Pain Skillbook")</f>
        <v>Shackles of Pain Skillbook</v>
      </c>
      <c r="N67" s="47"/>
      <c r="O67" s="47"/>
      <c r="P67" s="47"/>
      <c r="Q67" s="47"/>
      <c r="R67" s="47"/>
      <c r="S67" s="47"/>
      <c r="T67" s="47"/>
      <c r="U67" s="47"/>
      <c r="V67" s="47"/>
      <c r="W67" s="47"/>
      <c r="X67" s="47"/>
      <c r="Y67" s="47"/>
      <c r="Z67" s="47"/>
      <c r="AA67" s="47"/>
      <c r="AB67" s="47"/>
      <c r="AC67" s="47"/>
      <c r="AD67" s="47"/>
      <c r="AE67" s="47"/>
      <c r="AF67" s="47"/>
      <c r="AG67" s="47"/>
      <c r="AH67" s="47"/>
      <c r="AI67" s="47"/>
      <c r="AJ67" s="47"/>
      <c r="AK67" s="47"/>
      <c r="AL67" s="47"/>
      <c r="AM67" s="47"/>
      <c r="AN67" s="47"/>
      <c r="AO67" s="47"/>
      <c r="AP67" s="47"/>
      <c r="AQ67" s="47"/>
      <c r="AR67" s="47"/>
      <c r="AS67" s="47"/>
      <c r="AT67" s="47"/>
      <c r="AU67" s="47"/>
      <c r="AV67" s="47"/>
      <c r="AW67" s="47"/>
      <c r="AX67" s="47"/>
      <c r="AY67" s="47"/>
      <c r="AZ67" s="47"/>
      <c r="BA67" s="47"/>
      <c r="BB67" s="47"/>
      <c r="BC67" s="47"/>
      <c r="BD67" s="47"/>
      <c r="BE67" s="47"/>
      <c r="BF67" s="47"/>
      <c r="BG67" s="47"/>
      <c r="BH67" s="47"/>
      <c r="BI67" s="47"/>
      <c r="BJ67" s="47"/>
      <c r="BK67" s="47"/>
      <c r="BL67" s="47"/>
      <c r="BM67" s="47"/>
      <c r="BN67" s="47"/>
      <c r="BO67" s="47"/>
      <c r="BP67" s="47"/>
      <c r="BQ67" s="47"/>
      <c r="BR67" s="47"/>
      <c r="BS67" s="47"/>
      <c r="BT67" s="47"/>
      <c r="BU67" s="47"/>
      <c r="BV67" s="47"/>
      <c r="BW67" s="47"/>
      <c r="BX67" s="47"/>
      <c r="BY67" s="47"/>
      <c r="BZ67" s="47"/>
    </row>
    <row r="68" spans="1:78" ht="13">
      <c r="A68" s="152" t="str">
        <f ca="1">IFERROR(__xludf.DUMMYFUNCTION("""COMPUTED_VALUE"""),"Blank Skillbook Polymorph")</f>
        <v>Blank Skillbook Polymorph</v>
      </c>
      <c r="B68" s="47" t="str">
        <f ca="1">IFERROR(__xludf.DUMMYFUNCTION("TRANSPOSE(unique(filter(Recipes!A$2:A2490,(Recipes!L$2:L2490=A68)+(Recipes!O$2:O2490=A68)+(Recipes!R$2:R2490=A68)+(Recipes!U$2:U2490=A68)+(Recipes!X$2:X2490=A68))))"),"Bull Horns Skillbook")</f>
        <v>Bull Horns Skillbook</v>
      </c>
      <c r="C68" s="47" t="str">
        <f ca="1">IFERROR(__xludf.DUMMYFUNCTION("""COMPUTED_VALUE"""),"Chameleon Cloak Skillbook")</f>
        <v>Chameleon Cloak Skillbook</v>
      </c>
      <c r="D68" s="47" t="str">
        <f ca="1">IFERROR(__xludf.DUMMYFUNCTION("""COMPUTED_VALUE"""),"Chicken Claw Skillbook")</f>
        <v>Chicken Claw Skillbook</v>
      </c>
      <c r="E68" s="47" t="str">
        <f ca="1">IFERROR(__xludf.DUMMYFUNCTION("""COMPUTED_VALUE"""),"Heart of Steel Skillbook")</f>
        <v>Heart of Steel Skillbook</v>
      </c>
      <c r="F68" s="47" t="str">
        <f ca="1">IFERROR(__xludf.DUMMYFUNCTION("""COMPUTED_VALUE"""),"Medusa Head Skillbook")</f>
        <v>Medusa Head Skillbook</v>
      </c>
      <c r="G68" s="47" t="str">
        <f ca="1">IFERROR(__xludf.DUMMYFUNCTION("""COMPUTED_VALUE"""),"Netherswap Skillbook")</f>
        <v>Netherswap Skillbook</v>
      </c>
      <c r="H68" s="47" t="str">
        <f ca="1">IFERROR(__xludf.DUMMYFUNCTION("""COMPUTED_VALUE"""),"Skin Graft Skillbook")</f>
        <v>Skin Graft Skillbook</v>
      </c>
      <c r="I68" s="47" t="str">
        <f ca="1">IFERROR(__xludf.DUMMYFUNCTION("""COMPUTED_VALUE"""),"Spider Legs Skillbook")</f>
        <v>Spider Legs Skillbook</v>
      </c>
      <c r="J68" s="47" t="str">
        <f ca="1">IFERROR(__xludf.DUMMYFUNCTION("""COMPUTED_VALUE"""),"Spread Your Wings Skillbook")</f>
        <v>Spread Your Wings Skillbook</v>
      </c>
      <c r="K68" s="47" t="str">
        <f ca="1">IFERROR(__xludf.DUMMYFUNCTION("""COMPUTED_VALUE"""),"Summon Oily Blob Skillbook")</f>
        <v>Summon Oily Blob Skillbook</v>
      </c>
      <c r="L68" s="47" t="str">
        <f ca="1">IFERROR(__xludf.DUMMYFUNCTION("""COMPUTED_VALUE"""),"Tentacle Lash Skillbook")</f>
        <v>Tentacle Lash Skillbook</v>
      </c>
      <c r="M68" s="47"/>
      <c r="N68" s="47"/>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7"/>
      <c r="AS68" s="47"/>
      <c r="AT68" s="47"/>
      <c r="AU68" s="47"/>
      <c r="AV68" s="47"/>
      <c r="AW68" s="47"/>
      <c r="AX68" s="47"/>
      <c r="AY68" s="47"/>
      <c r="AZ68" s="47"/>
      <c r="BA68" s="47"/>
      <c r="BB68" s="47"/>
      <c r="BC68" s="47"/>
      <c r="BD68" s="47"/>
      <c r="BE68" s="47"/>
      <c r="BF68" s="47"/>
      <c r="BG68" s="47"/>
      <c r="BH68" s="47"/>
      <c r="BI68" s="47"/>
      <c r="BJ68" s="47"/>
      <c r="BK68" s="47"/>
      <c r="BL68" s="47"/>
      <c r="BM68" s="47"/>
      <c r="BN68" s="47"/>
      <c r="BO68" s="47"/>
      <c r="BP68" s="47"/>
      <c r="BQ68" s="47"/>
      <c r="BR68" s="47"/>
      <c r="BS68" s="47"/>
      <c r="BT68" s="47"/>
      <c r="BU68" s="47"/>
      <c r="BV68" s="47"/>
      <c r="BW68" s="47"/>
      <c r="BX68" s="47"/>
      <c r="BY68" s="47"/>
      <c r="BZ68" s="47"/>
    </row>
    <row r="69" spans="1:78" ht="13">
      <c r="A69" s="152" t="str">
        <f ca="1">IFERROR(__xludf.DUMMYFUNCTION("""COMPUTED_VALUE"""),"Blank Skillbook Summoning")</f>
        <v>Blank Skillbook Summoning</v>
      </c>
      <c r="B69" s="47" t="str">
        <f ca="1">IFERROR(__xludf.DUMMYFUNCTION("TRANSPOSE(unique(filter(Recipes!A$2:A2490,(Recipes!L$2:L2490=A69)+(Recipes!O$2:O2490=A69)+(Recipes!R$2:R2490=A69)+(Recipes!U$2:U2490=A69)+(Recipes!X$2:X2490=A69))))"),"Conjure Incarnate Skillbook")</f>
        <v>Conjure Incarnate Skillbook</v>
      </c>
      <c r="C69" s="47" t="str">
        <f ca="1">IFERROR(__xludf.DUMMYFUNCTION("""COMPUTED_VALUE"""),"Dimensional Bolt Skillbook")</f>
        <v>Dimensional Bolt Skillbook</v>
      </c>
      <c r="D69" s="47" t="str">
        <f ca="1">IFERROR(__xludf.DUMMYFUNCTION("""COMPUTED_VALUE"""),"Dominate Mind Skillbook")</f>
        <v>Dominate Mind Skillbook</v>
      </c>
      <c r="E69" s="47" t="str">
        <f ca="1">IFERROR(__xludf.DUMMYFUNCTION("""COMPUTED_VALUE"""),"Elemental Totem Skillbook")</f>
        <v>Elemental Totem Skillbook</v>
      </c>
      <c r="F69" s="47" t="str">
        <f ca="1">IFERROR(__xludf.DUMMYFUNCTION("""COMPUTED_VALUE"""),"Farsight Infusion Skillbook")</f>
        <v>Farsight Infusion Skillbook</v>
      </c>
      <c r="G69" s="47" t="str">
        <f ca="1">IFERROR(__xludf.DUMMYFUNCTION("""COMPUTED_VALUE"""),"Planar Gateway Skillbook")</f>
        <v>Planar Gateway Skillbook</v>
      </c>
      <c r="H69" s="47" t="str">
        <f ca="1">IFERROR(__xludf.DUMMYFUNCTION("""COMPUTED_VALUE"""),"Power Infusion Skillbook")</f>
        <v>Power Infusion Skillbook</v>
      </c>
      <c r="I69" s="47" t="str">
        <f ca="1">IFERROR(__xludf.DUMMYFUNCTION("""COMPUTED_VALUE"""),"Rallying Cry Skillbook")</f>
        <v>Rallying Cry Skillbook</v>
      </c>
      <c r="J69" s="47" t="str">
        <f ca="1">IFERROR(__xludf.DUMMYFUNCTION("""COMPUTED_VALUE"""),"Shadow Infusion Skillbook")</f>
        <v>Shadow Infusion Skillbook</v>
      </c>
      <c r="K69" s="47" t="str">
        <f ca="1">IFERROR(__xludf.DUMMYFUNCTION("""COMPUTED_VALUE"""),"Soul Mate Skillbook")</f>
        <v>Soul Mate Skillbook</v>
      </c>
      <c r="L69" s="47" t="str">
        <f ca="1">IFERROR(__xludf.DUMMYFUNCTION("""COMPUTED_VALUE"""),"Supercharger Skillbook")</f>
        <v>Supercharger Skillbook</v>
      </c>
      <c r="M69" s="47"/>
      <c r="N69" s="47"/>
      <c r="O69" s="47"/>
      <c r="P69" s="47"/>
      <c r="Q69" s="47"/>
      <c r="R69" s="47"/>
      <c r="S69" s="47"/>
      <c r="T69" s="47"/>
      <c r="U69" s="47"/>
      <c r="V69" s="47"/>
      <c r="W69" s="47"/>
      <c r="X69" s="47"/>
      <c r="Y69" s="47"/>
      <c r="Z69" s="47"/>
      <c r="AA69" s="47"/>
      <c r="AB69" s="47"/>
      <c r="AC69" s="47"/>
      <c r="AD69" s="47"/>
      <c r="AE69" s="47"/>
      <c r="AF69" s="47"/>
      <c r="AG69" s="47"/>
      <c r="AH69" s="47"/>
      <c r="AI69" s="47"/>
      <c r="AJ69" s="47"/>
      <c r="AK69" s="47"/>
      <c r="AL69" s="47"/>
      <c r="AM69" s="47"/>
      <c r="AN69" s="47"/>
      <c r="AO69" s="47"/>
      <c r="AP69" s="47"/>
      <c r="AQ69" s="47"/>
      <c r="AR69" s="47"/>
      <c r="AS69" s="47"/>
      <c r="AT69" s="47"/>
      <c r="AU69" s="47"/>
      <c r="AV69" s="47"/>
      <c r="AW69" s="47"/>
      <c r="AX69" s="47"/>
      <c r="AY69" s="47"/>
      <c r="AZ69" s="47"/>
      <c r="BA69" s="47"/>
      <c r="BB69" s="47"/>
      <c r="BC69" s="47"/>
      <c r="BD69" s="47"/>
      <c r="BE69" s="47"/>
      <c r="BF69" s="47"/>
      <c r="BG69" s="47"/>
      <c r="BH69" s="47"/>
      <c r="BI69" s="47"/>
      <c r="BJ69" s="47"/>
      <c r="BK69" s="47"/>
      <c r="BL69" s="47"/>
      <c r="BM69" s="47"/>
      <c r="BN69" s="47"/>
      <c r="BO69" s="47"/>
      <c r="BP69" s="47"/>
      <c r="BQ69" s="47"/>
      <c r="BR69" s="47"/>
      <c r="BS69" s="47"/>
      <c r="BT69" s="47"/>
      <c r="BU69" s="47"/>
      <c r="BV69" s="47"/>
      <c r="BW69" s="47"/>
      <c r="BX69" s="47"/>
      <c r="BY69" s="47"/>
      <c r="BZ69" s="47"/>
    </row>
    <row r="70" spans="1:78" ht="13">
      <c r="A70" s="152" t="str">
        <f ca="1">IFERROR(__xludf.DUMMYFUNCTION("""COMPUTED_VALUE"""),"Blank Skillbook Water")</f>
        <v>Blank Skillbook Water</v>
      </c>
      <c r="B70" s="47" t="str">
        <f ca="1">IFERROR(__xludf.DUMMYFUNCTION("TRANSPOSE(unique(filter(Recipes!A$2:A2490,(Recipes!L$2:L2490=A70)+(Recipes!O$2:O2490=A70)+(Recipes!R$2:R2490=A70)+(Recipes!U$2:U2490=A70)+(Recipes!X$2:X2490=A70))))"),"Arcane Stitch Skillbook")</f>
        <v>Arcane Stitch Skillbook</v>
      </c>
      <c r="C70" s="47" t="str">
        <f ca="1">IFERROR(__xludf.DUMMYFUNCTION("""COMPUTED_VALUE"""),"Armour of Frost Skillbook")</f>
        <v>Armour of Frost Skillbook</v>
      </c>
      <c r="D70" s="47" t="str">
        <f ca="1">IFERROR(__xludf.DUMMYFUNCTION("""COMPUTED_VALUE"""),"Cryogenic Stasis Skillbook")</f>
        <v>Cryogenic Stasis Skillbook</v>
      </c>
      <c r="E70" s="47" t="str">
        <f ca="1">IFERROR(__xludf.DUMMYFUNCTION("""COMPUTED_VALUE"""),"Hail Strike Skillbook")</f>
        <v>Hail Strike Skillbook</v>
      </c>
      <c r="F70" s="47" t="str">
        <f ca="1">IFERROR(__xludf.DUMMYFUNCTION("""COMPUTED_VALUE"""),"Ice Fan Skillbook")</f>
        <v>Ice Fan Skillbook</v>
      </c>
      <c r="G70" s="47" t="str">
        <f ca="1">IFERROR(__xludf.DUMMYFUNCTION("""COMPUTED_VALUE"""),"Rain Skillbook")</f>
        <v>Rain Skillbook</v>
      </c>
      <c r="H70" s="47" t="str">
        <f ca="1">IFERROR(__xludf.DUMMYFUNCTION("""COMPUTED_VALUE"""),"Restoration Skillbook")</f>
        <v>Restoration Skillbook</v>
      </c>
      <c r="I70" s="47" t="str">
        <f ca="1">IFERROR(__xludf.DUMMYFUNCTION("""COMPUTED_VALUE"""),"Soothing Cold Skillbook")</f>
        <v>Soothing Cold Skillbook</v>
      </c>
      <c r="J70" s="47" t="str">
        <f ca="1">IFERROR(__xludf.DUMMYFUNCTION("""COMPUTED_VALUE"""),"Winter Blast Skillbook")</f>
        <v>Winter Blast Skillbook</v>
      </c>
      <c r="K70" s="47"/>
      <c r="L70" s="47"/>
      <c r="M70" s="47"/>
      <c r="N70" s="47"/>
      <c r="O70" s="47"/>
      <c r="P70" s="47"/>
      <c r="Q70" s="47"/>
      <c r="R70" s="47"/>
      <c r="S70" s="47"/>
      <c r="T70" s="47"/>
      <c r="U70" s="47"/>
      <c r="V70" s="47"/>
      <c r="W70" s="47"/>
      <c r="X70" s="47"/>
      <c r="Y70" s="47"/>
      <c r="Z70" s="47"/>
      <c r="AA70" s="47"/>
      <c r="AB70" s="47"/>
      <c r="AC70" s="47"/>
      <c r="AD70" s="47"/>
      <c r="AE70" s="47"/>
      <c r="AF70" s="47"/>
      <c r="AG70" s="47"/>
      <c r="AH70" s="47"/>
      <c r="AI70" s="47"/>
      <c r="AJ70" s="47"/>
      <c r="AK70" s="47"/>
      <c r="AL70" s="47"/>
      <c r="AM70" s="47"/>
      <c r="AN70" s="47"/>
      <c r="AO70" s="47"/>
      <c r="AP70" s="47"/>
      <c r="AQ70" s="47"/>
      <c r="AR70" s="47"/>
      <c r="AS70" s="47"/>
      <c r="AT70" s="47"/>
      <c r="AU70" s="47"/>
      <c r="AV70" s="47"/>
      <c r="AW70" s="47"/>
      <c r="AX70" s="47"/>
      <c r="AY70" s="47"/>
      <c r="AZ70" s="47"/>
      <c r="BA70" s="47"/>
      <c r="BB70" s="47"/>
      <c r="BC70" s="47"/>
      <c r="BD70" s="47"/>
      <c r="BE70" s="47"/>
      <c r="BF70" s="47"/>
      <c r="BG70" s="47"/>
      <c r="BH70" s="47"/>
      <c r="BI70" s="47"/>
      <c r="BJ70" s="47"/>
      <c r="BK70" s="47"/>
      <c r="BL70" s="47"/>
      <c r="BM70" s="47"/>
      <c r="BN70" s="47"/>
      <c r="BO70" s="47"/>
      <c r="BP70" s="47"/>
      <c r="BQ70" s="47"/>
      <c r="BR70" s="47"/>
      <c r="BS70" s="47"/>
      <c r="BT70" s="47"/>
      <c r="BU70" s="47"/>
      <c r="BV70" s="47"/>
      <c r="BW70" s="47"/>
      <c r="BX70" s="47"/>
      <c r="BY70" s="47"/>
      <c r="BZ70" s="47"/>
    </row>
    <row r="71" spans="1:78" ht="13">
      <c r="A71" s="152" t="str">
        <f ca="1">IFERROR(__xludf.DUMMYFUNCTION("""COMPUTED_VALUE"""),"Bleed Fire Scroll")</f>
        <v>Bleed Fire Scroll</v>
      </c>
      <c r="B71" s="47" t="str">
        <f ca="1">IFERROR(__xludf.DUMMYFUNCTION("TRANSPOSE(unique(filter(Recipes!A$2:A2490,(Recipes!L$2:L2490=A71)+(Recipes!O$2:O2490=A71)+(Recipes!R$2:R2490=A71)+(Recipes!U$2:U2490=A71)+(Recipes!X$2:X2490=A71))))"),"Bleed Fire Skillbook")</f>
        <v>Bleed Fire Skillbook</v>
      </c>
      <c r="C71" s="47"/>
      <c r="D71" s="47"/>
      <c r="E71" s="47"/>
      <c r="F71" s="47"/>
      <c r="G71" s="47"/>
      <c r="H71" s="47"/>
      <c r="I71" s="47"/>
      <c r="J71" s="47"/>
      <c r="K71" s="47"/>
      <c r="L71" s="47"/>
      <c r="M71" s="47"/>
      <c r="N71" s="47"/>
      <c r="O71" s="47"/>
      <c r="P71" s="47"/>
      <c r="Q71" s="47"/>
      <c r="R71" s="47"/>
      <c r="S71" s="47"/>
      <c r="T71" s="47"/>
      <c r="U71" s="47"/>
      <c r="V71" s="47"/>
      <c r="W71" s="47"/>
      <c r="X71" s="47"/>
      <c r="Y71" s="47"/>
      <c r="Z71" s="47"/>
      <c r="AA71" s="47"/>
      <c r="AB71" s="47"/>
      <c r="AC71" s="47"/>
      <c r="AD71" s="47"/>
      <c r="AE71" s="47"/>
      <c r="AF71" s="47"/>
      <c r="AG71" s="47"/>
      <c r="AH71" s="47"/>
      <c r="AI71" s="47"/>
      <c r="AJ71" s="47"/>
      <c r="AK71" s="47"/>
      <c r="AL71" s="47"/>
      <c r="AM71" s="47"/>
      <c r="AN71" s="47"/>
      <c r="AO71" s="47"/>
      <c r="AP71" s="47"/>
      <c r="AQ71" s="47"/>
      <c r="AR71" s="47"/>
      <c r="AS71" s="47"/>
      <c r="AT71" s="47"/>
      <c r="AU71" s="47"/>
      <c r="AV71" s="47"/>
      <c r="AW71" s="47"/>
      <c r="AX71" s="47"/>
      <c r="AY71" s="47"/>
      <c r="AZ71" s="47"/>
      <c r="BA71" s="47"/>
      <c r="BB71" s="47"/>
      <c r="BC71" s="47"/>
      <c r="BD71" s="47"/>
      <c r="BE71" s="47"/>
      <c r="BF71" s="47"/>
      <c r="BG71" s="47"/>
      <c r="BH71" s="47"/>
      <c r="BI71" s="47"/>
      <c r="BJ71" s="47"/>
      <c r="BK71" s="47"/>
      <c r="BL71" s="47"/>
      <c r="BM71" s="47"/>
      <c r="BN71" s="47"/>
      <c r="BO71" s="47"/>
      <c r="BP71" s="47"/>
      <c r="BQ71" s="47"/>
      <c r="BR71" s="47"/>
      <c r="BS71" s="47"/>
      <c r="BT71" s="47"/>
      <c r="BU71" s="47"/>
      <c r="BV71" s="47"/>
      <c r="BW71" s="47"/>
      <c r="BX71" s="47"/>
      <c r="BY71" s="47"/>
      <c r="BZ71" s="47"/>
    </row>
    <row r="72" spans="1:78" ht="13">
      <c r="A72" s="152" t="str">
        <f ca="1">IFERROR(__xludf.DUMMYFUNCTION("""COMPUTED_VALUE"""),"Blessed Water Arrowhead")</f>
        <v>Blessed Water Arrowhead</v>
      </c>
      <c r="B72" s="47" t="str">
        <f ca="1">IFERROR(__xludf.DUMMYFUNCTION("TRANSPOSE(unique(filter(Recipes!A$2:A2490,(Recipes!L$2:L2490=A72)+(Recipes!O$2:O2490=A72)+(Recipes!R$2:R2490=A72)+(Recipes!U$2:U2490=A72)+(Recipes!X$2:X2490=A72))))"),"Blessed Water Arrow")</f>
        <v>Blessed Water Arrow</v>
      </c>
      <c r="C72" s="47"/>
      <c r="D72" s="47"/>
      <c r="E72" s="47"/>
      <c r="F72" s="47"/>
      <c r="G72" s="47"/>
      <c r="H72" s="47"/>
      <c r="I72" s="47"/>
      <c r="J72" s="47"/>
      <c r="K72" s="47"/>
      <c r="L72" s="47"/>
      <c r="M72" s="47"/>
      <c r="N72" s="47"/>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7"/>
      <c r="AR72" s="47"/>
      <c r="AS72" s="47"/>
      <c r="AT72" s="47"/>
      <c r="AU72" s="47"/>
      <c r="AV72" s="47"/>
      <c r="AW72" s="47"/>
      <c r="AX72" s="47"/>
      <c r="AY72" s="47"/>
      <c r="AZ72" s="47"/>
      <c r="BA72" s="47"/>
      <c r="BB72" s="47"/>
      <c r="BC72" s="47"/>
      <c r="BD72" s="47"/>
      <c r="BE72" s="47"/>
      <c r="BF72" s="47"/>
      <c r="BG72" s="47"/>
      <c r="BH72" s="47"/>
      <c r="BI72" s="47"/>
      <c r="BJ72" s="47"/>
      <c r="BK72" s="47"/>
      <c r="BL72" s="47"/>
      <c r="BM72" s="47"/>
      <c r="BN72" s="47"/>
      <c r="BO72" s="47"/>
      <c r="BP72" s="47"/>
      <c r="BQ72" s="47"/>
      <c r="BR72" s="47"/>
      <c r="BS72" s="47"/>
      <c r="BT72" s="47"/>
      <c r="BU72" s="47"/>
      <c r="BV72" s="47"/>
      <c r="BW72" s="47"/>
      <c r="BX72" s="47"/>
      <c r="BY72" s="47"/>
      <c r="BZ72" s="47"/>
    </row>
    <row r="73" spans="1:78" ht="13">
      <c r="A73" s="152" t="str">
        <f ca="1">IFERROR(__xludf.DUMMYFUNCTION("""COMPUTED_VALUE"""),"Blinding Radiance Scroll")</f>
        <v>Blinding Radiance Scroll</v>
      </c>
      <c r="B73" s="47" t="str">
        <f ca="1">IFERROR(__xludf.DUMMYFUNCTION("TRANSPOSE(unique(filter(Recipes!A$2:A2490,(Recipes!L$2:L2490=A73)+(Recipes!O$2:O2490=A73)+(Recipes!R$2:R2490=A73)+(Recipes!U$2:U2490=A73)+(Recipes!X$2:X2490=A73))))"),"Blinding Radiance Skillbook")</f>
        <v>Blinding Radiance Skillbook</v>
      </c>
      <c r="C73" s="47"/>
      <c r="D73" s="47"/>
      <c r="E73" s="47"/>
      <c r="F73" s="47"/>
      <c r="G73" s="47"/>
      <c r="H73" s="47"/>
      <c r="I73" s="47"/>
      <c r="J73" s="47"/>
      <c r="K73" s="47"/>
      <c r="L73" s="47"/>
      <c r="M73" s="47"/>
      <c r="N73" s="47"/>
      <c r="O73" s="47"/>
      <c r="P73" s="47"/>
      <c r="Q73" s="47"/>
      <c r="R73" s="47"/>
      <c r="S73" s="47"/>
      <c r="T73" s="47"/>
      <c r="U73" s="47"/>
      <c r="V73" s="47"/>
      <c r="W73" s="47"/>
      <c r="X73" s="47"/>
      <c r="Y73" s="47"/>
      <c r="Z73" s="47"/>
      <c r="AA73" s="47"/>
      <c r="AB73" s="47"/>
      <c r="AC73" s="47"/>
      <c r="AD73" s="47"/>
      <c r="AE73" s="47"/>
      <c r="AF73" s="47"/>
      <c r="AG73" s="47"/>
      <c r="AH73" s="47"/>
      <c r="AI73" s="47"/>
      <c r="AJ73" s="47"/>
      <c r="AK73" s="47"/>
      <c r="AL73" s="47"/>
      <c r="AM73" s="47"/>
      <c r="AN73" s="47"/>
      <c r="AO73" s="47"/>
      <c r="AP73" s="47"/>
      <c r="AQ73" s="47"/>
      <c r="AR73" s="47"/>
      <c r="AS73" s="47"/>
      <c r="AT73" s="47"/>
      <c r="AU73" s="47"/>
      <c r="AV73" s="47"/>
      <c r="AW73" s="47"/>
      <c r="AX73" s="47"/>
      <c r="AY73" s="47"/>
      <c r="AZ73" s="47"/>
      <c r="BA73" s="47"/>
      <c r="BB73" s="47"/>
      <c r="BC73" s="47"/>
      <c r="BD73" s="47"/>
      <c r="BE73" s="47"/>
      <c r="BF73" s="47"/>
      <c r="BG73" s="47"/>
      <c r="BH73" s="47"/>
      <c r="BI73" s="47"/>
      <c r="BJ73" s="47"/>
      <c r="BK73" s="47"/>
      <c r="BL73" s="47"/>
      <c r="BM73" s="47"/>
      <c r="BN73" s="47"/>
      <c r="BO73" s="47"/>
      <c r="BP73" s="47"/>
      <c r="BQ73" s="47"/>
      <c r="BR73" s="47"/>
      <c r="BS73" s="47"/>
      <c r="BT73" s="47"/>
      <c r="BU73" s="47"/>
      <c r="BV73" s="47"/>
      <c r="BW73" s="47"/>
      <c r="BX73" s="47"/>
      <c r="BY73" s="47"/>
      <c r="BZ73" s="47"/>
    </row>
    <row r="74" spans="1:78" ht="13">
      <c r="A74" s="152" t="str">
        <f ca="1">IFERROR(__xludf.DUMMYFUNCTION("""COMPUTED_VALUE"""),"Blood Rose")</f>
        <v>Blood Rose</v>
      </c>
      <c r="B74" s="47" t="str">
        <f ca="1">IFERROR(__xludf.DUMMYFUNCTION("TRANSPOSE(unique(filter(Recipes!A$2:A2490,(Recipes!L$2:L2490=A74)+(Recipes!O$2:O2490=A74)+(Recipes!R$2:R2490=A74)+(Recipes!U$2:U2490=A74)+(Recipes!X$2:X2490=A74))))"),"Attar of the Blood Rose")</f>
        <v>Attar of the Blood Rose</v>
      </c>
      <c r="C74" s="47"/>
      <c r="D74" s="47"/>
      <c r="E74" s="47"/>
      <c r="F74" s="47"/>
      <c r="G74" s="47"/>
      <c r="H74" s="47"/>
      <c r="I74" s="47"/>
      <c r="J74" s="47"/>
      <c r="K74" s="47"/>
      <c r="L74" s="47"/>
      <c r="M74" s="47"/>
      <c r="N74" s="47"/>
      <c r="O74" s="47"/>
      <c r="P74" s="47"/>
      <c r="Q74" s="47"/>
      <c r="R74" s="47"/>
      <c r="S74" s="47"/>
      <c r="T74" s="47"/>
      <c r="U74" s="47"/>
      <c r="V74" s="47"/>
      <c r="W74" s="47"/>
      <c r="X74" s="47"/>
      <c r="Y74" s="47"/>
      <c r="Z74" s="47"/>
      <c r="AA74" s="47"/>
      <c r="AB74" s="47"/>
      <c r="AC74" s="47"/>
      <c r="AD74" s="47"/>
      <c r="AE74" s="47"/>
      <c r="AF74" s="47"/>
      <c r="AG74" s="47"/>
      <c r="AH74" s="47"/>
      <c r="AI74" s="47"/>
      <c r="AJ74" s="47"/>
      <c r="AK74" s="47"/>
      <c r="AL74" s="47"/>
      <c r="AM74" s="47"/>
      <c r="AN74" s="47"/>
      <c r="AO74" s="47"/>
      <c r="AP74" s="47"/>
      <c r="AQ74" s="47"/>
      <c r="AR74" s="47"/>
      <c r="AS74" s="47"/>
      <c r="AT74" s="47"/>
      <c r="AU74" s="47"/>
      <c r="AV74" s="47"/>
      <c r="AW74" s="47"/>
      <c r="AX74" s="47"/>
      <c r="AY74" s="47"/>
      <c r="AZ74" s="47"/>
      <c r="BA74" s="47"/>
      <c r="BB74" s="47"/>
      <c r="BC74" s="47"/>
      <c r="BD74" s="47"/>
      <c r="BE74" s="47"/>
      <c r="BF74" s="47"/>
      <c r="BG74" s="47"/>
      <c r="BH74" s="47"/>
      <c r="BI74" s="47"/>
      <c r="BJ74" s="47"/>
      <c r="BK74" s="47"/>
      <c r="BL74" s="47"/>
      <c r="BM74" s="47"/>
      <c r="BN74" s="47"/>
      <c r="BO74" s="47"/>
      <c r="BP74" s="47"/>
      <c r="BQ74" s="47"/>
      <c r="BR74" s="47"/>
      <c r="BS74" s="47"/>
      <c r="BT74" s="47"/>
      <c r="BU74" s="47"/>
      <c r="BV74" s="47"/>
      <c r="BW74" s="47"/>
      <c r="BX74" s="47"/>
      <c r="BY74" s="47"/>
      <c r="BZ74" s="47"/>
    </row>
    <row r="75" spans="1:78" ht="13">
      <c r="A75" s="152" t="str">
        <f ca="1">IFERROR(__xludf.DUMMYFUNCTION("""COMPUTED_VALUE"""),"Blood Sucker Scroll")</f>
        <v>Blood Sucker Scroll</v>
      </c>
      <c r="B75" s="47" t="str">
        <f ca="1">IFERROR(__xludf.DUMMYFUNCTION("TRANSPOSE(unique(filter(Recipes!A$2:A2490,(Recipes!L$2:L2490=A75)+(Recipes!O$2:O2490=A75)+(Recipes!R$2:R2490=A75)+(Recipes!U$2:U2490=A75)+(Recipes!X$2:X2490=A75))))"),"Blood Sucker Skillbook")</f>
        <v>Blood Sucker Skillbook</v>
      </c>
      <c r="C75" s="47"/>
      <c r="D75" s="47"/>
      <c r="E75" s="47"/>
      <c r="F75" s="47"/>
      <c r="G75" s="47"/>
      <c r="H75" s="47"/>
      <c r="I75" s="47"/>
      <c r="J75" s="47"/>
      <c r="K75" s="47"/>
      <c r="L75" s="47"/>
      <c r="M75" s="47"/>
      <c r="N75" s="47"/>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7"/>
      <c r="AR75" s="47"/>
      <c r="AS75" s="47"/>
      <c r="AT75" s="47"/>
      <c r="AU75" s="47"/>
      <c r="AV75" s="47"/>
      <c r="AW75" s="47"/>
      <c r="AX75" s="47"/>
      <c r="AY75" s="47"/>
      <c r="AZ75" s="47"/>
      <c r="BA75" s="47"/>
      <c r="BB75" s="47"/>
      <c r="BC75" s="47"/>
      <c r="BD75" s="47"/>
      <c r="BE75" s="47"/>
      <c r="BF75" s="47"/>
      <c r="BG75" s="47"/>
      <c r="BH75" s="47"/>
      <c r="BI75" s="47"/>
      <c r="BJ75" s="47"/>
      <c r="BK75" s="47"/>
      <c r="BL75" s="47"/>
      <c r="BM75" s="47"/>
      <c r="BN75" s="47"/>
      <c r="BO75" s="47"/>
      <c r="BP75" s="47"/>
      <c r="BQ75" s="47"/>
      <c r="BR75" s="47"/>
      <c r="BS75" s="47"/>
      <c r="BT75" s="47"/>
      <c r="BU75" s="47"/>
      <c r="BV75" s="47"/>
      <c r="BW75" s="47"/>
      <c r="BX75" s="47"/>
      <c r="BY75" s="47"/>
      <c r="BZ75" s="47"/>
    </row>
    <row r="76" spans="1:78" ht="13">
      <c r="A76" s="152" t="str">
        <f ca="1">IFERROR(__xludf.DUMMYFUNCTION("""COMPUTED_VALUE"""),"Bloody Obsidian Lancet")</f>
        <v>Bloody Obsidian Lancet</v>
      </c>
      <c r="B76" s="47" t="str">
        <f ca="1">IFERROR(__xludf.DUMMYFUNCTION("TRANSPOSE(unique(filter(Recipes!A$2:A2490,(Recipes!L$2:L2490=A76)+(Recipes!O$2:O2490=A76)+(Recipes!R$2:R2490=A76)+(Recipes!U$2:U2490=A76)+(Recipes!X$2:X2490=A76))))"),"Ritual Bowl [Ready]")</f>
        <v>Ritual Bowl [Ready]</v>
      </c>
      <c r="C76" s="47"/>
      <c r="D76" s="47"/>
      <c r="E76" s="47"/>
      <c r="F76" s="47"/>
      <c r="G76" s="47"/>
      <c r="H76" s="47"/>
      <c r="I76" s="47"/>
      <c r="J76" s="47"/>
      <c r="K76" s="47"/>
      <c r="L76" s="47"/>
      <c r="M76" s="47"/>
      <c r="N76" s="47"/>
      <c r="O76" s="47"/>
      <c r="P76" s="47"/>
      <c r="Q76" s="47"/>
      <c r="R76" s="47"/>
      <c r="S76" s="47"/>
      <c r="T76" s="47"/>
      <c r="U76" s="47"/>
      <c r="V76" s="47"/>
      <c r="W76" s="47"/>
      <c r="X76" s="47"/>
      <c r="Y76" s="47"/>
      <c r="Z76" s="47"/>
      <c r="AA76" s="47"/>
      <c r="AB76" s="47"/>
      <c r="AC76" s="47"/>
      <c r="AD76" s="47"/>
      <c r="AE76" s="47"/>
      <c r="AF76" s="47"/>
      <c r="AG76" s="47"/>
      <c r="AH76" s="47"/>
      <c r="AI76" s="47"/>
      <c r="AJ76" s="47"/>
      <c r="AK76" s="47"/>
      <c r="AL76" s="47"/>
      <c r="AM76" s="47"/>
      <c r="AN76" s="47"/>
      <c r="AO76" s="47"/>
      <c r="AP76" s="47"/>
      <c r="AQ76" s="47"/>
      <c r="AR76" s="47"/>
      <c r="AS76" s="47"/>
      <c r="AT76" s="47"/>
      <c r="AU76" s="47"/>
      <c r="AV76" s="47"/>
      <c r="AW76" s="47"/>
      <c r="AX76" s="47"/>
      <c r="AY76" s="47"/>
      <c r="AZ76" s="47"/>
      <c r="BA76" s="47"/>
      <c r="BB76" s="47"/>
      <c r="BC76" s="47"/>
      <c r="BD76" s="47"/>
      <c r="BE76" s="47"/>
      <c r="BF76" s="47"/>
      <c r="BG76" s="47"/>
      <c r="BH76" s="47"/>
      <c r="BI76" s="47"/>
      <c r="BJ76" s="47"/>
      <c r="BK76" s="47"/>
      <c r="BL76" s="47"/>
      <c r="BM76" s="47"/>
      <c r="BN76" s="47"/>
      <c r="BO76" s="47"/>
      <c r="BP76" s="47"/>
      <c r="BQ76" s="47"/>
      <c r="BR76" s="47"/>
      <c r="BS76" s="47"/>
      <c r="BT76" s="47"/>
      <c r="BU76" s="47"/>
      <c r="BV76" s="47"/>
      <c r="BW76" s="47"/>
      <c r="BX76" s="47"/>
      <c r="BY76" s="47"/>
      <c r="BZ76" s="47"/>
    </row>
    <row r="77" spans="1:78" ht="13">
      <c r="A77" s="152" t="str">
        <f ca="1">IFERROR(__xludf.DUMMYFUNCTION("""COMPUTED_VALUE"""),"Bluegill Mushroom")</f>
        <v>Bluegill Mushroom</v>
      </c>
      <c r="B77" s="47" t="str">
        <f ca="1">IFERROR(__xludf.DUMMYFUNCTION("TRANSPOSE(unique(filter(Recipes!A$2:A2490,(Recipes!L$2:L2490=A77)+(Recipes!O$2:O2490=A77)+(Recipes!R$2:R2490=A77)+(Recipes!U$2:U2490=A77)+(Recipes!X$2:X2490=A77))))"),"Armour of Frost Scroll")</f>
        <v>Armour of Frost Scroll</v>
      </c>
      <c r="C77" s="47" t="str">
        <f ca="1">IFERROR(__xludf.DUMMYFUNCTION("""COMPUTED_VALUE"""),"Water Resistance Potion")</f>
        <v>Water Resistance Potion</v>
      </c>
      <c r="D77" s="47"/>
      <c r="E77" s="47"/>
      <c r="F77" s="47"/>
      <c r="G77" s="47"/>
      <c r="H77" s="47"/>
      <c r="I77" s="47"/>
      <c r="J77" s="47"/>
      <c r="K77" s="47"/>
      <c r="L77" s="47"/>
      <c r="M77" s="47"/>
      <c r="N77" s="47"/>
      <c r="O77" s="47"/>
      <c r="P77" s="47"/>
      <c r="Q77" s="47"/>
      <c r="R77" s="47"/>
      <c r="S77" s="47"/>
      <c r="T77" s="47"/>
      <c r="U77" s="47"/>
      <c r="V77" s="47"/>
      <c r="W77" s="47"/>
      <c r="X77" s="47"/>
      <c r="Y77" s="47"/>
      <c r="Z77" s="47"/>
      <c r="AA77" s="47"/>
      <c r="AB77" s="47"/>
      <c r="AC77" s="47"/>
      <c r="AD77" s="47"/>
      <c r="AE77" s="47"/>
      <c r="AF77" s="47"/>
      <c r="AG77" s="47"/>
      <c r="AH77" s="47"/>
      <c r="AI77" s="47"/>
      <c r="AJ77" s="47"/>
      <c r="AK77" s="47"/>
      <c r="AL77" s="47"/>
      <c r="AM77" s="47"/>
      <c r="AN77" s="47"/>
      <c r="AO77" s="47"/>
      <c r="AP77" s="47"/>
      <c r="AQ77" s="47"/>
      <c r="AR77" s="47"/>
      <c r="AS77" s="47"/>
      <c r="AT77" s="47"/>
      <c r="AU77" s="47"/>
      <c r="AV77" s="47"/>
      <c r="AW77" s="47"/>
      <c r="AX77" s="47"/>
      <c r="AY77" s="47"/>
      <c r="AZ77" s="47"/>
      <c r="BA77" s="47"/>
      <c r="BB77" s="47"/>
      <c r="BC77" s="47"/>
      <c r="BD77" s="47"/>
      <c r="BE77" s="47"/>
      <c r="BF77" s="47"/>
      <c r="BG77" s="47"/>
      <c r="BH77" s="47"/>
      <c r="BI77" s="47"/>
      <c r="BJ77" s="47"/>
      <c r="BK77" s="47"/>
      <c r="BL77" s="47"/>
      <c r="BM77" s="47"/>
      <c r="BN77" s="47"/>
      <c r="BO77" s="47"/>
      <c r="BP77" s="47"/>
      <c r="BQ77" s="47"/>
      <c r="BR77" s="47"/>
      <c r="BS77" s="47"/>
      <c r="BT77" s="47"/>
      <c r="BU77" s="47"/>
      <c r="BV77" s="47"/>
      <c r="BW77" s="47"/>
      <c r="BX77" s="47"/>
      <c r="BY77" s="47"/>
      <c r="BZ77" s="47"/>
    </row>
    <row r="78" spans="1:78" ht="13">
      <c r="A78" s="152" t="str">
        <f ca="1">IFERROR(__xludf.DUMMYFUNCTION("""COMPUTED_VALUE"""),"Boiled Potato")</f>
        <v>Boiled Potato</v>
      </c>
      <c r="B78" s="47" t="str">
        <f ca="1">IFERROR(__xludf.DUMMYFUNCTION("TRANSPOSE(unique(filter(Recipes!A$2:A2490,(Recipes!L$2:L2490=A78)+(Recipes!O$2:O2490=A78)+(Recipes!R$2:R2490=A78)+(Recipes!U$2:U2490=A78)+(Recipes!X$2:X2490=A78))))"),"Mashed Potatoes")</f>
        <v>Mashed Potatoes</v>
      </c>
      <c r="C78" s="47"/>
      <c r="D78" s="47"/>
      <c r="E78" s="47"/>
      <c r="F78" s="47"/>
      <c r="G78" s="47"/>
      <c r="H78" s="47"/>
      <c r="I78" s="47"/>
      <c r="J78" s="47"/>
      <c r="K78" s="47"/>
      <c r="L78" s="47"/>
      <c r="M78" s="47"/>
      <c r="N78" s="47"/>
      <c r="O78" s="47"/>
      <c r="P78" s="47"/>
      <c r="Q78" s="47"/>
      <c r="R78" s="47"/>
      <c r="S78" s="47"/>
      <c r="T78" s="47"/>
      <c r="U78" s="47"/>
      <c r="V78" s="47"/>
      <c r="W78" s="47"/>
      <c r="X78" s="47"/>
      <c r="Y78" s="47"/>
      <c r="Z78" s="47"/>
      <c r="AA78" s="47"/>
      <c r="AB78" s="47"/>
      <c r="AC78" s="47"/>
      <c r="AD78" s="47"/>
      <c r="AE78" s="47"/>
      <c r="AF78" s="47"/>
      <c r="AG78" s="47"/>
      <c r="AH78" s="47"/>
      <c r="AI78" s="47"/>
      <c r="AJ78" s="47"/>
      <c r="AK78" s="47"/>
      <c r="AL78" s="47"/>
      <c r="AM78" s="47"/>
      <c r="AN78" s="47"/>
      <c r="AO78" s="47"/>
      <c r="AP78" s="47"/>
      <c r="AQ78" s="47"/>
      <c r="AR78" s="47"/>
      <c r="AS78" s="47"/>
      <c r="AT78" s="47"/>
      <c r="AU78" s="47"/>
      <c r="AV78" s="47"/>
      <c r="AW78" s="47"/>
      <c r="AX78" s="47"/>
      <c r="AY78" s="47"/>
      <c r="AZ78" s="47"/>
      <c r="BA78" s="47"/>
      <c r="BB78" s="47"/>
      <c r="BC78" s="47"/>
      <c r="BD78" s="47"/>
      <c r="BE78" s="47"/>
      <c r="BF78" s="47"/>
      <c r="BG78" s="47"/>
      <c r="BH78" s="47"/>
      <c r="BI78" s="47"/>
      <c r="BJ78" s="47"/>
      <c r="BK78" s="47"/>
      <c r="BL78" s="47"/>
      <c r="BM78" s="47"/>
      <c r="BN78" s="47"/>
      <c r="BO78" s="47"/>
      <c r="BP78" s="47"/>
      <c r="BQ78" s="47"/>
      <c r="BR78" s="47"/>
      <c r="BS78" s="47"/>
      <c r="BT78" s="47"/>
      <c r="BU78" s="47"/>
      <c r="BV78" s="47"/>
      <c r="BW78" s="47"/>
      <c r="BX78" s="47"/>
      <c r="BY78" s="47"/>
      <c r="BZ78" s="47"/>
    </row>
    <row r="79" spans="1:78" ht="13">
      <c r="A79" s="152" t="str">
        <f ca="1">IFERROR(__xludf.DUMMYFUNCTION("""COMPUTED_VALUE"""),"Boletus")</f>
        <v>Boletus</v>
      </c>
      <c r="B79" s="47" t="str">
        <f ca="1">IFERROR(__xludf.DUMMYFUNCTION("TRANSPOSE(unique(filter(Recipes!A$2:A2490,(Recipes!L$2:L2490=A79)+(Recipes!O$2:O2490=A79)+(Recipes!R$2:R2490=A79)+(Recipes!U$2:U2490=A79)+(Recipes!X$2:X2490=A79))))"),"Minor Finesse Potion")</f>
        <v>Minor Finesse Potion</v>
      </c>
      <c r="C79" s="47" t="str">
        <f ca="1">IFERROR(__xludf.DUMMYFUNCTION("""COMPUTED_VALUE"""),"Witch Potion")</f>
        <v>Witch Potion</v>
      </c>
      <c r="D79" s="47"/>
      <c r="E79" s="47"/>
      <c r="F79" s="47"/>
      <c r="G79" s="47"/>
      <c r="H79" s="47"/>
      <c r="I79" s="47"/>
      <c r="J79" s="47"/>
      <c r="K79" s="47"/>
      <c r="L79" s="47"/>
      <c r="M79" s="47"/>
      <c r="N79" s="47"/>
      <c r="O79" s="47"/>
      <c r="P79" s="47"/>
      <c r="Q79" s="47"/>
      <c r="R79" s="47"/>
      <c r="S79" s="47"/>
      <c r="T79" s="47"/>
      <c r="U79" s="47"/>
      <c r="V79" s="47"/>
      <c r="W79" s="47"/>
      <c r="X79" s="47"/>
      <c r="Y79" s="47"/>
      <c r="Z79" s="47"/>
      <c r="AA79" s="47"/>
      <c r="AB79" s="47"/>
      <c r="AC79" s="47"/>
      <c r="AD79" s="47"/>
      <c r="AE79" s="47"/>
      <c r="AF79" s="47"/>
      <c r="AG79" s="47"/>
      <c r="AH79" s="47"/>
      <c r="AI79" s="47"/>
      <c r="AJ79" s="47"/>
      <c r="AK79" s="47"/>
      <c r="AL79" s="47"/>
      <c r="AM79" s="47"/>
      <c r="AN79" s="47"/>
      <c r="AO79" s="47"/>
      <c r="AP79" s="47"/>
      <c r="AQ79" s="47"/>
      <c r="AR79" s="47"/>
      <c r="AS79" s="47"/>
      <c r="AT79" s="47"/>
      <c r="AU79" s="47"/>
      <c r="AV79" s="47"/>
      <c r="AW79" s="47"/>
      <c r="AX79" s="47"/>
      <c r="AY79" s="47"/>
      <c r="AZ79" s="47"/>
      <c r="BA79" s="47"/>
      <c r="BB79" s="47"/>
      <c r="BC79" s="47"/>
      <c r="BD79" s="47"/>
      <c r="BE79" s="47"/>
      <c r="BF79" s="47"/>
      <c r="BG79" s="47"/>
      <c r="BH79" s="47"/>
      <c r="BI79" s="47"/>
      <c r="BJ79" s="47"/>
      <c r="BK79" s="47"/>
      <c r="BL79" s="47"/>
      <c r="BM79" s="47"/>
      <c r="BN79" s="47"/>
      <c r="BO79" s="47"/>
      <c r="BP79" s="47"/>
      <c r="BQ79" s="47"/>
      <c r="BR79" s="47"/>
      <c r="BS79" s="47"/>
      <c r="BT79" s="47"/>
      <c r="BU79" s="47"/>
      <c r="BV79" s="47"/>
      <c r="BW79" s="47"/>
      <c r="BX79" s="47"/>
      <c r="BY79" s="47"/>
      <c r="BZ79" s="47"/>
    </row>
    <row r="80" spans="1:78" ht="13">
      <c r="A80" s="152" t="str">
        <f ca="1">IFERROR(__xludf.DUMMYFUNCTION("""COMPUTED_VALUE"""),"Bone")</f>
        <v>Bone</v>
      </c>
      <c r="B80" s="47" t="str">
        <f ca="1">IFERROR(__xludf.DUMMYFUNCTION("TRANSPOSE(unique(filter(Recipes!A$2:A2490,(Recipes!L$2:L2490=A80)+(Recipes!O$2:O2490=A80)+(Recipes!R$2:R2490=A80)+(Recipes!U$2:U2490=A80)+(Recipes!X$2:X2490=A80))))"),"Arrowhead")</f>
        <v>Arrowhead</v>
      </c>
      <c r="C80" s="47" t="str">
        <f ca="1">IFERROR(__xludf.DUMMYFUNCTION("""COMPUTED_VALUE"""),"Bone Dust")</f>
        <v>Bone Dust</v>
      </c>
      <c r="D80" s="47" t="str">
        <f ca="1">IFERROR(__xludf.DUMMYFUNCTION("""COMPUTED_VALUE"""),"Small Venom Rune")</f>
        <v>Small Venom Rune</v>
      </c>
      <c r="E80" s="47"/>
      <c r="F80" s="47"/>
      <c r="G80" s="47"/>
      <c r="H80" s="47"/>
      <c r="I80" s="47"/>
      <c r="J80" s="47"/>
      <c r="K80" s="47"/>
      <c r="L80" s="47"/>
      <c r="M80" s="47"/>
      <c r="N80" s="47"/>
      <c r="O80" s="47"/>
      <c r="P80" s="47"/>
      <c r="Q80" s="47"/>
      <c r="R80" s="47"/>
      <c r="S80" s="47"/>
      <c r="T80" s="47"/>
      <c r="U80" s="47"/>
      <c r="V80" s="47"/>
      <c r="W80" s="47"/>
      <c r="X80" s="47"/>
      <c r="Y80" s="47"/>
      <c r="Z80" s="47"/>
      <c r="AA80" s="47"/>
      <c r="AB80" s="47"/>
      <c r="AC80" s="47"/>
      <c r="AD80" s="47"/>
      <c r="AE80" s="47"/>
      <c r="AF80" s="47"/>
      <c r="AG80" s="47"/>
      <c r="AH80" s="47"/>
      <c r="AI80" s="47"/>
      <c r="AJ80" s="47"/>
      <c r="AK80" s="47"/>
      <c r="AL80" s="47"/>
      <c r="AM80" s="47"/>
      <c r="AN80" s="47"/>
      <c r="AO80" s="47"/>
      <c r="AP80" s="47"/>
      <c r="AQ80" s="47"/>
      <c r="AR80" s="47"/>
      <c r="AS80" s="47"/>
      <c r="AT80" s="47"/>
      <c r="AU80" s="47"/>
      <c r="AV80" s="47"/>
      <c r="AW80" s="47"/>
      <c r="AX80" s="47"/>
      <c r="AY80" s="47"/>
      <c r="AZ80" s="47"/>
      <c r="BA80" s="47"/>
      <c r="BB80" s="47"/>
      <c r="BC80" s="47"/>
      <c r="BD80" s="47"/>
      <c r="BE80" s="47"/>
      <c r="BF80" s="47"/>
      <c r="BG80" s="47"/>
      <c r="BH80" s="47"/>
      <c r="BI80" s="47"/>
      <c r="BJ80" s="47"/>
      <c r="BK80" s="47"/>
      <c r="BL80" s="47"/>
      <c r="BM80" s="47"/>
      <c r="BN80" s="47"/>
      <c r="BO80" s="47"/>
      <c r="BP80" s="47"/>
      <c r="BQ80" s="47"/>
      <c r="BR80" s="47"/>
      <c r="BS80" s="47"/>
      <c r="BT80" s="47"/>
      <c r="BU80" s="47"/>
      <c r="BV80" s="47"/>
      <c r="BW80" s="47"/>
      <c r="BX80" s="47"/>
      <c r="BY80" s="47"/>
      <c r="BZ80" s="47"/>
    </row>
    <row r="81" spans="1:78" ht="13">
      <c r="A81" s="152" t="str">
        <f ca="1">IFERROR(__xludf.DUMMYFUNCTION("""COMPUTED_VALUE"""),"Bone Cage Scroll")</f>
        <v>Bone Cage Scroll</v>
      </c>
      <c r="B81" s="47" t="str">
        <f ca="1">IFERROR(__xludf.DUMMYFUNCTION("TRANSPOSE(unique(filter(Recipes!A$2:A2490,(Recipes!L$2:L2490=A81)+(Recipes!O$2:O2490=A81)+(Recipes!R$2:R2490=A81)+(Recipes!U$2:U2490=A81)+(Recipes!X$2:X2490=A81))))"),"Bone Cage Skillbook")</f>
        <v>Bone Cage Skillbook</v>
      </c>
      <c r="C81" s="47"/>
      <c r="D81" s="47"/>
      <c r="E81" s="47"/>
      <c r="F81" s="47"/>
      <c r="G81" s="47"/>
      <c r="H81" s="47"/>
      <c r="I81" s="47"/>
      <c r="J81" s="47"/>
      <c r="K81" s="47"/>
      <c r="L81" s="47"/>
      <c r="M81" s="47"/>
      <c r="N81" s="47"/>
      <c r="O81" s="47"/>
      <c r="P81" s="47"/>
      <c r="Q81" s="47"/>
      <c r="R81" s="47"/>
      <c r="S81" s="47"/>
      <c r="T81" s="47"/>
      <c r="U81" s="47"/>
      <c r="V81" s="47"/>
      <c r="W81" s="47"/>
      <c r="X81" s="47"/>
      <c r="Y81" s="47"/>
      <c r="Z81" s="47"/>
      <c r="AA81" s="47"/>
      <c r="AB81" s="47"/>
      <c r="AC81" s="47"/>
      <c r="AD81" s="47"/>
      <c r="AE81" s="47"/>
      <c r="AF81" s="47"/>
      <c r="AG81" s="47"/>
      <c r="AH81" s="47"/>
      <c r="AI81" s="47"/>
      <c r="AJ81" s="47"/>
      <c r="AK81" s="47"/>
      <c r="AL81" s="47"/>
      <c r="AM81" s="47"/>
      <c r="AN81" s="47"/>
      <c r="AO81" s="47"/>
      <c r="AP81" s="47"/>
      <c r="AQ81" s="47"/>
      <c r="AR81" s="47"/>
      <c r="AS81" s="47"/>
      <c r="AT81" s="47"/>
      <c r="AU81" s="47"/>
      <c r="AV81" s="47"/>
      <c r="AW81" s="47"/>
      <c r="AX81" s="47"/>
      <c r="AY81" s="47"/>
      <c r="AZ81" s="47"/>
      <c r="BA81" s="47"/>
      <c r="BB81" s="47"/>
      <c r="BC81" s="47"/>
      <c r="BD81" s="47"/>
      <c r="BE81" s="47"/>
      <c r="BF81" s="47"/>
      <c r="BG81" s="47"/>
      <c r="BH81" s="47"/>
      <c r="BI81" s="47"/>
      <c r="BJ81" s="47"/>
      <c r="BK81" s="47"/>
      <c r="BL81" s="47"/>
      <c r="BM81" s="47"/>
      <c r="BN81" s="47"/>
      <c r="BO81" s="47"/>
      <c r="BP81" s="47"/>
      <c r="BQ81" s="47"/>
      <c r="BR81" s="47"/>
      <c r="BS81" s="47"/>
      <c r="BT81" s="47"/>
      <c r="BU81" s="47"/>
      <c r="BV81" s="47"/>
      <c r="BW81" s="47"/>
      <c r="BX81" s="47"/>
      <c r="BY81" s="47"/>
      <c r="BZ81" s="47"/>
    </row>
    <row r="82" spans="1:78" ht="13">
      <c r="A82" s="152" t="str">
        <f ca="1">IFERROR(__xludf.DUMMYFUNCTION("""COMPUTED_VALUE"""),"Bone Dust")</f>
        <v>Bone Dust</v>
      </c>
      <c r="B82" s="47" t="str">
        <f ca="1">IFERROR(__xludf.DUMMYFUNCTION("TRANSPOSE(unique(filter(Recipes!A$2:A2490,(Recipes!L$2:L2490=A82)+(Recipes!O$2:O2490=A82)+(Recipes!R$2:R2490=A82)+(Recipes!U$2:U2490=A82)+(Recipes!X$2:X2490=A82))))"),"Pixie Dust")</f>
        <v>Pixie Dust</v>
      </c>
      <c r="C82" s="47" t="str">
        <f ca="1">IFERROR(__xludf.DUMMYFUNCTION("""COMPUTED_VALUE"""),"Pouch of Superior Pixie Dust")</f>
        <v>Pouch of Superior Pixie Dust</v>
      </c>
      <c r="D82" s="47"/>
      <c r="E82" s="47"/>
      <c r="F82" s="47"/>
      <c r="G82" s="47"/>
      <c r="H82" s="47"/>
      <c r="I82" s="47"/>
      <c r="J82" s="47"/>
      <c r="K82" s="47"/>
      <c r="L82" s="47"/>
      <c r="M82" s="47"/>
      <c r="N82" s="47"/>
      <c r="O82" s="47"/>
      <c r="P82" s="47"/>
      <c r="Q82" s="47"/>
      <c r="R82" s="47"/>
      <c r="S82" s="47"/>
      <c r="T82" s="47"/>
      <c r="U82" s="47"/>
      <c r="V82" s="47"/>
      <c r="W82" s="47"/>
      <c r="X82" s="47"/>
      <c r="Y82" s="47"/>
      <c r="Z82" s="47"/>
      <c r="AA82" s="47"/>
      <c r="AB82" s="47"/>
      <c r="AC82" s="47"/>
      <c r="AD82" s="47"/>
      <c r="AE82" s="47"/>
      <c r="AF82" s="47"/>
      <c r="AG82" s="47"/>
      <c r="AH82" s="47"/>
      <c r="AI82" s="47"/>
      <c r="AJ82" s="47"/>
      <c r="AK82" s="47"/>
      <c r="AL82" s="47"/>
      <c r="AM82" s="47"/>
      <c r="AN82" s="47"/>
      <c r="AO82" s="47"/>
      <c r="AP82" s="47"/>
      <c r="AQ82" s="47"/>
      <c r="AR82" s="47"/>
      <c r="AS82" s="47"/>
      <c r="AT82" s="47"/>
      <c r="AU82" s="47"/>
      <c r="AV82" s="47"/>
      <c r="AW82" s="47"/>
      <c r="AX82" s="47"/>
      <c r="AY82" s="47"/>
      <c r="AZ82" s="47"/>
      <c r="BA82" s="47"/>
      <c r="BB82" s="47"/>
      <c r="BC82" s="47"/>
      <c r="BD82" s="47"/>
      <c r="BE82" s="47"/>
      <c r="BF82" s="47"/>
      <c r="BG82" s="47"/>
      <c r="BH82" s="47"/>
      <c r="BI82" s="47"/>
      <c r="BJ82" s="47"/>
      <c r="BK82" s="47"/>
      <c r="BL82" s="47"/>
      <c r="BM82" s="47"/>
      <c r="BN82" s="47"/>
      <c r="BO82" s="47"/>
      <c r="BP82" s="47"/>
      <c r="BQ82" s="47"/>
      <c r="BR82" s="47"/>
      <c r="BS82" s="47"/>
      <c r="BT82" s="47"/>
      <c r="BU82" s="47"/>
      <c r="BV82" s="47"/>
      <c r="BW82" s="47"/>
      <c r="BX82" s="47"/>
      <c r="BY82" s="47"/>
      <c r="BZ82" s="47"/>
    </row>
    <row r="83" spans="1:78" ht="13">
      <c r="A83" s="152" t="str">
        <f ca="1">IFERROR(__xludf.DUMMYFUNCTION("""COMPUTED_VALUE"""),"Bottle Filled With Oil")</f>
        <v>Bottle Filled With Oil</v>
      </c>
      <c r="B83" s="47" t="str">
        <f ca="1">IFERROR(__xludf.DUMMYFUNCTION("TRANSPOSE(unique(filter(Recipes!A$2:A2490,(Recipes!L$2:L2490=A83)+(Recipes!O$2:O2490=A83)+(Recipes!R$2:R2490=A83)+(Recipes!U$2:U2490=A83)+(Recipes!X$2:X2490=A83))))"),"Firestorm Grenade")</f>
        <v>Firestorm Grenade</v>
      </c>
      <c r="C83" s="47"/>
      <c r="D83" s="47"/>
      <c r="E83" s="47"/>
      <c r="F83" s="47"/>
      <c r="G83" s="47"/>
      <c r="H83" s="47"/>
      <c r="I83" s="47"/>
      <c r="J83" s="47"/>
      <c r="K83" s="47"/>
      <c r="L83" s="47"/>
      <c r="M83" s="47"/>
      <c r="N83" s="47"/>
      <c r="O83" s="47"/>
      <c r="P83" s="47"/>
      <c r="Q83" s="47"/>
      <c r="R83" s="47"/>
      <c r="S83" s="47"/>
      <c r="T83" s="47"/>
      <c r="U83" s="47"/>
      <c r="V83" s="47"/>
      <c r="W83" s="47"/>
      <c r="X83" s="47"/>
      <c r="Y83" s="47"/>
      <c r="Z83" s="47"/>
      <c r="AA83" s="47"/>
      <c r="AB83" s="47"/>
      <c r="AC83" s="47"/>
      <c r="AD83" s="47"/>
      <c r="AE83" s="47"/>
      <c r="AF83" s="47"/>
      <c r="AG83" s="47"/>
      <c r="AH83" s="47"/>
      <c r="AI83" s="47"/>
      <c r="AJ83" s="47"/>
      <c r="AK83" s="47"/>
      <c r="AL83" s="47"/>
      <c r="AM83" s="47"/>
      <c r="AN83" s="47"/>
      <c r="AO83" s="47"/>
      <c r="AP83" s="47"/>
      <c r="AQ83" s="47"/>
      <c r="AR83" s="47"/>
      <c r="AS83" s="47"/>
      <c r="AT83" s="47"/>
      <c r="AU83" s="47"/>
      <c r="AV83" s="47"/>
      <c r="AW83" s="47"/>
      <c r="AX83" s="47"/>
      <c r="AY83" s="47"/>
      <c r="AZ83" s="47"/>
      <c r="BA83" s="47"/>
      <c r="BB83" s="47"/>
      <c r="BC83" s="47"/>
      <c r="BD83" s="47"/>
      <c r="BE83" s="47"/>
      <c r="BF83" s="47"/>
      <c r="BG83" s="47"/>
      <c r="BH83" s="47"/>
      <c r="BI83" s="47"/>
      <c r="BJ83" s="47"/>
      <c r="BK83" s="47"/>
      <c r="BL83" s="47"/>
      <c r="BM83" s="47"/>
      <c r="BN83" s="47"/>
      <c r="BO83" s="47"/>
      <c r="BP83" s="47"/>
      <c r="BQ83" s="47"/>
      <c r="BR83" s="47"/>
      <c r="BS83" s="47"/>
      <c r="BT83" s="47"/>
      <c r="BU83" s="47"/>
      <c r="BV83" s="47"/>
      <c r="BW83" s="47"/>
      <c r="BX83" s="47"/>
      <c r="BY83" s="47"/>
      <c r="BZ83" s="47"/>
    </row>
    <row r="84" spans="1:78" ht="13">
      <c r="A84" s="152" t="str">
        <f ca="1">IFERROR(__xludf.DUMMYFUNCTION("""COMPUTED_VALUE"""),"Bow String")</f>
        <v>Bow String</v>
      </c>
      <c r="B84" s="47" t="str">
        <f ca="1">IFERROR(__xludf.DUMMYFUNCTION("TRANSPOSE(unique(filter(Recipes!A$2:A2490,(Recipes!L$2:L2490=A84)+(Recipes!O$2:O2490=A84)+(Recipes!R$2:R2490=A84)+(Recipes!U$2:U2490=A84)+(Recipes!X$2:X2490=A84))))"),"Crossbow")</f>
        <v>Crossbow</v>
      </c>
      <c r="C84" s="47" t="str">
        <f ca="1">IFERROR(__xludf.DUMMYFUNCTION("""COMPUTED_VALUE"""),"Twig with a String")</f>
        <v>Twig with a String</v>
      </c>
      <c r="D84" s="47"/>
      <c r="E84" s="47"/>
      <c r="F84" s="47"/>
      <c r="G84" s="47"/>
      <c r="H84" s="47"/>
      <c r="I84" s="47"/>
      <c r="J84" s="47"/>
      <c r="K84" s="47"/>
      <c r="L84" s="47"/>
      <c r="M84" s="47"/>
      <c r="N84" s="47"/>
      <c r="O84" s="47"/>
      <c r="P84" s="47"/>
      <c r="Q84" s="47"/>
      <c r="R84" s="47"/>
      <c r="S84" s="47"/>
      <c r="T84" s="47"/>
      <c r="U84" s="47"/>
      <c r="V84" s="47"/>
      <c r="W84" s="47"/>
      <c r="X84" s="47"/>
      <c r="Y84" s="47"/>
      <c r="Z84" s="47"/>
      <c r="AA84" s="47"/>
      <c r="AB84" s="47"/>
      <c r="AC84" s="47"/>
      <c r="AD84" s="47"/>
      <c r="AE84" s="47"/>
      <c r="AF84" s="47"/>
      <c r="AG84" s="47"/>
      <c r="AH84" s="47"/>
      <c r="AI84" s="47"/>
      <c r="AJ84" s="47"/>
      <c r="AK84" s="47"/>
      <c r="AL84" s="47"/>
      <c r="AM84" s="47"/>
      <c r="AN84" s="47"/>
      <c r="AO84" s="47"/>
      <c r="AP84" s="47"/>
      <c r="AQ84" s="47"/>
      <c r="AR84" s="47"/>
      <c r="AS84" s="47"/>
      <c r="AT84" s="47"/>
      <c r="AU84" s="47"/>
      <c r="AV84" s="47"/>
      <c r="AW84" s="47"/>
      <c r="AX84" s="47"/>
      <c r="AY84" s="47"/>
      <c r="AZ84" s="47"/>
      <c r="BA84" s="47"/>
      <c r="BB84" s="47"/>
      <c r="BC84" s="47"/>
      <c r="BD84" s="47"/>
      <c r="BE84" s="47"/>
      <c r="BF84" s="47"/>
      <c r="BG84" s="47"/>
      <c r="BH84" s="47"/>
      <c r="BI84" s="47"/>
      <c r="BJ84" s="47"/>
      <c r="BK84" s="47"/>
      <c r="BL84" s="47"/>
      <c r="BM84" s="47"/>
      <c r="BN84" s="47"/>
      <c r="BO84" s="47"/>
      <c r="BP84" s="47"/>
      <c r="BQ84" s="47"/>
      <c r="BR84" s="47"/>
      <c r="BS84" s="47"/>
      <c r="BT84" s="47"/>
      <c r="BU84" s="47"/>
      <c r="BV84" s="47"/>
      <c r="BW84" s="47"/>
      <c r="BX84" s="47"/>
      <c r="BY84" s="47"/>
      <c r="BZ84" s="47"/>
    </row>
    <row r="85" spans="1:78" ht="13">
      <c r="A85" s="152" t="str">
        <f ca="1">IFERROR(__xludf.DUMMYFUNCTION("""COMPUTED_VALUE"""),"Bowl")</f>
        <v>Bowl</v>
      </c>
      <c r="B85" s="47" t="str">
        <f ca="1">IFERROR(__xludf.DUMMYFUNCTION("TRANSPOSE(unique(filter(Recipes!A$2:A2490,(Recipes!L$2:L2490=A85)+(Recipes!O$2:O2490=A85)+(Recipes!R$2:R2490=A85)+(Recipes!U$2:U2490=A85)+(Recipes!X$2:X2490=A85))))"),"Improvised Shovel")</f>
        <v>Improvised Shovel</v>
      </c>
      <c r="C85" s="47"/>
      <c r="D85" s="47"/>
      <c r="E85" s="47"/>
      <c r="F85" s="47"/>
      <c r="G85" s="47"/>
      <c r="H85" s="47"/>
      <c r="I85" s="47"/>
      <c r="J85" s="47"/>
      <c r="K85" s="47"/>
      <c r="L85" s="47"/>
      <c r="M85" s="47"/>
      <c r="N85" s="47"/>
      <c r="O85" s="47"/>
      <c r="P85" s="47"/>
      <c r="Q85" s="47"/>
      <c r="R85" s="47"/>
      <c r="S85" s="47"/>
      <c r="T85" s="47"/>
      <c r="U85" s="47"/>
      <c r="V85" s="47"/>
      <c r="W85" s="47"/>
      <c r="X85" s="47"/>
      <c r="Y85" s="47"/>
      <c r="Z85" s="47"/>
      <c r="AA85" s="47"/>
      <c r="AB85" s="47"/>
      <c r="AC85" s="47"/>
      <c r="AD85" s="47"/>
      <c r="AE85" s="47"/>
      <c r="AF85" s="47"/>
      <c r="AG85" s="47"/>
      <c r="AH85" s="47"/>
      <c r="AI85" s="47"/>
      <c r="AJ85" s="47"/>
      <c r="AK85" s="47"/>
      <c r="AL85" s="47"/>
      <c r="AM85" s="47"/>
      <c r="AN85" s="47"/>
      <c r="AO85" s="47"/>
      <c r="AP85" s="47"/>
      <c r="AQ85" s="47"/>
      <c r="AR85" s="47"/>
      <c r="AS85" s="47"/>
      <c r="AT85" s="47"/>
      <c r="AU85" s="47"/>
      <c r="AV85" s="47"/>
      <c r="AW85" s="47"/>
      <c r="AX85" s="47"/>
      <c r="AY85" s="47"/>
      <c r="AZ85" s="47"/>
      <c r="BA85" s="47"/>
      <c r="BB85" s="47"/>
      <c r="BC85" s="47"/>
      <c r="BD85" s="47"/>
      <c r="BE85" s="47"/>
      <c r="BF85" s="47"/>
      <c r="BG85" s="47"/>
      <c r="BH85" s="47"/>
      <c r="BI85" s="47"/>
      <c r="BJ85" s="47"/>
      <c r="BK85" s="47"/>
      <c r="BL85" s="47"/>
      <c r="BM85" s="47"/>
      <c r="BN85" s="47"/>
      <c r="BO85" s="47"/>
      <c r="BP85" s="47"/>
      <c r="BQ85" s="47"/>
      <c r="BR85" s="47"/>
      <c r="BS85" s="47"/>
      <c r="BT85" s="47"/>
      <c r="BU85" s="47"/>
      <c r="BV85" s="47"/>
      <c r="BW85" s="47"/>
      <c r="BX85" s="47"/>
      <c r="BY85" s="47"/>
      <c r="BZ85" s="47"/>
    </row>
    <row r="86" spans="1:78" ht="13">
      <c r="A86" s="152" t="str">
        <f ca="1">IFERROR(__xludf.DUMMYFUNCTION("""COMPUTED_VALUE"""),"Broken Angelic Statue")</f>
        <v>Broken Angelic Statue</v>
      </c>
      <c r="B86" s="47" t="str">
        <f ca="1">IFERROR(__xludf.DUMMYFUNCTION("TRANSPOSE(unique(filter(Recipes!A$2:A2490,(Recipes!L$2:L2490=A86)+(Recipes!O$2:O2490=A86)+(Recipes!R$2:R2490=A86)+(Recipes!U$2:U2490=A86)+(Recipes!X$2:X2490=A86))))"),"[blank in editor]")</f>
        <v>[blank in editor]</v>
      </c>
      <c r="C86" s="47"/>
      <c r="D86" s="47"/>
      <c r="E86" s="47"/>
      <c r="F86" s="47"/>
      <c r="G86" s="47"/>
      <c r="H86" s="47"/>
      <c r="I86" s="47"/>
      <c r="J86" s="47"/>
      <c r="K86" s="47"/>
      <c r="L86" s="47"/>
      <c r="M86" s="47"/>
      <c r="N86" s="47"/>
      <c r="O86" s="47"/>
      <c r="P86" s="47"/>
      <c r="Q86" s="47"/>
      <c r="R86" s="47"/>
      <c r="S86" s="47"/>
      <c r="T86" s="47"/>
      <c r="U86" s="47"/>
      <c r="V86" s="47"/>
      <c r="W86" s="47"/>
      <c r="X86" s="47"/>
      <c r="Y86" s="47"/>
      <c r="Z86" s="47"/>
      <c r="AA86" s="47"/>
      <c r="AB86" s="47"/>
      <c r="AC86" s="47"/>
      <c r="AD86" s="47"/>
      <c r="AE86" s="47"/>
      <c r="AF86" s="47"/>
      <c r="AG86" s="47"/>
      <c r="AH86" s="47"/>
      <c r="AI86" s="47"/>
      <c r="AJ86" s="47"/>
      <c r="AK86" s="47"/>
      <c r="AL86" s="47"/>
      <c r="AM86" s="47"/>
      <c r="AN86" s="47"/>
      <c r="AO86" s="47"/>
      <c r="AP86" s="47"/>
      <c r="AQ86" s="47"/>
      <c r="AR86" s="47"/>
      <c r="AS86" s="47"/>
      <c r="AT86" s="47"/>
      <c r="AU86" s="47"/>
      <c r="AV86" s="47"/>
      <c r="AW86" s="47"/>
      <c r="AX86" s="47"/>
      <c r="AY86" s="47"/>
      <c r="AZ86" s="47"/>
      <c r="BA86" s="47"/>
      <c r="BB86" s="47"/>
      <c r="BC86" s="47"/>
      <c r="BD86" s="47"/>
      <c r="BE86" s="47"/>
      <c r="BF86" s="47"/>
      <c r="BG86" s="47"/>
      <c r="BH86" s="47"/>
      <c r="BI86" s="47"/>
      <c r="BJ86" s="47"/>
      <c r="BK86" s="47"/>
      <c r="BL86" s="47"/>
      <c r="BM86" s="47"/>
      <c r="BN86" s="47"/>
      <c r="BO86" s="47"/>
      <c r="BP86" s="47"/>
      <c r="BQ86" s="47"/>
      <c r="BR86" s="47"/>
      <c r="BS86" s="47"/>
      <c r="BT86" s="47"/>
      <c r="BU86" s="47"/>
      <c r="BV86" s="47"/>
      <c r="BW86" s="47"/>
      <c r="BX86" s="47"/>
      <c r="BY86" s="47"/>
      <c r="BZ86" s="47"/>
    </row>
    <row r="87" spans="1:78" ht="13">
      <c r="A87" s="152" t="str">
        <f ca="1">IFERROR(__xludf.DUMMYFUNCTION("""COMPUTED_VALUE"""),"Broken Bottle")</f>
        <v>Broken Bottle</v>
      </c>
      <c r="B87" s="47" t="str">
        <f ca="1">IFERROR(__xludf.DUMMYFUNCTION("TRANSPOSE(unique(filter(Recipes!A$2:A2490,(Recipes!L$2:L2490=A87)+(Recipes!O$2:O2490=A87)+(Recipes!R$2:R2490=A87)+(Recipes!U$2:U2490=A87)+(Recipes!X$2:X2490=A87))))"),"Nailbomb Grenade")</f>
        <v>Nailbomb Grenade</v>
      </c>
      <c r="C87" s="47"/>
      <c r="D87" s="47"/>
      <c r="E87" s="47"/>
      <c r="F87" s="47"/>
      <c r="G87" s="47"/>
      <c r="H87" s="47"/>
      <c r="I87" s="47"/>
      <c r="J87" s="47"/>
      <c r="K87" s="47"/>
      <c r="L87" s="47"/>
      <c r="M87" s="47"/>
      <c r="N87" s="47"/>
      <c r="O87" s="47"/>
      <c r="P87" s="47"/>
      <c r="Q87" s="47"/>
      <c r="R87" s="47"/>
      <c r="S87" s="47"/>
      <c r="T87" s="47"/>
      <c r="U87" s="47"/>
      <c r="V87" s="47"/>
      <c r="W87" s="47"/>
      <c r="X87" s="47"/>
      <c r="Y87" s="47"/>
      <c r="Z87" s="47"/>
      <c r="AA87" s="47"/>
      <c r="AB87" s="47"/>
      <c r="AC87" s="47"/>
      <c r="AD87" s="47"/>
      <c r="AE87" s="47"/>
      <c r="AF87" s="47"/>
      <c r="AG87" s="47"/>
      <c r="AH87" s="47"/>
      <c r="AI87" s="47"/>
      <c r="AJ87" s="47"/>
      <c r="AK87" s="47"/>
      <c r="AL87" s="47"/>
      <c r="AM87" s="47"/>
      <c r="AN87" s="47"/>
      <c r="AO87" s="47"/>
      <c r="AP87" s="47"/>
      <c r="AQ87" s="47"/>
      <c r="AR87" s="47"/>
      <c r="AS87" s="47"/>
      <c r="AT87" s="47"/>
      <c r="AU87" s="47"/>
      <c r="AV87" s="47"/>
      <c r="AW87" s="47"/>
      <c r="AX87" s="47"/>
      <c r="AY87" s="47"/>
      <c r="AZ87" s="47"/>
      <c r="BA87" s="47"/>
      <c r="BB87" s="47"/>
      <c r="BC87" s="47"/>
      <c r="BD87" s="47"/>
      <c r="BE87" s="47"/>
      <c r="BF87" s="47"/>
      <c r="BG87" s="47"/>
      <c r="BH87" s="47"/>
      <c r="BI87" s="47"/>
      <c r="BJ87" s="47"/>
      <c r="BK87" s="47"/>
      <c r="BL87" s="47"/>
      <c r="BM87" s="47"/>
      <c r="BN87" s="47"/>
      <c r="BO87" s="47"/>
      <c r="BP87" s="47"/>
      <c r="BQ87" s="47"/>
      <c r="BR87" s="47"/>
      <c r="BS87" s="47"/>
      <c r="BT87" s="47"/>
      <c r="BU87" s="47"/>
      <c r="BV87" s="47"/>
      <c r="BW87" s="47"/>
      <c r="BX87" s="47"/>
      <c r="BY87" s="47"/>
      <c r="BZ87" s="47"/>
    </row>
    <row r="88" spans="1:78" ht="13">
      <c r="A88" s="152" t="str">
        <f ca="1">IFERROR(__xludf.DUMMYFUNCTION("""COMPUTED_VALUE"""),"Broken Lever [A]")</f>
        <v>Broken Lever [A]</v>
      </c>
      <c r="B88" s="47" t="str">
        <f ca="1">IFERROR(__xludf.DUMMYFUNCTION("TRANSPOSE(unique(filter(Recipes!A$2:A2490,(Recipes!L$2:L2490=A88)+(Recipes!O$2:O2490=A88)+(Recipes!R$2:R2490=A88)+(Recipes!U$2:U2490=A88)+(Recipes!X$2:X2490=A88))))"),"[world object]")</f>
        <v>[world object]</v>
      </c>
      <c r="C88" s="47"/>
      <c r="D88" s="47"/>
      <c r="E88" s="47"/>
      <c r="F88" s="47"/>
      <c r="G88" s="47"/>
      <c r="H88" s="47"/>
      <c r="I88" s="47"/>
      <c r="J88" s="47"/>
      <c r="K88" s="47"/>
      <c r="L88" s="47"/>
      <c r="M88" s="47"/>
      <c r="N88" s="47"/>
      <c r="O88" s="47"/>
      <c r="P88" s="47"/>
      <c r="Q88" s="47"/>
      <c r="R88" s="47"/>
      <c r="S88" s="47"/>
      <c r="T88" s="47"/>
      <c r="U88" s="47"/>
      <c r="V88" s="47"/>
      <c r="W88" s="47"/>
      <c r="X88" s="47"/>
      <c r="Y88" s="47"/>
      <c r="Z88" s="47"/>
      <c r="AA88" s="47"/>
      <c r="AB88" s="47"/>
      <c r="AC88" s="47"/>
      <c r="AD88" s="47"/>
      <c r="AE88" s="47"/>
      <c r="AF88" s="47"/>
      <c r="AG88" s="47"/>
      <c r="AH88" s="47"/>
      <c r="AI88" s="47"/>
      <c r="AJ88" s="47"/>
      <c r="AK88" s="47"/>
      <c r="AL88" s="47"/>
      <c r="AM88" s="47"/>
      <c r="AN88" s="47"/>
      <c r="AO88" s="47"/>
      <c r="AP88" s="47"/>
      <c r="AQ88" s="47"/>
      <c r="AR88" s="47"/>
      <c r="AS88" s="47"/>
      <c r="AT88" s="47"/>
      <c r="AU88" s="47"/>
      <c r="AV88" s="47"/>
      <c r="AW88" s="47"/>
      <c r="AX88" s="47"/>
      <c r="AY88" s="47"/>
      <c r="AZ88" s="47"/>
      <c r="BA88" s="47"/>
      <c r="BB88" s="47"/>
      <c r="BC88" s="47"/>
      <c r="BD88" s="47"/>
      <c r="BE88" s="47"/>
      <c r="BF88" s="47"/>
      <c r="BG88" s="47"/>
      <c r="BH88" s="47"/>
      <c r="BI88" s="47"/>
      <c r="BJ88" s="47"/>
      <c r="BK88" s="47"/>
      <c r="BL88" s="47"/>
      <c r="BM88" s="47"/>
      <c r="BN88" s="47"/>
      <c r="BO88" s="47"/>
      <c r="BP88" s="47"/>
      <c r="BQ88" s="47"/>
      <c r="BR88" s="47"/>
      <c r="BS88" s="47"/>
      <c r="BT88" s="47"/>
      <c r="BU88" s="47"/>
      <c r="BV88" s="47"/>
      <c r="BW88" s="47"/>
      <c r="BX88" s="47"/>
      <c r="BY88" s="47"/>
      <c r="BZ88" s="47"/>
    </row>
    <row r="89" spans="1:78" ht="13">
      <c r="A89" s="152" t="str">
        <f ca="1">IFERROR(__xludf.DUMMYFUNCTION("""COMPUTED_VALUE"""),"Broken Lever [B]")</f>
        <v>Broken Lever [B]</v>
      </c>
      <c r="B89" s="47" t="str">
        <f ca="1">IFERROR(__xludf.DUMMYFUNCTION("TRANSPOSE(unique(filter(Recipes!A$2:A2490,(Recipes!L$2:L2490=A89)+(Recipes!O$2:O2490=A89)+(Recipes!R$2:R2490=A89)+(Recipes!U$2:U2490=A89)+(Recipes!X$2:X2490=A89))))"),"[world object]")</f>
        <v>[world object]</v>
      </c>
      <c r="C89" s="47"/>
      <c r="D89" s="47"/>
      <c r="E89" s="47"/>
      <c r="F89" s="47"/>
      <c r="G89" s="47"/>
      <c r="H89" s="47"/>
      <c r="I89" s="47"/>
      <c r="J89" s="47"/>
      <c r="K89" s="47"/>
      <c r="L89" s="47"/>
      <c r="M89" s="47"/>
      <c r="N89" s="47"/>
      <c r="O89" s="47"/>
      <c r="P89" s="47"/>
      <c r="Q89" s="47"/>
      <c r="R89" s="47"/>
      <c r="S89" s="47"/>
      <c r="T89" s="47"/>
      <c r="U89" s="47"/>
      <c r="V89" s="47"/>
      <c r="W89" s="47"/>
      <c r="X89" s="47"/>
      <c r="Y89" s="47"/>
      <c r="Z89" s="47"/>
      <c r="AA89" s="47"/>
      <c r="AB89" s="47"/>
      <c r="AC89" s="47"/>
      <c r="AD89" s="47"/>
      <c r="AE89" s="47"/>
      <c r="AF89" s="47"/>
      <c r="AG89" s="47"/>
      <c r="AH89" s="47"/>
      <c r="AI89" s="47"/>
      <c r="AJ89" s="47"/>
      <c r="AK89" s="47"/>
      <c r="AL89" s="47"/>
      <c r="AM89" s="47"/>
      <c r="AN89" s="47"/>
      <c r="AO89" s="47"/>
      <c r="AP89" s="47"/>
      <c r="AQ89" s="47"/>
      <c r="AR89" s="47"/>
      <c r="AS89" s="47"/>
      <c r="AT89" s="47"/>
      <c r="AU89" s="47"/>
      <c r="AV89" s="47"/>
      <c r="AW89" s="47"/>
      <c r="AX89" s="47"/>
      <c r="AY89" s="47"/>
      <c r="AZ89" s="47"/>
      <c r="BA89" s="47"/>
      <c r="BB89" s="47"/>
      <c r="BC89" s="47"/>
      <c r="BD89" s="47"/>
      <c r="BE89" s="47"/>
      <c r="BF89" s="47"/>
      <c r="BG89" s="47"/>
      <c r="BH89" s="47"/>
      <c r="BI89" s="47"/>
      <c r="BJ89" s="47"/>
      <c r="BK89" s="47"/>
      <c r="BL89" s="47"/>
      <c r="BM89" s="47"/>
      <c r="BN89" s="47"/>
      <c r="BO89" s="47"/>
      <c r="BP89" s="47"/>
      <c r="BQ89" s="47"/>
      <c r="BR89" s="47"/>
      <c r="BS89" s="47"/>
      <c r="BT89" s="47"/>
      <c r="BU89" s="47"/>
      <c r="BV89" s="47"/>
      <c r="BW89" s="47"/>
      <c r="BX89" s="47"/>
      <c r="BY89" s="47"/>
      <c r="BZ89" s="47"/>
    </row>
    <row r="90" spans="1:78" ht="13">
      <c r="A90" s="152" t="str">
        <f ca="1">IFERROR(__xludf.DUMMYFUNCTION("""COMPUTED_VALUE"""),"Broken Lever [C]")</f>
        <v>Broken Lever [C]</v>
      </c>
      <c r="B90" s="47" t="str">
        <f ca="1">IFERROR(__xludf.DUMMYFUNCTION("TRANSPOSE(unique(filter(Recipes!A$2:A2490,(Recipes!L$2:L2490=A90)+(Recipes!O$2:O2490=A90)+(Recipes!R$2:R2490=A90)+(Recipes!U$2:U2490=A90)+(Recipes!X$2:X2490=A90))))"),"[world object]")</f>
        <v>[world object]</v>
      </c>
      <c r="C90" s="47"/>
      <c r="D90" s="47"/>
      <c r="E90" s="47"/>
      <c r="F90" s="47"/>
      <c r="G90" s="47"/>
      <c r="H90" s="47"/>
      <c r="I90" s="47"/>
      <c r="J90" s="47"/>
      <c r="K90" s="47"/>
      <c r="L90" s="47"/>
      <c r="M90" s="47"/>
      <c r="N90" s="47"/>
      <c r="O90" s="47"/>
      <c r="P90" s="47"/>
      <c r="Q90" s="47"/>
      <c r="R90" s="47"/>
      <c r="S90" s="47"/>
      <c r="T90" s="47"/>
      <c r="U90" s="47"/>
      <c r="V90" s="47"/>
      <c r="W90" s="47"/>
      <c r="X90" s="47"/>
      <c r="Y90" s="47"/>
      <c r="Z90" s="47"/>
      <c r="AA90" s="47"/>
      <c r="AB90" s="47"/>
      <c r="AC90" s="47"/>
      <c r="AD90" s="47"/>
      <c r="AE90" s="47"/>
      <c r="AF90" s="47"/>
      <c r="AG90" s="47"/>
      <c r="AH90" s="47"/>
      <c r="AI90" s="47"/>
      <c r="AJ90" s="47"/>
      <c r="AK90" s="47"/>
      <c r="AL90" s="47"/>
      <c r="AM90" s="47"/>
      <c r="AN90" s="47"/>
      <c r="AO90" s="47"/>
      <c r="AP90" s="47"/>
      <c r="AQ90" s="47"/>
      <c r="AR90" s="47"/>
      <c r="AS90" s="47"/>
      <c r="AT90" s="47"/>
      <c r="AU90" s="47"/>
      <c r="AV90" s="47"/>
      <c r="AW90" s="47"/>
      <c r="AX90" s="47"/>
      <c r="AY90" s="47"/>
      <c r="AZ90" s="47"/>
      <c r="BA90" s="47"/>
      <c r="BB90" s="47"/>
      <c r="BC90" s="47"/>
      <c r="BD90" s="47"/>
      <c r="BE90" s="47"/>
      <c r="BF90" s="47"/>
      <c r="BG90" s="47"/>
      <c r="BH90" s="47"/>
      <c r="BI90" s="47"/>
      <c r="BJ90" s="47"/>
      <c r="BK90" s="47"/>
      <c r="BL90" s="47"/>
      <c r="BM90" s="47"/>
      <c r="BN90" s="47"/>
      <c r="BO90" s="47"/>
      <c r="BP90" s="47"/>
      <c r="BQ90" s="47"/>
      <c r="BR90" s="47"/>
      <c r="BS90" s="47"/>
      <c r="BT90" s="47"/>
      <c r="BU90" s="47"/>
      <c r="BV90" s="47"/>
      <c r="BW90" s="47"/>
      <c r="BX90" s="47"/>
      <c r="BY90" s="47"/>
      <c r="BZ90" s="47"/>
    </row>
    <row r="91" spans="1:78" ht="13">
      <c r="A91" s="152" t="str">
        <f ca="1">IFERROR(__xludf.DUMMYFUNCTION("""COMPUTED_VALUE"""),"Bucket")</f>
        <v>Bucket</v>
      </c>
      <c r="B91" s="47" t="str">
        <f ca="1">IFERROR(__xludf.DUMMYFUNCTION("TRANSPOSE(unique(filter(Recipes!A$2:A2490,(Recipes!L$2:L2490=A91)+(Recipes!O$2:O2490=A91)+(Recipes!R$2:R2490=A91)+(Recipes!U$2:U2490=A91)+(Recipes!X$2:X2490=A91))))"),"Bucket of Water")</f>
        <v>Bucket of Water</v>
      </c>
      <c r="C91" s="47"/>
      <c r="D91" s="47"/>
      <c r="E91" s="47"/>
      <c r="F91" s="47"/>
      <c r="G91" s="47"/>
      <c r="H91" s="47"/>
      <c r="I91" s="47"/>
      <c r="J91" s="47"/>
      <c r="K91" s="47"/>
      <c r="L91" s="47"/>
      <c r="M91" s="47"/>
      <c r="N91" s="47"/>
      <c r="O91" s="47"/>
      <c r="P91" s="47"/>
      <c r="Q91" s="47"/>
      <c r="R91" s="47"/>
      <c r="S91" s="47"/>
      <c r="T91" s="47"/>
      <c r="U91" s="47"/>
      <c r="V91" s="47"/>
      <c r="W91" s="47"/>
      <c r="X91" s="47"/>
      <c r="Y91" s="47"/>
      <c r="Z91" s="47"/>
      <c r="AA91" s="47"/>
      <c r="AB91" s="47"/>
      <c r="AC91" s="47"/>
      <c r="AD91" s="47"/>
      <c r="AE91" s="47"/>
      <c r="AF91" s="47"/>
      <c r="AG91" s="47"/>
      <c r="AH91" s="47"/>
      <c r="AI91" s="47"/>
      <c r="AJ91" s="47"/>
      <c r="AK91" s="47"/>
      <c r="AL91" s="47"/>
      <c r="AM91" s="47"/>
      <c r="AN91" s="47"/>
      <c r="AO91" s="47"/>
      <c r="AP91" s="47"/>
      <c r="AQ91" s="47"/>
      <c r="AR91" s="47"/>
      <c r="AS91" s="47"/>
      <c r="AT91" s="47"/>
      <c r="AU91" s="47"/>
      <c r="AV91" s="47"/>
      <c r="AW91" s="47"/>
      <c r="AX91" s="47"/>
      <c r="AY91" s="47"/>
      <c r="AZ91" s="47"/>
      <c r="BA91" s="47"/>
      <c r="BB91" s="47"/>
      <c r="BC91" s="47"/>
      <c r="BD91" s="47"/>
      <c r="BE91" s="47"/>
      <c r="BF91" s="47"/>
      <c r="BG91" s="47"/>
      <c r="BH91" s="47"/>
      <c r="BI91" s="47"/>
      <c r="BJ91" s="47"/>
      <c r="BK91" s="47"/>
      <c r="BL91" s="47"/>
      <c r="BM91" s="47"/>
      <c r="BN91" s="47"/>
      <c r="BO91" s="47"/>
      <c r="BP91" s="47"/>
      <c r="BQ91" s="47"/>
      <c r="BR91" s="47"/>
      <c r="BS91" s="47"/>
      <c r="BT91" s="47"/>
      <c r="BU91" s="47"/>
      <c r="BV91" s="47"/>
      <c r="BW91" s="47"/>
      <c r="BX91" s="47"/>
      <c r="BY91" s="47"/>
      <c r="BZ91" s="47"/>
    </row>
    <row r="92" spans="1:78" ht="13">
      <c r="A92" s="152" t="str">
        <f ca="1">IFERROR(__xludf.DUMMYFUNCTION("""COMPUTED_VALUE"""),"Bucket with Milk")</f>
        <v>Bucket with Milk</v>
      </c>
      <c r="B92" s="47" t="str">
        <f ca="1">IFERROR(__xludf.DUMMYFUNCTION("TRANSPOSE(unique(filter(Recipes!A$2:A2490,(Recipes!L$2:L2490=A92)+(Recipes!O$2:O2490=A92)+(Recipes!R$2:R2490=A92)+(Recipes!U$2:U2490=A92)+(Recipes!X$2:X2490=A92))))"),"Milk")</f>
        <v>Milk</v>
      </c>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c r="AC92" s="47"/>
      <c r="AD92" s="47"/>
      <c r="AE92" s="47"/>
      <c r="AF92" s="47"/>
      <c r="AG92" s="47"/>
      <c r="AH92" s="47"/>
      <c r="AI92" s="47"/>
      <c r="AJ92" s="47"/>
      <c r="AK92" s="47"/>
      <c r="AL92" s="47"/>
      <c r="AM92" s="47"/>
      <c r="AN92" s="47"/>
      <c r="AO92" s="47"/>
      <c r="AP92" s="47"/>
      <c r="AQ92" s="47"/>
      <c r="AR92" s="47"/>
      <c r="AS92" s="47"/>
      <c r="AT92" s="47"/>
      <c r="AU92" s="47"/>
      <c r="AV92" s="47"/>
      <c r="AW92" s="47"/>
      <c r="AX92" s="47"/>
      <c r="AY92" s="47"/>
      <c r="AZ92" s="47"/>
      <c r="BA92" s="47"/>
      <c r="BB92" s="47"/>
      <c r="BC92" s="47"/>
      <c r="BD92" s="47"/>
      <c r="BE92" s="47"/>
      <c r="BF92" s="47"/>
      <c r="BG92" s="47"/>
      <c r="BH92" s="47"/>
      <c r="BI92" s="47"/>
      <c r="BJ92" s="47"/>
      <c r="BK92" s="47"/>
      <c r="BL92" s="47"/>
      <c r="BM92" s="47"/>
      <c r="BN92" s="47"/>
      <c r="BO92" s="47"/>
      <c r="BP92" s="47"/>
      <c r="BQ92" s="47"/>
      <c r="BR92" s="47"/>
      <c r="BS92" s="47"/>
      <c r="BT92" s="47"/>
      <c r="BU92" s="47"/>
      <c r="BV92" s="47"/>
      <c r="BW92" s="47"/>
      <c r="BX92" s="47"/>
      <c r="BY92" s="47"/>
      <c r="BZ92" s="47"/>
    </row>
    <row r="93" spans="1:78" ht="13">
      <c r="A93" s="152" t="str">
        <f ca="1">IFERROR(__xludf.DUMMYFUNCTION("""COMPUTED_VALUE"""),"Bull Horns Scroll")</f>
        <v>Bull Horns Scroll</v>
      </c>
      <c r="B93" s="47" t="str">
        <f ca="1">IFERROR(__xludf.DUMMYFUNCTION("TRANSPOSE(unique(filter(Recipes!A$2:A2490,(Recipes!L$2:L2490=A93)+(Recipes!O$2:O2490=A93)+(Recipes!R$2:R2490=A93)+(Recipes!U$2:U2490=A93)+(Recipes!X$2:X2490=A93))))"),"Bull Horns Skillbook")</f>
        <v>Bull Horns Skillbook</v>
      </c>
      <c r="C93" s="47"/>
      <c r="D93" s="47"/>
      <c r="E93" s="47"/>
      <c r="F93" s="47"/>
      <c r="G93" s="47"/>
      <c r="H93" s="47"/>
      <c r="I93" s="47"/>
      <c r="J93" s="47"/>
      <c r="K93" s="47"/>
      <c r="L93" s="47"/>
      <c r="M93" s="47"/>
      <c r="N93" s="47"/>
      <c r="O93" s="47"/>
      <c r="P93" s="47"/>
      <c r="Q93" s="47"/>
      <c r="R93" s="47"/>
      <c r="S93" s="47"/>
      <c r="T93" s="47"/>
      <c r="U93" s="47"/>
      <c r="V93" s="47"/>
      <c r="W93" s="47"/>
      <c r="X93" s="47"/>
      <c r="Y93" s="47"/>
      <c r="Z93" s="47"/>
      <c r="AA93" s="47"/>
      <c r="AB93" s="47"/>
      <c r="AC93" s="47"/>
      <c r="AD93" s="47"/>
      <c r="AE93" s="47"/>
      <c r="AF93" s="47"/>
      <c r="AG93" s="47"/>
      <c r="AH93" s="47"/>
      <c r="AI93" s="47"/>
      <c r="AJ93" s="47"/>
      <c r="AK93" s="47"/>
      <c r="AL93" s="47"/>
      <c r="AM93" s="47"/>
      <c r="AN93" s="47"/>
      <c r="AO93" s="47"/>
      <c r="AP93" s="47"/>
      <c r="AQ93" s="47"/>
      <c r="AR93" s="47"/>
      <c r="AS93" s="47"/>
      <c r="AT93" s="47"/>
      <c r="AU93" s="47"/>
      <c r="AV93" s="47"/>
      <c r="AW93" s="47"/>
      <c r="AX93" s="47"/>
      <c r="AY93" s="47"/>
      <c r="AZ93" s="47"/>
      <c r="BA93" s="47"/>
      <c r="BB93" s="47"/>
      <c r="BC93" s="47"/>
      <c r="BD93" s="47"/>
      <c r="BE93" s="47"/>
      <c r="BF93" s="47"/>
      <c r="BG93" s="47"/>
      <c r="BH93" s="47"/>
      <c r="BI93" s="47"/>
      <c r="BJ93" s="47"/>
      <c r="BK93" s="47"/>
      <c r="BL93" s="47"/>
      <c r="BM93" s="47"/>
      <c r="BN93" s="47"/>
      <c r="BO93" s="47"/>
      <c r="BP93" s="47"/>
      <c r="BQ93" s="47"/>
      <c r="BR93" s="47"/>
      <c r="BS93" s="47"/>
      <c r="BT93" s="47"/>
      <c r="BU93" s="47"/>
      <c r="BV93" s="47"/>
      <c r="BW93" s="47"/>
      <c r="BX93" s="47"/>
      <c r="BY93" s="47"/>
      <c r="BZ93" s="47"/>
    </row>
    <row r="94" spans="1:78" ht="13">
      <c r="A94" s="152" t="str">
        <f ca="1">IFERROR(__xludf.DUMMYFUNCTION("""COMPUTED_VALUE"""),"Calocera")</f>
        <v>Calocera</v>
      </c>
      <c r="B94" s="47" t="str">
        <f ca="1">IFERROR(__xludf.DUMMYFUNCTION("TRANSPOSE(unique(filter(Recipes!A$2:A2490,(Recipes!L$2:L2490=A94)+(Recipes!O$2:O2490=A94)+(Recipes!R$2:R2490=A94)+(Recipes!U$2:U2490=A94)+(Recipes!X$2:X2490=A94))))"),"Minor Intelligence Potion")</f>
        <v>Minor Intelligence Potion</v>
      </c>
      <c r="C94" s="47" t="str">
        <f ca="1">IFERROR(__xludf.DUMMYFUNCTION("""COMPUTED_VALUE"""),"Enlightenment Herbmix")</f>
        <v>Enlightenment Herbmix</v>
      </c>
      <c r="D94" s="47"/>
      <c r="E94" s="47"/>
      <c r="F94" s="47"/>
      <c r="G94" s="47"/>
      <c r="H94" s="47"/>
      <c r="I94" s="47"/>
      <c r="J94" s="47"/>
      <c r="K94" s="47"/>
      <c r="L94" s="47"/>
      <c r="M94" s="47"/>
      <c r="N94" s="47"/>
      <c r="O94" s="47"/>
      <c r="P94" s="47"/>
      <c r="Q94" s="47"/>
      <c r="R94" s="47"/>
      <c r="S94" s="47"/>
      <c r="T94" s="47"/>
      <c r="U94" s="47"/>
      <c r="V94" s="47"/>
      <c r="W94" s="47"/>
      <c r="X94" s="47"/>
      <c r="Y94" s="47"/>
      <c r="Z94" s="47"/>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47"/>
      <c r="BO94" s="47"/>
      <c r="BP94" s="47"/>
      <c r="BQ94" s="47"/>
      <c r="BR94" s="47"/>
      <c r="BS94" s="47"/>
      <c r="BT94" s="47"/>
      <c r="BU94" s="47"/>
      <c r="BV94" s="47"/>
      <c r="BW94" s="47"/>
      <c r="BX94" s="47"/>
      <c r="BY94" s="47"/>
      <c r="BZ94" s="47"/>
    </row>
    <row r="95" spans="1:78" ht="13">
      <c r="A95" s="152" t="str">
        <f ca="1">IFERROR(__xludf.DUMMYFUNCTION("""COMPUTED_VALUE"""),"Campfire")</f>
        <v>Campfire</v>
      </c>
      <c r="B95" s="47" t="str">
        <f ca="1">IFERROR(__xludf.DUMMYFUNCTION("TRANSPOSE(unique(filter(Recipes!A$2:A2490,(Recipes!L$2:L2490=A95)+(Recipes!O$2:O2490=A95)+(Recipes!R$2:R2490=A95)+(Recipes!U$2:U2490=A95)+(Recipes!X$2:X2490=A95))))"),"Cooking Station")</f>
        <v>Cooking Station</v>
      </c>
      <c r="C95" s="47"/>
      <c r="D95" s="47"/>
      <c r="E95" s="47"/>
      <c r="F95" s="47"/>
      <c r="G95" s="47"/>
      <c r="H95" s="47"/>
      <c r="I95" s="47"/>
      <c r="J95" s="47"/>
      <c r="K95" s="47"/>
      <c r="L95" s="47"/>
      <c r="M95" s="47"/>
      <c r="N95" s="47"/>
      <c r="O95" s="47"/>
      <c r="P95" s="47"/>
      <c r="Q95" s="47"/>
      <c r="R95" s="47"/>
      <c r="S95" s="47"/>
      <c r="T95" s="47"/>
      <c r="U95" s="47"/>
      <c r="V95" s="47"/>
      <c r="W95" s="47"/>
      <c r="X95" s="47"/>
      <c r="Y95" s="47"/>
      <c r="Z95" s="47"/>
      <c r="AA95" s="47"/>
      <c r="AB95" s="47"/>
      <c r="AC95" s="47"/>
      <c r="AD95" s="47"/>
      <c r="AE95" s="47"/>
      <c r="AF95" s="47"/>
      <c r="AG95" s="47"/>
      <c r="AH95" s="47"/>
      <c r="AI95" s="47"/>
      <c r="AJ95" s="47"/>
      <c r="AK95" s="47"/>
      <c r="AL95" s="47"/>
      <c r="AM95" s="47"/>
      <c r="AN95" s="47"/>
      <c r="AO95" s="47"/>
      <c r="AP95" s="47"/>
      <c r="AQ95" s="47"/>
      <c r="AR95" s="47"/>
      <c r="AS95" s="47"/>
      <c r="AT95" s="47"/>
      <c r="AU95" s="47"/>
      <c r="AV95" s="47"/>
      <c r="AW95" s="47"/>
      <c r="AX95" s="47"/>
      <c r="AY95" s="47"/>
      <c r="AZ95" s="47"/>
      <c r="BA95" s="47"/>
      <c r="BB95" s="47"/>
      <c r="BC95" s="47"/>
      <c r="BD95" s="47"/>
      <c r="BE95" s="47"/>
      <c r="BF95" s="47"/>
      <c r="BG95" s="47"/>
      <c r="BH95" s="47"/>
      <c r="BI95" s="47"/>
      <c r="BJ95" s="47"/>
      <c r="BK95" s="47"/>
      <c r="BL95" s="47"/>
      <c r="BM95" s="47"/>
      <c r="BN95" s="47"/>
      <c r="BO95" s="47"/>
      <c r="BP95" s="47"/>
      <c r="BQ95" s="47"/>
      <c r="BR95" s="47"/>
      <c r="BS95" s="47"/>
      <c r="BT95" s="47"/>
      <c r="BU95" s="47"/>
      <c r="BV95" s="47"/>
      <c r="BW95" s="47"/>
      <c r="BX95" s="47"/>
      <c r="BY95" s="47"/>
      <c r="BZ95" s="47"/>
    </row>
    <row r="96" spans="1:78" ht="13">
      <c r="A96" s="152" t="str">
        <f ca="1">IFERROR(__xludf.DUMMYFUNCTION("""COMPUTED_VALUE"""),"Cannibalize Scroll")</f>
        <v>Cannibalize Scroll</v>
      </c>
      <c r="B96" s="47" t="str">
        <f ca="1">IFERROR(__xludf.DUMMYFUNCTION("TRANSPOSE(unique(filter(Recipes!A$2:A2490,(Recipes!L$2:L2490=A96)+(Recipes!O$2:O2490=A96)+(Recipes!R$2:R2490=A96)+(Recipes!U$2:U2490=A96)+(Recipes!X$2:X2490=A96))))"),"Cannibalize Skillbook")</f>
        <v>Cannibalize Skillbook</v>
      </c>
      <c r="C96" s="47"/>
      <c r="D96" s="47"/>
      <c r="E96" s="47"/>
      <c r="F96" s="47"/>
      <c r="G96" s="47"/>
      <c r="H96" s="47"/>
      <c r="I96" s="47"/>
      <c r="J96" s="47"/>
      <c r="K96" s="47"/>
      <c r="L96" s="47"/>
      <c r="M96" s="47"/>
      <c r="N96" s="47"/>
      <c r="O96" s="47"/>
      <c r="P96" s="47"/>
      <c r="Q96" s="47"/>
      <c r="R96" s="47"/>
      <c r="S96" s="47"/>
      <c r="T96" s="47"/>
      <c r="U96" s="47"/>
      <c r="V96" s="47"/>
      <c r="W96" s="47"/>
      <c r="X96" s="47"/>
      <c r="Y96" s="47"/>
      <c r="Z96" s="47"/>
      <c r="AA96" s="47"/>
      <c r="AB96" s="47"/>
      <c r="AC96" s="47"/>
      <c r="AD96" s="47"/>
      <c r="AE96" s="47"/>
      <c r="AF96" s="47"/>
      <c r="AG96" s="47"/>
      <c r="AH96" s="47"/>
      <c r="AI96" s="47"/>
      <c r="AJ96" s="47"/>
      <c r="AK96" s="47"/>
      <c r="AL96" s="47"/>
      <c r="AM96" s="47"/>
      <c r="AN96" s="47"/>
      <c r="AO96" s="47"/>
      <c r="AP96" s="47"/>
      <c r="AQ96" s="47"/>
      <c r="AR96" s="47"/>
      <c r="AS96" s="47"/>
      <c r="AT96" s="47"/>
      <c r="AU96" s="47"/>
      <c r="AV96" s="47"/>
      <c r="AW96" s="47"/>
      <c r="AX96" s="47"/>
      <c r="AY96" s="47"/>
      <c r="AZ96" s="47"/>
      <c r="BA96" s="47"/>
      <c r="BB96" s="47"/>
      <c r="BC96" s="47"/>
      <c r="BD96" s="47"/>
      <c r="BE96" s="47"/>
      <c r="BF96" s="47"/>
      <c r="BG96" s="47"/>
      <c r="BH96" s="47"/>
      <c r="BI96" s="47"/>
      <c r="BJ96" s="47"/>
      <c r="BK96" s="47"/>
      <c r="BL96" s="47"/>
      <c r="BM96" s="47"/>
      <c r="BN96" s="47"/>
      <c r="BO96" s="47"/>
      <c r="BP96" s="47"/>
      <c r="BQ96" s="47"/>
      <c r="BR96" s="47"/>
      <c r="BS96" s="47"/>
      <c r="BT96" s="47"/>
      <c r="BU96" s="47"/>
      <c r="BV96" s="47"/>
      <c r="BW96" s="47"/>
      <c r="BX96" s="47"/>
      <c r="BY96" s="47"/>
      <c r="BZ96" s="47"/>
    </row>
    <row r="97" spans="1:78" ht="13">
      <c r="A97" s="152" t="str">
        <f ca="1">IFERROR(__xludf.DUMMYFUNCTION("""COMPUTED_VALUE"""),"Carrot")</f>
        <v>Carrot</v>
      </c>
      <c r="B97" s="47" t="str">
        <f ca="1">IFERROR(__xludf.DUMMYFUNCTION("TRANSPOSE(unique(filter(Recipes!A$2:A2490,(Recipes!L$2:L2490=A97)+(Recipes!O$2:O2490=A97)+(Recipes!R$2:R2490=A97)+(Recipes!U$2:U2490=A97)+(Recipes!X$2:X2490=A97))))"),"Ethereal Storm Scroll")</f>
        <v>Ethereal Storm Scroll</v>
      </c>
      <c r="C97" s="47"/>
      <c r="D97" s="47"/>
      <c r="E97" s="47"/>
      <c r="F97" s="47"/>
      <c r="G97" s="47"/>
      <c r="H97" s="47"/>
      <c r="I97" s="47"/>
      <c r="J97" s="47"/>
      <c r="K97" s="47"/>
      <c r="L97" s="47"/>
      <c r="M97" s="47"/>
      <c r="N97" s="47"/>
      <c r="O97" s="47"/>
      <c r="P97" s="47"/>
      <c r="Q97" s="47"/>
      <c r="R97" s="47"/>
      <c r="S97" s="47"/>
      <c r="T97" s="47"/>
      <c r="U97" s="47"/>
      <c r="V97" s="47"/>
      <c r="W97" s="47"/>
      <c r="X97" s="47"/>
      <c r="Y97" s="47"/>
      <c r="Z97" s="47"/>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47"/>
      <c r="BO97" s="47"/>
      <c r="BP97" s="47"/>
      <c r="BQ97" s="47"/>
      <c r="BR97" s="47"/>
      <c r="BS97" s="47"/>
      <c r="BT97" s="47"/>
      <c r="BU97" s="47"/>
      <c r="BV97" s="47"/>
      <c r="BW97" s="47"/>
      <c r="BX97" s="47"/>
      <c r="BY97" s="47"/>
      <c r="BZ97" s="47"/>
    </row>
    <row r="98" spans="1:78" ht="13">
      <c r="A98" s="152" t="str">
        <f ca="1">IFERROR(__xludf.DUMMYFUNCTION("""COMPUTED_VALUE"""),"Chain Lightning Scroll")</f>
        <v>Chain Lightning Scroll</v>
      </c>
      <c r="B98" s="47" t="str">
        <f ca="1">IFERROR(__xludf.DUMMYFUNCTION("TRANSPOSE(unique(filter(Recipes!A$2:A2490,(Recipes!L$2:L2490=A98)+(Recipes!O$2:O2490=A98)+(Recipes!R$2:R2490=A98)+(Recipes!U$2:U2490=A98)+(Recipes!X$2:X2490=A98))))"),"Chain Lightning Skillbook")</f>
        <v>Chain Lightning Skillbook</v>
      </c>
      <c r="C98" s="47"/>
      <c r="D98" s="47"/>
      <c r="E98" s="47"/>
      <c r="F98" s="47"/>
      <c r="G98" s="47"/>
      <c r="H98" s="47"/>
      <c r="I98" s="47"/>
      <c r="J98" s="47"/>
      <c r="K98" s="47"/>
      <c r="L98" s="47"/>
      <c r="M98" s="47"/>
      <c r="N98" s="47"/>
      <c r="O98" s="47"/>
      <c r="P98" s="47"/>
      <c r="Q98" s="47"/>
      <c r="R98" s="47"/>
      <c r="S98" s="47"/>
      <c r="T98" s="47"/>
      <c r="U98" s="47"/>
      <c r="V98" s="47"/>
      <c r="W98" s="47"/>
      <c r="X98" s="47"/>
      <c r="Y98" s="47"/>
      <c r="Z98" s="47"/>
      <c r="AA98" s="47"/>
      <c r="AB98" s="47"/>
      <c r="AC98" s="47"/>
      <c r="AD98" s="47"/>
      <c r="AE98" s="47"/>
      <c r="AF98" s="47"/>
      <c r="AG98" s="47"/>
      <c r="AH98" s="47"/>
      <c r="AI98" s="47"/>
      <c r="AJ98" s="47"/>
      <c r="AK98" s="47"/>
      <c r="AL98" s="47"/>
      <c r="AM98" s="47"/>
      <c r="AN98" s="47"/>
      <c r="AO98" s="47"/>
      <c r="AP98" s="47"/>
      <c r="AQ98" s="47"/>
      <c r="AR98" s="47"/>
      <c r="AS98" s="47"/>
      <c r="AT98" s="47"/>
      <c r="AU98" s="47"/>
      <c r="AV98" s="47"/>
      <c r="AW98" s="47"/>
      <c r="AX98" s="47"/>
      <c r="AY98" s="47"/>
      <c r="AZ98" s="47"/>
      <c r="BA98" s="47"/>
      <c r="BB98" s="47"/>
      <c r="BC98" s="47"/>
      <c r="BD98" s="47"/>
      <c r="BE98" s="47"/>
      <c r="BF98" s="47"/>
      <c r="BG98" s="47"/>
      <c r="BH98" s="47"/>
      <c r="BI98" s="47"/>
      <c r="BJ98" s="47"/>
      <c r="BK98" s="47"/>
      <c r="BL98" s="47"/>
      <c r="BM98" s="47"/>
      <c r="BN98" s="47"/>
      <c r="BO98" s="47"/>
      <c r="BP98" s="47"/>
      <c r="BQ98" s="47"/>
      <c r="BR98" s="47"/>
      <c r="BS98" s="47"/>
      <c r="BT98" s="47"/>
      <c r="BU98" s="47"/>
      <c r="BV98" s="47"/>
      <c r="BW98" s="47"/>
      <c r="BX98" s="47"/>
      <c r="BY98" s="47"/>
      <c r="BZ98" s="47"/>
    </row>
    <row r="99" spans="1:78" ht="13">
      <c r="A99" s="152" t="str">
        <f ca="1">IFERROR(__xludf.DUMMYFUNCTION("""COMPUTED_VALUE"""),"Chameleon Cloak Scroll")</f>
        <v>Chameleon Cloak Scroll</v>
      </c>
      <c r="B99" s="47" t="str">
        <f ca="1">IFERROR(__xludf.DUMMYFUNCTION("TRANSPOSE(unique(filter(Recipes!A$2:A2490,(Recipes!L$2:L2490=A99)+(Recipes!O$2:O2490=A99)+(Recipes!R$2:R2490=A99)+(Recipes!U$2:U2490=A99)+(Recipes!X$2:X2490=A99))))"),"Chameleon Cloak Skillbook")</f>
        <v>Chameleon Cloak Skillbook</v>
      </c>
      <c r="C99" s="47"/>
      <c r="D99" s="47"/>
      <c r="E99" s="47"/>
      <c r="F99" s="47"/>
      <c r="G99" s="47"/>
      <c r="H99" s="47"/>
      <c r="I99" s="47"/>
      <c r="J99" s="47"/>
      <c r="K99" s="47"/>
      <c r="L99" s="47"/>
      <c r="M99" s="47"/>
      <c r="N99" s="47"/>
      <c r="O99" s="47"/>
      <c r="P99" s="47"/>
      <c r="Q99" s="47"/>
      <c r="R99" s="47"/>
      <c r="S99" s="47"/>
      <c r="T99" s="47"/>
      <c r="U99" s="47"/>
      <c r="V99" s="47"/>
      <c r="W99" s="47"/>
      <c r="X99" s="47"/>
      <c r="Y99" s="47"/>
      <c r="Z99" s="47"/>
      <c r="AA99" s="47"/>
      <c r="AB99" s="47"/>
      <c r="AC99" s="47"/>
      <c r="AD99" s="47"/>
      <c r="AE99" s="47"/>
      <c r="AF99" s="47"/>
      <c r="AG99" s="47"/>
      <c r="AH99" s="47"/>
      <c r="AI99" s="47"/>
      <c r="AJ99" s="47"/>
      <c r="AK99" s="47"/>
      <c r="AL99" s="47"/>
      <c r="AM99" s="47"/>
      <c r="AN99" s="47"/>
      <c r="AO99" s="47"/>
      <c r="AP99" s="47"/>
      <c r="AQ99" s="47"/>
      <c r="AR99" s="47"/>
      <c r="AS99" s="47"/>
      <c r="AT99" s="47"/>
      <c r="AU99" s="47"/>
      <c r="AV99" s="47"/>
      <c r="AW99" s="47"/>
      <c r="AX99" s="47"/>
      <c r="AY99" s="47"/>
      <c r="AZ99" s="47"/>
      <c r="BA99" s="47"/>
      <c r="BB99" s="47"/>
      <c r="BC99" s="47"/>
      <c r="BD99" s="47"/>
      <c r="BE99" s="47"/>
      <c r="BF99" s="47"/>
      <c r="BG99" s="47"/>
      <c r="BH99" s="47"/>
      <c r="BI99" s="47"/>
      <c r="BJ99" s="47"/>
      <c r="BK99" s="47"/>
      <c r="BL99" s="47"/>
      <c r="BM99" s="47"/>
      <c r="BN99" s="47"/>
      <c r="BO99" s="47"/>
      <c r="BP99" s="47"/>
      <c r="BQ99" s="47"/>
      <c r="BR99" s="47"/>
      <c r="BS99" s="47"/>
      <c r="BT99" s="47"/>
      <c r="BU99" s="47"/>
      <c r="BV99" s="47"/>
      <c r="BW99" s="47"/>
      <c r="BX99" s="47"/>
      <c r="BY99" s="47"/>
      <c r="BZ99" s="47"/>
    </row>
    <row r="100" spans="1:78" ht="13">
      <c r="A100" s="152" t="str">
        <f ca="1">IFERROR(__xludf.DUMMYFUNCTION("""COMPUTED_VALUE"""),"Chanterelle")</f>
        <v>Chanterelle</v>
      </c>
      <c r="B100" s="47" t="str">
        <f ca="1">IFERROR(__xludf.DUMMYFUNCTION("TRANSPOSE(unique(filter(Recipes!A$2:A2490,(Recipes!L$2:L2490=A100)+(Recipes!O$2:O2490=A100)+(Recipes!R$2:R2490=A100)+(Recipes!U$2:U2490=A100)+(Recipes!X$2:X2490=A100))))"),"Netherswap Scroll")</f>
        <v>Netherswap Scroll</v>
      </c>
      <c r="C100" s="47" t="str">
        <f ca="1">IFERROR(__xludf.DUMMYFUNCTION("""COMPUTED_VALUE"""),"Invisibility Potion")</f>
        <v>Invisibility Potion</v>
      </c>
      <c r="D100" s="47"/>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c r="AC100" s="47"/>
      <c r="AD100" s="47"/>
      <c r="AE100" s="47"/>
      <c r="AF100" s="47"/>
      <c r="AG100" s="47"/>
      <c r="AH100" s="47"/>
      <c r="AI100" s="47"/>
      <c r="AJ100" s="47"/>
      <c r="AK100" s="47"/>
      <c r="AL100" s="47"/>
      <c r="AM100" s="47"/>
      <c r="AN100" s="47"/>
      <c r="AO100" s="47"/>
      <c r="AP100" s="47"/>
      <c r="AQ100" s="47"/>
      <c r="AR100" s="47"/>
      <c r="AS100" s="47"/>
      <c r="AT100" s="47"/>
      <c r="AU100" s="47"/>
      <c r="AV100" s="47"/>
      <c r="AW100" s="47"/>
      <c r="AX100" s="47"/>
      <c r="AY100" s="47"/>
      <c r="AZ100" s="47"/>
      <c r="BA100" s="47"/>
      <c r="BB100" s="47"/>
      <c r="BC100" s="47"/>
      <c r="BD100" s="47"/>
      <c r="BE100" s="47"/>
      <c r="BF100" s="47"/>
      <c r="BG100" s="47"/>
      <c r="BH100" s="47"/>
      <c r="BI100" s="47"/>
      <c r="BJ100" s="47"/>
      <c r="BK100" s="47"/>
      <c r="BL100" s="47"/>
      <c r="BM100" s="47"/>
      <c r="BN100" s="47"/>
      <c r="BO100" s="47"/>
      <c r="BP100" s="47"/>
      <c r="BQ100" s="47"/>
      <c r="BR100" s="47"/>
      <c r="BS100" s="47"/>
      <c r="BT100" s="47"/>
      <c r="BU100" s="47"/>
      <c r="BV100" s="47"/>
      <c r="BW100" s="47"/>
      <c r="BX100" s="47"/>
      <c r="BY100" s="47"/>
      <c r="BZ100" s="47"/>
    </row>
    <row r="101" spans="1:78" ht="13">
      <c r="A101" s="152" t="str">
        <f ca="1">IFERROR(__xludf.DUMMYFUNCTION("""COMPUTED_VALUE"""),"Charm Scroll")</f>
        <v>Charm Scroll</v>
      </c>
      <c r="B101" s="47" t="str">
        <f ca="1">IFERROR(__xludf.DUMMYFUNCTION("TRANSPOSE(unique(filter(Recipes!A$2:A2490,(Recipes!L$2:L2490=A101)+(Recipes!O$2:O2490=A101)+(Recipes!R$2:R2490=A101)+(Recipes!U$2:U2490=A101)+(Recipes!X$2:X2490=A101))))"),"Dominate Mind Skillbook")</f>
        <v>Dominate Mind Skillbook</v>
      </c>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c r="AA101" s="47"/>
      <c r="AB101" s="47"/>
      <c r="AC101" s="47"/>
      <c r="AD101" s="47"/>
      <c r="AE101" s="47"/>
      <c r="AF101" s="47"/>
      <c r="AG101" s="47"/>
      <c r="AH101" s="47"/>
      <c r="AI101" s="47"/>
      <c r="AJ101" s="47"/>
      <c r="AK101" s="47"/>
      <c r="AL101" s="47"/>
      <c r="AM101" s="47"/>
      <c r="AN101" s="47"/>
      <c r="AO101" s="47"/>
      <c r="AP101" s="47"/>
      <c r="AQ101" s="47"/>
      <c r="AR101" s="47"/>
      <c r="AS101" s="47"/>
      <c r="AT101" s="47"/>
      <c r="AU101" s="47"/>
      <c r="AV101" s="47"/>
      <c r="AW101" s="47"/>
      <c r="AX101" s="47"/>
      <c r="AY101" s="47"/>
      <c r="AZ101" s="47"/>
      <c r="BA101" s="47"/>
      <c r="BB101" s="47"/>
      <c r="BC101" s="47"/>
      <c r="BD101" s="47"/>
      <c r="BE101" s="47"/>
      <c r="BF101" s="47"/>
      <c r="BG101" s="47"/>
      <c r="BH101" s="47"/>
      <c r="BI101" s="47"/>
      <c r="BJ101" s="47"/>
      <c r="BK101" s="47"/>
      <c r="BL101" s="47"/>
      <c r="BM101" s="47"/>
      <c r="BN101" s="47"/>
      <c r="BO101" s="47"/>
      <c r="BP101" s="47"/>
      <c r="BQ101" s="47"/>
      <c r="BR101" s="47"/>
      <c r="BS101" s="47"/>
      <c r="BT101" s="47"/>
      <c r="BU101" s="47"/>
      <c r="BV101" s="47"/>
      <c r="BW101" s="47"/>
      <c r="BX101" s="47"/>
      <c r="BY101" s="47"/>
      <c r="BZ101" s="47"/>
    </row>
    <row r="102" spans="1:78" ht="13">
      <c r="A102" s="152" t="str">
        <f ca="1">IFERROR(__xludf.DUMMYFUNCTION("""COMPUTED_VALUE"""),"Charming Arrowhead")</f>
        <v>Charming Arrowhead</v>
      </c>
      <c r="B102" s="47" t="str">
        <f ca="1">IFERROR(__xludf.DUMMYFUNCTION("TRANSPOSE(unique(filter(Recipes!A$2:A2490,(Recipes!L$2:L2490=A102)+(Recipes!O$2:O2490=A102)+(Recipes!R$2:R2490=A102)+(Recipes!U$2:U2490=A102)+(Recipes!X$2:X2490=A102))))"),"Charming Arrow")</f>
        <v>Charming Arrow</v>
      </c>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c r="AA102" s="47"/>
      <c r="AB102" s="47"/>
      <c r="AC102" s="47"/>
      <c r="AD102" s="47"/>
      <c r="AE102" s="47"/>
      <c r="AF102" s="47"/>
      <c r="AG102" s="47"/>
      <c r="AH102" s="47"/>
      <c r="AI102" s="47"/>
      <c r="AJ102" s="47"/>
      <c r="AK102" s="47"/>
      <c r="AL102" s="47"/>
      <c r="AM102" s="47"/>
      <c r="AN102" s="47"/>
      <c r="AO102" s="47"/>
      <c r="AP102" s="47"/>
      <c r="AQ102" s="47"/>
      <c r="AR102" s="47"/>
      <c r="AS102" s="47"/>
      <c r="AT102" s="47"/>
      <c r="AU102" s="47"/>
      <c r="AV102" s="47"/>
      <c r="AW102" s="47"/>
      <c r="AX102" s="47"/>
      <c r="AY102" s="47"/>
      <c r="AZ102" s="47"/>
      <c r="BA102" s="47"/>
      <c r="BB102" s="47"/>
      <c r="BC102" s="47"/>
      <c r="BD102" s="47"/>
      <c r="BE102" s="47"/>
      <c r="BF102" s="47"/>
      <c r="BG102" s="47"/>
      <c r="BH102" s="47"/>
      <c r="BI102" s="47"/>
      <c r="BJ102" s="47"/>
      <c r="BK102" s="47"/>
      <c r="BL102" s="47"/>
      <c r="BM102" s="47"/>
      <c r="BN102" s="47"/>
      <c r="BO102" s="47"/>
      <c r="BP102" s="47"/>
      <c r="BQ102" s="47"/>
      <c r="BR102" s="47"/>
      <c r="BS102" s="47"/>
      <c r="BT102" s="47"/>
      <c r="BU102" s="47"/>
      <c r="BV102" s="47"/>
      <c r="BW102" s="47"/>
      <c r="BX102" s="47"/>
      <c r="BY102" s="47"/>
      <c r="BZ102" s="47"/>
    </row>
    <row r="103" spans="1:78" ht="13">
      <c r="A103" s="152" t="str">
        <f ca="1">IFERROR(__xludf.DUMMYFUNCTION("""COMPUTED_VALUE"""),"Cheese")</f>
        <v>Cheese</v>
      </c>
      <c r="B103" s="47" t="str">
        <f ca="1">IFERROR(__xludf.DUMMYFUNCTION("TRANSPOSE(unique(filter(Recipes!A$2:A2490,(Recipes!L$2:L2490=A103)+(Recipes!O$2:O2490=A103)+(Recipes!R$2:R2490=A103)+(Recipes!U$2:U2490=A103)+(Recipes!X$2:X2490=A103))))"),"Cheese Bread Dough")</f>
        <v>Cheese Bread Dough</v>
      </c>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c r="AA103" s="47"/>
      <c r="AB103" s="47"/>
      <c r="AC103" s="47"/>
      <c r="AD103" s="47"/>
      <c r="AE103" s="47"/>
      <c r="AF103" s="47"/>
      <c r="AG103" s="47"/>
      <c r="AH103" s="47"/>
      <c r="AI103" s="47"/>
      <c r="AJ103" s="47"/>
      <c r="AK103" s="47"/>
      <c r="AL103" s="47"/>
      <c r="AM103" s="47"/>
      <c r="AN103" s="47"/>
      <c r="AO103" s="47"/>
      <c r="AP103" s="47"/>
      <c r="AQ103" s="47"/>
      <c r="AR103" s="47"/>
      <c r="AS103" s="47"/>
      <c r="AT103" s="47"/>
      <c r="AU103" s="47"/>
      <c r="AV103" s="47"/>
      <c r="AW103" s="47"/>
      <c r="AX103" s="47"/>
      <c r="AY103" s="47"/>
      <c r="AZ103" s="47"/>
      <c r="BA103" s="47"/>
      <c r="BB103" s="47"/>
      <c r="BC103" s="47"/>
      <c r="BD103" s="47"/>
      <c r="BE103" s="47"/>
      <c r="BF103" s="47"/>
      <c r="BG103" s="47"/>
      <c r="BH103" s="47"/>
      <c r="BI103" s="47"/>
      <c r="BJ103" s="47"/>
      <c r="BK103" s="47"/>
      <c r="BL103" s="47"/>
      <c r="BM103" s="47"/>
      <c r="BN103" s="47"/>
      <c r="BO103" s="47"/>
      <c r="BP103" s="47"/>
      <c r="BQ103" s="47"/>
      <c r="BR103" s="47"/>
      <c r="BS103" s="47"/>
      <c r="BT103" s="47"/>
      <c r="BU103" s="47"/>
      <c r="BV103" s="47"/>
      <c r="BW103" s="47"/>
      <c r="BX103" s="47"/>
      <c r="BY103" s="47"/>
      <c r="BZ103" s="47"/>
    </row>
    <row r="104" spans="1:78" ht="13">
      <c r="A104" s="152" t="str">
        <f ca="1">IFERROR(__xludf.DUMMYFUNCTION("""COMPUTED_VALUE"""),"Cheese Bread Dough")</f>
        <v>Cheese Bread Dough</v>
      </c>
      <c r="B104" s="47" t="str">
        <f ca="1">IFERROR(__xludf.DUMMYFUNCTION("TRANSPOSE(unique(filter(Recipes!A$2:A2490,(Recipes!L$2:L2490=A104)+(Recipes!O$2:O2490=A104)+(Recipes!R$2:R2490=A104)+(Recipes!U$2:U2490=A104)+(Recipes!X$2:X2490=A104))))"),"Cheese Bread")</f>
        <v>Cheese Bread</v>
      </c>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c r="AA104" s="47"/>
      <c r="AB104" s="47"/>
      <c r="AC104" s="47"/>
      <c r="AD104" s="47"/>
      <c r="AE104" s="47"/>
      <c r="AF104" s="47"/>
      <c r="AG104" s="47"/>
      <c r="AH104" s="47"/>
      <c r="AI104" s="47"/>
      <c r="AJ104" s="47"/>
      <c r="AK104" s="47"/>
      <c r="AL104" s="47"/>
      <c r="AM104" s="47"/>
      <c r="AN104" s="47"/>
      <c r="AO104" s="47"/>
      <c r="AP104" s="47"/>
      <c r="AQ104" s="47"/>
      <c r="AR104" s="47"/>
      <c r="AS104" s="47"/>
      <c r="AT104" s="47"/>
      <c r="AU104" s="47"/>
      <c r="AV104" s="47"/>
      <c r="AW104" s="47"/>
      <c r="AX104" s="47"/>
      <c r="AY104" s="47"/>
      <c r="AZ104" s="47"/>
      <c r="BA104" s="47"/>
      <c r="BB104" s="47"/>
      <c r="BC104" s="47"/>
      <c r="BD104" s="47"/>
      <c r="BE104" s="47"/>
      <c r="BF104" s="47"/>
      <c r="BG104" s="47"/>
      <c r="BH104" s="47"/>
      <c r="BI104" s="47"/>
      <c r="BJ104" s="47"/>
      <c r="BK104" s="47"/>
      <c r="BL104" s="47"/>
      <c r="BM104" s="47"/>
      <c r="BN104" s="47"/>
      <c r="BO104" s="47"/>
      <c r="BP104" s="47"/>
      <c r="BQ104" s="47"/>
      <c r="BR104" s="47"/>
      <c r="BS104" s="47"/>
      <c r="BT104" s="47"/>
      <c r="BU104" s="47"/>
      <c r="BV104" s="47"/>
      <c r="BW104" s="47"/>
      <c r="BX104" s="47"/>
      <c r="BY104" s="47"/>
      <c r="BZ104" s="47"/>
    </row>
    <row r="105" spans="1:78" ht="13">
      <c r="A105" s="152" t="str">
        <f ca="1">IFERROR(__xludf.DUMMYFUNCTION("""COMPUTED_VALUE"""),"Chest Armor")</f>
        <v>Chest Armor</v>
      </c>
      <c r="B105" s="47" t="str">
        <f ca="1">IFERROR(__xludf.DUMMYFUNCTION("TRANSPOSE(unique(filter(Recipes!A$2:A2490,(Recipes!L$2:L2490=A105)+(Recipes!O$2:O2490=A105)+(Recipes!R$2:R2490=A105)+(Recipes!U$2:U2490=A105)+(Recipes!X$2:X2490=A105))))"),"Boost Chest Armor")</f>
        <v>Boost Chest Armor</v>
      </c>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c r="AA105" s="47"/>
      <c r="AB105" s="47"/>
      <c r="AC105" s="47"/>
      <c r="AD105" s="47"/>
      <c r="AE105" s="47"/>
      <c r="AF105" s="47"/>
      <c r="AG105" s="47"/>
      <c r="AH105" s="47"/>
      <c r="AI105" s="47"/>
      <c r="AJ105" s="47"/>
      <c r="AK105" s="47"/>
      <c r="AL105" s="47"/>
      <c r="AM105" s="47"/>
      <c r="AN105" s="47"/>
      <c r="AO105" s="47"/>
      <c r="AP105" s="47"/>
      <c r="AQ105" s="47"/>
      <c r="AR105" s="47"/>
      <c r="AS105" s="47"/>
      <c r="AT105" s="47"/>
      <c r="AU105" s="47"/>
      <c r="AV105" s="47"/>
      <c r="AW105" s="47"/>
      <c r="AX105" s="47"/>
      <c r="AY105" s="47"/>
      <c r="AZ105" s="47"/>
      <c r="BA105" s="47"/>
      <c r="BB105" s="47"/>
      <c r="BC105" s="47"/>
      <c r="BD105" s="47"/>
      <c r="BE105" s="47"/>
      <c r="BF105" s="47"/>
      <c r="BG105" s="47"/>
      <c r="BH105" s="47"/>
      <c r="BI105" s="47"/>
      <c r="BJ105" s="47"/>
      <c r="BK105" s="47"/>
      <c r="BL105" s="47"/>
      <c r="BM105" s="47"/>
      <c r="BN105" s="47"/>
      <c r="BO105" s="47"/>
      <c r="BP105" s="47"/>
      <c r="BQ105" s="47"/>
      <c r="BR105" s="47"/>
      <c r="BS105" s="47"/>
      <c r="BT105" s="47"/>
      <c r="BU105" s="47"/>
      <c r="BV105" s="47"/>
      <c r="BW105" s="47"/>
      <c r="BX105" s="47"/>
      <c r="BY105" s="47"/>
      <c r="BZ105" s="47"/>
    </row>
    <row r="106" spans="1:78" ht="13">
      <c r="A106" s="152" t="str">
        <f ca="1">IFERROR(__xludf.DUMMYFUNCTION("""COMPUTED_VALUE"""),"Chicken Claw Scroll")</f>
        <v>Chicken Claw Scroll</v>
      </c>
      <c r="B106" s="47" t="str">
        <f ca="1">IFERROR(__xludf.DUMMYFUNCTION("TRANSPOSE(unique(filter(Recipes!A$2:A2490,(Recipes!L$2:L2490=A106)+(Recipes!O$2:O2490=A106)+(Recipes!R$2:R2490=A106)+(Recipes!U$2:U2490=A106)+(Recipes!X$2:X2490=A106))))"),"Chicken Claw Skillbook")</f>
        <v>Chicken Claw Skillbook</v>
      </c>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Q106" s="47"/>
      <c r="AR106" s="47"/>
      <c r="AS106" s="47"/>
      <c r="AT106" s="47"/>
      <c r="AU106" s="47"/>
      <c r="AV106" s="47"/>
      <c r="AW106" s="47"/>
      <c r="AX106" s="47"/>
      <c r="AY106" s="47"/>
      <c r="AZ106" s="47"/>
      <c r="BA106" s="47"/>
      <c r="BB106" s="47"/>
      <c r="BC106" s="47"/>
      <c r="BD106" s="47"/>
      <c r="BE106" s="47"/>
      <c r="BF106" s="47"/>
      <c r="BG106" s="47"/>
      <c r="BH106" s="47"/>
      <c r="BI106" s="47"/>
      <c r="BJ106" s="47"/>
      <c r="BK106" s="47"/>
      <c r="BL106" s="47"/>
      <c r="BM106" s="47"/>
      <c r="BN106" s="47"/>
      <c r="BO106" s="47"/>
      <c r="BP106" s="47"/>
      <c r="BQ106" s="47"/>
      <c r="BR106" s="47"/>
      <c r="BS106" s="47"/>
      <c r="BT106" s="47"/>
      <c r="BU106" s="47"/>
      <c r="BV106" s="47"/>
      <c r="BW106" s="47"/>
      <c r="BX106" s="47"/>
      <c r="BY106" s="47"/>
      <c r="BZ106" s="47"/>
    </row>
    <row r="107" spans="1:78" ht="13">
      <c r="A107" s="152" t="str">
        <f ca="1">IFERROR(__xludf.DUMMYFUNCTION("""COMPUTED_VALUE"""),"Chicken Foot")</f>
        <v>Chicken Foot</v>
      </c>
      <c r="B107" s="47" t="str">
        <f ca="1">IFERROR(__xludf.DUMMYFUNCTION("TRANSPOSE(unique(filter(Recipes!A$2:A2490,(Recipes!L$2:L2490=A107)+(Recipes!O$2:O2490=A107)+(Recipes!R$2:R2490=A107)+(Recipes!U$2:U2490=A107)+(Recipes!X$2:X2490=A107))))"),"Chicken Claw Scroll")</f>
        <v>Chicken Claw Scroll</v>
      </c>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c r="AL107" s="47"/>
      <c r="AM107" s="47"/>
      <c r="AN107" s="47"/>
      <c r="AO107" s="47"/>
      <c r="AP107" s="47"/>
      <c r="AQ107" s="47"/>
      <c r="AR107" s="47"/>
      <c r="AS107" s="47"/>
      <c r="AT107" s="47"/>
      <c r="AU107" s="47"/>
      <c r="AV107" s="47"/>
      <c r="AW107" s="47"/>
      <c r="AX107" s="47"/>
      <c r="AY107" s="47"/>
      <c r="AZ107" s="47"/>
      <c r="BA107" s="47"/>
      <c r="BB107" s="47"/>
      <c r="BC107" s="47"/>
      <c r="BD107" s="47"/>
      <c r="BE107" s="47"/>
      <c r="BF107" s="47"/>
      <c r="BG107" s="47"/>
      <c r="BH107" s="47"/>
      <c r="BI107" s="47"/>
      <c r="BJ107" s="47"/>
      <c r="BK107" s="47"/>
      <c r="BL107" s="47"/>
      <c r="BM107" s="47"/>
      <c r="BN107" s="47"/>
      <c r="BO107" s="47"/>
      <c r="BP107" s="47"/>
      <c r="BQ107" s="47"/>
      <c r="BR107" s="47"/>
      <c r="BS107" s="47"/>
      <c r="BT107" s="47"/>
      <c r="BU107" s="47"/>
      <c r="BV107" s="47"/>
      <c r="BW107" s="47"/>
      <c r="BX107" s="47"/>
      <c r="BY107" s="47"/>
      <c r="BZ107" s="47"/>
    </row>
    <row r="108" spans="1:78" ht="13">
      <c r="A108" s="152" t="str">
        <f ca="1">IFERROR(__xludf.DUMMYFUNCTION("""COMPUTED_VALUE"""),"Chub Fish")</f>
        <v>Chub Fish</v>
      </c>
      <c r="B108" s="47" t="str">
        <f ca="1">IFERROR(__xludf.DUMMYFUNCTION("TRANSPOSE(unique(filter(Recipes!A$2:A2490,(Recipes!L$2:L2490=A108)+(Recipes!O$2:O2490=A108)+(Recipes!R$2:R2490=A108)+(Recipes!U$2:U2490=A108)+(Recipes!X$2:X2490=A108))))"),"Hail Strike Scroll")</f>
        <v>Hail Strike Scroll</v>
      </c>
      <c r="C108" s="47" t="str">
        <f ca="1">IFERROR(__xludf.DUMMYFUNCTION("""COMPUTED_VALUE"""),"Steam Lance Scroll")</f>
        <v>Steam Lance Scroll</v>
      </c>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c r="AG108" s="47"/>
      <c r="AH108" s="47"/>
      <c r="AI108" s="47"/>
      <c r="AJ108" s="47"/>
      <c r="AK108" s="47"/>
      <c r="AL108" s="47"/>
      <c r="AM108" s="47"/>
      <c r="AN108" s="47"/>
      <c r="AO108" s="47"/>
      <c r="AP108" s="47"/>
      <c r="AQ108" s="47"/>
      <c r="AR108" s="47"/>
      <c r="AS108" s="47"/>
      <c r="AT108" s="47"/>
      <c r="AU108" s="47"/>
      <c r="AV108" s="47"/>
      <c r="AW108" s="47"/>
      <c r="AX108" s="47"/>
      <c r="AY108" s="47"/>
      <c r="AZ108" s="47"/>
      <c r="BA108" s="47"/>
      <c r="BB108" s="47"/>
      <c r="BC108" s="47"/>
      <c r="BD108" s="47"/>
      <c r="BE108" s="47"/>
      <c r="BF108" s="47"/>
      <c r="BG108" s="47"/>
      <c r="BH108" s="47"/>
      <c r="BI108" s="47"/>
      <c r="BJ108" s="47"/>
      <c r="BK108" s="47"/>
      <c r="BL108" s="47"/>
      <c r="BM108" s="47"/>
      <c r="BN108" s="47"/>
      <c r="BO108" s="47"/>
      <c r="BP108" s="47"/>
      <c r="BQ108" s="47"/>
      <c r="BR108" s="47"/>
      <c r="BS108" s="47"/>
      <c r="BT108" s="47"/>
      <c r="BU108" s="47"/>
      <c r="BV108" s="47"/>
      <c r="BW108" s="47"/>
      <c r="BX108" s="47"/>
      <c r="BY108" s="47"/>
      <c r="BZ108" s="47"/>
    </row>
    <row r="109" spans="1:78" ht="13">
      <c r="A109" s="152" t="str">
        <f ca="1">IFERROR(__xludf.DUMMYFUNCTION("""COMPUTED_VALUE"""),"Claw")</f>
        <v>Claw</v>
      </c>
      <c r="B109" s="47" t="str">
        <f ca="1">IFERROR(__xludf.DUMMYFUNCTION("TRANSPOSE(unique(filter(Recipes!A$2:A2490,(Recipes!L$2:L2490=A109)+(Recipes!O$2:O2490=A109)+(Recipes!R$2:R2490=A109)+(Recipes!U$2:U2490=A109)+(Recipes!X$2:X2490=A109))))"),"Haste Scroll")</f>
        <v>Haste Scroll</v>
      </c>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c r="AC109" s="47"/>
      <c r="AD109" s="47"/>
      <c r="AE109" s="47"/>
      <c r="AF109" s="47"/>
      <c r="AG109" s="47"/>
      <c r="AH109" s="47"/>
      <c r="AI109" s="47"/>
      <c r="AJ109" s="47"/>
      <c r="AK109" s="47"/>
      <c r="AL109" s="47"/>
      <c r="AM109" s="47"/>
      <c r="AN109" s="47"/>
      <c r="AO109" s="47"/>
      <c r="AP109" s="47"/>
      <c r="AQ109" s="47"/>
      <c r="AR109" s="47"/>
      <c r="AS109" s="47"/>
      <c r="AT109" s="47"/>
      <c r="AU109" s="47"/>
      <c r="AV109" s="47"/>
      <c r="AW109" s="47"/>
      <c r="AX109" s="47"/>
      <c r="AY109" s="47"/>
      <c r="AZ109" s="47"/>
      <c r="BA109" s="47"/>
      <c r="BB109" s="47"/>
      <c r="BC109" s="47"/>
      <c r="BD109" s="47"/>
      <c r="BE109" s="47"/>
      <c r="BF109" s="47"/>
      <c r="BG109" s="47"/>
      <c r="BH109" s="47"/>
      <c r="BI109" s="47"/>
      <c r="BJ109" s="47"/>
      <c r="BK109" s="47"/>
      <c r="BL109" s="47"/>
      <c r="BM109" s="47"/>
      <c r="BN109" s="47"/>
      <c r="BO109" s="47"/>
      <c r="BP109" s="47"/>
      <c r="BQ109" s="47"/>
      <c r="BR109" s="47"/>
      <c r="BS109" s="47"/>
      <c r="BT109" s="47"/>
      <c r="BU109" s="47"/>
      <c r="BV109" s="47"/>
      <c r="BW109" s="47"/>
      <c r="BX109" s="47"/>
      <c r="BY109" s="47"/>
      <c r="BZ109" s="47"/>
    </row>
    <row r="110" spans="1:78" ht="13">
      <c r="A110" s="152" t="str">
        <f ca="1">IFERROR(__xludf.DUMMYFUNCTION("""COMPUTED_VALUE"""),"Clay")</f>
        <v>Clay</v>
      </c>
      <c r="B110" s="47" t="str">
        <f ca="1">IFERROR(__xludf.DUMMYFUNCTION("TRANSPOSE(unique(filter(Recipes!A$2:A2490,(Recipes!L$2:L2490=A110)+(Recipes!O$2:O2490=A110)+(Recipes!R$2:R2490=A110)+(Recipes!U$2:U2490=A110)+(Recipes!X$2:X2490=A110))))"),"Earthquake Scroll")</f>
        <v>Earthquake Scroll</v>
      </c>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c r="AC110" s="47"/>
      <c r="AD110" s="47"/>
      <c r="AE110" s="47"/>
      <c r="AF110" s="47"/>
      <c r="AG110" s="47"/>
      <c r="AH110" s="47"/>
      <c r="AI110" s="47"/>
      <c r="AJ110" s="47"/>
      <c r="AK110" s="47"/>
      <c r="AL110" s="47"/>
      <c r="AM110" s="47"/>
      <c r="AN110" s="47"/>
      <c r="AO110" s="47"/>
      <c r="AP110" s="47"/>
      <c r="AQ110" s="47"/>
      <c r="AR110" s="47"/>
      <c r="AS110" s="47"/>
      <c r="AT110" s="47"/>
      <c r="AU110" s="47"/>
      <c r="AV110" s="47"/>
      <c r="AW110" s="47"/>
      <c r="AX110" s="47"/>
      <c r="AY110" s="47"/>
      <c r="AZ110" s="47"/>
      <c r="BA110" s="47"/>
      <c r="BB110" s="47"/>
      <c r="BC110" s="47"/>
      <c r="BD110" s="47"/>
      <c r="BE110" s="47"/>
      <c r="BF110" s="47"/>
      <c r="BG110" s="47"/>
      <c r="BH110" s="47"/>
      <c r="BI110" s="47"/>
      <c r="BJ110" s="47"/>
      <c r="BK110" s="47"/>
      <c r="BL110" s="47"/>
      <c r="BM110" s="47"/>
      <c r="BN110" s="47"/>
      <c r="BO110" s="47"/>
      <c r="BP110" s="47"/>
      <c r="BQ110" s="47"/>
      <c r="BR110" s="47"/>
      <c r="BS110" s="47"/>
      <c r="BT110" s="47"/>
      <c r="BU110" s="47"/>
      <c r="BV110" s="47"/>
      <c r="BW110" s="47"/>
      <c r="BX110" s="47"/>
      <c r="BY110" s="47"/>
      <c r="BZ110" s="47"/>
    </row>
    <row r="111" spans="1:78" ht="13">
      <c r="A111" s="152" t="str">
        <f ca="1">IFERROR(__xludf.DUMMYFUNCTION("""COMPUTED_VALUE"""),"Closed Circuit Scroll")</f>
        <v>Closed Circuit Scroll</v>
      </c>
      <c r="B111" s="47" t="str">
        <f ca="1">IFERROR(__xludf.DUMMYFUNCTION("TRANSPOSE(unique(filter(Recipes!A$2:A2490,(Recipes!L$2:L2490=A111)+(Recipes!O$2:O2490=A111)+(Recipes!R$2:R2490=A111)+(Recipes!U$2:U2490=A111)+(Recipes!X$2:X2490=A111))))"),"Closed Circuit Skillbook")</f>
        <v>Closed Circuit Skillbook</v>
      </c>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c r="AA111" s="47"/>
      <c r="AB111" s="47"/>
      <c r="AC111" s="47"/>
      <c r="AD111" s="47"/>
      <c r="AE111" s="47"/>
      <c r="AF111" s="47"/>
      <c r="AG111" s="47"/>
      <c r="AH111" s="47"/>
      <c r="AI111" s="47"/>
      <c r="AJ111" s="47"/>
      <c r="AK111" s="47"/>
      <c r="AL111" s="47"/>
      <c r="AM111" s="47"/>
      <c r="AN111" s="47"/>
      <c r="AO111" s="47"/>
      <c r="AP111" s="47"/>
      <c r="AQ111" s="47"/>
      <c r="AR111" s="47"/>
      <c r="AS111" s="47"/>
      <c r="AT111" s="47"/>
      <c r="AU111" s="47"/>
      <c r="AV111" s="47"/>
      <c r="AW111" s="47"/>
      <c r="AX111" s="47"/>
      <c r="AY111" s="47"/>
      <c r="AZ111" s="47"/>
      <c r="BA111" s="47"/>
      <c r="BB111" s="47"/>
      <c r="BC111" s="47"/>
      <c r="BD111" s="47"/>
      <c r="BE111" s="47"/>
      <c r="BF111" s="47"/>
      <c r="BG111" s="47"/>
      <c r="BH111" s="47"/>
      <c r="BI111" s="47"/>
      <c r="BJ111" s="47"/>
      <c r="BK111" s="47"/>
      <c r="BL111" s="47"/>
      <c r="BM111" s="47"/>
      <c r="BN111" s="47"/>
      <c r="BO111" s="47"/>
      <c r="BP111" s="47"/>
      <c r="BQ111" s="47"/>
      <c r="BR111" s="47"/>
      <c r="BS111" s="47"/>
      <c r="BT111" s="47"/>
      <c r="BU111" s="47"/>
      <c r="BV111" s="47"/>
      <c r="BW111" s="47"/>
      <c r="BX111" s="47"/>
      <c r="BY111" s="47"/>
      <c r="BZ111" s="47"/>
    </row>
    <row r="112" spans="1:78" ht="13">
      <c r="A112" s="152" t="str">
        <f ca="1">IFERROR(__xludf.DUMMYFUNCTION("""COMPUTED_VALUE"""),"Cloth Scraps")</f>
        <v>Cloth Scraps</v>
      </c>
      <c r="B112" s="47" t="str">
        <f ca="1">IFERROR(__xludf.DUMMYFUNCTION("TRANSPOSE(unique(filter(Recipes!A$2:A2490,(Recipes!L$2:L2490=A112)+(Recipes!O$2:O2490=A112)+(Recipes!R$2:R2490=A112)+(Recipes!U$2:U2490=A112)+(Recipes!X$2:X2490=A112))))"),"Handmade Cloth Shirt")</f>
        <v>Handmade Cloth Shirt</v>
      </c>
      <c r="C112" s="47" t="str">
        <f ca="1">IFERROR(__xludf.DUMMYFUNCTION("""COMPUTED_VALUE"""),"Handmade Mage Armour")</f>
        <v>Handmade Mage Armour</v>
      </c>
      <c r="D112" s="47" t="str">
        <f ca="1">IFERROR(__xludf.DUMMYFUNCTION("""COMPUTED_VALUE"""),"Big Tongs Roped Together")</f>
        <v>Big Tongs Roped Together</v>
      </c>
      <c r="E112" s="47" t="str">
        <f ca="1">IFERROR(__xludf.DUMMYFUNCTION("""COMPUTED_VALUE"""),"Makeshift Club [2H]")</f>
        <v>Makeshift Club [2H]</v>
      </c>
      <c r="F112" s="47" t="str">
        <f ca="1">IFERROR(__xludf.DUMMYFUNCTION("""COMPUTED_VALUE"""),"Shiv")</f>
        <v>Shiv</v>
      </c>
      <c r="G112" s="47"/>
      <c r="H112" s="47"/>
      <c r="I112" s="47"/>
      <c r="J112" s="47"/>
      <c r="K112" s="47"/>
      <c r="L112" s="47"/>
      <c r="M112" s="47"/>
      <c r="N112" s="47"/>
      <c r="O112" s="47"/>
      <c r="P112" s="47"/>
      <c r="Q112" s="47"/>
      <c r="R112" s="47"/>
      <c r="S112" s="47"/>
      <c r="T112" s="47"/>
      <c r="U112" s="47"/>
      <c r="V112" s="47"/>
      <c r="W112" s="47"/>
      <c r="X112" s="47"/>
      <c r="Y112" s="47"/>
      <c r="Z112" s="47"/>
      <c r="AA112" s="47"/>
      <c r="AB112" s="47"/>
      <c r="AC112" s="47"/>
      <c r="AD112" s="47"/>
      <c r="AE112" s="47"/>
      <c r="AF112" s="47"/>
      <c r="AG112" s="47"/>
      <c r="AH112" s="47"/>
      <c r="AI112" s="47"/>
      <c r="AJ112" s="47"/>
      <c r="AK112" s="47"/>
      <c r="AL112" s="47"/>
      <c r="AM112" s="47"/>
      <c r="AN112" s="47"/>
      <c r="AO112" s="47"/>
      <c r="AP112" s="47"/>
      <c r="AQ112" s="47"/>
      <c r="AR112" s="47"/>
      <c r="AS112" s="47"/>
      <c r="AT112" s="47"/>
      <c r="AU112" s="47"/>
      <c r="AV112" s="47"/>
      <c r="AW112" s="47"/>
      <c r="AX112" s="47"/>
      <c r="AY112" s="47"/>
      <c r="AZ112" s="47"/>
      <c r="BA112" s="47"/>
      <c r="BB112" s="47"/>
      <c r="BC112" s="47"/>
      <c r="BD112" s="47"/>
      <c r="BE112" s="47"/>
      <c r="BF112" s="47"/>
      <c r="BG112" s="47"/>
      <c r="BH112" s="47"/>
      <c r="BI112" s="47"/>
      <c r="BJ112" s="47"/>
      <c r="BK112" s="47"/>
      <c r="BL112" s="47"/>
      <c r="BM112" s="47"/>
      <c r="BN112" s="47"/>
      <c r="BO112" s="47"/>
      <c r="BP112" s="47"/>
      <c r="BQ112" s="47"/>
      <c r="BR112" s="47"/>
      <c r="BS112" s="47"/>
      <c r="BT112" s="47"/>
      <c r="BU112" s="47"/>
      <c r="BV112" s="47"/>
      <c r="BW112" s="47"/>
      <c r="BX112" s="47"/>
      <c r="BY112" s="47"/>
      <c r="BZ112" s="47"/>
    </row>
    <row r="113" spans="1:78" ht="13">
      <c r="A113" s="152" t="str">
        <f ca="1">IFERROR(__xludf.DUMMYFUNCTION("""COMPUTED_VALUE"""),"Cluster Grenade")</f>
        <v>Cluster Grenade</v>
      </c>
      <c r="B113" s="47" t="str">
        <f ca="1">IFERROR(__xludf.DUMMYFUNCTION("TRANSPOSE(unique(filter(Recipes!A$2:A2490,(Recipes!L$2:L2490=A113)+(Recipes!O$2:O2490=A113)+(Recipes!R$2:R2490=A113)+(Recipes!U$2:U2490=A113)+(Recipes!X$2:X2490=A113))))"),"Cursed Cluster Grenade")</f>
        <v>Cursed Cluster Grenade</v>
      </c>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c r="AA113" s="47"/>
      <c r="AB113" s="47"/>
      <c r="AC113" s="47"/>
      <c r="AD113" s="47"/>
      <c r="AE113" s="47"/>
      <c r="AF113" s="47"/>
      <c r="AG113" s="47"/>
      <c r="AH113" s="47"/>
      <c r="AI113" s="47"/>
      <c r="AJ113" s="47"/>
      <c r="AK113" s="47"/>
      <c r="AL113" s="47"/>
      <c r="AM113" s="47"/>
      <c r="AN113" s="47"/>
      <c r="AO113" s="47"/>
      <c r="AP113" s="47"/>
      <c r="AQ113" s="47"/>
      <c r="AR113" s="47"/>
      <c r="AS113" s="47"/>
      <c r="AT113" s="47"/>
      <c r="AU113" s="47"/>
      <c r="AV113" s="47"/>
      <c r="AW113" s="47"/>
      <c r="AX113" s="47"/>
      <c r="AY113" s="47"/>
      <c r="AZ113" s="47"/>
      <c r="BA113" s="47"/>
      <c r="BB113" s="47"/>
      <c r="BC113" s="47"/>
      <c r="BD113" s="47"/>
      <c r="BE113" s="47"/>
      <c r="BF113" s="47"/>
      <c r="BG113" s="47"/>
      <c r="BH113" s="47"/>
      <c r="BI113" s="47"/>
      <c r="BJ113" s="47"/>
      <c r="BK113" s="47"/>
      <c r="BL113" s="47"/>
      <c r="BM113" s="47"/>
      <c r="BN113" s="47"/>
      <c r="BO113" s="47"/>
      <c r="BP113" s="47"/>
      <c r="BQ113" s="47"/>
      <c r="BR113" s="47"/>
      <c r="BS113" s="47"/>
      <c r="BT113" s="47"/>
      <c r="BU113" s="47"/>
      <c r="BV113" s="47"/>
      <c r="BW113" s="47"/>
      <c r="BX113" s="47"/>
      <c r="BY113" s="47"/>
      <c r="BZ113" s="47"/>
    </row>
    <row r="114" spans="1:78" ht="13">
      <c r="A114" s="152" t="str">
        <f ca="1">IFERROR(__xludf.DUMMYFUNCTION("""COMPUTED_VALUE"""),"Cold Fries")</f>
        <v>Cold Fries</v>
      </c>
      <c r="B114" s="47" t="str">
        <f ca="1">IFERROR(__xludf.DUMMYFUNCTION("TRANSPOSE(unique(filter(Recipes!A$2:A2490,(Recipes!L$2:L2490=A114)+(Recipes!O$2:O2490=A114)+(Recipes!R$2:R2490=A114)+(Recipes!U$2:U2490=A114)+(Recipes!X$2:X2490=A114))))"),"Rivellon Fries")</f>
        <v>Rivellon Fries</v>
      </c>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c r="AA114" s="47"/>
      <c r="AB114" s="47"/>
      <c r="AC114" s="47"/>
      <c r="AD114" s="47"/>
      <c r="AE114" s="47"/>
      <c r="AF114" s="47"/>
      <c r="AG114" s="47"/>
      <c r="AH114" s="47"/>
      <c r="AI114" s="47"/>
      <c r="AJ114" s="47"/>
      <c r="AK114" s="47"/>
      <c r="AL114" s="47"/>
      <c r="AM114" s="47"/>
      <c r="AN114" s="47"/>
      <c r="AO114" s="47"/>
      <c r="AP114" s="47"/>
      <c r="AQ114" s="47"/>
      <c r="AR114" s="47"/>
      <c r="AS114" s="47"/>
      <c r="AT114" s="47"/>
      <c r="AU114" s="47"/>
      <c r="AV114" s="47"/>
      <c r="AW114" s="47"/>
      <c r="AX114" s="47"/>
      <c r="AY114" s="47"/>
      <c r="AZ114" s="47"/>
      <c r="BA114" s="47"/>
      <c r="BB114" s="47"/>
      <c r="BC114" s="47"/>
      <c r="BD114" s="47"/>
      <c r="BE114" s="47"/>
      <c r="BF114" s="47"/>
      <c r="BG114" s="47"/>
      <c r="BH114" s="47"/>
      <c r="BI114" s="47"/>
      <c r="BJ114" s="47"/>
      <c r="BK114" s="47"/>
      <c r="BL114" s="47"/>
      <c r="BM114" s="47"/>
      <c r="BN114" s="47"/>
      <c r="BO114" s="47"/>
      <c r="BP114" s="47"/>
      <c r="BQ114" s="47"/>
      <c r="BR114" s="47"/>
      <c r="BS114" s="47"/>
      <c r="BT114" s="47"/>
      <c r="BU114" s="47"/>
      <c r="BV114" s="47"/>
      <c r="BW114" s="47"/>
      <c r="BX114" s="47"/>
      <c r="BY114" s="47"/>
      <c r="BZ114" s="47"/>
    </row>
    <row r="115" spans="1:78" ht="13">
      <c r="A115" s="152" t="str">
        <f ca="1">IFERROR(__xludf.DUMMYFUNCTION("""COMPUTED_VALUE"""),"Cold Mashed Potatoes")</f>
        <v>Cold Mashed Potatoes</v>
      </c>
      <c r="B115" s="47" t="str">
        <f ca="1">IFERROR(__xludf.DUMMYFUNCTION("TRANSPOSE(unique(filter(Recipes!A$2:A2490,(Recipes!L$2:L2490=A115)+(Recipes!O$2:O2490=A115)+(Recipes!R$2:R2490=A115)+(Recipes!U$2:U2490=A115)+(Recipes!X$2:X2490=A115))))"),"Mashed Potatoes")</f>
        <v>Mashed Potatoes</v>
      </c>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47"/>
      <c r="AL115" s="47"/>
      <c r="AM115" s="47"/>
      <c r="AN115" s="47"/>
      <c r="AO115" s="47"/>
      <c r="AP115" s="47"/>
      <c r="AQ115" s="47"/>
      <c r="AR115" s="47"/>
      <c r="AS115" s="47"/>
      <c r="AT115" s="47"/>
      <c r="AU115" s="47"/>
      <c r="AV115" s="47"/>
      <c r="AW115" s="47"/>
      <c r="AX115" s="47"/>
      <c r="AY115" s="47"/>
      <c r="AZ115" s="47"/>
      <c r="BA115" s="47"/>
      <c r="BB115" s="47"/>
      <c r="BC115" s="47"/>
      <c r="BD115" s="47"/>
      <c r="BE115" s="47"/>
      <c r="BF115" s="47"/>
      <c r="BG115" s="47"/>
      <c r="BH115" s="47"/>
      <c r="BI115" s="47"/>
      <c r="BJ115" s="47"/>
      <c r="BK115" s="47"/>
      <c r="BL115" s="47"/>
      <c r="BM115" s="47"/>
      <c r="BN115" s="47"/>
      <c r="BO115" s="47"/>
      <c r="BP115" s="47"/>
      <c r="BQ115" s="47"/>
      <c r="BR115" s="47"/>
      <c r="BS115" s="47"/>
      <c r="BT115" s="47"/>
      <c r="BU115" s="47"/>
      <c r="BV115" s="47"/>
      <c r="BW115" s="47"/>
      <c r="BX115" s="47"/>
      <c r="BY115" s="47"/>
      <c r="BZ115" s="47"/>
    </row>
    <row r="116" spans="1:78" ht="13">
      <c r="A116" s="152" t="str">
        <f ca="1">IFERROR(__xludf.DUMMYFUNCTION("""COMPUTED_VALUE"""),"Conjure Incarnate Scroll")</f>
        <v>Conjure Incarnate Scroll</v>
      </c>
      <c r="B116" s="47" t="str">
        <f ca="1">IFERROR(__xludf.DUMMYFUNCTION("TRANSPOSE(unique(filter(Recipes!A$2:A2490,(Recipes!L$2:L2490=A116)+(Recipes!O$2:O2490=A116)+(Recipes!R$2:R2490=A116)+(Recipes!U$2:U2490=A116)+(Recipes!X$2:X2490=A116))))"),"Conjure Incarnate Skillbook")</f>
        <v>Conjure Incarnate Skillbook</v>
      </c>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c r="AA116" s="47"/>
      <c r="AB116" s="47"/>
      <c r="AC116" s="47"/>
      <c r="AD116" s="47"/>
      <c r="AE116" s="47"/>
      <c r="AF116" s="47"/>
      <c r="AG116" s="47"/>
      <c r="AH116" s="47"/>
      <c r="AI116" s="47"/>
      <c r="AJ116" s="47"/>
      <c r="AK116" s="47"/>
      <c r="AL116" s="47"/>
      <c r="AM116" s="47"/>
      <c r="AN116" s="47"/>
      <c r="AO116" s="47"/>
      <c r="AP116" s="47"/>
      <c r="AQ116" s="47"/>
      <c r="AR116" s="47"/>
      <c r="AS116" s="47"/>
      <c r="AT116" s="47"/>
      <c r="AU116" s="47"/>
      <c r="AV116" s="47"/>
      <c r="AW116" s="47"/>
      <c r="AX116" s="47"/>
      <c r="AY116" s="47"/>
      <c r="AZ116" s="47"/>
      <c r="BA116" s="47"/>
      <c r="BB116" s="47"/>
      <c r="BC116" s="47"/>
      <c r="BD116" s="47"/>
      <c r="BE116" s="47"/>
      <c r="BF116" s="47"/>
      <c r="BG116" s="47"/>
      <c r="BH116" s="47"/>
      <c r="BI116" s="47"/>
      <c r="BJ116" s="47"/>
      <c r="BK116" s="47"/>
      <c r="BL116" s="47"/>
      <c r="BM116" s="47"/>
      <c r="BN116" s="47"/>
      <c r="BO116" s="47"/>
      <c r="BP116" s="47"/>
      <c r="BQ116" s="47"/>
      <c r="BR116" s="47"/>
      <c r="BS116" s="47"/>
      <c r="BT116" s="47"/>
      <c r="BU116" s="47"/>
      <c r="BV116" s="47"/>
      <c r="BW116" s="47"/>
      <c r="BX116" s="47"/>
      <c r="BY116" s="47"/>
      <c r="BZ116" s="47"/>
    </row>
    <row r="117" spans="1:78" ht="13">
      <c r="A117" s="152" t="str">
        <f ca="1">IFERROR(__xludf.DUMMYFUNCTION("""COMPUTED_VALUE"""),"Contamination Scroll")</f>
        <v>Contamination Scroll</v>
      </c>
      <c r="B117" s="47" t="str">
        <f ca="1">IFERROR(__xludf.DUMMYFUNCTION("TRANSPOSE(unique(filter(Recipes!A$2:A2490,(Recipes!L$2:L2490=A117)+(Recipes!O$2:O2490=A117)+(Recipes!R$2:R2490=A117)+(Recipes!U$2:U2490=A117)+(Recipes!X$2:X2490=A117))))"),"Contamination Skillbook")</f>
        <v>Contamination Skillbook</v>
      </c>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c r="AA117" s="47"/>
      <c r="AB117" s="47"/>
      <c r="AC117" s="47"/>
      <c r="AD117" s="47"/>
      <c r="AE117" s="47"/>
      <c r="AF117" s="47"/>
      <c r="AG117" s="47"/>
      <c r="AH117" s="47"/>
      <c r="AI117" s="47"/>
      <c r="AJ117" s="47"/>
      <c r="AK117" s="47"/>
      <c r="AL117" s="47"/>
      <c r="AM117" s="47"/>
      <c r="AN117" s="47"/>
      <c r="AO117" s="47"/>
      <c r="AP117" s="47"/>
      <c r="AQ117" s="47"/>
      <c r="AR117" s="47"/>
      <c r="AS117" s="47"/>
      <c r="AT117" s="47"/>
      <c r="AU117" s="47"/>
      <c r="AV117" s="47"/>
      <c r="AW117" s="47"/>
      <c r="AX117" s="47"/>
      <c r="AY117" s="47"/>
      <c r="AZ117" s="47"/>
      <c r="BA117" s="47"/>
      <c r="BB117" s="47"/>
      <c r="BC117" s="47"/>
      <c r="BD117" s="47"/>
      <c r="BE117" s="47"/>
      <c r="BF117" s="47"/>
      <c r="BG117" s="47"/>
      <c r="BH117" s="47"/>
      <c r="BI117" s="47"/>
      <c r="BJ117" s="47"/>
      <c r="BK117" s="47"/>
      <c r="BL117" s="47"/>
      <c r="BM117" s="47"/>
      <c r="BN117" s="47"/>
      <c r="BO117" s="47"/>
      <c r="BP117" s="47"/>
      <c r="BQ117" s="47"/>
      <c r="BR117" s="47"/>
      <c r="BS117" s="47"/>
      <c r="BT117" s="47"/>
      <c r="BU117" s="47"/>
      <c r="BV117" s="47"/>
      <c r="BW117" s="47"/>
      <c r="BX117" s="47"/>
      <c r="BY117" s="47"/>
      <c r="BZ117" s="47"/>
    </row>
    <row r="118" spans="1:78" ht="13">
      <c r="A118" s="152" t="str">
        <f ca="1">IFERROR(__xludf.DUMMYFUNCTION("""COMPUTED_VALUE"""),"Cooking Pot")</f>
        <v>Cooking Pot</v>
      </c>
      <c r="B118" s="47" t="str">
        <f ca="1">IFERROR(__xludf.DUMMYFUNCTION("TRANSPOSE(unique(filter(Recipes!A$2:A2490,(Recipes!L$2:L2490=A118)+(Recipes!O$2:O2490=A118)+(Recipes!R$2:R2490=A118)+(Recipes!U$2:U2490=A118)+(Recipes!X$2:X2490=A118))))"),"Cooking Station")</f>
        <v>Cooking Station</v>
      </c>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c r="AA118" s="47"/>
      <c r="AB118" s="47"/>
      <c r="AC118" s="47"/>
      <c r="AD118" s="47"/>
      <c r="AE118" s="47"/>
      <c r="AF118" s="47"/>
      <c r="AG118" s="47"/>
      <c r="AH118" s="47"/>
      <c r="AI118" s="47"/>
      <c r="AJ118" s="47"/>
      <c r="AK118" s="47"/>
      <c r="AL118" s="47"/>
      <c r="AM118" s="47"/>
      <c r="AN118" s="47"/>
      <c r="AO118" s="47"/>
      <c r="AP118" s="47"/>
      <c r="AQ118" s="47"/>
      <c r="AR118" s="47"/>
      <c r="AS118" s="47"/>
      <c r="AT118" s="47"/>
      <c r="AU118" s="47"/>
      <c r="AV118" s="47"/>
      <c r="AW118" s="47"/>
      <c r="AX118" s="47"/>
      <c r="AY118" s="47"/>
      <c r="AZ118" s="47"/>
      <c r="BA118" s="47"/>
      <c r="BB118" s="47"/>
      <c r="BC118" s="47"/>
      <c r="BD118" s="47"/>
      <c r="BE118" s="47"/>
      <c r="BF118" s="47"/>
      <c r="BG118" s="47"/>
      <c r="BH118" s="47"/>
      <c r="BI118" s="47"/>
      <c r="BJ118" s="47"/>
      <c r="BK118" s="47"/>
      <c r="BL118" s="47"/>
      <c r="BM118" s="47"/>
      <c r="BN118" s="47"/>
      <c r="BO118" s="47"/>
      <c r="BP118" s="47"/>
      <c r="BQ118" s="47"/>
      <c r="BR118" s="47"/>
      <c r="BS118" s="47"/>
      <c r="BT118" s="47"/>
      <c r="BU118" s="47"/>
      <c r="BV118" s="47"/>
      <c r="BW118" s="47"/>
      <c r="BX118" s="47"/>
      <c r="BY118" s="47"/>
      <c r="BZ118" s="47"/>
    </row>
    <row r="119" spans="1:78" ht="13">
      <c r="A119" s="152" t="str">
        <f ca="1">IFERROR(__xludf.DUMMYFUNCTION("""COMPUTED_VALUE"""),"Crab's Claw")</f>
        <v>Crab's Claw</v>
      </c>
      <c r="B119" s="47" t="str">
        <f ca="1">IFERROR(__xludf.DUMMYFUNCTION("TRANSPOSE(unique(filter(Recipes!A$2:A2490,(Recipes!L$2:L2490=A119)+(Recipes!O$2:O2490=A119)+(Recipes!R$2:R2490=A119)+(Recipes!U$2:U2490=A119)+(Recipes!X$2:X2490=A119))))"),"Peace of Mind Scroll")</f>
        <v>Peace of Mind Scroll</v>
      </c>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c r="AA119" s="47"/>
      <c r="AB119" s="47"/>
      <c r="AC119" s="47"/>
      <c r="AD119" s="47"/>
      <c r="AE119" s="47"/>
      <c r="AF119" s="47"/>
      <c r="AG119" s="47"/>
      <c r="AH119" s="47"/>
      <c r="AI119" s="47"/>
      <c r="AJ119" s="47"/>
      <c r="AK119" s="47"/>
      <c r="AL119" s="47"/>
      <c r="AM119" s="47"/>
      <c r="AN119" s="47"/>
      <c r="AO119" s="47"/>
      <c r="AP119" s="47"/>
      <c r="AQ119" s="47"/>
      <c r="AR119" s="47"/>
      <c r="AS119" s="47"/>
      <c r="AT119" s="47"/>
      <c r="AU119" s="47"/>
      <c r="AV119" s="47"/>
      <c r="AW119" s="47"/>
      <c r="AX119" s="47"/>
      <c r="AY119" s="47"/>
      <c r="AZ119" s="47"/>
      <c r="BA119" s="47"/>
      <c r="BB119" s="47"/>
      <c r="BC119" s="47"/>
      <c r="BD119" s="47"/>
      <c r="BE119" s="47"/>
      <c r="BF119" s="47"/>
      <c r="BG119" s="47"/>
      <c r="BH119" s="47"/>
      <c r="BI119" s="47"/>
      <c r="BJ119" s="47"/>
      <c r="BK119" s="47"/>
      <c r="BL119" s="47"/>
      <c r="BM119" s="47"/>
      <c r="BN119" s="47"/>
      <c r="BO119" s="47"/>
      <c r="BP119" s="47"/>
      <c r="BQ119" s="47"/>
      <c r="BR119" s="47"/>
      <c r="BS119" s="47"/>
      <c r="BT119" s="47"/>
      <c r="BU119" s="47"/>
      <c r="BV119" s="47"/>
      <c r="BW119" s="47"/>
      <c r="BX119" s="47"/>
      <c r="BY119" s="47"/>
      <c r="BZ119" s="47"/>
    </row>
    <row r="120" spans="1:78" ht="13">
      <c r="A120" s="152" t="str">
        <f ca="1">IFERROR(__xludf.DUMMYFUNCTION("""COMPUTED_VALUE"""),"Creepy Eye")</f>
        <v>Creepy Eye</v>
      </c>
      <c r="B120" s="47" t="str">
        <f ca="1">IFERROR(__xludf.DUMMYFUNCTION("TRANSPOSE(unique(filter(Recipes!A$2:A2490,(Recipes!L$2:L2490=A120)+(Recipes!O$2:O2490=A120)+(Recipes!R$2:R2490=A120)+(Recipes!U$2:U2490=A120)+(Recipes!X$2:X2490=A120))))"),"Black Shroud Scroll")</f>
        <v>Black Shroud Scroll</v>
      </c>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c r="AA120" s="47"/>
      <c r="AB120" s="47"/>
      <c r="AC120" s="47"/>
      <c r="AD120" s="47"/>
      <c r="AE120" s="47"/>
      <c r="AF120" s="47"/>
      <c r="AG120" s="47"/>
      <c r="AH120" s="47"/>
      <c r="AI120" s="47"/>
      <c r="AJ120" s="47"/>
      <c r="AK120" s="47"/>
      <c r="AL120" s="47"/>
      <c r="AM120" s="47"/>
      <c r="AN120" s="47"/>
      <c r="AO120" s="47"/>
      <c r="AP120" s="47"/>
      <c r="AQ120" s="47"/>
      <c r="AR120" s="47"/>
      <c r="AS120" s="47"/>
      <c r="AT120" s="47"/>
      <c r="AU120" s="47"/>
      <c r="AV120" s="47"/>
      <c r="AW120" s="47"/>
      <c r="AX120" s="47"/>
      <c r="AY120" s="47"/>
      <c r="AZ120" s="47"/>
      <c r="BA120" s="47"/>
      <c r="BB120" s="47"/>
      <c r="BC120" s="47"/>
      <c r="BD120" s="47"/>
      <c r="BE120" s="47"/>
      <c r="BF120" s="47"/>
      <c r="BG120" s="47"/>
      <c r="BH120" s="47"/>
      <c r="BI120" s="47"/>
      <c r="BJ120" s="47"/>
      <c r="BK120" s="47"/>
      <c r="BL120" s="47"/>
      <c r="BM120" s="47"/>
      <c r="BN120" s="47"/>
      <c r="BO120" s="47"/>
      <c r="BP120" s="47"/>
      <c r="BQ120" s="47"/>
      <c r="BR120" s="47"/>
      <c r="BS120" s="47"/>
      <c r="BT120" s="47"/>
      <c r="BU120" s="47"/>
      <c r="BV120" s="47"/>
      <c r="BW120" s="47"/>
      <c r="BX120" s="47"/>
      <c r="BY120" s="47"/>
      <c r="BZ120" s="47"/>
    </row>
    <row r="121" spans="1:78" ht="13">
      <c r="A121" s="152" t="str">
        <f ca="1">IFERROR(__xludf.DUMMYFUNCTION("""COMPUTED_VALUE"""),"Crossbow Without Bowstring")</f>
        <v>Crossbow Without Bowstring</v>
      </c>
      <c r="B121" s="47" t="str">
        <f ca="1">IFERROR(__xludf.DUMMYFUNCTION("TRANSPOSE(unique(filter(Recipes!A$2:A2490,(Recipes!L$2:L2490=A121)+(Recipes!O$2:O2490=A121)+(Recipes!R$2:R2490=A121)+(Recipes!U$2:U2490=A121)+(Recipes!X$2:X2490=A121))))"),"Crossbow")</f>
        <v>Crossbow</v>
      </c>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c r="AA121" s="47"/>
      <c r="AB121" s="47"/>
      <c r="AC121" s="47"/>
      <c r="AD121" s="47"/>
      <c r="AE121" s="47"/>
      <c r="AF121" s="47"/>
      <c r="AG121" s="47"/>
      <c r="AH121" s="47"/>
      <c r="AI121" s="47"/>
      <c r="AJ121" s="47"/>
      <c r="AK121" s="47"/>
      <c r="AL121" s="47"/>
      <c r="AM121" s="47"/>
      <c r="AN121" s="47"/>
      <c r="AO121" s="47"/>
      <c r="AP121" s="47"/>
      <c r="AQ121" s="47"/>
      <c r="AR121" s="47"/>
      <c r="AS121" s="47"/>
      <c r="AT121" s="47"/>
      <c r="AU121" s="47"/>
      <c r="AV121" s="47"/>
      <c r="AW121" s="47"/>
      <c r="AX121" s="47"/>
      <c r="AY121" s="47"/>
      <c r="AZ121" s="47"/>
      <c r="BA121" s="47"/>
      <c r="BB121" s="47"/>
      <c r="BC121" s="47"/>
      <c r="BD121" s="47"/>
      <c r="BE121" s="47"/>
      <c r="BF121" s="47"/>
      <c r="BG121" s="47"/>
      <c r="BH121" s="47"/>
      <c r="BI121" s="47"/>
      <c r="BJ121" s="47"/>
      <c r="BK121" s="47"/>
      <c r="BL121" s="47"/>
      <c r="BM121" s="47"/>
      <c r="BN121" s="47"/>
      <c r="BO121" s="47"/>
      <c r="BP121" s="47"/>
      <c r="BQ121" s="47"/>
      <c r="BR121" s="47"/>
      <c r="BS121" s="47"/>
      <c r="BT121" s="47"/>
      <c r="BU121" s="47"/>
      <c r="BV121" s="47"/>
      <c r="BW121" s="47"/>
      <c r="BX121" s="47"/>
      <c r="BY121" s="47"/>
      <c r="BZ121" s="47"/>
    </row>
    <row r="122" spans="1:78" ht="13">
      <c r="A122" s="152" t="str">
        <f ca="1">IFERROR(__xludf.DUMMYFUNCTION("""COMPUTED_VALUE"""),"Cryogenic Stasis Scroll")</f>
        <v>Cryogenic Stasis Scroll</v>
      </c>
      <c r="B122" s="47" t="str">
        <f ca="1">IFERROR(__xludf.DUMMYFUNCTION("TRANSPOSE(unique(filter(Recipes!A$2:A2490,(Recipes!L$2:L2490=A122)+(Recipes!O$2:O2490=A122)+(Recipes!R$2:R2490=A122)+(Recipes!U$2:U2490=A122)+(Recipes!X$2:X2490=A122))))"),"Cryogenic Stasis Skillbook")</f>
        <v>Cryogenic Stasis Skillbook</v>
      </c>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c r="AA122" s="47"/>
      <c r="AB122" s="47"/>
      <c r="AC122" s="47"/>
      <c r="AD122" s="47"/>
      <c r="AE122" s="47"/>
      <c r="AF122" s="47"/>
      <c r="AG122" s="47"/>
      <c r="AH122" s="47"/>
      <c r="AI122" s="47"/>
      <c r="AJ122" s="47"/>
      <c r="AK122" s="47"/>
      <c r="AL122" s="47"/>
      <c r="AM122" s="47"/>
      <c r="AN122" s="47"/>
      <c r="AO122" s="47"/>
      <c r="AP122" s="47"/>
      <c r="AQ122" s="47"/>
      <c r="AR122" s="47"/>
      <c r="AS122" s="47"/>
      <c r="AT122" s="47"/>
      <c r="AU122" s="47"/>
      <c r="AV122" s="47"/>
      <c r="AW122" s="47"/>
      <c r="AX122" s="47"/>
      <c r="AY122" s="47"/>
      <c r="AZ122" s="47"/>
      <c r="BA122" s="47"/>
      <c r="BB122" s="47"/>
      <c r="BC122" s="47"/>
      <c r="BD122" s="47"/>
      <c r="BE122" s="47"/>
      <c r="BF122" s="47"/>
      <c r="BG122" s="47"/>
      <c r="BH122" s="47"/>
      <c r="BI122" s="47"/>
      <c r="BJ122" s="47"/>
      <c r="BK122" s="47"/>
      <c r="BL122" s="47"/>
      <c r="BM122" s="47"/>
      <c r="BN122" s="47"/>
      <c r="BO122" s="47"/>
      <c r="BP122" s="47"/>
      <c r="BQ122" s="47"/>
      <c r="BR122" s="47"/>
      <c r="BS122" s="47"/>
      <c r="BT122" s="47"/>
      <c r="BU122" s="47"/>
      <c r="BV122" s="47"/>
      <c r="BW122" s="47"/>
      <c r="BX122" s="47"/>
      <c r="BY122" s="47"/>
      <c r="BZ122" s="47"/>
    </row>
    <row r="123" spans="1:78" ht="13">
      <c r="A123" s="152" t="str">
        <f ca="1">IFERROR(__xludf.DUMMYFUNCTION("""COMPUTED_VALUE"""),"Cup of Water")</f>
        <v>Cup of Water</v>
      </c>
      <c r="B123" s="47" t="str">
        <f ca="1">IFERROR(__xludf.DUMMYFUNCTION("TRANSPOSE(unique(filter(Recipes!A$2:A2490,(Recipes!L$2:L2490=A123)+(Recipes!O$2:O2490=A123)+(Recipes!R$2:R2490=A123)+(Recipes!U$2:U2490=A123)+(Recipes!X$2:X2490=A123))))"),"Cup of Tea")</f>
        <v>Cup of Tea</v>
      </c>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c r="AA123" s="47"/>
      <c r="AB123" s="47"/>
      <c r="AC123" s="47"/>
      <c r="AD123" s="47"/>
      <c r="AE123" s="47"/>
      <c r="AF123" s="47"/>
      <c r="AG123" s="47"/>
      <c r="AH123" s="47"/>
      <c r="AI123" s="47"/>
      <c r="AJ123" s="47"/>
      <c r="AK123" s="47"/>
      <c r="AL123" s="47"/>
      <c r="AM123" s="47"/>
      <c r="AN123" s="47"/>
      <c r="AO123" s="47"/>
      <c r="AP123" s="47"/>
      <c r="AQ123" s="47"/>
      <c r="AR123" s="47"/>
      <c r="AS123" s="47"/>
      <c r="AT123" s="47"/>
      <c r="AU123" s="47"/>
      <c r="AV123" s="47"/>
      <c r="AW123" s="47"/>
      <c r="AX123" s="47"/>
      <c r="AY123" s="47"/>
      <c r="AZ123" s="47"/>
      <c r="BA123" s="47"/>
      <c r="BB123" s="47"/>
      <c r="BC123" s="47"/>
      <c r="BD123" s="47"/>
      <c r="BE123" s="47"/>
      <c r="BF123" s="47"/>
      <c r="BG123" s="47"/>
      <c r="BH123" s="47"/>
      <c r="BI123" s="47"/>
      <c r="BJ123" s="47"/>
      <c r="BK123" s="47"/>
      <c r="BL123" s="47"/>
      <c r="BM123" s="47"/>
      <c r="BN123" s="47"/>
      <c r="BO123" s="47"/>
      <c r="BP123" s="47"/>
      <c r="BQ123" s="47"/>
      <c r="BR123" s="47"/>
      <c r="BS123" s="47"/>
      <c r="BT123" s="47"/>
      <c r="BU123" s="47"/>
      <c r="BV123" s="47"/>
      <c r="BW123" s="47"/>
      <c r="BX123" s="47"/>
      <c r="BY123" s="47"/>
      <c r="BZ123" s="47"/>
    </row>
    <row r="124" spans="1:78" ht="13">
      <c r="A124" s="152" t="str">
        <f ca="1">IFERROR(__xludf.DUMMYFUNCTION("""COMPUTED_VALUE"""),"Cursed Fire Arrowhead")</f>
        <v>Cursed Fire Arrowhead</v>
      </c>
      <c r="B124" s="47" t="str">
        <f ca="1">IFERROR(__xludf.DUMMYFUNCTION("TRANSPOSE(unique(filter(Recipes!A$2:A2490,(Recipes!L$2:L2490=A124)+(Recipes!O$2:O2490=A124)+(Recipes!R$2:R2490=A124)+(Recipes!U$2:U2490=A124)+(Recipes!X$2:X2490=A124))))"),"Cursed Fire Arrow")</f>
        <v>Cursed Fire Arrow</v>
      </c>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c r="AA124" s="47"/>
      <c r="AB124" s="47"/>
      <c r="AC124" s="47"/>
      <c r="AD124" s="47"/>
      <c r="AE124" s="47"/>
      <c r="AF124" s="47"/>
      <c r="AG124" s="47"/>
      <c r="AH124" s="47"/>
      <c r="AI124" s="47"/>
      <c r="AJ124" s="47"/>
      <c r="AK124" s="47"/>
      <c r="AL124" s="47"/>
      <c r="AM124" s="47"/>
      <c r="AN124" s="47"/>
      <c r="AO124" s="47"/>
      <c r="AP124" s="47"/>
      <c r="AQ124" s="47"/>
      <c r="AR124" s="47"/>
      <c r="AS124" s="47"/>
      <c r="AT124" s="47"/>
      <c r="AU124" s="47"/>
      <c r="AV124" s="47"/>
      <c r="AW124" s="47"/>
      <c r="AX124" s="47"/>
      <c r="AY124" s="47"/>
      <c r="AZ124" s="47"/>
      <c r="BA124" s="47"/>
      <c r="BB124" s="47"/>
      <c r="BC124" s="47"/>
      <c r="BD124" s="47"/>
      <c r="BE124" s="47"/>
      <c r="BF124" s="47"/>
      <c r="BG124" s="47"/>
      <c r="BH124" s="47"/>
      <c r="BI124" s="47"/>
      <c r="BJ124" s="47"/>
      <c r="BK124" s="47"/>
      <c r="BL124" s="47"/>
      <c r="BM124" s="47"/>
      <c r="BN124" s="47"/>
      <c r="BO124" s="47"/>
      <c r="BP124" s="47"/>
      <c r="BQ124" s="47"/>
      <c r="BR124" s="47"/>
      <c r="BS124" s="47"/>
      <c r="BT124" s="47"/>
      <c r="BU124" s="47"/>
      <c r="BV124" s="47"/>
      <c r="BW124" s="47"/>
      <c r="BX124" s="47"/>
      <c r="BY124" s="47"/>
      <c r="BZ124" s="47"/>
    </row>
    <row r="125" spans="1:78" ht="13">
      <c r="A125" s="152" t="str">
        <f ca="1">IFERROR(__xludf.DUMMYFUNCTION("""COMPUTED_VALUE"""),"Cutting Tool")</f>
        <v>Cutting Tool</v>
      </c>
      <c r="B125" s="47" t="str">
        <f ca="1">IFERROR(__xludf.DUMMYFUNCTION("TRANSPOSE(unique(filter(Recipes!A$2:A2490,(Recipes!L$2:L2490=A125)+(Recipes!O$2:O2490=A125)+(Recipes!R$2:R2490=A125)+(Recipes!U$2:U2490=A125)+(Recipes!X$2:X2490=A125))))"),"Leather Scraps")</f>
        <v>Leather Scraps</v>
      </c>
      <c r="C125" s="47" t="str">
        <f ca="1">IFERROR(__xludf.DUMMYFUNCTION("""COMPUTED_VALUE"""),"Arrow Shaft")</f>
        <v>Arrow Shaft</v>
      </c>
      <c r="D125" s="47" t="str">
        <f ca="1">IFERROR(__xludf.DUMMYFUNCTION("""COMPUTED_VALUE"""),"Arrowhead")</f>
        <v>Arrowhead</v>
      </c>
      <c r="E125" s="47" t="str">
        <f ca="1">IFERROR(__xludf.DUMMYFUNCTION("""COMPUTED_VALUE"""),"Knockdown Arrowhead")</f>
        <v>Knockdown Arrowhead</v>
      </c>
      <c r="F125" s="47" t="str">
        <f ca="1">IFERROR(__xludf.DUMMYFUNCTION("""COMPUTED_VALUE"""),"Shocking Arrowhead")</f>
        <v>Shocking Arrowhead</v>
      </c>
      <c r="G125" s="47" t="str">
        <f ca="1">IFERROR(__xludf.DUMMYFUNCTION("""COMPUTED_VALUE"""),"Cloth Scraps")</f>
        <v>Cloth Scraps</v>
      </c>
      <c r="H125" s="47" t="str">
        <f ca="1">IFERROR(__xludf.DUMMYFUNCTION("""COMPUTED_VALUE"""),"Feather")</f>
        <v>Feather</v>
      </c>
      <c r="I125" s="47" t="str">
        <f ca="1">IFERROR(__xludf.DUMMYFUNCTION("""COMPUTED_VALUE"""),"Long Branch")</f>
        <v>Long Branch</v>
      </c>
      <c r="J125" s="47" t="str">
        <f ca="1">IFERROR(__xludf.DUMMYFUNCTION("""COMPUTED_VALUE"""),"Short Stick")</f>
        <v>Short Stick</v>
      </c>
      <c r="K125" s="47"/>
      <c r="L125" s="47"/>
      <c r="M125" s="47"/>
      <c r="N125" s="47"/>
      <c r="O125" s="47"/>
      <c r="P125" s="47"/>
      <c r="Q125" s="47"/>
      <c r="R125" s="47"/>
      <c r="S125" s="47"/>
      <c r="T125" s="47"/>
      <c r="U125" s="47"/>
      <c r="V125" s="47"/>
      <c r="W125" s="47"/>
      <c r="X125" s="47"/>
      <c r="Y125" s="47"/>
      <c r="Z125" s="47"/>
      <c r="AA125" s="47"/>
      <c r="AB125" s="47"/>
      <c r="AC125" s="47"/>
      <c r="AD125" s="47"/>
      <c r="AE125" s="47"/>
      <c r="AF125" s="47"/>
      <c r="AG125" s="47"/>
      <c r="AH125" s="47"/>
      <c r="AI125" s="47"/>
      <c r="AJ125" s="47"/>
      <c r="AK125" s="47"/>
      <c r="AL125" s="47"/>
      <c r="AM125" s="47"/>
      <c r="AN125" s="47"/>
      <c r="AO125" s="47"/>
      <c r="AP125" s="47"/>
      <c r="AQ125" s="47"/>
      <c r="AR125" s="47"/>
      <c r="AS125" s="47"/>
      <c r="AT125" s="47"/>
      <c r="AU125" s="47"/>
      <c r="AV125" s="47"/>
      <c r="AW125" s="47"/>
      <c r="AX125" s="47"/>
      <c r="AY125" s="47"/>
      <c r="AZ125" s="47"/>
      <c r="BA125" s="47"/>
      <c r="BB125" s="47"/>
      <c r="BC125" s="47"/>
      <c r="BD125" s="47"/>
      <c r="BE125" s="47"/>
      <c r="BF125" s="47"/>
      <c r="BG125" s="47"/>
      <c r="BH125" s="47"/>
      <c r="BI125" s="47"/>
      <c r="BJ125" s="47"/>
      <c r="BK125" s="47"/>
      <c r="BL125" s="47"/>
      <c r="BM125" s="47"/>
      <c r="BN125" s="47"/>
      <c r="BO125" s="47"/>
      <c r="BP125" s="47"/>
      <c r="BQ125" s="47"/>
      <c r="BR125" s="47"/>
      <c r="BS125" s="47"/>
      <c r="BT125" s="47"/>
      <c r="BU125" s="47"/>
      <c r="BV125" s="47"/>
      <c r="BW125" s="47"/>
      <c r="BX125" s="47"/>
      <c r="BY125" s="47"/>
      <c r="BZ125" s="47"/>
    </row>
    <row r="126" spans="1:78" ht="13">
      <c r="A126" s="152" t="str">
        <f ca="1">IFERROR(__xludf.DUMMYFUNCTION("""COMPUTED_VALUE"""),"Dagger")</f>
        <v>Dagger</v>
      </c>
      <c r="B126" s="47" t="str">
        <f ca="1">IFERROR(__xludf.DUMMYFUNCTION("TRANSPOSE(unique(filter(Recipes!A$2:A2490,(Recipes!L$2:L2490=A126)+(Recipes!O$2:O2490=A126)+(Recipes!R$2:R2490=A126)+(Recipes!U$2:U2490=A126)+(Recipes!X$2:X2490=A126))))"),"Cold Fries")</f>
        <v>Cold Fries</v>
      </c>
      <c r="C126" s="47" t="str">
        <f ca="1">IFERROR(__xludf.DUMMYFUNCTION("""COMPUTED_VALUE"""),"Knife on a Stick")</f>
        <v>Knife on a Stick</v>
      </c>
      <c r="D126" s="47" t="str">
        <f ca="1">IFERROR(__xludf.DUMMYFUNCTION("""COMPUTED_VALUE"""),"Primitive Harpoon")</f>
        <v>Primitive Harpoon</v>
      </c>
      <c r="E126" s="47"/>
      <c r="F126" s="47"/>
      <c r="G126" s="47"/>
      <c r="H126" s="47"/>
      <c r="I126" s="47"/>
      <c r="J126" s="47"/>
      <c r="K126" s="47"/>
      <c r="L126" s="47"/>
      <c r="M126" s="47"/>
      <c r="N126" s="47"/>
      <c r="O126" s="47"/>
      <c r="P126" s="47"/>
      <c r="Q126" s="47"/>
      <c r="R126" s="47"/>
      <c r="S126" s="47"/>
      <c r="T126" s="47"/>
      <c r="U126" s="47"/>
      <c r="V126" s="47"/>
      <c r="W126" s="47"/>
      <c r="X126" s="47"/>
      <c r="Y126" s="47"/>
      <c r="Z126" s="47"/>
      <c r="AA126" s="47"/>
      <c r="AB126" s="47"/>
      <c r="AC126" s="47"/>
      <c r="AD126" s="47"/>
      <c r="AE126" s="47"/>
      <c r="AF126" s="47"/>
      <c r="AG126" s="47"/>
      <c r="AH126" s="47"/>
      <c r="AI126" s="47"/>
      <c r="AJ126" s="47"/>
      <c r="AK126" s="47"/>
      <c r="AL126" s="47"/>
      <c r="AM126" s="47"/>
      <c r="AN126" s="47"/>
      <c r="AO126" s="47"/>
      <c r="AP126" s="47"/>
      <c r="AQ126" s="47"/>
      <c r="AR126" s="47"/>
      <c r="AS126" s="47"/>
      <c r="AT126" s="47"/>
      <c r="AU126" s="47"/>
      <c r="AV126" s="47"/>
      <c r="AW126" s="47"/>
      <c r="AX126" s="47"/>
      <c r="AY126" s="47"/>
      <c r="AZ126" s="47"/>
      <c r="BA126" s="47"/>
      <c r="BB126" s="47"/>
      <c r="BC126" s="47"/>
      <c r="BD126" s="47"/>
      <c r="BE126" s="47"/>
      <c r="BF126" s="47"/>
      <c r="BG126" s="47"/>
      <c r="BH126" s="47"/>
      <c r="BI126" s="47"/>
      <c r="BJ126" s="47"/>
      <c r="BK126" s="47"/>
      <c r="BL126" s="47"/>
      <c r="BM126" s="47"/>
      <c r="BN126" s="47"/>
      <c r="BO126" s="47"/>
      <c r="BP126" s="47"/>
      <c r="BQ126" s="47"/>
      <c r="BR126" s="47"/>
      <c r="BS126" s="47"/>
      <c r="BT126" s="47"/>
      <c r="BU126" s="47"/>
      <c r="BV126" s="47"/>
      <c r="BW126" s="47"/>
      <c r="BX126" s="47"/>
      <c r="BY126" s="47"/>
      <c r="BZ126" s="47"/>
    </row>
    <row r="127" spans="1:78" ht="13">
      <c r="A127" s="152" t="str">
        <f ca="1">IFERROR(__xludf.DUMMYFUNCTION("""COMPUTED_VALUE"""),"Dazing Bolt Scroll")</f>
        <v>Dazing Bolt Scroll</v>
      </c>
      <c r="B127" s="47" t="str">
        <f ca="1">IFERROR(__xludf.DUMMYFUNCTION("TRANSPOSE(unique(filter(Recipes!A$2:A2490,(Recipes!L$2:L2490=A127)+(Recipes!O$2:O2490=A127)+(Recipes!R$2:R2490=A127)+(Recipes!U$2:U2490=A127)+(Recipes!X$2:X2490=A127))))"),"Dazing Bolt Skillbook")</f>
        <v>Dazing Bolt Skillbook</v>
      </c>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c r="AA127" s="47"/>
      <c r="AB127" s="47"/>
      <c r="AC127" s="47"/>
      <c r="AD127" s="47"/>
      <c r="AE127" s="47"/>
      <c r="AF127" s="47"/>
      <c r="AG127" s="47"/>
      <c r="AH127" s="47"/>
      <c r="AI127" s="47"/>
      <c r="AJ127" s="47"/>
      <c r="AK127" s="47"/>
      <c r="AL127" s="47"/>
      <c r="AM127" s="47"/>
      <c r="AN127" s="47"/>
      <c r="AO127" s="47"/>
      <c r="AP127" s="47"/>
      <c r="AQ127" s="47"/>
      <c r="AR127" s="47"/>
      <c r="AS127" s="47"/>
      <c r="AT127" s="47"/>
      <c r="AU127" s="47"/>
      <c r="AV127" s="47"/>
      <c r="AW127" s="47"/>
      <c r="AX127" s="47"/>
      <c r="AY127" s="47"/>
      <c r="AZ127" s="47"/>
      <c r="BA127" s="47"/>
      <c r="BB127" s="47"/>
      <c r="BC127" s="47"/>
      <c r="BD127" s="47"/>
      <c r="BE127" s="47"/>
      <c r="BF127" s="47"/>
      <c r="BG127" s="47"/>
      <c r="BH127" s="47"/>
      <c r="BI127" s="47"/>
      <c r="BJ127" s="47"/>
      <c r="BK127" s="47"/>
      <c r="BL127" s="47"/>
      <c r="BM127" s="47"/>
      <c r="BN127" s="47"/>
      <c r="BO127" s="47"/>
      <c r="BP127" s="47"/>
      <c r="BQ127" s="47"/>
      <c r="BR127" s="47"/>
      <c r="BS127" s="47"/>
      <c r="BT127" s="47"/>
      <c r="BU127" s="47"/>
      <c r="BV127" s="47"/>
      <c r="BW127" s="47"/>
      <c r="BX127" s="47"/>
      <c r="BY127" s="47"/>
      <c r="BZ127" s="47"/>
    </row>
    <row r="128" spans="1:78" ht="13">
      <c r="A128" s="152" t="str">
        <f ca="1">IFERROR(__xludf.DUMMYFUNCTION("""COMPUTED_VALUE"""),"Death Wish Scroll")</f>
        <v>Death Wish Scroll</v>
      </c>
      <c r="B128" s="47" t="str">
        <f ca="1">IFERROR(__xludf.DUMMYFUNCTION("TRANSPOSE(unique(filter(Recipes!A$2:A2490,(Recipes!L$2:L2490=A128)+(Recipes!O$2:O2490=A128)+(Recipes!R$2:R2490=A128)+(Recipes!U$2:U2490=A128)+(Recipes!X$2:X2490=A128))))"),"Death Wish Skillbook")</f>
        <v>Death Wish Skillbook</v>
      </c>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c r="AA128" s="47"/>
      <c r="AB128" s="47"/>
      <c r="AC128" s="47"/>
      <c r="AD128" s="47"/>
      <c r="AE128" s="47"/>
      <c r="AF128" s="47"/>
      <c r="AG128" s="47"/>
      <c r="AH128" s="47"/>
      <c r="AI128" s="47"/>
      <c r="AJ128" s="47"/>
      <c r="AK128" s="47"/>
      <c r="AL128" s="47"/>
      <c r="AM128" s="47"/>
      <c r="AN128" s="47"/>
      <c r="AO128" s="47"/>
      <c r="AP128" s="47"/>
      <c r="AQ128" s="47"/>
      <c r="AR128" s="47"/>
      <c r="AS128" s="47"/>
      <c r="AT128" s="47"/>
      <c r="AU128" s="47"/>
      <c r="AV128" s="47"/>
      <c r="AW128" s="47"/>
      <c r="AX128" s="47"/>
      <c r="AY128" s="47"/>
      <c r="AZ128" s="47"/>
      <c r="BA128" s="47"/>
      <c r="BB128" s="47"/>
      <c r="BC128" s="47"/>
      <c r="BD128" s="47"/>
      <c r="BE128" s="47"/>
      <c r="BF128" s="47"/>
      <c r="BG128" s="47"/>
      <c r="BH128" s="47"/>
      <c r="BI128" s="47"/>
      <c r="BJ128" s="47"/>
      <c r="BK128" s="47"/>
      <c r="BL128" s="47"/>
      <c r="BM128" s="47"/>
      <c r="BN128" s="47"/>
      <c r="BO128" s="47"/>
      <c r="BP128" s="47"/>
      <c r="BQ128" s="47"/>
      <c r="BR128" s="47"/>
      <c r="BS128" s="47"/>
      <c r="BT128" s="47"/>
      <c r="BU128" s="47"/>
      <c r="BV128" s="47"/>
      <c r="BW128" s="47"/>
      <c r="BX128" s="47"/>
      <c r="BY128" s="47"/>
      <c r="BZ128" s="47"/>
    </row>
    <row r="129" spans="1:78" ht="13">
      <c r="A129" s="152" t="str">
        <f ca="1">IFERROR(__xludf.DUMMYFUNCTION("""COMPUTED_VALUE"""),"Decaying Touch Scroll")</f>
        <v>Decaying Touch Scroll</v>
      </c>
      <c r="B129" s="47" t="str">
        <f ca="1">IFERROR(__xludf.DUMMYFUNCTION("TRANSPOSE(unique(filter(Recipes!A$2:A2490,(Recipes!L$2:L2490=A129)+(Recipes!O$2:O2490=A129)+(Recipes!R$2:R2490=A129)+(Recipes!U$2:U2490=A129)+(Recipes!X$2:X2490=A129))))"),"Decaying Touch Skillbook")</f>
        <v>Decaying Touch Skillbook</v>
      </c>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c r="AA129" s="47"/>
      <c r="AB129" s="47"/>
      <c r="AC129" s="47"/>
      <c r="AD129" s="47"/>
      <c r="AE129" s="47"/>
      <c r="AF129" s="47"/>
      <c r="AG129" s="47"/>
      <c r="AH129" s="47"/>
      <c r="AI129" s="47"/>
      <c r="AJ129" s="47"/>
      <c r="AK129" s="47"/>
      <c r="AL129" s="47"/>
      <c r="AM129" s="47"/>
      <c r="AN129" s="47"/>
      <c r="AO129" s="47"/>
      <c r="AP129" s="47"/>
      <c r="AQ129" s="47"/>
      <c r="AR129" s="47"/>
      <c r="AS129" s="47"/>
      <c r="AT129" s="47"/>
      <c r="AU129" s="47"/>
      <c r="AV129" s="47"/>
      <c r="AW129" s="47"/>
      <c r="AX129" s="47"/>
      <c r="AY129" s="47"/>
      <c r="AZ129" s="47"/>
      <c r="BA129" s="47"/>
      <c r="BB129" s="47"/>
      <c r="BC129" s="47"/>
      <c r="BD129" s="47"/>
      <c r="BE129" s="47"/>
      <c r="BF129" s="47"/>
      <c r="BG129" s="47"/>
      <c r="BH129" s="47"/>
      <c r="BI129" s="47"/>
      <c r="BJ129" s="47"/>
      <c r="BK129" s="47"/>
      <c r="BL129" s="47"/>
      <c r="BM129" s="47"/>
      <c r="BN129" s="47"/>
      <c r="BO129" s="47"/>
      <c r="BP129" s="47"/>
      <c r="BQ129" s="47"/>
      <c r="BR129" s="47"/>
      <c r="BS129" s="47"/>
      <c r="BT129" s="47"/>
      <c r="BU129" s="47"/>
      <c r="BV129" s="47"/>
      <c r="BW129" s="47"/>
      <c r="BX129" s="47"/>
      <c r="BY129" s="47"/>
      <c r="BZ129" s="47"/>
    </row>
    <row r="130" spans="1:78" ht="13">
      <c r="A130" s="152" t="str">
        <f ca="1">IFERROR(__xludf.DUMMYFUNCTION("""COMPUTED_VALUE"""),"Deep Freeze Scroll")</f>
        <v>Deep Freeze Scroll</v>
      </c>
      <c r="B130" s="47" t="str">
        <f ca="1">IFERROR(__xludf.DUMMYFUNCTION("TRANSPOSE(unique(filter(Recipes!A$2:A2490,(Recipes!L$2:L2490=A130)+(Recipes!O$2:O2490=A130)+(Recipes!R$2:R2490=A130)+(Recipes!U$2:U2490=A130)+(Recipes!X$2:X2490=A130))))"),"Deep Freeze Skillbook")</f>
        <v>Deep Freeze Skillbook</v>
      </c>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c r="AA130" s="47"/>
      <c r="AB130" s="47"/>
      <c r="AC130" s="47"/>
      <c r="AD130" s="47"/>
      <c r="AE130" s="47"/>
      <c r="AF130" s="47"/>
      <c r="AG130" s="47"/>
      <c r="AH130" s="47"/>
      <c r="AI130" s="47"/>
      <c r="AJ130" s="47"/>
      <c r="AK130" s="47"/>
      <c r="AL130" s="47"/>
      <c r="AM130" s="47"/>
      <c r="AN130" s="47"/>
      <c r="AO130" s="47"/>
      <c r="AP130" s="47"/>
      <c r="AQ130" s="47"/>
      <c r="AR130" s="47"/>
      <c r="AS130" s="47"/>
      <c r="AT130" s="47"/>
      <c r="AU130" s="47"/>
      <c r="AV130" s="47"/>
      <c r="AW130" s="47"/>
      <c r="AX130" s="47"/>
      <c r="AY130" s="47"/>
      <c r="AZ130" s="47"/>
      <c r="BA130" s="47"/>
      <c r="BB130" s="47"/>
      <c r="BC130" s="47"/>
      <c r="BD130" s="47"/>
      <c r="BE130" s="47"/>
      <c r="BF130" s="47"/>
      <c r="BG130" s="47"/>
      <c r="BH130" s="47"/>
      <c r="BI130" s="47"/>
      <c r="BJ130" s="47"/>
      <c r="BK130" s="47"/>
      <c r="BL130" s="47"/>
      <c r="BM130" s="47"/>
      <c r="BN130" s="47"/>
      <c r="BO130" s="47"/>
      <c r="BP130" s="47"/>
      <c r="BQ130" s="47"/>
      <c r="BR130" s="47"/>
      <c r="BS130" s="47"/>
      <c r="BT130" s="47"/>
      <c r="BU130" s="47"/>
      <c r="BV130" s="47"/>
      <c r="BW130" s="47"/>
      <c r="BX130" s="47"/>
      <c r="BY130" s="47"/>
      <c r="BZ130" s="47"/>
    </row>
    <row r="131" spans="1:78" ht="13">
      <c r="A131" s="152" t="str">
        <f ca="1">IFERROR(__xludf.DUMMYFUNCTION("""COMPUTED_VALUE"""),"Dimensional Bolt Scroll")</f>
        <v>Dimensional Bolt Scroll</v>
      </c>
      <c r="B131" s="47" t="str">
        <f ca="1">IFERROR(__xludf.DUMMYFUNCTION("TRANSPOSE(unique(filter(Recipes!A$2:A2490,(Recipes!L$2:L2490=A131)+(Recipes!O$2:O2490=A131)+(Recipes!R$2:R2490=A131)+(Recipes!U$2:U2490=A131)+(Recipes!X$2:X2490=A131))))"),"Dimensional Bolt Skillbook")</f>
        <v>Dimensional Bolt Skillbook</v>
      </c>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c r="AA131" s="47"/>
      <c r="AB131" s="47"/>
      <c r="AC131" s="47"/>
      <c r="AD131" s="47"/>
      <c r="AE131" s="47"/>
      <c r="AF131" s="47"/>
      <c r="AG131" s="47"/>
      <c r="AH131" s="47"/>
      <c r="AI131" s="47"/>
      <c r="AJ131" s="47"/>
      <c r="AK131" s="47"/>
      <c r="AL131" s="47"/>
      <c r="AM131" s="47"/>
      <c r="AN131" s="47"/>
      <c r="AO131" s="47"/>
      <c r="AP131" s="47"/>
      <c r="AQ131" s="47"/>
      <c r="AR131" s="47"/>
      <c r="AS131" s="47"/>
      <c r="AT131" s="47"/>
      <c r="AU131" s="47"/>
      <c r="AV131" s="47"/>
      <c r="AW131" s="47"/>
      <c r="AX131" s="47"/>
      <c r="AY131" s="47"/>
      <c r="AZ131" s="47"/>
      <c r="BA131" s="47"/>
      <c r="BB131" s="47"/>
      <c r="BC131" s="47"/>
      <c r="BD131" s="47"/>
      <c r="BE131" s="47"/>
      <c r="BF131" s="47"/>
      <c r="BG131" s="47"/>
      <c r="BH131" s="47"/>
      <c r="BI131" s="47"/>
      <c r="BJ131" s="47"/>
      <c r="BK131" s="47"/>
      <c r="BL131" s="47"/>
      <c r="BM131" s="47"/>
      <c r="BN131" s="47"/>
      <c r="BO131" s="47"/>
      <c r="BP131" s="47"/>
      <c r="BQ131" s="47"/>
      <c r="BR131" s="47"/>
      <c r="BS131" s="47"/>
      <c r="BT131" s="47"/>
      <c r="BU131" s="47"/>
      <c r="BV131" s="47"/>
      <c r="BW131" s="47"/>
      <c r="BX131" s="47"/>
      <c r="BY131" s="47"/>
      <c r="BZ131" s="47"/>
    </row>
    <row r="132" spans="1:78" ht="13">
      <c r="A132" s="152" t="str">
        <f ca="1">IFERROR(__xludf.DUMMYFUNCTION("""COMPUTED_VALUE"""),"Dinner")</f>
        <v>Dinner</v>
      </c>
      <c r="B132" s="47" t="str">
        <f ca="1">IFERROR(__xludf.DUMMYFUNCTION("TRANSPOSE(unique(filter(Recipes!A$2:A2490,(Recipes!L$2:L2490=A132)+(Recipes!O$2:O2490=A132)+(Recipes!R$2:R2490=A132)+(Recipes!U$2:U2490=A132)+(Recipes!X$2:X2490=A132))))"),"Dwarven Stew")</f>
        <v>Dwarven Stew</v>
      </c>
      <c r="C132" s="47" t="str">
        <f ca="1">IFERROR(__xludf.DUMMYFUNCTION("""COMPUTED_VALUE"""),"Elven Stew")</f>
        <v>Elven Stew</v>
      </c>
      <c r="D132" s="47"/>
      <c r="E132" s="47"/>
      <c r="F132" s="47"/>
      <c r="G132" s="47"/>
      <c r="H132" s="47"/>
      <c r="I132" s="47"/>
      <c r="J132" s="47"/>
      <c r="K132" s="47"/>
      <c r="L132" s="47"/>
      <c r="M132" s="47"/>
      <c r="N132" s="47"/>
      <c r="O132" s="47"/>
      <c r="P132" s="47"/>
      <c r="Q132" s="47"/>
      <c r="R132" s="47"/>
      <c r="S132" s="47"/>
      <c r="T132" s="47"/>
      <c r="U132" s="47"/>
      <c r="V132" s="47"/>
      <c r="W132" s="47"/>
      <c r="X132" s="47"/>
      <c r="Y132" s="47"/>
      <c r="Z132" s="47"/>
      <c r="AA132" s="47"/>
      <c r="AB132" s="47"/>
      <c r="AC132" s="47"/>
      <c r="AD132" s="47"/>
      <c r="AE132" s="47"/>
      <c r="AF132" s="47"/>
      <c r="AG132" s="47"/>
      <c r="AH132" s="47"/>
      <c r="AI132" s="47"/>
      <c r="AJ132" s="47"/>
      <c r="AK132" s="47"/>
      <c r="AL132" s="47"/>
      <c r="AM132" s="47"/>
      <c r="AN132" s="47"/>
      <c r="AO132" s="47"/>
      <c r="AP132" s="47"/>
      <c r="AQ132" s="47"/>
      <c r="AR132" s="47"/>
      <c r="AS132" s="47"/>
      <c r="AT132" s="47"/>
      <c r="AU132" s="47"/>
      <c r="AV132" s="47"/>
      <c r="AW132" s="47"/>
      <c r="AX132" s="47"/>
      <c r="AY132" s="47"/>
      <c r="AZ132" s="47"/>
      <c r="BA132" s="47"/>
      <c r="BB132" s="47"/>
      <c r="BC132" s="47"/>
      <c r="BD132" s="47"/>
      <c r="BE132" s="47"/>
      <c r="BF132" s="47"/>
      <c r="BG132" s="47"/>
      <c r="BH132" s="47"/>
      <c r="BI132" s="47"/>
      <c r="BJ132" s="47"/>
      <c r="BK132" s="47"/>
      <c r="BL132" s="47"/>
      <c r="BM132" s="47"/>
      <c r="BN132" s="47"/>
      <c r="BO132" s="47"/>
      <c r="BP132" s="47"/>
      <c r="BQ132" s="47"/>
      <c r="BR132" s="47"/>
      <c r="BS132" s="47"/>
      <c r="BT132" s="47"/>
      <c r="BU132" s="47"/>
      <c r="BV132" s="47"/>
      <c r="BW132" s="47"/>
      <c r="BX132" s="47"/>
      <c r="BY132" s="47"/>
      <c r="BZ132" s="47"/>
    </row>
    <row r="133" spans="1:78" ht="13">
      <c r="A133" s="152" t="str">
        <f ca="1">IFERROR(__xludf.DUMMYFUNCTION("""COMPUTED_VALUE"""),"Dirty Socks")</f>
        <v>Dirty Socks</v>
      </c>
      <c r="B133" s="47" t="str">
        <f ca="1">IFERROR(__xludf.DUMMYFUNCTION("TRANSPOSE(unique(filter(Recipes!A$2:A2490,(Recipes!L$2:L2490=A133)+(Recipes!O$2:O2490=A133)+(Recipes!R$2:R2490=A133)+(Recipes!U$2:U2490=A133)+(Recipes!X$2:X2490=A133))))"),"Living on the Edge Scroll")</f>
        <v>Living on the Edge Scroll</v>
      </c>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c r="AA133" s="47"/>
      <c r="AB133" s="47"/>
      <c r="AC133" s="47"/>
      <c r="AD133" s="47"/>
      <c r="AE133" s="47"/>
      <c r="AF133" s="47"/>
      <c r="AG133" s="47"/>
      <c r="AH133" s="47"/>
      <c r="AI133" s="47"/>
      <c r="AJ133" s="47"/>
      <c r="AK133" s="47"/>
      <c r="AL133" s="47"/>
      <c r="AM133" s="47"/>
      <c r="AN133" s="47"/>
      <c r="AO133" s="47"/>
      <c r="AP133" s="47"/>
      <c r="AQ133" s="47"/>
      <c r="AR133" s="47"/>
      <c r="AS133" s="47"/>
      <c r="AT133" s="47"/>
      <c r="AU133" s="47"/>
      <c r="AV133" s="47"/>
      <c r="AW133" s="47"/>
      <c r="AX133" s="47"/>
      <c r="AY133" s="47"/>
      <c r="AZ133" s="47"/>
      <c r="BA133" s="47"/>
      <c r="BB133" s="47"/>
      <c r="BC133" s="47"/>
      <c r="BD133" s="47"/>
      <c r="BE133" s="47"/>
      <c r="BF133" s="47"/>
      <c r="BG133" s="47"/>
      <c r="BH133" s="47"/>
      <c r="BI133" s="47"/>
      <c r="BJ133" s="47"/>
      <c r="BK133" s="47"/>
      <c r="BL133" s="47"/>
      <c r="BM133" s="47"/>
      <c r="BN133" s="47"/>
      <c r="BO133" s="47"/>
      <c r="BP133" s="47"/>
      <c r="BQ133" s="47"/>
      <c r="BR133" s="47"/>
      <c r="BS133" s="47"/>
      <c r="BT133" s="47"/>
      <c r="BU133" s="47"/>
      <c r="BV133" s="47"/>
      <c r="BW133" s="47"/>
      <c r="BX133" s="47"/>
      <c r="BY133" s="47"/>
      <c r="BZ133" s="47"/>
    </row>
    <row r="134" spans="1:78" ht="13">
      <c r="A134" s="152" t="str">
        <f ca="1">IFERROR(__xludf.DUMMYFUNCTION("""COMPUTED_VALUE"""),"Disembodied Hand")</f>
        <v>Disembodied Hand</v>
      </c>
      <c r="B134" s="47" t="str">
        <f ca="1">IFERROR(__xludf.DUMMYFUNCTION("TRANSPOSE(unique(filter(Recipes!A$2:A2490,(Recipes!L$2:L2490=A134)+(Recipes!O$2:O2490=A134)+(Recipes!R$2:R2490=A134)+(Recipes!U$2:U2490=A134)+(Recipes!X$2:X2490=A134))))"),"Grasp of the Starved Scroll")</f>
        <v>Grasp of the Starved Scroll</v>
      </c>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c r="AA134" s="47"/>
      <c r="AB134" s="47"/>
      <c r="AC134" s="47"/>
      <c r="AD134" s="47"/>
      <c r="AE134" s="47"/>
      <c r="AF134" s="47"/>
      <c r="AG134" s="47"/>
      <c r="AH134" s="47"/>
      <c r="AI134" s="47"/>
      <c r="AJ134" s="47"/>
      <c r="AK134" s="47"/>
      <c r="AL134" s="47"/>
      <c r="AM134" s="47"/>
      <c r="AN134" s="47"/>
      <c r="AO134" s="47"/>
      <c r="AP134" s="47"/>
      <c r="AQ134" s="47"/>
      <c r="AR134" s="47"/>
      <c r="AS134" s="47"/>
      <c r="AT134" s="47"/>
      <c r="AU134" s="47"/>
      <c r="AV134" s="47"/>
      <c r="AW134" s="47"/>
      <c r="AX134" s="47"/>
      <c r="AY134" s="47"/>
      <c r="AZ134" s="47"/>
      <c r="BA134" s="47"/>
      <c r="BB134" s="47"/>
      <c r="BC134" s="47"/>
      <c r="BD134" s="47"/>
      <c r="BE134" s="47"/>
      <c r="BF134" s="47"/>
      <c r="BG134" s="47"/>
      <c r="BH134" s="47"/>
      <c r="BI134" s="47"/>
      <c r="BJ134" s="47"/>
      <c r="BK134" s="47"/>
      <c r="BL134" s="47"/>
      <c r="BM134" s="47"/>
      <c r="BN134" s="47"/>
      <c r="BO134" s="47"/>
      <c r="BP134" s="47"/>
      <c r="BQ134" s="47"/>
      <c r="BR134" s="47"/>
      <c r="BS134" s="47"/>
      <c r="BT134" s="47"/>
      <c r="BU134" s="47"/>
      <c r="BV134" s="47"/>
      <c r="BW134" s="47"/>
      <c r="BX134" s="47"/>
      <c r="BY134" s="47"/>
      <c r="BZ134" s="47"/>
    </row>
    <row r="135" spans="1:78" ht="13">
      <c r="A135" s="152" t="str">
        <f ca="1">IFERROR(__xludf.DUMMYFUNCTION("""COMPUTED_VALUE"""),"Door to Eternity Scroll")</f>
        <v>Door to Eternity Scroll</v>
      </c>
      <c r="B135" s="47" t="str">
        <f ca="1">IFERROR(__xludf.DUMMYFUNCTION("TRANSPOSE(unique(filter(Recipes!A$2:A2490,(Recipes!L$2:L2490=A135)+(Recipes!O$2:O2490=A135)+(Recipes!R$2:R2490=A135)+(Recipes!U$2:U2490=A135)+(Recipes!X$2:X2490=A135))))"),"Door to Eternity Skillbook")</f>
        <v>Door to Eternity Skillbook</v>
      </c>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c r="AC135" s="47"/>
      <c r="AD135" s="47"/>
      <c r="AE135" s="47"/>
      <c r="AF135" s="47"/>
      <c r="AG135" s="47"/>
      <c r="AH135" s="47"/>
      <c r="AI135" s="47"/>
      <c r="AJ135" s="47"/>
      <c r="AK135" s="47"/>
      <c r="AL135" s="47"/>
      <c r="AM135" s="47"/>
      <c r="AN135" s="47"/>
      <c r="AO135" s="47"/>
      <c r="AP135" s="47"/>
      <c r="AQ135" s="47"/>
      <c r="AR135" s="47"/>
      <c r="AS135" s="47"/>
      <c r="AT135" s="47"/>
      <c r="AU135" s="47"/>
      <c r="AV135" s="47"/>
      <c r="AW135" s="47"/>
      <c r="AX135" s="47"/>
      <c r="AY135" s="47"/>
      <c r="AZ135" s="47"/>
      <c r="BA135" s="47"/>
      <c r="BB135" s="47"/>
      <c r="BC135" s="47"/>
      <c r="BD135" s="47"/>
      <c r="BE135" s="47"/>
      <c r="BF135" s="47"/>
      <c r="BG135" s="47"/>
      <c r="BH135" s="47"/>
      <c r="BI135" s="47"/>
      <c r="BJ135" s="47"/>
      <c r="BK135" s="47"/>
      <c r="BL135" s="47"/>
      <c r="BM135" s="47"/>
      <c r="BN135" s="47"/>
      <c r="BO135" s="47"/>
      <c r="BP135" s="47"/>
      <c r="BQ135" s="47"/>
      <c r="BR135" s="47"/>
      <c r="BS135" s="47"/>
      <c r="BT135" s="47"/>
      <c r="BU135" s="47"/>
      <c r="BV135" s="47"/>
      <c r="BW135" s="47"/>
      <c r="BX135" s="47"/>
      <c r="BY135" s="47"/>
      <c r="BZ135" s="47"/>
    </row>
    <row r="136" spans="1:78" ht="13">
      <c r="A136" s="152" t="str">
        <f ca="1">IFERROR(__xludf.DUMMYFUNCTION("""COMPUTED_VALUE"""),"Dough")</f>
        <v>Dough</v>
      </c>
      <c r="B136" s="47" t="str">
        <f ca="1">IFERROR(__xludf.DUMMYFUNCTION("TRANSPOSE(unique(filter(Recipes!A$2:A2490,(Recipes!L$2:L2490=A136)+(Recipes!O$2:O2490=A136)+(Recipes!R$2:R2490=A136)+(Recipes!U$2:U2490=A136)+(Recipes!X$2:X2490=A136))))"),"Bread")</f>
        <v>Bread</v>
      </c>
      <c r="C136" s="47" t="str">
        <f ca="1">IFERROR(__xludf.DUMMYFUNCTION("""COMPUTED_VALUE"""),"Apple Pie Dough")</f>
        <v>Apple Pie Dough</v>
      </c>
      <c r="D136" s="47" t="str">
        <f ca="1">IFERROR(__xludf.DUMMYFUNCTION("""COMPUTED_VALUE"""),"Cheese Bread Dough")</f>
        <v>Cheese Bread Dough</v>
      </c>
      <c r="E136" s="47" t="str">
        <f ca="1">IFERROR(__xludf.DUMMYFUNCTION("""COMPUTED_VALUE"""),"Fish Pie Dough")</f>
        <v>Fish Pie Dough</v>
      </c>
      <c r="F136" s="47" t="str">
        <f ca="1">IFERROR(__xludf.DUMMYFUNCTION("""COMPUTED_VALUE"""),"Pizza Dough")</f>
        <v>Pizza Dough</v>
      </c>
      <c r="G136" s="47"/>
      <c r="H136" s="47"/>
      <c r="I136" s="47"/>
      <c r="J136" s="47"/>
      <c r="K136" s="47"/>
      <c r="L136" s="47"/>
      <c r="M136" s="47"/>
      <c r="N136" s="47"/>
      <c r="O136" s="47"/>
      <c r="P136" s="47"/>
      <c r="Q136" s="47"/>
      <c r="R136" s="47"/>
      <c r="S136" s="47"/>
      <c r="T136" s="47"/>
      <c r="U136" s="47"/>
      <c r="V136" s="47"/>
      <c r="W136" s="47"/>
      <c r="X136" s="47"/>
      <c r="Y136" s="47"/>
      <c r="Z136" s="47"/>
      <c r="AA136" s="47"/>
      <c r="AB136" s="47"/>
      <c r="AC136" s="47"/>
      <c r="AD136" s="47"/>
      <c r="AE136" s="47"/>
      <c r="AF136" s="47"/>
      <c r="AG136" s="47"/>
      <c r="AH136" s="47"/>
      <c r="AI136" s="47"/>
      <c r="AJ136" s="47"/>
      <c r="AK136" s="47"/>
      <c r="AL136" s="47"/>
      <c r="AM136" s="47"/>
      <c r="AN136" s="47"/>
      <c r="AO136" s="47"/>
      <c r="AP136" s="47"/>
      <c r="AQ136" s="47"/>
      <c r="AR136" s="47"/>
      <c r="AS136" s="47"/>
      <c r="AT136" s="47"/>
      <c r="AU136" s="47"/>
      <c r="AV136" s="47"/>
      <c r="AW136" s="47"/>
      <c r="AX136" s="47"/>
      <c r="AY136" s="47"/>
      <c r="AZ136" s="47"/>
      <c r="BA136" s="47"/>
      <c r="BB136" s="47"/>
      <c r="BC136" s="47"/>
      <c r="BD136" s="47"/>
      <c r="BE136" s="47"/>
      <c r="BF136" s="47"/>
      <c r="BG136" s="47"/>
      <c r="BH136" s="47"/>
      <c r="BI136" s="47"/>
      <c r="BJ136" s="47"/>
      <c r="BK136" s="47"/>
      <c r="BL136" s="47"/>
      <c r="BM136" s="47"/>
      <c r="BN136" s="47"/>
      <c r="BO136" s="47"/>
      <c r="BP136" s="47"/>
      <c r="BQ136" s="47"/>
      <c r="BR136" s="47"/>
      <c r="BS136" s="47"/>
      <c r="BT136" s="47"/>
      <c r="BU136" s="47"/>
      <c r="BV136" s="47"/>
      <c r="BW136" s="47"/>
      <c r="BX136" s="47"/>
      <c r="BY136" s="47"/>
      <c r="BZ136" s="47"/>
    </row>
    <row r="137" spans="1:78" ht="13">
      <c r="A137" s="152" t="str">
        <f ca="1">IFERROR(__xludf.DUMMYFUNCTION("""COMPUTED_VALUE"""),"Dreamer Pipe")</f>
        <v>Dreamer Pipe</v>
      </c>
      <c r="B137" s="47" t="str">
        <f ca="1">IFERROR(__xludf.DUMMYFUNCTION("TRANSPOSE(unique(filter(Recipes!A$2:A2490,(Recipes!L$2:L2490=A137)+(Recipes!O$2:O2490=A137)+(Recipes!R$2:R2490=A137)+(Recipes!U$2:U2490=A137)+(Recipes!X$2:X2490=A137))))"),"[immediately applies effect]")</f>
        <v>[immediately applies effect]</v>
      </c>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c r="AA137" s="47"/>
      <c r="AB137" s="47"/>
      <c r="AC137" s="47"/>
      <c r="AD137" s="47"/>
      <c r="AE137" s="47"/>
      <c r="AF137" s="47"/>
      <c r="AG137" s="47"/>
      <c r="AH137" s="47"/>
      <c r="AI137" s="47"/>
      <c r="AJ137" s="47"/>
      <c r="AK137" s="47"/>
      <c r="AL137" s="47"/>
      <c r="AM137" s="47"/>
      <c r="AN137" s="47"/>
      <c r="AO137" s="47"/>
      <c r="AP137" s="47"/>
      <c r="AQ137" s="47"/>
      <c r="AR137" s="47"/>
      <c r="AS137" s="47"/>
      <c r="AT137" s="47"/>
      <c r="AU137" s="47"/>
      <c r="AV137" s="47"/>
      <c r="AW137" s="47"/>
      <c r="AX137" s="47"/>
      <c r="AY137" s="47"/>
      <c r="AZ137" s="47"/>
      <c r="BA137" s="47"/>
      <c r="BB137" s="47"/>
      <c r="BC137" s="47"/>
      <c r="BD137" s="47"/>
      <c r="BE137" s="47"/>
      <c r="BF137" s="47"/>
      <c r="BG137" s="47"/>
      <c r="BH137" s="47"/>
      <c r="BI137" s="47"/>
      <c r="BJ137" s="47"/>
      <c r="BK137" s="47"/>
      <c r="BL137" s="47"/>
      <c r="BM137" s="47"/>
      <c r="BN137" s="47"/>
      <c r="BO137" s="47"/>
      <c r="BP137" s="47"/>
      <c r="BQ137" s="47"/>
      <c r="BR137" s="47"/>
      <c r="BS137" s="47"/>
      <c r="BT137" s="47"/>
      <c r="BU137" s="47"/>
      <c r="BV137" s="47"/>
      <c r="BW137" s="47"/>
      <c r="BX137" s="47"/>
      <c r="BY137" s="47"/>
      <c r="BZ137" s="47"/>
    </row>
    <row r="138" spans="1:78" ht="13">
      <c r="A138" s="152" t="str">
        <f ca="1">IFERROR(__xludf.DUMMYFUNCTION("""COMPUTED_VALUE"""),"Drink")</f>
        <v>Drink</v>
      </c>
      <c r="B138" s="47" t="str">
        <f ca="1">IFERROR(__xludf.DUMMYFUNCTION("TRANSPOSE(unique(filter(Recipes!A$2:A2490,(Recipes!L$2:L2490=A138)+(Recipes!O$2:O2490=A138)+(Recipes!R$2:R2490=A138)+(Recipes!U$2:U2490=A138)+(Recipes!X$2:X2490=A138))))"),"Poisoned Drink")</f>
        <v>Poisoned Drink</v>
      </c>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c r="AA138" s="47"/>
      <c r="AB138" s="47"/>
      <c r="AC138" s="47"/>
      <c r="AD138" s="47"/>
      <c r="AE138" s="47"/>
      <c r="AF138" s="47"/>
      <c r="AG138" s="47"/>
      <c r="AH138" s="47"/>
      <c r="AI138" s="47"/>
      <c r="AJ138" s="47"/>
      <c r="AK138" s="47"/>
      <c r="AL138" s="47"/>
      <c r="AM138" s="47"/>
      <c r="AN138" s="47"/>
      <c r="AO138" s="47"/>
      <c r="AP138" s="47"/>
      <c r="AQ138" s="47"/>
      <c r="AR138" s="47"/>
      <c r="AS138" s="47"/>
      <c r="AT138" s="47"/>
      <c r="AU138" s="47"/>
      <c r="AV138" s="47"/>
      <c r="AW138" s="47"/>
      <c r="AX138" s="47"/>
      <c r="AY138" s="47"/>
      <c r="AZ138" s="47"/>
      <c r="BA138" s="47"/>
      <c r="BB138" s="47"/>
      <c r="BC138" s="47"/>
      <c r="BD138" s="47"/>
      <c r="BE138" s="47"/>
      <c r="BF138" s="47"/>
      <c r="BG138" s="47"/>
      <c r="BH138" s="47"/>
      <c r="BI138" s="47"/>
      <c r="BJ138" s="47"/>
      <c r="BK138" s="47"/>
      <c r="BL138" s="47"/>
      <c r="BM138" s="47"/>
      <c r="BN138" s="47"/>
      <c r="BO138" s="47"/>
      <c r="BP138" s="47"/>
      <c r="BQ138" s="47"/>
      <c r="BR138" s="47"/>
      <c r="BS138" s="47"/>
      <c r="BT138" s="47"/>
      <c r="BU138" s="47"/>
      <c r="BV138" s="47"/>
      <c r="BW138" s="47"/>
      <c r="BX138" s="47"/>
      <c r="BY138" s="47"/>
      <c r="BZ138" s="47"/>
    </row>
    <row r="139" spans="1:78" ht="13">
      <c r="A139" s="152" t="str">
        <f ca="1">IFERROR(__xludf.DUMMYFUNCTION("""COMPUTED_VALUE"""),"Drudanae")</f>
        <v>Drudanae</v>
      </c>
      <c r="B139" s="47" t="str">
        <f ca="1">IFERROR(__xludf.DUMMYFUNCTION("TRANSPOSE(unique(filter(Recipes!A$2:A2490,(Recipes!L$2:L2490=A139)+(Recipes!O$2:O2490=A139)+(Recipes!R$2:R2490=A139)+(Recipes!U$2:U2490=A139)+(Recipes!X$2:X2490=A139))))"),"Alertness Herbmix")</f>
        <v>Alertness Herbmix</v>
      </c>
      <c r="C139" s="47" t="str">
        <f ca="1">IFERROR(__xludf.DUMMYFUNCTION("""COMPUTED_VALUE"""),"Courage Herbmix")</f>
        <v>Courage Herbmix</v>
      </c>
      <c r="D139" s="47" t="str">
        <f ca="1">IFERROR(__xludf.DUMMYFUNCTION("""COMPUTED_VALUE"""),"Enlightenment Herbmix")</f>
        <v>Enlightenment Herbmix</v>
      </c>
      <c r="E139" s="47" t="str">
        <f ca="1">IFERROR(__xludf.DUMMYFUNCTION("""COMPUTED_VALUE"""),"Ferocity Herbmix")</f>
        <v>Ferocity Herbmix</v>
      </c>
      <c r="F139" s="47" t="str">
        <f ca="1">IFERROR(__xludf.DUMMYFUNCTION("""COMPUTED_VALUE"""),"[immediately applies effect]")</f>
        <v>[immediately applies effect]</v>
      </c>
      <c r="G139" s="47"/>
      <c r="H139" s="47"/>
      <c r="I139" s="47"/>
      <c r="J139" s="47"/>
      <c r="K139" s="47"/>
      <c r="L139" s="47"/>
      <c r="M139" s="47"/>
      <c r="N139" s="47"/>
      <c r="O139" s="47"/>
      <c r="P139" s="47"/>
      <c r="Q139" s="47"/>
      <c r="R139" s="47"/>
      <c r="S139" s="47"/>
      <c r="T139" s="47"/>
      <c r="U139" s="47"/>
      <c r="V139" s="47"/>
      <c r="W139" s="47"/>
      <c r="X139" s="47"/>
      <c r="Y139" s="47"/>
      <c r="Z139" s="47"/>
      <c r="AA139" s="47"/>
      <c r="AB139" s="47"/>
      <c r="AC139" s="47"/>
      <c r="AD139" s="47"/>
      <c r="AE139" s="47"/>
      <c r="AF139" s="47"/>
      <c r="AG139" s="47"/>
      <c r="AH139" s="47"/>
      <c r="AI139" s="47"/>
      <c r="AJ139" s="47"/>
      <c r="AK139" s="47"/>
      <c r="AL139" s="47"/>
      <c r="AM139" s="47"/>
      <c r="AN139" s="47"/>
      <c r="AO139" s="47"/>
      <c r="AP139" s="47"/>
      <c r="AQ139" s="47"/>
      <c r="AR139" s="47"/>
      <c r="AS139" s="47"/>
      <c r="AT139" s="47"/>
      <c r="AU139" s="47"/>
      <c r="AV139" s="47"/>
      <c r="AW139" s="47"/>
      <c r="AX139" s="47"/>
      <c r="AY139" s="47"/>
      <c r="AZ139" s="47"/>
      <c r="BA139" s="47"/>
      <c r="BB139" s="47"/>
      <c r="BC139" s="47"/>
      <c r="BD139" s="47"/>
      <c r="BE139" s="47"/>
      <c r="BF139" s="47"/>
      <c r="BG139" s="47"/>
      <c r="BH139" s="47"/>
      <c r="BI139" s="47"/>
      <c r="BJ139" s="47"/>
      <c r="BK139" s="47"/>
      <c r="BL139" s="47"/>
      <c r="BM139" s="47"/>
      <c r="BN139" s="47"/>
      <c r="BO139" s="47"/>
      <c r="BP139" s="47"/>
      <c r="BQ139" s="47"/>
      <c r="BR139" s="47"/>
      <c r="BS139" s="47"/>
      <c r="BT139" s="47"/>
      <c r="BU139" s="47"/>
      <c r="BV139" s="47"/>
      <c r="BW139" s="47"/>
      <c r="BX139" s="47"/>
      <c r="BY139" s="47"/>
      <c r="BZ139" s="47"/>
    </row>
    <row r="140" spans="1:78" ht="13">
      <c r="A140" s="152" t="str">
        <f ca="1">IFERROR(__xludf.DUMMYFUNCTION("""COMPUTED_VALUE"""),"Dwarf Face")</f>
        <v>Dwarf Face</v>
      </c>
      <c r="B140" s="47" t="str">
        <f ca="1">IFERROR(__xludf.DUMMYFUNCTION("TRANSPOSE(unique(filter(Recipes!A$2:A2490,(Recipes!L$2:L2490=A140)+(Recipes!O$2:O2490=A140)+(Recipes!R$2:R2490=A140)+(Recipes!U$2:U2490=A140)+(Recipes!X$2:X2490=A140))))"),"Dwarven Mask of the Shapeshifter")</f>
        <v>Dwarven Mask of the Shapeshifter</v>
      </c>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c r="AA140" s="47"/>
      <c r="AB140" s="47"/>
      <c r="AC140" s="47"/>
      <c r="AD140" s="47"/>
      <c r="AE140" s="47"/>
      <c r="AF140" s="47"/>
      <c r="AG140" s="47"/>
      <c r="AH140" s="47"/>
      <c r="AI140" s="47"/>
      <c r="AJ140" s="47"/>
      <c r="AK140" s="47"/>
      <c r="AL140" s="47"/>
      <c r="AM140" s="47"/>
      <c r="AN140" s="47"/>
      <c r="AO140" s="47"/>
      <c r="AP140" s="47"/>
      <c r="AQ140" s="47"/>
      <c r="AR140" s="47"/>
      <c r="AS140" s="47"/>
      <c r="AT140" s="47"/>
      <c r="AU140" s="47"/>
      <c r="AV140" s="47"/>
      <c r="AW140" s="47"/>
      <c r="AX140" s="47"/>
      <c r="AY140" s="47"/>
      <c r="AZ140" s="47"/>
      <c r="BA140" s="47"/>
      <c r="BB140" s="47"/>
      <c r="BC140" s="47"/>
      <c r="BD140" s="47"/>
      <c r="BE140" s="47"/>
      <c r="BF140" s="47"/>
      <c r="BG140" s="47"/>
      <c r="BH140" s="47"/>
      <c r="BI140" s="47"/>
      <c r="BJ140" s="47"/>
      <c r="BK140" s="47"/>
      <c r="BL140" s="47"/>
      <c r="BM140" s="47"/>
      <c r="BN140" s="47"/>
      <c r="BO140" s="47"/>
      <c r="BP140" s="47"/>
      <c r="BQ140" s="47"/>
      <c r="BR140" s="47"/>
      <c r="BS140" s="47"/>
      <c r="BT140" s="47"/>
      <c r="BU140" s="47"/>
      <c r="BV140" s="47"/>
      <c r="BW140" s="47"/>
      <c r="BX140" s="47"/>
      <c r="BY140" s="47"/>
      <c r="BZ140" s="47"/>
    </row>
    <row r="141" spans="1:78" ht="13">
      <c r="A141" s="152" t="str">
        <f ca="1">IFERROR(__xludf.DUMMYFUNCTION("""COMPUTED_VALUE"""),"Dwarven Mask of the Shapeshifter")</f>
        <v>Dwarven Mask of the Shapeshifter</v>
      </c>
      <c r="B141" s="47" t="str">
        <f ca="1">IFERROR(__xludf.DUMMYFUNCTION("TRANSPOSE(unique(filter(Recipes!A$2:A2490,(Recipes!L$2:L2490=A141)+(Recipes!O$2:O2490=A141)+(Recipes!R$2:R2490=A141)+(Recipes!U$2:U2490=A141)+(Recipes!X$2:X2490=A141))))"),"Mask of the Shapeshifter")</f>
        <v>Mask of the Shapeshifter</v>
      </c>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c r="AA141" s="47"/>
      <c r="AB141" s="47"/>
      <c r="AC141" s="47"/>
      <c r="AD141" s="47"/>
      <c r="AE141" s="47"/>
      <c r="AF141" s="47"/>
      <c r="AG141" s="47"/>
      <c r="AH141" s="47"/>
      <c r="AI141" s="47"/>
      <c r="AJ141" s="47"/>
      <c r="AK141" s="47"/>
      <c r="AL141" s="47"/>
      <c r="AM141" s="47"/>
      <c r="AN141" s="47"/>
      <c r="AO141" s="47"/>
      <c r="AP141" s="47"/>
      <c r="AQ141" s="47"/>
      <c r="AR141" s="47"/>
      <c r="AS141" s="47"/>
      <c r="AT141" s="47"/>
      <c r="AU141" s="47"/>
      <c r="AV141" s="47"/>
      <c r="AW141" s="47"/>
      <c r="AX141" s="47"/>
      <c r="AY141" s="47"/>
      <c r="AZ141" s="47"/>
      <c r="BA141" s="47"/>
      <c r="BB141" s="47"/>
      <c r="BC141" s="47"/>
      <c r="BD141" s="47"/>
      <c r="BE141" s="47"/>
      <c r="BF141" s="47"/>
      <c r="BG141" s="47"/>
      <c r="BH141" s="47"/>
      <c r="BI141" s="47"/>
      <c r="BJ141" s="47"/>
      <c r="BK141" s="47"/>
      <c r="BL141" s="47"/>
      <c r="BM141" s="47"/>
      <c r="BN141" s="47"/>
      <c r="BO141" s="47"/>
      <c r="BP141" s="47"/>
      <c r="BQ141" s="47"/>
      <c r="BR141" s="47"/>
      <c r="BS141" s="47"/>
      <c r="BT141" s="47"/>
      <c r="BU141" s="47"/>
      <c r="BV141" s="47"/>
      <c r="BW141" s="47"/>
      <c r="BX141" s="47"/>
      <c r="BY141" s="47"/>
      <c r="BZ141" s="47"/>
    </row>
    <row r="142" spans="1:78" ht="13">
      <c r="A142" s="152" t="str">
        <f ca="1">IFERROR(__xludf.DUMMYFUNCTION("""COMPUTED_VALUE"""),"Earth Essence")</f>
        <v>Earth Essence</v>
      </c>
      <c r="B142" s="47" t="str">
        <f ca="1">IFERROR(__xludf.DUMMYFUNCTION("TRANSPOSE(unique(filter(Recipes!A$2:A2490,(Recipes!L$2:L2490=A142)+(Recipes!O$2:O2490=A142)+(Recipes!R$2:R2490=A142)+(Recipes!U$2:U2490=A142)+(Recipes!X$2:X2490=A142))))"),"Poisoncloud Arrow")</f>
        <v>Poisoncloud Arrow</v>
      </c>
      <c r="C142" s="47" t="str">
        <f ca="1">IFERROR(__xludf.DUMMYFUNCTION("""COMPUTED_VALUE"""),"Poisoncloud Arrowhead")</f>
        <v>Poisoncloud Arrowhead</v>
      </c>
      <c r="D142" s="47" t="str">
        <f ca="1">IFERROR(__xludf.DUMMYFUNCTION("""COMPUTED_VALUE"""),"Tremor Grenade")</f>
        <v>Tremor Grenade</v>
      </c>
      <c r="E142" s="47" t="str">
        <f ca="1">IFERROR(__xludf.DUMMYFUNCTION("""COMPUTED_VALUE"""),"Contamination Scroll")</f>
        <v>Contamination Scroll</v>
      </c>
      <c r="F142" s="47" t="str">
        <f ca="1">IFERROR(__xludf.DUMMYFUNCTION("""COMPUTED_VALUE"""),"Fortify Scroll")</f>
        <v>Fortify Scroll</v>
      </c>
      <c r="G142" s="47" t="str">
        <f ca="1">IFERROR(__xludf.DUMMYFUNCTION("""COMPUTED_VALUE"""),"Fossil Strike Scroll")</f>
        <v>Fossil Strike Scroll</v>
      </c>
      <c r="H142" s="47" t="str">
        <f ca="1">IFERROR(__xludf.DUMMYFUNCTION("""COMPUTED_VALUE"""),"Impalement Scroll")</f>
        <v>Impalement Scroll</v>
      </c>
      <c r="I142" s="47" t="str">
        <f ca="1">IFERROR(__xludf.DUMMYFUNCTION("""COMPUTED_VALUE"""),"Mend Metal Scroll")</f>
        <v>Mend Metal Scroll</v>
      </c>
      <c r="J142" s="47" t="str">
        <f ca="1">IFERROR(__xludf.DUMMYFUNCTION("""COMPUTED_VALUE"""),"Poison Dart Scroll")</f>
        <v>Poison Dart Scroll</v>
      </c>
      <c r="K142" s="47" t="str">
        <f ca="1">IFERROR(__xludf.DUMMYFUNCTION("""COMPUTED_VALUE"""),"Stoneskin Potion")</f>
        <v>Stoneskin Potion</v>
      </c>
      <c r="L142" s="47"/>
      <c r="M142" s="47"/>
      <c r="N142" s="47"/>
      <c r="O142" s="47"/>
      <c r="P142" s="47"/>
      <c r="Q142" s="47"/>
      <c r="R142" s="47"/>
      <c r="S142" s="47"/>
      <c r="T142" s="47"/>
      <c r="U142" s="47"/>
      <c r="V142" s="47"/>
      <c r="W142" s="47"/>
      <c r="X142" s="47"/>
      <c r="Y142" s="47"/>
      <c r="Z142" s="47"/>
      <c r="AA142" s="47"/>
      <c r="AB142" s="47"/>
      <c r="AC142" s="47"/>
      <c r="AD142" s="47"/>
      <c r="AE142" s="47"/>
      <c r="AF142" s="47"/>
      <c r="AG142" s="47"/>
      <c r="AH142" s="47"/>
      <c r="AI142" s="47"/>
      <c r="AJ142" s="47"/>
      <c r="AK142" s="47"/>
      <c r="AL142" s="47"/>
      <c r="AM142" s="47"/>
      <c r="AN142" s="47"/>
      <c r="AO142" s="47"/>
      <c r="AP142" s="47"/>
      <c r="AQ142" s="47"/>
      <c r="AR142" s="47"/>
      <c r="AS142" s="47"/>
      <c r="AT142" s="47"/>
      <c r="AU142" s="47"/>
      <c r="AV142" s="47"/>
      <c r="AW142" s="47"/>
      <c r="AX142" s="47"/>
      <c r="AY142" s="47"/>
      <c r="AZ142" s="47"/>
      <c r="BA142" s="47"/>
      <c r="BB142" s="47"/>
      <c r="BC142" s="47"/>
      <c r="BD142" s="47"/>
      <c r="BE142" s="47"/>
      <c r="BF142" s="47"/>
      <c r="BG142" s="47"/>
      <c r="BH142" s="47"/>
      <c r="BI142" s="47"/>
      <c r="BJ142" s="47"/>
      <c r="BK142" s="47"/>
      <c r="BL142" s="47"/>
      <c r="BM142" s="47"/>
      <c r="BN142" s="47"/>
      <c r="BO142" s="47"/>
      <c r="BP142" s="47"/>
      <c r="BQ142" s="47"/>
      <c r="BR142" s="47"/>
      <c r="BS142" s="47"/>
      <c r="BT142" s="47"/>
      <c r="BU142" s="47"/>
      <c r="BV142" s="47"/>
      <c r="BW142" s="47"/>
      <c r="BX142" s="47"/>
      <c r="BY142" s="47"/>
      <c r="BZ142" s="47"/>
    </row>
    <row r="143" spans="1:78" ht="13">
      <c r="A143" s="152" t="str">
        <f ca="1">IFERROR(__xludf.DUMMYFUNCTION("""COMPUTED_VALUE"""),"Earth Resistance Potion")</f>
        <v>Earth Resistance Potion</v>
      </c>
      <c r="B143" s="47" t="str">
        <f ca="1">IFERROR(__xludf.DUMMYFUNCTION("TRANSPOSE(unique(filter(Recipes!A$2:A2490,(Recipes!L$2:L2490=A143)+(Recipes!O$2:O2490=A143)+(Recipes!R$2:R2490=A143)+(Recipes!U$2:U2490=A143)+(Recipes!X$2:X2490=A143))))"),"Medium Earth Resistance Potion")</f>
        <v>Medium Earth Resistance Potion</v>
      </c>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c r="AC143" s="47"/>
      <c r="AD143" s="47"/>
      <c r="AE143" s="47"/>
      <c r="AF143" s="47"/>
      <c r="AG143" s="47"/>
      <c r="AH143" s="47"/>
      <c r="AI143" s="47"/>
      <c r="AJ143" s="47"/>
      <c r="AK143" s="47"/>
      <c r="AL143" s="47"/>
      <c r="AM143" s="47"/>
      <c r="AN143" s="47"/>
      <c r="AO143" s="47"/>
      <c r="AP143" s="47"/>
      <c r="AQ143" s="47"/>
      <c r="AR143" s="47"/>
      <c r="AS143" s="47"/>
      <c r="AT143" s="47"/>
      <c r="AU143" s="47"/>
      <c r="AV143" s="47"/>
      <c r="AW143" s="47"/>
      <c r="AX143" s="47"/>
      <c r="AY143" s="47"/>
      <c r="AZ143" s="47"/>
      <c r="BA143" s="47"/>
      <c r="BB143" s="47"/>
      <c r="BC143" s="47"/>
      <c r="BD143" s="47"/>
      <c r="BE143" s="47"/>
      <c r="BF143" s="47"/>
      <c r="BG143" s="47"/>
      <c r="BH143" s="47"/>
      <c r="BI143" s="47"/>
      <c r="BJ143" s="47"/>
      <c r="BK143" s="47"/>
      <c r="BL143" s="47"/>
      <c r="BM143" s="47"/>
      <c r="BN143" s="47"/>
      <c r="BO143" s="47"/>
      <c r="BP143" s="47"/>
      <c r="BQ143" s="47"/>
      <c r="BR143" s="47"/>
      <c r="BS143" s="47"/>
      <c r="BT143" s="47"/>
      <c r="BU143" s="47"/>
      <c r="BV143" s="47"/>
      <c r="BW143" s="47"/>
      <c r="BX143" s="47"/>
      <c r="BY143" s="47"/>
      <c r="BZ143" s="47"/>
    </row>
    <row r="144" spans="1:78" ht="13">
      <c r="A144" s="152" t="str">
        <f ca="1">IFERROR(__xludf.DUMMYFUNCTION("""COMPUTED_VALUE"""),"Earth Tongue Mushroom")</f>
        <v>Earth Tongue Mushroom</v>
      </c>
      <c r="B144" s="47" t="str">
        <f ca="1">IFERROR(__xludf.DUMMYFUNCTION("TRANSPOSE(unique(filter(Recipes!A$2:A2490,(Recipes!L$2:L2490=A144)+(Recipes!O$2:O2490=A144)+(Recipes!R$2:R2490=A144)+(Recipes!U$2:U2490=A144)+(Recipes!X$2:X2490=A144))))"),"Artillery Plant Scroll")</f>
        <v>Artillery Plant Scroll</v>
      </c>
      <c r="C144" s="47" t="str">
        <f ca="1">IFERROR(__xludf.DUMMYFUNCTION("""COMPUTED_VALUE"""),"Earth Resistance Potion")</f>
        <v>Earth Resistance Potion</v>
      </c>
      <c r="D144" s="47"/>
      <c r="E144" s="47"/>
      <c r="F144" s="47"/>
      <c r="G144" s="47"/>
      <c r="H144" s="47"/>
      <c r="I144" s="47"/>
      <c r="J144" s="47"/>
      <c r="K144" s="47"/>
      <c r="L144" s="47"/>
      <c r="M144" s="47"/>
      <c r="N144" s="47"/>
      <c r="O144" s="47"/>
      <c r="P144" s="47"/>
      <c r="Q144" s="47"/>
      <c r="R144" s="47"/>
      <c r="S144" s="47"/>
      <c r="T144" s="47"/>
      <c r="U144" s="47"/>
      <c r="V144" s="47"/>
      <c r="W144" s="47"/>
      <c r="X144" s="47"/>
      <c r="Y144" s="47"/>
      <c r="Z144" s="47"/>
      <c r="AA144" s="47"/>
      <c r="AB144" s="47"/>
      <c r="AC144" s="47"/>
      <c r="AD144" s="47"/>
      <c r="AE144" s="47"/>
      <c r="AF144" s="47"/>
      <c r="AG144" s="47"/>
      <c r="AH144" s="47"/>
      <c r="AI144" s="47"/>
      <c r="AJ144" s="47"/>
      <c r="AK144" s="47"/>
      <c r="AL144" s="47"/>
      <c r="AM144" s="47"/>
      <c r="AN144" s="47"/>
      <c r="AO144" s="47"/>
      <c r="AP144" s="47"/>
      <c r="AQ144" s="47"/>
      <c r="AR144" s="47"/>
      <c r="AS144" s="47"/>
      <c r="AT144" s="47"/>
      <c r="AU144" s="47"/>
      <c r="AV144" s="47"/>
      <c r="AW144" s="47"/>
      <c r="AX144" s="47"/>
      <c r="AY144" s="47"/>
      <c r="AZ144" s="47"/>
      <c r="BA144" s="47"/>
      <c r="BB144" s="47"/>
      <c r="BC144" s="47"/>
      <c r="BD144" s="47"/>
      <c r="BE144" s="47"/>
      <c r="BF144" s="47"/>
      <c r="BG144" s="47"/>
      <c r="BH144" s="47"/>
      <c r="BI144" s="47"/>
      <c r="BJ144" s="47"/>
      <c r="BK144" s="47"/>
      <c r="BL144" s="47"/>
      <c r="BM144" s="47"/>
      <c r="BN144" s="47"/>
      <c r="BO144" s="47"/>
      <c r="BP144" s="47"/>
      <c r="BQ144" s="47"/>
      <c r="BR144" s="47"/>
      <c r="BS144" s="47"/>
      <c r="BT144" s="47"/>
      <c r="BU144" s="47"/>
      <c r="BV144" s="47"/>
      <c r="BW144" s="47"/>
      <c r="BX144" s="47"/>
      <c r="BY144" s="47"/>
      <c r="BZ144" s="47"/>
    </row>
    <row r="145" spans="1:78" ht="13">
      <c r="A145" s="152" t="str">
        <f ca="1">IFERROR(__xludf.DUMMYFUNCTION("""COMPUTED_VALUE"""),"Earthquake Scroll")</f>
        <v>Earthquake Scroll</v>
      </c>
      <c r="B145" s="47" t="str">
        <f ca="1">IFERROR(__xludf.DUMMYFUNCTION("TRANSPOSE(unique(filter(Recipes!A$2:A2490,(Recipes!L$2:L2490=A145)+(Recipes!O$2:O2490=A145)+(Recipes!R$2:R2490=A145)+(Recipes!U$2:U2490=A145)+(Recipes!X$2:X2490=A145))))"),"Earthquake Skillbook")</f>
        <v>Earthquake Skillbook</v>
      </c>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c r="AA145" s="47"/>
      <c r="AB145" s="47"/>
      <c r="AC145" s="47"/>
      <c r="AD145" s="47"/>
      <c r="AE145" s="47"/>
      <c r="AF145" s="47"/>
      <c r="AG145" s="47"/>
      <c r="AH145" s="47"/>
      <c r="AI145" s="47"/>
      <c r="AJ145" s="47"/>
      <c r="AK145" s="47"/>
      <c r="AL145" s="47"/>
      <c r="AM145" s="47"/>
      <c r="AN145" s="47"/>
      <c r="AO145" s="47"/>
      <c r="AP145" s="47"/>
      <c r="AQ145" s="47"/>
      <c r="AR145" s="47"/>
      <c r="AS145" s="47"/>
      <c r="AT145" s="47"/>
      <c r="AU145" s="47"/>
      <c r="AV145" s="47"/>
      <c r="AW145" s="47"/>
      <c r="AX145" s="47"/>
      <c r="AY145" s="47"/>
      <c r="AZ145" s="47"/>
      <c r="BA145" s="47"/>
      <c r="BB145" s="47"/>
      <c r="BC145" s="47"/>
      <c r="BD145" s="47"/>
      <c r="BE145" s="47"/>
      <c r="BF145" s="47"/>
      <c r="BG145" s="47"/>
      <c r="BH145" s="47"/>
      <c r="BI145" s="47"/>
      <c r="BJ145" s="47"/>
      <c r="BK145" s="47"/>
      <c r="BL145" s="47"/>
      <c r="BM145" s="47"/>
      <c r="BN145" s="47"/>
      <c r="BO145" s="47"/>
      <c r="BP145" s="47"/>
      <c r="BQ145" s="47"/>
      <c r="BR145" s="47"/>
      <c r="BS145" s="47"/>
      <c r="BT145" s="47"/>
      <c r="BU145" s="47"/>
      <c r="BV145" s="47"/>
      <c r="BW145" s="47"/>
      <c r="BX145" s="47"/>
      <c r="BY145" s="47"/>
      <c r="BZ145" s="47"/>
    </row>
    <row r="146" spans="1:78" ht="13">
      <c r="A146" s="152" t="str">
        <f ca="1">IFERROR(__xludf.DUMMYFUNCTION("""COMPUTED_VALUE"""),"Eggs")</f>
        <v>Eggs</v>
      </c>
      <c r="B146" s="47" t="str">
        <f ca="1">IFERROR(__xludf.DUMMYFUNCTION("TRANSPOSE(unique(filter(Recipes!A$2:A2490,(Recipes!L$2:L2490=A146)+(Recipes!O$2:O2490=A146)+(Recipes!R$2:R2490=A146)+(Recipes!U$2:U2490=A146)+(Recipes!X$2:X2490=A146))))"),"Dinner")</f>
        <v>Dinner</v>
      </c>
      <c r="C146" s="47" t="str">
        <f ca="1">IFERROR(__xludf.DUMMYFUNCTION("""COMPUTED_VALUE"""),"Dough")</f>
        <v>Dough</v>
      </c>
      <c r="D146" s="47"/>
      <c r="E146" s="47"/>
      <c r="F146" s="47"/>
      <c r="G146" s="47"/>
      <c r="H146" s="47"/>
      <c r="I146" s="47"/>
      <c r="J146" s="47"/>
      <c r="K146" s="47"/>
      <c r="L146" s="47"/>
      <c r="M146" s="47"/>
      <c r="N146" s="47"/>
      <c r="O146" s="47"/>
      <c r="P146" s="47"/>
      <c r="Q146" s="47"/>
      <c r="R146" s="47"/>
      <c r="S146" s="47"/>
      <c r="T146" s="47"/>
      <c r="U146" s="47"/>
      <c r="V146" s="47"/>
      <c r="W146" s="47"/>
      <c r="X146" s="47"/>
      <c r="Y146" s="47"/>
      <c r="Z146" s="47"/>
      <c r="AA146" s="47"/>
      <c r="AB146" s="47"/>
      <c r="AC146" s="47"/>
      <c r="AD146" s="47"/>
      <c r="AE146" s="47"/>
      <c r="AF146" s="47"/>
      <c r="AG146" s="47"/>
      <c r="AH146" s="47"/>
      <c r="AI146" s="47"/>
      <c r="AJ146" s="47"/>
      <c r="AK146" s="47"/>
      <c r="AL146" s="47"/>
      <c r="AM146" s="47"/>
      <c r="AN146" s="47"/>
      <c r="AO146" s="47"/>
      <c r="AP146" s="47"/>
      <c r="AQ146" s="47"/>
      <c r="AR146" s="47"/>
      <c r="AS146" s="47"/>
      <c r="AT146" s="47"/>
      <c r="AU146" s="47"/>
      <c r="AV146" s="47"/>
      <c r="AW146" s="47"/>
      <c r="AX146" s="47"/>
      <c r="AY146" s="47"/>
      <c r="AZ146" s="47"/>
      <c r="BA146" s="47"/>
      <c r="BB146" s="47"/>
      <c r="BC146" s="47"/>
      <c r="BD146" s="47"/>
      <c r="BE146" s="47"/>
      <c r="BF146" s="47"/>
      <c r="BG146" s="47"/>
      <c r="BH146" s="47"/>
      <c r="BI146" s="47"/>
      <c r="BJ146" s="47"/>
      <c r="BK146" s="47"/>
      <c r="BL146" s="47"/>
      <c r="BM146" s="47"/>
      <c r="BN146" s="47"/>
      <c r="BO146" s="47"/>
      <c r="BP146" s="47"/>
      <c r="BQ146" s="47"/>
      <c r="BR146" s="47"/>
      <c r="BS146" s="47"/>
      <c r="BT146" s="47"/>
      <c r="BU146" s="47"/>
      <c r="BV146" s="47"/>
      <c r="BW146" s="47"/>
      <c r="BX146" s="47"/>
      <c r="BY146" s="47"/>
      <c r="BZ146" s="47"/>
    </row>
    <row r="147" spans="1:78" ht="13">
      <c r="A147" s="152" t="str">
        <f ca="1">IFERROR(__xludf.DUMMYFUNCTION("""COMPUTED_VALUE"""),"Electric Discharge Scroll")</f>
        <v>Electric Discharge Scroll</v>
      </c>
      <c r="B147" s="47" t="str">
        <f ca="1">IFERROR(__xludf.DUMMYFUNCTION("TRANSPOSE(unique(filter(Recipes!A$2:A2490,(Recipes!L$2:L2490=A147)+(Recipes!O$2:O2490=A147)+(Recipes!R$2:R2490=A147)+(Recipes!U$2:U2490=A147)+(Recipes!X$2:X2490=A147))))"),"Electric Discharge Skillbook")</f>
        <v>Electric Discharge Skillbook</v>
      </c>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c r="AA147" s="47"/>
      <c r="AB147" s="47"/>
      <c r="AC147" s="47"/>
      <c r="AD147" s="47"/>
      <c r="AE147" s="47"/>
      <c r="AF147" s="47"/>
      <c r="AG147" s="47"/>
      <c r="AH147" s="47"/>
      <c r="AI147" s="47"/>
      <c r="AJ147" s="47"/>
      <c r="AK147" s="47"/>
      <c r="AL147" s="47"/>
      <c r="AM147" s="47"/>
      <c r="AN147" s="47"/>
      <c r="AO147" s="47"/>
      <c r="AP147" s="47"/>
      <c r="AQ147" s="47"/>
      <c r="AR147" s="47"/>
      <c r="AS147" s="47"/>
      <c r="AT147" s="47"/>
      <c r="AU147" s="47"/>
      <c r="AV147" s="47"/>
      <c r="AW147" s="47"/>
      <c r="AX147" s="47"/>
      <c r="AY147" s="47"/>
      <c r="AZ147" s="47"/>
      <c r="BA147" s="47"/>
      <c r="BB147" s="47"/>
      <c r="BC147" s="47"/>
      <c r="BD147" s="47"/>
      <c r="BE147" s="47"/>
      <c r="BF147" s="47"/>
      <c r="BG147" s="47"/>
      <c r="BH147" s="47"/>
      <c r="BI147" s="47"/>
      <c r="BJ147" s="47"/>
      <c r="BK147" s="47"/>
      <c r="BL147" s="47"/>
      <c r="BM147" s="47"/>
      <c r="BN147" s="47"/>
      <c r="BO147" s="47"/>
      <c r="BP147" s="47"/>
      <c r="BQ147" s="47"/>
      <c r="BR147" s="47"/>
      <c r="BS147" s="47"/>
      <c r="BT147" s="47"/>
      <c r="BU147" s="47"/>
      <c r="BV147" s="47"/>
      <c r="BW147" s="47"/>
      <c r="BX147" s="47"/>
      <c r="BY147" s="47"/>
      <c r="BZ147" s="47"/>
    </row>
    <row r="148" spans="1:78" ht="13">
      <c r="A148" s="152" t="str">
        <f ca="1">IFERROR(__xludf.DUMMYFUNCTION("""COMPUTED_VALUE"""),"Elemental Totem Scroll")</f>
        <v>Elemental Totem Scroll</v>
      </c>
      <c r="B148" s="47" t="str">
        <f ca="1">IFERROR(__xludf.DUMMYFUNCTION("TRANSPOSE(unique(filter(Recipes!A$2:A2490,(Recipes!L$2:L2490=A148)+(Recipes!O$2:O2490=A148)+(Recipes!R$2:R2490=A148)+(Recipes!U$2:U2490=A148)+(Recipes!X$2:X2490=A148))))"),"Elemental Totem Skillbook")</f>
        <v>Elemental Totem Skillbook</v>
      </c>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c r="AA148" s="47"/>
      <c r="AB148" s="47"/>
      <c r="AC148" s="47"/>
      <c r="AD148" s="47"/>
      <c r="AE148" s="47"/>
      <c r="AF148" s="47"/>
      <c r="AG148" s="47"/>
      <c r="AH148" s="47"/>
      <c r="AI148" s="47"/>
      <c r="AJ148" s="47"/>
      <c r="AK148" s="47"/>
      <c r="AL148" s="47"/>
      <c r="AM148" s="47"/>
      <c r="AN148" s="47"/>
      <c r="AO148" s="47"/>
      <c r="AP148" s="47"/>
      <c r="AQ148" s="47"/>
      <c r="AR148" s="47"/>
      <c r="AS148" s="47"/>
      <c r="AT148" s="47"/>
      <c r="AU148" s="47"/>
      <c r="AV148" s="47"/>
      <c r="AW148" s="47"/>
      <c r="AX148" s="47"/>
      <c r="AY148" s="47"/>
      <c r="AZ148" s="47"/>
      <c r="BA148" s="47"/>
      <c r="BB148" s="47"/>
      <c r="BC148" s="47"/>
      <c r="BD148" s="47"/>
      <c r="BE148" s="47"/>
      <c r="BF148" s="47"/>
      <c r="BG148" s="47"/>
      <c r="BH148" s="47"/>
      <c r="BI148" s="47"/>
      <c r="BJ148" s="47"/>
      <c r="BK148" s="47"/>
      <c r="BL148" s="47"/>
      <c r="BM148" s="47"/>
      <c r="BN148" s="47"/>
      <c r="BO148" s="47"/>
      <c r="BP148" s="47"/>
      <c r="BQ148" s="47"/>
      <c r="BR148" s="47"/>
      <c r="BS148" s="47"/>
      <c r="BT148" s="47"/>
      <c r="BU148" s="47"/>
      <c r="BV148" s="47"/>
      <c r="BW148" s="47"/>
      <c r="BX148" s="47"/>
      <c r="BY148" s="47"/>
      <c r="BZ148" s="47"/>
    </row>
    <row r="149" spans="1:78" ht="13">
      <c r="A149" s="152" t="str">
        <f ca="1">IFERROR(__xludf.DUMMYFUNCTION("""COMPUTED_VALUE"""),"Elf Face")</f>
        <v>Elf Face</v>
      </c>
      <c r="B149" s="47" t="str">
        <f ca="1">IFERROR(__xludf.DUMMYFUNCTION("TRANSPOSE(unique(filter(Recipes!A$2:A2490,(Recipes!L$2:L2490=A149)+(Recipes!O$2:O2490=A149)+(Recipes!R$2:R2490=A149)+(Recipes!U$2:U2490=A149)+(Recipes!X$2:X2490=A149))))"),"Elven Mask of the Shapeshifter")</f>
        <v>Elven Mask of the Shapeshifter</v>
      </c>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c r="AA149" s="47"/>
      <c r="AB149" s="47"/>
      <c r="AC149" s="47"/>
      <c r="AD149" s="47"/>
      <c r="AE149" s="47"/>
      <c r="AF149" s="47"/>
      <c r="AG149" s="47"/>
      <c r="AH149" s="47"/>
      <c r="AI149" s="47"/>
      <c r="AJ149" s="47"/>
      <c r="AK149" s="47"/>
      <c r="AL149" s="47"/>
      <c r="AM149" s="47"/>
      <c r="AN149" s="47"/>
      <c r="AO149" s="47"/>
      <c r="AP149" s="47"/>
      <c r="AQ149" s="47"/>
      <c r="AR149" s="47"/>
      <c r="AS149" s="47"/>
      <c r="AT149" s="47"/>
      <c r="AU149" s="47"/>
      <c r="AV149" s="47"/>
      <c r="AW149" s="47"/>
      <c r="AX149" s="47"/>
      <c r="AY149" s="47"/>
      <c r="AZ149" s="47"/>
      <c r="BA149" s="47"/>
      <c r="BB149" s="47"/>
      <c r="BC149" s="47"/>
      <c r="BD149" s="47"/>
      <c r="BE149" s="47"/>
      <c r="BF149" s="47"/>
      <c r="BG149" s="47"/>
      <c r="BH149" s="47"/>
      <c r="BI149" s="47"/>
      <c r="BJ149" s="47"/>
      <c r="BK149" s="47"/>
      <c r="BL149" s="47"/>
      <c r="BM149" s="47"/>
      <c r="BN149" s="47"/>
      <c r="BO149" s="47"/>
      <c r="BP149" s="47"/>
      <c r="BQ149" s="47"/>
      <c r="BR149" s="47"/>
      <c r="BS149" s="47"/>
      <c r="BT149" s="47"/>
      <c r="BU149" s="47"/>
      <c r="BV149" s="47"/>
      <c r="BW149" s="47"/>
      <c r="BX149" s="47"/>
      <c r="BY149" s="47"/>
      <c r="BZ149" s="47"/>
    </row>
    <row r="150" spans="1:78" ht="13">
      <c r="A150" s="152" t="str">
        <f ca="1">IFERROR(__xludf.DUMMYFUNCTION("""COMPUTED_VALUE"""),"Elven Mask of the Shapeshifter")</f>
        <v>Elven Mask of the Shapeshifter</v>
      </c>
      <c r="B150" s="47" t="str">
        <f ca="1">IFERROR(__xludf.DUMMYFUNCTION("TRANSPOSE(unique(filter(Recipes!A$2:A2490,(Recipes!L$2:L2490=A150)+(Recipes!O$2:O2490=A150)+(Recipes!R$2:R2490=A150)+(Recipes!U$2:U2490=A150)+(Recipes!X$2:X2490=A150))))"),"Mask of the Shapeshifter")</f>
        <v>Mask of the Shapeshifter</v>
      </c>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c r="AA150" s="47"/>
      <c r="AB150" s="47"/>
      <c r="AC150" s="47"/>
      <c r="AD150" s="47"/>
      <c r="AE150" s="47"/>
      <c r="AF150" s="47"/>
      <c r="AG150" s="47"/>
      <c r="AH150" s="47"/>
      <c r="AI150" s="47"/>
      <c r="AJ150" s="47"/>
      <c r="AK150" s="47"/>
      <c r="AL150" s="47"/>
      <c r="AM150" s="47"/>
      <c r="AN150" s="47"/>
      <c r="AO150" s="47"/>
      <c r="AP150" s="47"/>
      <c r="AQ150" s="47"/>
      <c r="AR150" s="47"/>
      <c r="AS150" s="47"/>
      <c r="AT150" s="47"/>
      <c r="AU150" s="47"/>
      <c r="AV150" s="47"/>
      <c r="AW150" s="47"/>
      <c r="AX150" s="47"/>
      <c r="AY150" s="47"/>
      <c r="AZ150" s="47"/>
      <c r="BA150" s="47"/>
      <c r="BB150" s="47"/>
      <c r="BC150" s="47"/>
      <c r="BD150" s="47"/>
      <c r="BE150" s="47"/>
      <c r="BF150" s="47"/>
      <c r="BG150" s="47"/>
      <c r="BH150" s="47"/>
      <c r="BI150" s="47"/>
      <c r="BJ150" s="47"/>
      <c r="BK150" s="47"/>
      <c r="BL150" s="47"/>
      <c r="BM150" s="47"/>
      <c r="BN150" s="47"/>
      <c r="BO150" s="47"/>
      <c r="BP150" s="47"/>
      <c r="BQ150" s="47"/>
      <c r="BR150" s="47"/>
      <c r="BS150" s="47"/>
      <c r="BT150" s="47"/>
      <c r="BU150" s="47"/>
      <c r="BV150" s="47"/>
      <c r="BW150" s="47"/>
      <c r="BX150" s="47"/>
      <c r="BY150" s="47"/>
      <c r="BZ150" s="47"/>
    </row>
    <row r="151" spans="1:78" ht="13">
      <c r="A151" s="152" t="str">
        <f ca="1">IFERROR(__xludf.DUMMYFUNCTION("""COMPUTED_VALUE"""),"Empty Bottle")</f>
        <v>Empty Bottle</v>
      </c>
      <c r="B151" s="47" t="str">
        <f ca="1">IFERROR(__xludf.DUMMYFUNCTION("TRANSPOSE(unique(filter(Recipes!A$2:A2490,(Recipes!L$2:L2490=A151)+(Recipes!O$2:O2490=A151)+(Recipes!R$2:R2490=A151)+(Recipes!U$2:U2490=A151)+(Recipes!X$2:X2490=A151))))"),"Bottle of Beer")</f>
        <v>Bottle of Beer</v>
      </c>
      <c r="C151" s="47" t="str">
        <f ca="1">IFERROR(__xludf.DUMMYFUNCTION("""COMPUTED_VALUE"""),"Bottle of Water")</f>
        <v>Bottle of Water</v>
      </c>
      <c r="D151" s="47" t="str">
        <f ca="1">IFERROR(__xludf.DUMMYFUNCTION("""COMPUTED_VALUE"""),"Bottle of Wine")</f>
        <v>Bottle of Wine</v>
      </c>
      <c r="E151" s="47" t="str">
        <f ca="1">IFERROR(__xludf.DUMMYFUNCTION("""COMPUTED_VALUE"""),"Bottle Filled With Oil")</f>
        <v>Bottle Filled With Oil</v>
      </c>
      <c r="F151" s="47" t="str">
        <f ca="1">IFERROR(__xludf.DUMMYFUNCTION("""COMPUTED_VALUE"""),"Broken Bottle")</f>
        <v>Broken Bottle</v>
      </c>
      <c r="G151" s="47"/>
      <c r="H151" s="47"/>
      <c r="I151" s="47"/>
      <c r="J151" s="47"/>
      <c r="K151" s="47"/>
      <c r="L151" s="47"/>
      <c r="M151" s="47"/>
      <c r="N151" s="47"/>
      <c r="O151" s="47"/>
      <c r="P151" s="47"/>
      <c r="Q151" s="47"/>
      <c r="R151" s="47"/>
      <c r="S151" s="47"/>
      <c r="T151" s="47"/>
      <c r="U151" s="47"/>
      <c r="V151" s="47"/>
      <c r="W151" s="47"/>
      <c r="X151" s="47"/>
      <c r="Y151" s="47"/>
      <c r="Z151" s="47"/>
      <c r="AA151" s="47"/>
      <c r="AB151" s="47"/>
      <c r="AC151" s="47"/>
      <c r="AD151" s="47"/>
      <c r="AE151" s="47"/>
      <c r="AF151" s="47"/>
      <c r="AG151" s="47"/>
      <c r="AH151" s="47"/>
      <c r="AI151" s="47"/>
      <c r="AJ151" s="47"/>
      <c r="AK151" s="47"/>
      <c r="AL151" s="47"/>
      <c r="AM151" s="47"/>
      <c r="AN151" s="47"/>
      <c r="AO151" s="47"/>
      <c r="AP151" s="47"/>
      <c r="AQ151" s="47"/>
      <c r="AR151" s="47"/>
      <c r="AS151" s="47"/>
      <c r="AT151" s="47"/>
      <c r="AU151" s="47"/>
      <c r="AV151" s="47"/>
      <c r="AW151" s="47"/>
      <c r="AX151" s="47"/>
      <c r="AY151" s="47"/>
      <c r="AZ151" s="47"/>
      <c r="BA151" s="47"/>
      <c r="BB151" s="47"/>
      <c r="BC151" s="47"/>
      <c r="BD151" s="47"/>
      <c r="BE151" s="47"/>
      <c r="BF151" s="47"/>
      <c r="BG151" s="47"/>
      <c r="BH151" s="47"/>
      <c r="BI151" s="47"/>
      <c r="BJ151" s="47"/>
      <c r="BK151" s="47"/>
      <c r="BL151" s="47"/>
      <c r="BM151" s="47"/>
      <c r="BN151" s="47"/>
      <c r="BO151" s="47"/>
      <c r="BP151" s="47"/>
      <c r="BQ151" s="47"/>
      <c r="BR151" s="47"/>
      <c r="BS151" s="47"/>
      <c r="BT151" s="47"/>
      <c r="BU151" s="47"/>
      <c r="BV151" s="47"/>
      <c r="BW151" s="47"/>
      <c r="BX151" s="47"/>
      <c r="BY151" s="47"/>
      <c r="BZ151" s="47"/>
    </row>
    <row r="152" spans="1:78" ht="13">
      <c r="A152" s="152" t="str">
        <f ca="1">IFERROR(__xludf.DUMMYFUNCTION("""COMPUTED_VALUE"""),"Empty Canister")</f>
        <v>Empty Canister</v>
      </c>
      <c r="B152" s="47" t="str">
        <f ca="1">IFERROR(__xludf.DUMMYFUNCTION("TRANSPOSE(unique(filter(Recipes!A$2:A2490,(Recipes!L$2:L2490=A152)+(Recipes!O$2:O2490=A152)+(Recipes!R$2:R2490=A152)+(Recipes!U$2:U2490=A152)+(Recipes!X$2:X2490=A152))))"),"Chemical Warfare Grenade")</f>
        <v>Chemical Warfare Grenade</v>
      </c>
      <c r="C152" s="47" t="str">
        <f ca="1">IFERROR(__xludf.DUMMYFUNCTION("""COMPUTED_VALUE"""),"Thunderbolt Grenade")</f>
        <v>Thunderbolt Grenade</v>
      </c>
      <c r="D152" s="47" t="str">
        <f ca="1">IFERROR(__xludf.DUMMYFUNCTION("""COMPUTED_VALUE"""),"Tremor Grenade")</f>
        <v>Tremor Grenade</v>
      </c>
      <c r="E152" s="47" t="str">
        <f ca="1">IFERROR(__xludf.DUMMYFUNCTION("""COMPUTED_VALUE"""),"Poison Cloud Grenade")</f>
        <v>Poison Cloud Grenade</v>
      </c>
      <c r="F152" s="47" t="str">
        <f ca="1">IFERROR(__xludf.DUMMYFUNCTION("""COMPUTED_VALUE"""),"Razze Dazzle Grenade")</f>
        <v>Razze Dazzle Grenade</v>
      </c>
      <c r="G152" s="47" t="str">
        <f ca="1">IFERROR(__xludf.DUMMYFUNCTION("""COMPUTED_VALUE"""),"Terror Grenade")</f>
        <v>Terror Grenade</v>
      </c>
      <c r="H152" s="47"/>
      <c r="I152" s="47"/>
      <c r="J152" s="47"/>
      <c r="K152" s="47"/>
      <c r="L152" s="47"/>
      <c r="M152" s="47"/>
      <c r="N152" s="47"/>
      <c r="O152" s="47"/>
      <c r="P152" s="47"/>
      <c r="Q152" s="47"/>
      <c r="R152" s="47"/>
      <c r="S152" s="47"/>
      <c r="T152" s="47"/>
      <c r="U152" s="47"/>
      <c r="V152" s="47"/>
      <c r="W152" s="47"/>
      <c r="X152" s="47"/>
      <c r="Y152" s="47"/>
      <c r="Z152" s="47"/>
      <c r="AA152" s="47"/>
      <c r="AB152" s="47"/>
      <c r="AC152" s="47"/>
      <c r="AD152" s="47"/>
      <c r="AE152" s="47"/>
      <c r="AF152" s="47"/>
      <c r="AG152" s="47"/>
      <c r="AH152" s="47"/>
      <c r="AI152" s="47"/>
      <c r="AJ152" s="47"/>
      <c r="AK152" s="47"/>
      <c r="AL152" s="47"/>
      <c r="AM152" s="47"/>
      <c r="AN152" s="47"/>
      <c r="AO152" s="47"/>
      <c r="AP152" s="47"/>
      <c r="AQ152" s="47"/>
      <c r="AR152" s="47"/>
      <c r="AS152" s="47"/>
      <c r="AT152" s="47"/>
      <c r="AU152" s="47"/>
      <c r="AV152" s="47"/>
      <c r="AW152" s="47"/>
      <c r="AX152" s="47"/>
      <c r="AY152" s="47"/>
      <c r="AZ152" s="47"/>
      <c r="BA152" s="47"/>
      <c r="BB152" s="47"/>
      <c r="BC152" s="47"/>
      <c r="BD152" s="47"/>
      <c r="BE152" s="47"/>
      <c r="BF152" s="47"/>
      <c r="BG152" s="47"/>
      <c r="BH152" s="47"/>
      <c r="BI152" s="47"/>
      <c r="BJ152" s="47"/>
      <c r="BK152" s="47"/>
      <c r="BL152" s="47"/>
      <c r="BM152" s="47"/>
      <c r="BN152" s="47"/>
      <c r="BO152" s="47"/>
      <c r="BP152" s="47"/>
      <c r="BQ152" s="47"/>
      <c r="BR152" s="47"/>
      <c r="BS152" s="47"/>
      <c r="BT152" s="47"/>
      <c r="BU152" s="47"/>
      <c r="BV152" s="47"/>
      <c r="BW152" s="47"/>
      <c r="BX152" s="47"/>
      <c r="BY152" s="47"/>
      <c r="BZ152" s="47"/>
    </row>
    <row r="153" spans="1:78" ht="13">
      <c r="A153" s="152" t="str">
        <f ca="1">IFERROR(__xludf.DUMMYFUNCTION("""COMPUTED_VALUE"""),"Empty Cup")</f>
        <v>Empty Cup</v>
      </c>
      <c r="B153" s="47" t="str">
        <f ca="1">IFERROR(__xludf.DUMMYFUNCTION("TRANSPOSE(unique(filter(Recipes!A$2:A2490,(Recipes!L$2:L2490=A153)+(Recipes!O$2:O2490=A153)+(Recipes!R$2:R2490=A153)+(Recipes!U$2:U2490=A153)+(Recipes!X$2:X2490=A153))))"),"Apple Juice")</f>
        <v>Apple Juice</v>
      </c>
      <c r="C153" s="47" t="str">
        <f ca="1">IFERROR(__xludf.DUMMYFUNCTION("""COMPUTED_VALUE"""),"Cup of Water")</f>
        <v>Cup of Water</v>
      </c>
      <c r="D153" s="47" t="str">
        <f ca="1">IFERROR(__xludf.DUMMYFUNCTION("""COMPUTED_VALUE"""),"Glass of Wine")</f>
        <v>Glass of Wine</v>
      </c>
      <c r="E153" s="47" t="str">
        <f ca="1">IFERROR(__xludf.DUMMYFUNCTION("""COMPUTED_VALUE"""),"Lemonade")</f>
        <v>Lemonade</v>
      </c>
      <c r="F153" s="47" t="str">
        <f ca="1">IFERROR(__xludf.DUMMYFUNCTION("""COMPUTED_VALUE"""),"Mug of Beer")</f>
        <v>Mug of Beer</v>
      </c>
      <c r="G153" s="47" t="str">
        <f ca="1">IFERROR(__xludf.DUMMYFUNCTION("""COMPUTED_VALUE"""),"Orange Juice")</f>
        <v>Orange Juice</v>
      </c>
      <c r="H153" s="47" t="str">
        <f ca="1">IFERROR(__xludf.DUMMYFUNCTION("""COMPUTED_VALUE"""),"Milk")</f>
        <v>Milk</v>
      </c>
      <c r="I153" s="47"/>
      <c r="J153" s="47"/>
      <c r="K153" s="47"/>
      <c r="L153" s="47"/>
      <c r="M153" s="47"/>
      <c r="N153" s="47"/>
      <c r="O153" s="47"/>
      <c r="P153" s="47"/>
      <c r="Q153" s="47"/>
      <c r="R153" s="47"/>
      <c r="S153" s="47"/>
      <c r="T153" s="47"/>
      <c r="U153" s="47"/>
      <c r="V153" s="47"/>
      <c r="W153" s="47"/>
      <c r="X153" s="47"/>
      <c r="Y153" s="47"/>
      <c r="Z153" s="47"/>
      <c r="AA153" s="47"/>
      <c r="AB153" s="47"/>
      <c r="AC153" s="47"/>
      <c r="AD153" s="47"/>
      <c r="AE153" s="47"/>
      <c r="AF153" s="47"/>
      <c r="AG153" s="47"/>
      <c r="AH153" s="47"/>
      <c r="AI153" s="47"/>
      <c r="AJ153" s="47"/>
      <c r="AK153" s="47"/>
      <c r="AL153" s="47"/>
      <c r="AM153" s="47"/>
      <c r="AN153" s="47"/>
      <c r="AO153" s="47"/>
      <c r="AP153" s="47"/>
      <c r="AQ153" s="47"/>
      <c r="AR153" s="47"/>
      <c r="AS153" s="47"/>
      <c r="AT153" s="47"/>
      <c r="AU153" s="47"/>
      <c r="AV153" s="47"/>
      <c r="AW153" s="47"/>
      <c r="AX153" s="47"/>
      <c r="AY153" s="47"/>
      <c r="AZ153" s="47"/>
      <c r="BA153" s="47"/>
      <c r="BB153" s="47"/>
      <c r="BC153" s="47"/>
      <c r="BD153" s="47"/>
      <c r="BE153" s="47"/>
      <c r="BF153" s="47"/>
      <c r="BG153" s="47"/>
      <c r="BH153" s="47"/>
      <c r="BI153" s="47"/>
      <c r="BJ153" s="47"/>
      <c r="BK153" s="47"/>
      <c r="BL153" s="47"/>
      <c r="BM153" s="47"/>
      <c r="BN153" s="47"/>
      <c r="BO153" s="47"/>
      <c r="BP153" s="47"/>
      <c r="BQ153" s="47"/>
      <c r="BR153" s="47"/>
      <c r="BS153" s="47"/>
      <c r="BT153" s="47"/>
      <c r="BU153" s="47"/>
      <c r="BV153" s="47"/>
      <c r="BW153" s="47"/>
      <c r="BX153" s="47"/>
      <c r="BY153" s="47"/>
      <c r="BZ153" s="47"/>
    </row>
    <row r="154" spans="1:78" ht="13">
      <c r="A154" s="152" t="str">
        <f ca="1">IFERROR(__xludf.DUMMYFUNCTION("""COMPUTED_VALUE"""),"Empty Flask")</f>
        <v>Empty Flask</v>
      </c>
      <c r="B154" s="47" t="str">
        <f ca="1">IFERROR(__xludf.DUMMYFUNCTION("TRANSPOSE(unique(filter(Recipes!A$2:A2490,(Recipes!L$2:L2490=A154)+(Recipes!O$2:O2490=A154)+(Recipes!R$2:R2490=A154)+(Recipes!U$2:U2490=A154)+(Recipes!X$2:X2490=A154))))"),"Oil Flask")</f>
        <v>Oil Flask</v>
      </c>
      <c r="C154" s="47" t="str">
        <f ca="1">IFERROR(__xludf.DUMMYFUNCTION("""COMPUTED_VALUE"""),"Poison Flask")</f>
        <v>Poison Flask</v>
      </c>
      <c r="D154" s="47"/>
      <c r="E154" s="47"/>
      <c r="F154" s="47"/>
      <c r="G154" s="47"/>
      <c r="H154" s="47"/>
      <c r="I154" s="47"/>
      <c r="J154" s="47"/>
      <c r="K154" s="47"/>
      <c r="L154" s="47"/>
      <c r="M154" s="47"/>
      <c r="N154" s="47"/>
      <c r="O154" s="47"/>
      <c r="P154" s="47"/>
      <c r="Q154" s="47"/>
      <c r="R154" s="47"/>
      <c r="S154" s="47"/>
      <c r="T154" s="47"/>
      <c r="U154" s="47"/>
      <c r="V154" s="47"/>
      <c r="W154" s="47"/>
      <c r="X154" s="47"/>
      <c r="Y154" s="47"/>
      <c r="Z154" s="47"/>
      <c r="AA154" s="47"/>
      <c r="AB154" s="47"/>
      <c r="AC154" s="47"/>
      <c r="AD154" s="47"/>
      <c r="AE154" s="47"/>
      <c r="AF154" s="47"/>
      <c r="AG154" s="47"/>
      <c r="AH154" s="47"/>
      <c r="AI154" s="47"/>
      <c r="AJ154" s="47"/>
      <c r="AK154" s="47"/>
      <c r="AL154" s="47"/>
      <c r="AM154" s="47"/>
      <c r="AN154" s="47"/>
      <c r="AO154" s="47"/>
      <c r="AP154" s="47"/>
      <c r="AQ154" s="47"/>
      <c r="AR154" s="47"/>
      <c r="AS154" s="47"/>
      <c r="AT154" s="47"/>
      <c r="AU154" s="47"/>
      <c r="AV154" s="47"/>
      <c r="AW154" s="47"/>
      <c r="AX154" s="47"/>
      <c r="AY154" s="47"/>
      <c r="AZ154" s="47"/>
      <c r="BA154" s="47"/>
      <c r="BB154" s="47"/>
      <c r="BC154" s="47"/>
      <c r="BD154" s="47"/>
      <c r="BE154" s="47"/>
      <c r="BF154" s="47"/>
      <c r="BG154" s="47"/>
      <c r="BH154" s="47"/>
      <c r="BI154" s="47"/>
      <c r="BJ154" s="47"/>
      <c r="BK154" s="47"/>
      <c r="BL154" s="47"/>
      <c r="BM154" s="47"/>
      <c r="BN154" s="47"/>
      <c r="BO154" s="47"/>
      <c r="BP154" s="47"/>
      <c r="BQ154" s="47"/>
      <c r="BR154" s="47"/>
      <c r="BS154" s="47"/>
      <c r="BT154" s="47"/>
      <c r="BU154" s="47"/>
      <c r="BV154" s="47"/>
      <c r="BW154" s="47"/>
      <c r="BX154" s="47"/>
      <c r="BY154" s="47"/>
      <c r="BZ154" s="47"/>
    </row>
    <row r="155" spans="1:78" ht="13">
      <c r="A155" s="152" t="str">
        <f ca="1">IFERROR(__xludf.DUMMYFUNCTION("""COMPUTED_VALUE"""),"Empty Grenade")</f>
        <v>Empty Grenade</v>
      </c>
      <c r="B155" s="47" t="str">
        <f ca="1">IFERROR(__xludf.DUMMYFUNCTION("TRANSPOSE(unique(filter(Recipes!A$2:A2490,(Recipes!L$2:L2490=A155)+(Recipes!O$2:O2490=A155)+(Recipes!R$2:R2490=A155)+(Recipes!U$2:U2490=A155)+(Recipes!X$2:X2490=A155))))"),"Cluster Grenade")</f>
        <v>Cluster Grenade</v>
      </c>
      <c r="C155" s="47" t="str">
        <f ca="1">IFERROR(__xludf.DUMMYFUNCTION("""COMPUTED_VALUE"""),"Frost Grenade")</f>
        <v>Frost Grenade</v>
      </c>
      <c r="D155" s="47" t="str">
        <f ca="1">IFERROR(__xludf.DUMMYFUNCTION("""COMPUTED_VALUE"""),"Nailbomb Grenade")</f>
        <v>Nailbomb Grenade</v>
      </c>
      <c r="E155" s="47" t="str">
        <f ca="1">IFERROR(__xludf.DUMMYFUNCTION("""COMPUTED_VALUE"""),"Mind Maggot Grenade")</f>
        <v>Mind Maggot Grenade</v>
      </c>
      <c r="F155" s="47"/>
      <c r="G155" s="47"/>
      <c r="H155" s="47"/>
      <c r="I155" s="47"/>
      <c r="J155" s="47"/>
      <c r="K155" s="47"/>
      <c r="L155" s="47"/>
      <c r="M155" s="47"/>
      <c r="N155" s="47"/>
      <c r="O155" s="47"/>
      <c r="P155" s="47"/>
      <c r="Q155" s="47"/>
      <c r="R155" s="47"/>
      <c r="S155" s="47"/>
      <c r="T155" s="47"/>
      <c r="U155" s="47"/>
      <c r="V155" s="47"/>
      <c r="W155" s="47"/>
      <c r="X155" s="47"/>
      <c r="Y155" s="47"/>
      <c r="Z155" s="47"/>
      <c r="AA155" s="47"/>
      <c r="AB155" s="47"/>
      <c r="AC155" s="47"/>
      <c r="AD155" s="47"/>
      <c r="AE155" s="47"/>
      <c r="AF155" s="47"/>
      <c r="AG155" s="47"/>
      <c r="AH155" s="47"/>
      <c r="AI155" s="47"/>
      <c r="AJ155" s="47"/>
      <c r="AK155" s="47"/>
      <c r="AL155" s="47"/>
      <c r="AM155" s="47"/>
      <c r="AN155" s="47"/>
      <c r="AO155" s="47"/>
      <c r="AP155" s="47"/>
      <c r="AQ155" s="47"/>
      <c r="AR155" s="47"/>
      <c r="AS155" s="47"/>
      <c r="AT155" s="47"/>
      <c r="AU155" s="47"/>
      <c r="AV155" s="47"/>
      <c r="AW155" s="47"/>
      <c r="AX155" s="47"/>
      <c r="AY155" s="47"/>
      <c r="AZ155" s="47"/>
      <c r="BA155" s="47"/>
      <c r="BB155" s="47"/>
      <c r="BC155" s="47"/>
      <c r="BD155" s="47"/>
      <c r="BE155" s="47"/>
      <c r="BF155" s="47"/>
      <c r="BG155" s="47"/>
      <c r="BH155" s="47"/>
      <c r="BI155" s="47"/>
      <c r="BJ155" s="47"/>
      <c r="BK155" s="47"/>
      <c r="BL155" s="47"/>
      <c r="BM155" s="47"/>
      <c r="BN155" s="47"/>
      <c r="BO155" s="47"/>
      <c r="BP155" s="47"/>
      <c r="BQ155" s="47"/>
      <c r="BR155" s="47"/>
      <c r="BS155" s="47"/>
      <c r="BT155" s="47"/>
      <c r="BU155" s="47"/>
      <c r="BV155" s="47"/>
      <c r="BW155" s="47"/>
      <c r="BX155" s="47"/>
      <c r="BY155" s="47"/>
      <c r="BZ155" s="47"/>
    </row>
    <row r="156" spans="1:78" ht="13">
      <c r="A156" s="152" t="str">
        <f ca="1">IFERROR(__xludf.DUMMYFUNCTION("""COMPUTED_VALUE"""),"Empty Honey Jar")</f>
        <v>Empty Honey Jar</v>
      </c>
      <c r="B156" s="47" t="str">
        <f ca="1">IFERROR(__xludf.DUMMYFUNCTION("TRANSPOSE(unique(filter(Recipes!A$2:A2490,(Recipes!L$2:L2490=A156)+(Recipes!O$2:O2490=A156)+(Recipes!R$2:R2490=A156)+(Recipes!U$2:U2490=A156)+(Recipes!X$2:X2490=A156))))"),"Jar of Honey")</f>
        <v>Jar of Honey</v>
      </c>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c r="AA156" s="47"/>
      <c r="AB156" s="47"/>
      <c r="AC156" s="47"/>
      <c r="AD156" s="47"/>
      <c r="AE156" s="47"/>
      <c r="AF156" s="47"/>
      <c r="AG156" s="47"/>
      <c r="AH156" s="47"/>
      <c r="AI156" s="47"/>
      <c r="AJ156" s="47"/>
      <c r="AK156" s="47"/>
      <c r="AL156" s="47"/>
      <c r="AM156" s="47"/>
      <c r="AN156" s="47"/>
      <c r="AO156" s="47"/>
      <c r="AP156" s="47"/>
      <c r="AQ156" s="47"/>
      <c r="AR156" s="47"/>
      <c r="AS156" s="47"/>
      <c r="AT156" s="47"/>
      <c r="AU156" s="47"/>
      <c r="AV156" s="47"/>
      <c r="AW156" s="47"/>
      <c r="AX156" s="47"/>
      <c r="AY156" s="47"/>
      <c r="AZ156" s="47"/>
      <c r="BA156" s="47"/>
      <c r="BB156" s="47"/>
      <c r="BC156" s="47"/>
      <c r="BD156" s="47"/>
      <c r="BE156" s="47"/>
      <c r="BF156" s="47"/>
      <c r="BG156" s="47"/>
      <c r="BH156" s="47"/>
      <c r="BI156" s="47"/>
      <c r="BJ156" s="47"/>
      <c r="BK156" s="47"/>
      <c r="BL156" s="47"/>
      <c r="BM156" s="47"/>
      <c r="BN156" s="47"/>
      <c r="BO156" s="47"/>
      <c r="BP156" s="47"/>
      <c r="BQ156" s="47"/>
      <c r="BR156" s="47"/>
      <c r="BS156" s="47"/>
      <c r="BT156" s="47"/>
      <c r="BU156" s="47"/>
      <c r="BV156" s="47"/>
      <c r="BW156" s="47"/>
      <c r="BX156" s="47"/>
      <c r="BY156" s="47"/>
      <c r="BZ156" s="47"/>
    </row>
    <row r="157" spans="1:78" ht="13">
      <c r="A157" s="152" t="str">
        <f ca="1">IFERROR(__xludf.DUMMYFUNCTION("""COMPUTED_VALUE"""),"Empty Mug")</f>
        <v>Empty Mug</v>
      </c>
      <c r="B157" s="47" t="str">
        <f ca="1">IFERROR(__xludf.DUMMYFUNCTION("TRANSPOSE(unique(filter(Recipes!A$2:A2490,(Recipes!L$2:L2490=A157)+(Recipes!O$2:O2490=A157)+(Recipes!R$2:R2490=A157)+(Recipes!U$2:U2490=A157)+(Recipes!X$2:X2490=A157))))"),"Lemonade")</f>
        <v>Lemonade</v>
      </c>
      <c r="C157" s="47" t="str">
        <f ca="1">IFERROR(__xludf.DUMMYFUNCTION("""COMPUTED_VALUE"""),"Mug of Beer")</f>
        <v>Mug of Beer</v>
      </c>
      <c r="D157" s="47" t="str">
        <f ca="1">IFERROR(__xludf.DUMMYFUNCTION("""COMPUTED_VALUE"""),"Mug of Water")</f>
        <v>Mug of Water</v>
      </c>
      <c r="E157" s="47" t="str">
        <f ca="1">IFERROR(__xludf.DUMMYFUNCTION("""COMPUTED_VALUE"""),"Mug of Wine")</f>
        <v>Mug of Wine</v>
      </c>
      <c r="F157" s="47"/>
      <c r="G157" s="47"/>
      <c r="H157" s="47"/>
      <c r="I157" s="47"/>
      <c r="J157" s="47"/>
      <c r="K157" s="47"/>
      <c r="L157" s="47"/>
      <c r="M157" s="47"/>
      <c r="N157" s="47"/>
      <c r="O157" s="47"/>
      <c r="P157" s="47"/>
      <c r="Q157" s="47"/>
      <c r="R157" s="47"/>
      <c r="S157" s="47"/>
      <c r="T157" s="47"/>
      <c r="U157" s="47"/>
      <c r="V157" s="47"/>
      <c r="W157" s="47"/>
      <c r="X157" s="47"/>
      <c r="Y157" s="47"/>
      <c r="Z157" s="47"/>
      <c r="AA157" s="47"/>
      <c r="AB157" s="47"/>
      <c r="AC157" s="47"/>
      <c r="AD157" s="47"/>
      <c r="AE157" s="47"/>
      <c r="AF157" s="47"/>
      <c r="AG157" s="47"/>
      <c r="AH157" s="47"/>
      <c r="AI157" s="47"/>
      <c r="AJ157" s="47"/>
      <c r="AK157" s="47"/>
      <c r="AL157" s="47"/>
      <c r="AM157" s="47"/>
      <c r="AN157" s="47"/>
      <c r="AO157" s="47"/>
      <c r="AP157" s="47"/>
      <c r="AQ157" s="47"/>
      <c r="AR157" s="47"/>
      <c r="AS157" s="47"/>
      <c r="AT157" s="47"/>
      <c r="AU157" s="47"/>
      <c r="AV157" s="47"/>
      <c r="AW157" s="47"/>
      <c r="AX157" s="47"/>
      <c r="AY157" s="47"/>
      <c r="AZ157" s="47"/>
      <c r="BA157" s="47"/>
      <c r="BB157" s="47"/>
      <c r="BC157" s="47"/>
      <c r="BD157" s="47"/>
      <c r="BE157" s="47"/>
      <c r="BF157" s="47"/>
      <c r="BG157" s="47"/>
      <c r="BH157" s="47"/>
      <c r="BI157" s="47"/>
      <c r="BJ157" s="47"/>
      <c r="BK157" s="47"/>
      <c r="BL157" s="47"/>
      <c r="BM157" s="47"/>
      <c r="BN157" s="47"/>
      <c r="BO157" s="47"/>
      <c r="BP157" s="47"/>
      <c r="BQ157" s="47"/>
      <c r="BR157" s="47"/>
      <c r="BS157" s="47"/>
      <c r="BT157" s="47"/>
      <c r="BU157" s="47"/>
      <c r="BV157" s="47"/>
      <c r="BW157" s="47"/>
      <c r="BX157" s="47"/>
      <c r="BY157" s="47"/>
      <c r="BZ157" s="47"/>
    </row>
    <row r="158" spans="1:78" ht="13">
      <c r="A158" s="152" t="str">
        <f ca="1">IFERROR(__xludf.DUMMYFUNCTION("""COMPUTED_VALUE"""),"Empty Perfume Bottle")</f>
        <v>Empty Perfume Bottle</v>
      </c>
      <c r="B158" s="47" t="str">
        <f ca="1">IFERROR(__xludf.DUMMYFUNCTION("TRANSPOSE(unique(filter(Recipes!A$2:A2490,(Recipes!L$2:L2490=A158)+(Recipes!O$2:O2490=A158)+(Recipes!R$2:R2490=A158)+(Recipes!U$2:U2490=A158)+(Recipes!X$2:X2490=A158))))"),"Love Grenade")</f>
        <v>Love Grenade</v>
      </c>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c r="AA158" s="47"/>
      <c r="AB158" s="47"/>
      <c r="AC158" s="47"/>
      <c r="AD158" s="47"/>
      <c r="AE158" s="47"/>
      <c r="AF158" s="47"/>
      <c r="AG158" s="47"/>
      <c r="AH158" s="47"/>
      <c r="AI158" s="47"/>
      <c r="AJ158" s="47"/>
      <c r="AK158" s="47"/>
      <c r="AL158" s="47"/>
      <c r="AM158" s="47"/>
      <c r="AN158" s="47"/>
      <c r="AO158" s="47"/>
      <c r="AP158" s="47"/>
      <c r="AQ158" s="47"/>
      <c r="AR158" s="47"/>
      <c r="AS158" s="47"/>
      <c r="AT158" s="47"/>
      <c r="AU158" s="47"/>
      <c r="AV158" s="47"/>
      <c r="AW158" s="47"/>
      <c r="AX158" s="47"/>
      <c r="AY158" s="47"/>
      <c r="AZ158" s="47"/>
      <c r="BA158" s="47"/>
      <c r="BB158" s="47"/>
      <c r="BC158" s="47"/>
      <c r="BD158" s="47"/>
      <c r="BE158" s="47"/>
      <c r="BF158" s="47"/>
      <c r="BG158" s="47"/>
      <c r="BH158" s="47"/>
      <c r="BI158" s="47"/>
      <c r="BJ158" s="47"/>
      <c r="BK158" s="47"/>
      <c r="BL158" s="47"/>
      <c r="BM158" s="47"/>
      <c r="BN158" s="47"/>
      <c r="BO158" s="47"/>
      <c r="BP158" s="47"/>
      <c r="BQ158" s="47"/>
      <c r="BR158" s="47"/>
      <c r="BS158" s="47"/>
      <c r="BT158" s="47"/>
      <c r="BU158" s="47"/>
      <c r="BV158" s="47"/>
      <c r="BW158" s="47"/>
      <c r="BX158" s="47"/>
      <c r="BY158" s="47"/>
      <c r="BZ158" s="47"/>
    </row>
    <row r="159" spans="1:78" ht="13">
      <c r="A159" s="152" t="str">
        <f ca="1">IFERROR(__xludf.DUMMYFUNCTION("""COMPUTED_VALUE"""),"Empty Potion Bottle")</f>
        <v>Empty Potion Bottle</v>
      </c>
      <c r="B159" s="47" t="str">
        <f ca="1">IFERROR(__xludf.DUMMYFUNCTION("TRANSPOSE(unique(filter(Recipes!A$2:A2490,(Recipes!L$2:L2490=A159)+(Recipes!O$2:O2490=A159)+(Recipes!R$2:R2490=A159)+(Recipes!U$2:U2490=A159)+(Recipes!X$2:X2490=A159))))"),"Attar of the Blood Rose")</f>
        <v>Attar of the Blood Rose</v>
      </c>
      <c r="C159" s="47" t="str">
        <f ca="1">IFERROR(__xludf.DUMMYFUNCTION("""COMPUTED_VALUE"""),"Earth Resistance Potion")</f>
        <v>Earth Resistance Potion</v>
      </c>
      <c r="D159" s="47" t="str">
        <f ca="1">IFERROR(__xludf.DUMMYFUNCTION("""COMPUTED_VALUE"""),"Fire Resistance Potion")</f>
        <v>Fire Resistance Potion</v>
      </c>
      <c r="E159" s="47" t="str">
        <f ca="1">IFERROR(__xludf.DUMMYFUNCTION("""COMPUTED_VALUE"""),"Invisibility Potion")</f>
        <v>Invisibility Potion</v>
      </c>
      <c r="F159" s="47" t="str">
        <f ca="1">IFERROR(__xludf.DUMMYFUNCTION("""COMPUTED_VALUE"""),"Minor Constitution Potion")</f>
        <v>Minor Constitution Potion</v>
      </c>
      <c r="G159" s="47" t="str">
        <f ca="1">IFERROR(__xludf.DUMMYFUNCTION("""COMPUTED_VALUE"""),"Minor Finesse Potion")</f>
        <v>Minor Finesse Potion</v>
      </c>
      <c r="H159" s="47" t="str">
        <f ca="1">IFERROR(__xludf.DUMMYFUNCTION("""COMPUTED_VALUE"""),"Minor Intelligence Potion")</f>
        <v>Minor Intelligence Potion</v>
      </c>
      <c r="I159" s="47" t="str">
        <f ca="1">IFERROR(__xludf.DUMMYFUNCTION("""COMPUTED_VALUE"""),"Minor Resist All Potion")</f>
        <v>Minor Resist All Potion</v>
      </c>
      <c r="J159" s="47" t="str">
        <f ca="1">IFERROR(__xludf.DUMMYFUNCTION("""COMPUTED_VALUE"""),"Minor Strength Potion")</f>
        <v>Minor Strength Potion</v>
      </c>
      <c r="K159" s="47" t="str">
        <f ca="1">IFERROR(__xludf.DUMMYFUNCTION("""COMPUTED_VALUE"""),"Minor Wits Potion")</f>
        <v>Minor Wits Potion</v>
      </c>
      <c r="L159" s="47" t="str">
        <f ca="1">IFERROR(__xludf.DUMMYFUNCTION("""COMPUTED_VALUE"""),"Physical Armor Potion")</f>
        <v>Physical Armor Potion</v>
      </c>
      <c r="M159" s="47" t="str">
        <f ca="1">IFERROR(__xludf.DUMMYFUNCTION("""COMPUTED_VALUE"""),"Potion of Jellyfish Skin")</f>
        <v>Potion of Jellyfish Skin</v>
      </c>
      <c r="N159" s="47" t="str">
        <f ca="1">IFERROR(__xludf.DUMMYFUNCTION("""COMPUTED_VALUE"""),"Potion of Nimble Tumble")</f>
        <v>Potion of Nimble Tumble</v>
      </c>
      <c r="O159" s="47" t="str">
        <f ca="1">IFERROR(__xludf.DUMMYFUNCTION("""COMPUTED_VALUE"""),"Potion of Strong Will")</f>
        <v>Potion of Strong Will</v>
      </c>
      <c r="P159" s="47" t="str">
        <f ca="1">IFERROR(__xludf.DUMMYFUNCTION("""COMPUTED_VALUE"""),"Small Air Resistance Potion")</f>
        <v>Small Air Resistance Potion</v>
      </c>
      <c r="Q159" s="47" t="str">
        <f ca="1">IFERROR(__xludf.DUMMYFUNCTION("""COMPUTED_VALUE"""),"Small Magic Armor Potion")</f>
        <v>Small Magic Armor Potion</v>
      </c>
      <c r="R159" s="47" t="str">
        <f ca="1">IFERROR(__xludf.DUMMYFUNCTION("""COMPUTED_VALUE"""),"Stoneskin Potion")</f>
        <v>Stoneskin Potion</v>
      </c>
      <c r="S159" s="47" t="str">
        <f ca="1">IFERROR(__xludf.DUMMYFUNCTION("""COMPUTED_VALUE"""),"Water Resistance Potion")</f>
        <v>Water Resistance Potion</v>
      </c>
      <c r="T159" s="47" t="str">
        <f ca="1">IFERROR(__xludf.DUMMYFUNCTION("""COMPUTED_VALUE"""),"Healing Elixir")</f>
        <v>Healing Elixir</v>
      </c>
      <c r="U159" s="47" t="str">
        <f ca="1">IFERROR(__xludf.DUMMYFUNCTION("""COMPUTED_VALUE"""),"Minor Healing Potion")</f>
        <v>Minor Healing Potion</v>
      </c>
      <c r="V159" s="47" t="str">
        <f ca="1">IFERROR(__xludf.DUMMYFUNCTION("""COMPUTED_VALUE"""),"Small Poison Bottle")</f>
        <v>Small Poison Bottle</v>
      </c>
      <c r="W159" s="47"/>
      <c r="X159" s="47"/>
      <c r="Y159" s="47"/>
      <c r="Z159" s="47"/>
      <c r="AA159" s="47"/>
      <c r="AB159" s="47"/>
      <c r="AC159" s="47"/>
      <c r="AD159" s="47"/>
      <c r="AE159" s="47"/>
      <c r="AF159" s="47"/>
      <c r="AG159" s="47"/>
      <c r="AH159" s="47"/>
      <c r="AI159" s="47"/>
      <c r="AJ159" s="47"/>
      <c r="AK159" s="47"/>
      <c r="AL159" s="47"/>
      <c r="AM159" s="47"/>
      <c r="AN159" s="47"/>
      <c r="AO159" s="47"/>
      <c r="AP159" s="47"/>
      <c r="AQ159" s="47"/>
      <c r="AR159" s="47"/>
      <c r="AS159" s="47"/>
      <c r="AT159" s="47"/>
      <c r="AU159" s="47"/>
      <c r="AV159" s="47"/>
      <c r="AW159" s="47"/>
      <c r="AX159" s="47"/>
      <c r="AY159" s="47"/>
      <c r="AZ159" s="47"/>
      <c r="BA159" s="47"/>
      <c r="BB159" s="47"/>
      <c r="BC159" s="47"/>
      <c r="BD159" s="47"/>
      <c r="BE159" s="47"/>
      <c r="BF159" s="47"/>
      <c r="BG159" s="47"/>
      <c r="BH159" s="47"/>
      <c r="BI159" s="47"/>
      <c r="BJ159" s="47"/>
      <c r="BK159" s="47"/>
      <c r="BL159" s="47"/>
      <c r="BM159" s="47"/>
      <c r="BN159" s="47"/>
      <c r="BO159" s="47"/>
      <c r="BP159" s="47"/>
      <c r="BQ159" s="47"/>
      <c r="BR159" s="47"/>
      <c r="BS159" s="47"/>
      <c r="BT159" s="47"/>
      <c r="BU159" s="47"/>
      <c r="BV159" s="47"/>
      <c r="BW159" s="47"/>
      <c r="BX159" s="47"/>
      <c r="BY159" s="47"/>
      <c r="BZ159" s="47"/>
    </row>
    <row r="160" spans="1:78" ht="13">
      <c r="A160" s="152" t="str">
        <f ca="1">IFERROR(__xludf.DUMMYFUNCTION("""COMPUTED_VALUE"""),"Enlightenment Herbmix")</f>
        <v>Enlightenment Herbmix</v>
      </c>
      <c r="B160" s="47" t="str">
        <f ca="1">IFERROR(__xludf.DUMMYFUNCTION("TRANSPOSE(unique(filter(Recipes!A$2:A2490,(Recipes!L$2:L2490=A160)+(Recipes!O$2:O2490=A160)+(Recipes!R$2:R2490=A160)+(Recipes!U$2:U2490=A160)+(Recipes!X$2:X2490=A160))))"),"Potent Enlightenment Herbmix")</f>
        <v>Potent Enlightenment Herbmix</v>
      </c>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c r="AA160" s="47"/>
      <c r="AB160" s="47"/>
      <c r="AC160" s="47"/>
      <c r="AD160" s="47"/>
      <c r="AE160" s="47"/>
      <c r="AF160" s="47"/>
      <c r="AG160" s="47"/>
      <c r="AH160" s="47"/>
      <c r="AI160" s="47"/>
      <c r="AJ160" s="47"/>
      <c r="AK160" s="47"/>
      <c r="AL160" s="47"/>
      <c r="AM160" s="47"/>
      <c r="AN160" s="47"/>
      <c r="AO160" s="47"/>
      <c r="AP160" s="47"/>
      <c r="AQ160" s="47"/>
      <c r="AR160" s="47"/>
      <c r="AS160" s="47"/>
      <c r="AT160" s="47"/>
      <c r="AU160" s="47"/>
      <c r="AV160" s="47"/>
      <c r="AW160" s="47"/>
      <c r="AX160" s="47"/>
      <c r="AY160" s="47"/>
      <c r="AZ160" s="47"/>
      <c r="BA160" s="47"/>
      <c r="BB160" s="47"/>
      <c r="BC160" s="47"/>
      <c r="BD160" s="47"/>
      <c r="BE160" s="47"/>
      <c r="BF160" s="47"/>
      <c r="BG160" s="47"/>
      <c r="BH160" s="47"/>
      <c r="BI160" s="47"/>
      <c r="BJ160" s="47"/>
      <c r="BK160" s="47"/>
      <c r="BL160" s="47"/>
      <c r="BM160" s="47"/>
      <c r="BN160" s="47"/>
      <c r="BO160" s="47"/>
      <c r="BP160" s="47"/>
      <c r="BQ160" s="47"/>
      <c r="BR160" s="47"/>
      <c r="BS160" s="47"/>
      <c r="BT160" s="47"/>
      <c r="BU160" s="47"/>
      <c r="BV160" s="47"/>
      <c r="BW160" s="47"/>
      <c r="BX160" s="47"/>
      <c r="BY160" s="47"/>
      <c r="BZ160" s="47"/>
    </row>
    <row r="161" spans="1:78" ht="13">
      <c r="A161" s="152" t="str">
        <f ca="1">IFERROR(__xludf.DUMMYFUNCTION("""COMPUTED_VALUE"""),"Epidemic of Fire Scroll")</f>
        <v>Epidemic of Fire Scroll</v>
      </c>
      <c r="B161" s="47" t="str">
        <f ca="1">IFERROR(__xludf.DUMMYFUNCTION("TRANSPOSE(unique(filter(Recipes!A$2:A2490,(Recipes!L$2:L2490=A161)+(Recipes!O$2:O2490=A161)+(Recipes!R$2:R2490=A161)+(Recipes!U$2:U2490=A161)+(Recipes!X$2:X2490=A161))))"),"Epidemic of Fire Skillbook")</f>
        <v>Epidemic of Fire Skillbook</v>
      </c>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7"/>
      <c r="AB161" s="47"/>
      <c r="AC161" s="47"/>
      <c r="AD161" s="47"/>
      <c r="AE161" s="47"/>
      <c r="AF161" s="47"/>
      <c r="AG161" s="47"/>
      <c r="AH161" s="47"/>
      <c r="AI161" s="47"/>
      <c r="AJ161" s="47"/>
      <c r="AK161" s="47"/>
      <c r="AL161" s="47"/>
      <c r="AM161" s="47"/>
      <c r="AN161" s="47"/>
      <c r="AO161" s="47"/>
      <c r="AP161" s="47"/>
      <c r="AQ161" s="47"/>
      <c r="AR161" s="47"/>
      <c r="AS161" s="47"/>
      <c r="AT161" s="47"/>
      <c r="AU161" s="47"/>
      <c r="AV161" s="47"/>
      <c r="AW161" s="47"/>
      <c r="AX161" s="47"/>
      <c r="AY161" s="47"/>
      <c r="AZ161" s="47"/>
      <c r="BA161" s="47"/>
      <c r="BB161" s="47"/>
      <c r="BC161" s="47"/>
      <c r="BD161" s="47"/>
      <c r="BE161" s="47"/>
      <c r="BF161" s="47"/>
      <c r="BG161" s="47"/>
      <c r="BH161" s="47"/>
      <c r="BI161" s="47"/>
      <c r="BJ161" s="47"/>
      <c r="BK161" s="47"/>
      <c r="BL161" s="47"/>
      <c r="BM161" s="47"/>
      <c r="BN161" s="47"/>
      <c r="BO161" s="47"/>
      <c r="BP161" s="47"/>
      <c r="BQ161" s="47"/>
      <c r="BR161" s="47"/>
      <c r="BS161" s="47"/>
      <c r="BT161" s="47"/>
      <c r="BU161" s="47"/>
      <c r="BV161" s="47"/>
      <c r="BW161" s="47"/>
      <c r="BX161" s="47"/>
      <c r="BY161" s="47"/>
      <c r="BZ161" s="47"/>
    </row>
    <row r="162" spans="1:78" ht="13">
      <c r="A162" s="152" t="str">
        <f ca="1">IFERROR(__xludf.DUMMYFUNCTION("""COMPUTED_VALUE"""),"Equalise Scroll")</f>
        <v>Equalise Scroll</v>
      </c>
      <c r="B162" s="47" t="str">
        <f ca="1">IFERROR(__xludf.DUMMYFUNCTION("TRANSPOSE(unique(filter(Recipes!A$2:A2490,(Recipes!L$2:L2490=A162)+(Recipes!O$2:O2490=A162)+(Recipes!R$2:R2490=A162)+(Recipes!U$2:U2490=A162)+(Recipes!X$2:X2490=A162))))"),"Equalise Skillbook")</f>
        <v>Equalise Skillbook</v>
      </c>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7"/>
      <c r="AB162" s="47"/>
      <c r="AC162" s="47"/>
      <c r="AD162" s="47"/>
      <c r="AE162" s="47"/>
      <c r="AF162" s="47"/>
      <c r="AG162" s="47"/>
      <c r="AH162" s="47"/>
      <c r="AI162" s="47"/>
      <c r="AJ162" s="47"/>
      <c r="AK162" s="47"/>
      <c r="AL162" s="47"/>
      <c r="AM162" s="47"/>
      <c r="AN162" s="47"/>
      <c r="AO162" s="47"/>
      <c r="AP162" s="47"/>
      <c r="AQ162" s="47"/>
      <c r="AR162" s="47"/>
      <c r="AS162" s="47"/>
      <c r="AT162" s="47"/>
      <c r="AU162" s="47"/>
      <c r="AV162" s="47"/>
      <c r="AW162" s="47"/>
      <c r="AX162" s="47"/>
      <c r="AY162" s="47"/>
      <c r="AZ162" s="47"/>
      <c r="BA162" s="47"/>
      <c r="BB162" s="47"/>
      <c r="BC162" s="47"/>
      <c r="BD162" s="47"/>
      <c r="BE162" s="47"/>
      <c r="BF162" s="47"/>
      <c r="BG162" s="47"/>
      <c r="BH162" s="47"/>
      <c r="BI162" s="47"/>
      <c r="BJ162" s="47"/>
      <c r="BK162" s="47"/>
      <c r="BL162" s="47"/>
      <c r="BM162" s="47"/>
      <c r="BN162" s="47"/>
      <c r="BO162" s="47"/>
      <c r="BP162" s="47"/>
      <c r="BQ162" s="47"/>
      <c r="BR162" s="47"/>
      <c r="BS162" s="47"/>
      <c r="BT162" s="47"/>
      <c r="BU162" s="47"/>
      <c r="BV162" s="47"/>
      <c r="BW162" s="47"/>
      <c r="BX162" s="47"/>
      <c r="BY162" s="47"/>
      <c r="BZ162" s="47"/>
    </row>
    <row r="163" spans="1:78" ht="13">
      <c r="A163" s="152" t="str">
        <f ca="1">IFERROR(__xludf.DUMMYFUNCTION("""COMPUTED_VALUE"""),"Eternal Artefact [A]")</f>
        <v>Eternal Artefact [A]</v>
      </c>
      <c r="B163" s="47" t="str">
        <f ca="1">IFERROR(__xludf.DUMMYFUNCTION("TRANSPOSE(unique(filter(Recipes!A$2:A2490,(Recipes!L$2:L2490=A163)+(Recipes!O$2:O2490=A163)+(Recipes!R$2:R2490=A163)+(Recipes!U$2:U2490=A163)+(Recipes!X$2:X2490=A163))))"),"Armour of the Eternals")</f>
        <v>Armour of the Eternals</v>
      </c>
      <c r="C163" s="47" t="str">
        <f ca="1">IFERROR(__xludf.DUMMYFUNCTION("""COMPUTED_VALUE"""),"Boost Amulet")</f>
        <v>Boost Amulet</v>
      </c>
      <c r="D163" s="47" t="str">
        <f ca="1">IFERROR(__xludf.DUMMYFUNCTION("""COMPUTED_VALUE"""),"Boost Chest Armor")</f>
        <v>Boost Chest Armor</v>
      </c>
      <c r="E163" s="47" t="str">
        <f ca="1">IFERROR(__xludf.DUMMYFUNCTION("""COMPUTED_VALUE"""),"Boost Boots")</f>
        <v>Boost Boots</v>
      </c>
      <c r="F163" s="47" t="str">
        <f ca="1">IFERROR(__xludf.DUMMYFUNCTION("""COMPUTED_VALUE"""),"Boost Gloves")</f>
        <v>Boost Gloves</v>
      </c>
      <c r="G163" s="47" t="str">
        <f ca="1">IFERROR(__xludf.DUMMYFUNCTION("""COMPUTED_VALUE"""),"Boost Helmet")</f>
        <v>Boost Helmet</v>
      </c>
      <c r="H163" s="47" t="str">
        <f ca="1">IFERROR(__xludf.DUMMYFUNCTION("""COMPUTED_VALUE"""),"Boost Legs")</f>
        <v>Boost Legs</v>
      </c>
      <c r="I163" s="47" t="str">
        <f ca="1">IFERROR(__xludf.DUMMYFUNCTION("""COMPUTED_VALUE"""),"Boost Ring")</f>
        <v>Boost Ring</v>
      </c>
      <c r="J163" s="47" t="str">
        <f ca="1">IFERROR(__xludf.DUMMYFUNCTION("""COMPUTED_VALUE"""),"Boost Belt")</f>
        <v>Boost Belt</v>
      </c>
      <c r="K163" s="47"/>
      <c r="L163" s="47"/>
      <c r="M163" s="47"/>
      <c r="N163" s="47"/>
      <c r="O163" s="47"/>
      <c r="P163" s="47"/>
      <c r="Q163" s="47"/>
      <c r="R163" s="47"/>
      <c r="S163" s="47"/>
      <c r="T163" s="47"/>
      <c r="U163" s="47"/>
      <c r="V163" s="47"/>
      <c r="W163" s="47"/>
      <c r="X163" s="47"/>
      <c r="Y163" s="47"/>
      <c r="Z163" s="47"/>
      <c r="AA163" s="47"/>
      <c r="AB163" s="47"/>
      <c r="AC163" s="47"/>
      <c r="AD163" s="47"/>
      <c r="AE163" s="47"/>
      <c r="AF163" s="47"/>
      <c r="AG163" s="47"/>
      <c r="AH163" s="47"/>
      <c r="AI163" s="47"/>
      <c r="AJ163" s="47"/>
      <c r="AK163" s="47"/>
      <c r="AL163" s="47"/>
      <c r="AM163" s="47"/>
      <c r="AN163" s="47"/>
      <c r="AO163" s="47"/>
      <c r="AP163" s="47"/>
      <c r="AQ163" s="47"/>
      <c r="AR163" s="47"/>
      <c r="AS163" s="47"/>
      <c r="AT163" s="47"/>
      <c r="AU163" s="47"/>
      <c r="AV163" s="47"/>
      <c r="AW163" s="47"/>
      <c r="AX163" s="47"/>
      <c r="AY163" s="47"/>
      <c r="AZ163" s="47"/>
      <c r="BA163" s="47"/>
      <c r="BB163" s="47"/>
      <c r="BC163" s="47"/>
      <c r="BD163" s="47"/>
      <c r="BE163" s="47"/>
      <c r="BF163" s="47"/>
      <c r="BG163" s="47"/>
      <c r="BH163" s="47"/>
      <c r="BI163" s="47"/>
      <c r="BJ163" s="47"/>
      <c r="BK163" s="47"/>
      <c r="BL163" s="47"/>
      <c r="BM163" s="47"/>
      <c r="BN163" s="47"/>
      <c r="BO163" s="47"/>
      <c r="BP163" s="47"/>
      <c r="BQ163" s="47"/>
      <c r="BR163" s="47"/>
      <c r="BS163" s="47"/>
      <c r="BT163" s="47"/>
      <c r="BU163" s="47"/>
      <c r="BV163" s="47"/>
      <c r="BW163" s="47"/>
      <c r="BX163" s="47"/>
      <c r="BY163" s="47"/>
      <c r="BZ163" s="47"/>
    </row>
    <row r="164" spans="1:78" ht="13">
      <c r="A164" s="152" t="str">
        <f ca="1">IFERROR(__xludf.DUMMYFUNCTION("""COMPUTED_VALUE"""),"Eternal Artefact [C]")</f>
        <v>Eternal Artefact [C]</v>
      </c>
      <c r="B164" s="47" t="str">
        <f ca="1">IFERROR(__xludf.DUMMYFUNCTION("TRANSPOSE(unique(filter(Recipes!A$2:A2490,(Recipes!L$2:L2490=A164)+(Recipes!O$2:O2490=A164)+(Recipes!R$2:R2490=A164)+(Recipes!U$2:U2490=A164)+(Recipes!X$2:X2490=A164))))"),"Armour of the Eternals")</f>
        <v>Armour of the Eternals</v>
      </c>
      <c r="C164" s="47" t="str">
        <f ca="1">IFERROR(__xludf.DUMMYFUNCTION("""COMPUTED_VALUE"""),"Add Air Damage")</f>
        <v>Add Air Damage</v>
      </c>
      <c r="D164" s="47"/>
      <c r="E164" s="47"/>
      <c r="F164" s="47"/>
      <c r="G164" s="47"/>
      <c r="H164" s="47"/>
      <c r="I164" s="47"/>
      <c r="J164" s="47"/>
      <c r="K164" s="47"/>
      <c r="L164" s="47"/>
      <c r="M164" s="47"/>
      <c r="N164" s="47"/>
      <c r="O164" s="47"/>
      <c r="P164" s="47"/>
      <c r="Q164" s="47"/>
      <c r="R164" s="47"/>
      <c r="S164" s="47"/>
      <c r="T164" s="47"/>
      <c r="U164" s="47"/>
      <c r="V164" s="47"/>
      <c r="W164" s="47"/>
      <c r="X164" s="47"/>
      <c r="Y164" s="47"/>
      <c r="Z164" s="47"/>
      <c r="AA164" s="47"/>
      <c r="AB164" s="47"/>
      <c r="AC164" s="47"/>
      <c r="AD164" s="47"/>
      <c r="AE164" s="47"/>
      <c r="AF164" s="47"/>
      <c r="AG164" s="47"/>
      <c r="AH164" s="47"/>
      <c r="AI164" s="47"/>
      <c r="AJ164" s="47"/>
      <c r="AK164" s="47"/>
      <c r="AL164" s="47"/>
      <c r="AM164" s="47"/>
      <c r="AN164" s="47"/>
      <c r="AO164" s="47"/>
      <c r="AP164" s="47"/>
      <c r="AQ164" s="47"/>
      <c r="AR164" s="47"/>
      <c r="AS164" s="47"/>
      <c r="AT164" s="47"/>
      <c r="AU164" s="47"/>
      <c r="AV164" s="47"/>
      <c r="AW164" s="47"/>
      <c r="AX164" s="47"/>
      <c r="AY164" s="47"/>
      <c r="AZ164" s="47"/>
      <c r="BA164" s="47"/>
      <c r="BB164" s="47"/>
      <c r="BC164" s="47"/>
      <c r="BD164" s="47"/>
      <c r="BE164" s="47"/>
      <c r="BF164" s="47"/>
      <c r="BG164" s="47"/>
      <c r="BH164" s="47"/>
      <c r="BI164" s="47"/>
      <c r="BJ164" s="47"/>
      <c r="BK164" s="47"/>
      <c r="BL164" s="47"/>
      <c r="BM164" s="47"/>
      <c r="BN164" s="47"/>
      <c r="BO164" s="47"/>
      <c r="BP164" s="47"/>
      <c r="BQ164" s="47"/>
      <c r="BR164" s="47"/>
      <c r="BS164" s="47"/>
      <c r="BT164" s="47"/>
      <c r="BU164" s="47"/>
      <c r="BV164" s="47"/>
      <c r="BW164" s="47"/>
      <c r="BX164" s="47"/>
      <c r="BY164" s="47"/>
      <c r="BZ164" s="47"/>
    </row>
    <row r="165" spans="1:78" ht="13">
      <c r="A165" s="152" t="str">
        <f ca="1">IFERROR(__xludf.DUMMYFUNCTION("""COMPUTED_VALUE"""),"Eternal Plate")</f>
        <v>Eternal Plate</v>
      </c>
      <c r="B165" s="47" t="str">
        <f ca="1">IFERROR(__xludf.DUMMYFUNCTION("TRANSPOSE(unique(filter(Recipes!A$2:A2490,(Recipes!L$2:L2490=A165)+(Recipes!O$2:O2490=A165)+(Recipes!R$2:R2490=A165)+(Recipes!U$2:U2490=A165)+(Recipes!X$2:X2490=A165))))"),"Armour of the Eternals")</f>
        <v>Armour of the Eternals</v>
      </c>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c r="AA165" s="47"/>
      <c r="AB165" s="47"/>
      <c r="AC165" s="47"/>
      <c r="AD165" s="47"/>
      <c r="AE165" s="47"/>
      <c r="AF165" s="47"/>
      <c r="AG165" s="47"/>
      <c r="AH165" s="47"/>
      <c r="AI165" s="47"/>
      <c r="AJ165" s="47"/>
      <c r="AK165" s="47"/>
      <c r="AL165" s="47"/>
      <c r="AM165" s="47"/>
      <c r="AN165" s="47"/>
      <c r="AO165" s="47"/>
      <c r="AP165" s="47"/>
      <c r="AQ165" s="47"/>
      <c r="AR165" s="47"/>
      <c r="AS165" s="47"/>
      <c r="AT165" s="47"/>
      <c r="AU165" s="47"/>
      <c r="AV165" s="47"/>
      <c r="AW165" s="47"/>
      <c r="AX165" s="47"/>
      <c r="AY165" s="47"/>
      <c r="AZ165" s="47"/>
      <c r="BA165" s="47"/>
      <c r="BB165" s="47"/>
      <c r="BC165" s="47"/>
      <c r="BD165" s="47"/>
      <c r="BE165" s="47"/>
      <c r="BF165" s="47"/>
      <c r="BG165" s="47"/>
      <c r="BH165" s="47"/>
      <c r="BI165" s="47"/>
      <c r="BJ165" s="47"/>
      <c r="BK165" s="47"/>
      <c r="BL165" s="47"/>
      <c r="BM165" s="47"/>
      <c r="BN165" s="47"/>
      <c r="BO165" s="47"/>
      <c r="BP165" s="47"/>
      <c r="BQ165" s="47"/>
      <c r="BR165" s="47"/>
      <c r="BS165" s="47"/>
      <c r="BT165" s="47"/>
      <c r="BU165" s="47"/>
      <c r="BV165" s="47"/>
      <c r="BW165" s="47"/>
      <c r="BX165" s="47"/>
      <c r="BY165" s="47"/>
      <c r="BZ165" s="47"/>
    </row>
    <row r="166" spans="1:78" ht="13">
      <c r="A166" s="152" t="str">
        <f ca="1">IFERROR(__xludf.DUMMYFUNCTION("""COMPUTED_VALUE"""),"Ethereal Storm Scroll")</f>
        <v>Ethereal Storm Scroll</v>
      </c>
      <c r="B166" s="47" t="str">
        <f ca="1">IFERROR(__xludf.DUMMYFUNCTION("TRANSPOSE(unique(filter(Recipes!A$2:A2490,(Recipes!L$2:L2490=A166)+(Recipes!O$2:O2490=A166)+(Recipes!R$2:R2490=A166)+(Recipes!U$2:U2490=A166)+(Recipes!X$2:X2490=A166))))"),"Ethereal Storm Skillbook")</f>
        <v>Ethereal Storm Skillbook</v>
      </c>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c r="AA166" s="47"/>
      <c r="AB166" s="47"/>
      <c r="AC166" s="47"/>
      <c r="AD166" s="47"/>
      <c r="AE166" s="47"/>
      <c r="AF166" s="47"/>
      <c r="AG166" s="47"/>
      <c r="AH166" s="47"/>
      <c r="AI166" s="47"/>
      <c r="AJ166" s="47"/>
      <c r="AK166" s="47"/>
      <c r="AL166" s="47"/>
      <c r="AM166" s="47"/>
      <c r="AN166" s="47"/>
      <c r="AO166" s="47"/>
      <c r="AP166" s="47"/>
      <c r="AQ166" s="47"/>
      <c r="AR166" s="47"/>
      <c r="AS166" s="47"/>
      <c r="AT166" s="47"/>
      <c r="AU166" s="47"/>
      <c r="AV166" s="47"/>
      <c r="AW166" s="47"/>
      <c r="AX166" s="47"/>
      <c r="AY166" s="47"/>
      <c r="AZ166" s="47"/>
      <c r="BA166" s="47"/>
      <c r="BB166" s="47"/>
      <c r="BC166" s="47"/>
      <c r="BD166" s="47"/>
      <c r="BE166" s="47"/>
      <c r="BF166" s="47"/>
      <c r="BG166" s="47"/>
      <c r="BH166" s="47"/>
      <c r="BI166" s="47"/>
      <c r="BJ166" s="47"/>
      <c r="BK166" s="47"/>
      <c r="BL166" s="47"/>
      <c r="BM166" s="47"/>
      <c r="BN166" s="47"/>
      <c r="BO166" s="47"/>
      <c r="BP166" s="47"/>
      <c r="BQ166" s="47"/>
      <c r="BR166" s="47"/>
      <c r="BS166" s="47"/>
      <c r="BT166" s="47"/>
      <c r="BU166" s="47"/>
      <c r="BV166" s="47"/>
      <c r="BW166" s="47"/>
      <c r="BX166" s="47"/>
      <c r="BY166" s="47"/>
      <c r="BZ166" s="47"/>
    </row>
    <row r="167" spans="1:78" ht="13">
      <c r="A167" s="152" t="str">
        <f ca="1">IFERROR(__xludf.DUMMYFUNCTION("""COMPUTED_VALUE"""),"Explosive Arrowhead")</f>
        <v>Explosive Arrowhead</v>
      </c>
      <c r="B167" s="47" t="str">
        <f ca="1">IFERROR(__xludf.DUMMYFUNCTION("TRANSPOSE(unique(filter(Recipes!A$2:A2490,(Recipes!L$2:L2490=A167)+(Recipes!O$2:O2490=A167)+(Recipes!R$2:R2490=A167)+(Recipes!U$2:U2490=A167)+(Recipes!X$2:X2490=A167))))"),"Explosive Arrow")</f>
        <v>Explosive Arrow</v>
      </c>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c r="AA167" s="47"/>
      <c r="AB167" s="47"/>
      <c r="AC167" s="47"/>
      <c r="AD167" s="47"/>
      <c r="AE167" s="47"/>
      <c r="AF167" s="47"/>
      <c r="AG167" s="47"/>
      <c r="AH167" s="47"/>
      <c r="AI167" s="47"/>
      <c r="AJ167" s="47"/>
      <c r="AK167" s="47"/>
      <c r="AL167" s="47"/>
      <c r="AM167" s="47"/>
      <c r="AN167" s="47"/>
      <c r="AO167" s="47"/>
      <c r="AP167" s="47"/>
      <c r="AQ167" s="47"/>
      <c r="AR167" s="47"/>
      <c r="AS167" s="47"/>
      <c r="AT167" s="47"/>
      <c r="AU167" s="47"/>
      <c r="AV167" s="47"/>
      <c r="AW167" s="47"/>
      <c r="AX167" s="47"/>
      <c r="AY167" s="47"/>
      <c r="AZ167" s="47"/>
      <c r="BA167" s="47"/>
      <c r="BB167" s="47"/>
      <c r="BC167" s="47"/>
      <c r="BD167" s="47"/>
      <c r="BE167" s="47"/>
      <c r="BF167" s="47"/>
      <c r="BG167" s="47"/>
      <c r="BH167" s="47"/>
      <c r="BI167" s="47"/>
      <c r="BJ167" s="47"/>
      <c r="BK167" s="47"/>
      <c r="BL167" s="47"/>
      <c r="BM167" s="47"/>
      <c r="BN167" s="47"/>
      <c r="BO167" s="47"/>
      <c r="BP167" s="47"/>
      <c r="BQ167" s="47"/>
      <c r="BR167" s="47"/>
      <c r="BS167" s="47"/>
      <c r="BT167" s="47"/>
      <c r="BU167" s="47"/>
      <c r="BV167" s="47"/>
      <c r="BW167" s="47"/>
      <c r="BX167" s="47"/>
      <c r="BY167" s="47"/>
      <c r="BZ167" s="47"/>
    </row>
    <row r="168" spans="1:78" ht="13">
      <c r="A168" s="152" t="str">
        <f ca="1">IFERROR(__xludf.DUMMYFUNCTION("""COMPUTED_VALUE"""),"Eye")</f>
        <v>Eye</v>
      </c>
      <c r="B168" s="47" t="str">
        <f ca="1">IFERROR(__xludf.DUMMYFUNCTION("TRANSPOSE(unique(filter(Recipes!A$2:A2490,(Recipes!L$2:L2490=A168)+(Recipes!O$2:O2490=A168)+(Recipes!R$2:R2490=A168)+(Recipes!U$2:U2490=A168)+(Recipes!X$2:X2490=A168))))"),"Decaying Touch Scroll")</f>
        <v>Decaying Touch Scroll</v>
      </c>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c r="AA168" s="47"/>
      <c r="AB168" s="47"/>
      <c r="AC168" s="47"/>
      <c r="AD168" s="47"/>
      <c r="AE168" s="47"/>
      <c r="AF168" s="47"/>
      <c r="AG168" s="47"/>
      <c r="AH168" s="47"/>
      <c r="AI168" s="47"/>
      <c r="AJ168" s="47"/>
      <c r="AK168" s="47"/>
      <c r="AL168" s="47"/>
      <c r="AM168" s="47"/>
      <c r="AN168" s="47"/>
      <c r="AO168" s="47"/>
      <c r="AP168" s="47"/>
      <c r="AQ168" s="47"/>
      <c r="AR168" s="47"/>
      <c r="AS168" s="47"/>
      <c r="AT168" s="47"/>
      <c r="AU168" s="47"/>
      <c r="AV168" s="47"/>
      <c r="AW168" s="47"/>
      <c r="AX168" s="47"/>
      <c r="AY168" s="47"/>
      <c r="AZ168" s="47"/>
      <c r="BA168" s="47"/>
      <c r="BB168" s="47"/>
      <c r="BC168" s="47"/>
      <c r="BD168" s="47"/>
      <c r="BE168" s="47"/>
      <c r="BF168" s="47"/>
      <c r="BG168" s="47"/>
      <c r="BH168" s="47"/>
      <c r="BI168" s="47"/>
      <c r="BJ168" s="47"/>
      <c r="BK168" s="47"/>
      <c r="BL168" s="47"/>
      <c r="BM168" s="47"/>
      <c r="BN168" s="47"/>
      <c r="BO168" s="47"/>
      <c r="BP168" s="47"/>
      <c r="BQ168" s="47"/>
      <c r="BR168" s="47"/>
      <c r="BS168" s="47"/>
      <c r="BT168" s="47"/>
      <c r="BU168" s="47"/>
      <c r="BV168" s="47"/>
      <c r="BW168" s="47"/>
      <c r="BX168" s="47"/>
      <c r="BY168" s="47"/>
      <c r="BZ168" s="47"/>
    </row>
    <row r="169" spans="1:78" ht="13">
      <c r="A169" s="152" t="str">
        <f ca="1">IFERROR(__xludf.DUMMYFUNCTION("""COMPUTED_VALUE"""),"Fancy Feather")</f>
        <v>Fancy Feather</v>
      </c>
      <c r="B169" s="47" t="str">
        <f ca="1">IFERROR(__xludf.DUMMYFUNCTION("TRANSPOSE(unique(filter(Recipes!A$2:A2490,(Recipes!L$2:L2490=A169)+(Recipes!O$2:O2490=A169)+(Recipes!R$2:R2490=A169)+(Recipes!U$2:U2490=A169)+(Recipes!X$2:X2490=A169))))"),"Tornado Scroll")</f>
        <v>Tornado Scroll</v>
      </c>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c r="AC169" s="47"/>
      <c r="AD169" s="47"/>
      <c r="AE169" s="47"/>
      <c r="AF169" s="47"/>
      <c r="AG169" s="47"/>
      <c r="AH169" s="47"/>
      <c r="AI169" s="47"/>
      <c r="AJ169" s="47"/>
      <c r="AK169" s="47"/>
      <c r="AL169" s="47"/>
      <c r="AM169" s="47"/>
      <c r="AN169" s="47"/>
      <c r="AO169" s="47"/>
      <c r="AP169" s="47"/>
      <c r="AQ169" s="47"/>
      <c r="AR169" s="47"/>
      <c r="AS169" s="47"/>
      <c r="AT169" s="47"/>
      <c r="AU169" s="47"/>
      <c r="AV169" s="47"/>
      <c r="AW169" s="47"/>
      <c r="AX169" s="47"/>
      <c r="AY169" s="47"/>
      <c r="AZ169" s="47"/>
      <c r="BA169" s="47"/>
      <c r="BB169" s="47"/>
      <c r="BC169" s="47"/>
      <c r="BD169" s="47"/>
      <c r="BE169" s="47"/>
      <c r="BF169" s="47"/>
      <c r="BG169" s="47"/>
      <c r="BH169" s="47"/>
      <c r="BI169" s="47"/>
      <c r="BJ169" s="47"/>
      <c r="BK169" s="47"/>
      <c r="BL169" s="47"/>
      <c r="BM169" s="47"/>
      <c r="BN169" s="47"/>
      <c r="BO169" s="47"/>
      <c r="BP169" s="47"/>
      <c r="BQ169" s="47"/>
      <c r="BR169" s="47"/>
      <c r="BS169" s="47"/>
      <c r="BT169" s="47"/>
      <c r="BU169" s="47"/>
      <c r="BV169" s="47"/>
      <c r="BW169" s="47"/>
      <c r="BX169" s="47"/>
      <c r="BY169" s="47"/>
      <c r="BZ169" s="47"/>
    </row>
    <row r="170" spans="1:78" ht="13">
      <c r="A170" s="152" t="str">
        <f ca="1">IFERROR(__xludf.DUMMYFUNCTION("""COMPUTED_VALUE"""),"Fang")</f>
        <v>Fang</v>
      </c>
      <c r="B170" s="47" t="str">
        <f ca="1">IFERROR(__xludf.DUMMYFUNCTION("TRANSPOSE(unique(filter(Recipes!A$2:A2490,(Recipes!L$2:L2490=A170)+(Recipes!O$2:O2490=A170)+(Recipes!R$2:R2490=A170)+(Recipes!U$2:U2490=A170)+(Recipes!X$2:X2490=A170))))"),"Firebrand Scroll")</f>
        <v>Firebrand Scroll</v>
      </c>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c r="AA170" s="47"/>
      <c r="AB170" s="47"/>
      <c r="AC170" s="47"/>
      <c r="AD170" s="47"/>
      <c r="AE170" s="47"/>
      <c r="AF170" s="47"/>
      <c r="AG170" s="47"/>
      <c r="AH170" s="47"/>
      <c r="AI170" s="47"/>
      <c r="AJ170" s="47"/>
      <c r="AK170" s="47"/>
      <c r="AL170" s="47"/>
      <c r="AM170" s="47"/>
      <c r="AN170" s="47"/>
      <c r="AO170" s="47"/>
      <c r="AP170" s="47"/>
      <c r="AQ170" s="47"/>
      <c r="AR170" s="47"/>
      <c r="AS170" s="47"/>
      <c r="AT170" s="47"/>
      <c r="AU170" s="47"/>
      <c r="AV170" s="47"/>
      <c r="AW170" s="47"/>
      <c r="AX170" s="47"/>
      <c r="AY170" s="47"/>
      <c r="AZ170" s="47"/>
      <c r="BA170" s="47"/>
      <c r="BB170" s="47"/>
      <c r="BC170" s="47"/>
      <c r="BD170" s="47"/>
      <c r="BE170" s="47"/>
      <c r="BF170" s="47"/>
      <c r="BG170" s="47"/>
      <c r="BH170" s="47"/>
      <c r="BI170" s="47"/>
      <c r="BJ170" s="47"/>
      <c r="BK170" s="47"/>
      <c r="BL170" s="47"/>
      <c r="BM170" s="47"/>
      <c r="BN170" s="47"/>
      <c r="BO170" s="47"/>
      <c r="BP170" s="47"/>
      <c r="BQ170" s="47"/>
      <c r="BR170" s="47"/>
      <c r="BS170" s="47"/>
      <c r="BT170" s="47"/>
      <c r="BU170" s="47"/>
      <c r="BV170" s="47"/>
      <c r="BW170" s="47"/>
      <c r="BX170" s="47"/>
      <c r="BY170" s="47"/>
      <c r="BZ170" s="47"/>
    </row>
    <row r="171" spans="1:78" ht="13">
      <c r="A171" s="152" t="str">
        <f ca="1">IFERROR(__xludf.DUMMYFUNCTION("""COMPUTED_VALUE"""),"Farhangite")</f>
        <v>Farhangite</v>
      </c>
      <c r="B171" s="47" t="str">
        <f ca="1">IFERROR(__xludf.DUMMYFUNCTION("TRANSPOSE(unique(filter(Recipes!A$2:A2490,(Recipes!L$2:L2490=A171)+(Recipes!O$2:O2490=A171)+(Recipes!R$2:R2490=A171)+(Recipes!U$2:U2490=A171)+(Recipes!X$2:X2490=A171))))"),"Minor Constitution Potion")</f>
        <v>Minor Constitution Potion</v>
      </c>
      <c r="C171" s="47" t="str">
        <f ca="1">IFERROR(__xludf.DUMMYFUNCTION("""COMPUTED_VALUE"""),"Courage Herbmix")</f>
        <v>Courage Herbmix</v>
      </c>
      <c r="D171" s="47"/>
      <c r="E171" s="47"/>
      <c r="F171" s="47"/>
      <c r="G171" s="47"/>
      <c r="H171" s="47"/>
      <c r="I171" s="47"/>
      <c r="J171" s="47"/>
      <c r="K171" s="47"/>
      <c r="L171" s="47"/>
      <c r="M171" s="47"/>
      <c r="N171" s="47"/>
      <c r="O171" s="47"/>
      <c r="P171" s="47"/>
      <c r="Q171" s="47"/>
      <c r="R171" s="47"/>
      <c r="S171" s="47"/>
      <c r="T171" s="47"/>
      <c r="U171" s="47"/>
      <c r="V171" s="47"/>
      <c r="W171" s="47"/>
      <c r="X171" s="47"/>
      <c r="Y171" s="47"/>
      <c r="Z171" s="47"/>
      <c r="AA171" s="47"/>
      <c r="AB171" s="47"/>
      <c r="AC171" s="47"/>
      <c r="AD171" s="47"/>
      <c r="AE171" s="47"/>
      <c r="AF171" s="47"/>
      <c r="AG171" s="47"/>
      <c r="AH171" s="47"/>
      <c r="AI171" s="47"/>
      <c r="AJ171" s="47"/>
      <c r="AK171" s="47"/>
      <c r="AL171" s="47"/>
      <c r="AM171" s="47"/>
      <c r="AN171" s="47"/>
      <c r="AO171" s="47"/>
      <c r="AP171" s="47"/>
      <c r="AQ171" s="47"/>
      <c r="AR171" s="47"/>
      <c r="AS171" s="47"/>
      <c r="AT171" s="47"/>
      <c r="AU171" s="47"/>
      <c r="AV171" s="47"/>
      <c r="AW171" s="47"/>
      <c r="AX171" s="47"/>
      <c r="AY171" s="47"/>
      <c r="AZ171" s="47"/>
      <c r="BA171" s="47"/>
      <c r="BB171" s="47"/>
      <c r="BC171" s="47"/>
      <c r="BD171" s="47"/>
      <c r="BE171" s="47"/>
      <c r="BF171" s="47"/>
      <c r="BG171" s="47"/>
      <c r="BH171" s="47"/>
      <c r="BI171" s="47"/>
      <c r="BJ171" s="47"/>
      <c r="BK171" s="47"/>
      <c r="BL171" s="47"/>
      <c r="BM171" s="47"/>
      <c r="BN171" s="47"/>
      <c r="BO171" s="47"/>
      <c r="BP171" s="47"/>
      <c r="BQ171" s="47"/>
      <c r="BR171" s="47"/>
      <c r="BS171" s="47"/>
      <c r="BT171" s="47"/>
      <c r="BU171" s="47"/>
      <c r="BV171" s="47"/>
      <c r="BW171" s="47"/>
      <c r="BX171" s="47"/>
      <c r="BY171" s="47"/>
      <c r="BZ171" s="47"/>
    </row>
    <row r="172" spans="1:78" ht="13">
      <c r="A172" s="152" t="str">
        <f ca="1">IFERROR(__xludf.DUMMYFUNCTION("""COMPUTED_VALUE"""),"Farsight Infusion Scroll")</f>
        <v>Farsight Infusion Scroll</v>
      </c>
      <c r="B172" s="47" t="str">
        <f ca="1">IFERROR(__xludf.DUMMYFUNCTION("TRANSPOSE(unique(filter(Recipes!A$2:A2490,(Recipes!L$2:L2490=A172)+(Recipes!O$2:O2490=A172)+(Recipes!R$2:R2490=A172)+(Recipes!U$2:U2490=A172)+(Recipes!X$2:X2490=A172))))"),"Farsight Infusion Skillbook")</f>
        <v>Farsight Infusion Skillbook</v>
      </c>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c r="AA172" s="47"/>
      <c r="AB172" s="47"/>
      <c r="AC172" s="47"/>
      <c r="AD172" s="47"/>
      <c r="AE172" s="47"/>
      <c r="AF172" s="47"/>
      <c r="AG172" s="47"/>
      <c r="AH172" s="47"/>
      <c r="AI172" s="47"/>
      <c r="AJ172" s="47"/>
      <c r="AK172" s="47"/>
      <c r="AL172" s="47"/>
      <c r="AM172" s="47"/>
      <c r="AN172" s="47"/>
      <c r="AO172" s="47"/>
      <c r="AP172" s="47"/>
      <c r="AQ172" s="47"/>
      <c r="AR172" s="47"/>
      <c r="AS172" s="47"/>
      <c r="AT172" s="47"/>
      <c r="AU172" s="47"/>
      <c r="AV172" s="47"/>
      <c r="AW172" s="47"/>
      <c r="AX172" s="47"/>
      <c r="AY172" s="47"/>
      <c r="AZ172" s="47"/>
      <c r="BA172" s="47"/>
      <c r="BB172" s="47"/>
      <c r="BC172" s="47"/>
      <c r="BD172" s="47"/>
      <c r="BE172" s="47"/>
      <c r="BF172" s="47"/>
      <c r="BG172" s="47"/>
      <c r="BH172" s="47"/>
      <c r="BI172" s="47"/>
      <c r="BJ172" s="47"/>
      <c r="BK172" s="47"/>
      <c r="BL172" s="47"/>
      <c r="BM172" s="47"/>
      <c r="BN172" s="47"/>
      <c r="BO172" s="47"/>
      <c r="BP172" s="47"/>
      <c r="BQ172" s="47"/>
      <c r="BR172" s="47"/>
      <c r="BS172" s="47"/>
      <c r="BT172" s="47"/>
      <c r="BU172" s="47"/>
      <c r="BV172" s="47"/>
      <c r="BW172" s="47"/>
      <c r="BX172" s="47"/>
      <c r="BY172" s="47"/>
      <c r="BZ172" s="47"/>
    </row>
    <row r="173" spans="1:78" ht="13">
      <c r="A173" s="152" t="str">
        <f ca="1">IFERROR(__xludf.DUMMYFUNCTION("""COMPUTED_VALUE"""),"Favourable Wind Scroll")</f>
        <v>Favourable Wind Scroll</v>
      </c>
      <c r="B173" s="47" t="str">
        <f ca="1">IFERROR(__xludf.DUMMYFUNCTION("TRANSPOSE(unique(filter(Recipes!A$2:A2490,(Recipes!L$2:L2490=A173)+(Recipes!O$2:O2490=A173)+(Recipes!R$2:R2490=A173)+(Recipes!U$2:U2490=A173)+(Recipes!X$2:X2490=A173))))"),"Favourable Wind Skillbook")</f>
        <v>Favourable Wind Skillbook</v>
      </c>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c r="AA173" s="47"/>
      <c r="AB173" s="47"/>
      <c r="AC173" s="47"/>
      <c r="AD173" s="47"/>
      <c r="AE173" s="47"/>
      <c r="AF173" s="47"/>
      <c r="AG173" s="47"/>
      <c r="AH173" s="47"/>
      <c r="AI173" s="47"/>
      <c r="AJ173" s="47"/>
      <c r="AK173" s="47"/>
      <c r="AL173" s="47"/>
      <c r="AM173" s="47"/>
      <c r="AN173" s="47"/>
      <c r="AO173" s="47"/>
      <c r="AP173" s="47"/>
      <c r="AQ173" s="47"/>
      <c r="AR173" s="47"/>
      <c r="AS173" s="47"/>
      <c r="AT173" s="47"/>
      <c r="AU173" s="47"/>
      <c r="AV173" s="47"/>
      <c r="AW173" s="47"/>
      <c r="AX173" s="47"/>
      <c r="AY173" s="47"/>
      <c r="AZ173" s="47"/>
      <c r="BA173" s="47"/>
      <c r="BB173" s="47"/>
      <c r="BC173" s="47"/>
      <c r="BD173" s="47"/>
      <c r="BE173" s="47"/>
      <c r="BF173" s="47"/>
      <c r="BG173" s="47"/>
      <c r="BH173" s="47"/>
      <c r="BI173" s="47"/>
      <c r="BJ173" s="47"/>
      <c r="BK173" s="47"/>
      <c r="BL173" s="47"/>
      <c r="BM173" s="47"/>
      <c r="BN173" s="47"/>
      <c r="BO173" s="47"/>
      <c r="BP173" s="47"/>
      <c r="BQ173" s="47"/>
      <c r="BR173" s="47"/>
      <c r="BS173" s="47"/>
      <c r="BT173" s="47"/>
      <c r="BU173" s="47"/>
      <c r="BV173" s="47"/>
      <c r="BW173" s="47"/>
      <c r="BX173" s="47"/>
      <c r="BY173" s="47"/>
      <c r="BZ173" s="47"/>
    </row>
    <row r="174" spans="1:78" ht="13">
      <c r="A174" s="152" t="str">
        <f ca="1">IFERROR(__xludf.DUMMYFUNCTION("""COMPUTED_VALUE"""),"Feather")</f>
        <v>Feather</v>
      </c>
      <c r="B174" s="47" t="str">
        <f ca="1">IFERROR(__xludf.DUMMYFUNCTION("TRANSPOSE(unique(filter(Recipes!A$2:A2490,(Recipes!L$2:L2490=A174)+(Recipes!O$2:O2490=A174)+(Recipes!R$2:R2490=A174)+(Recipes!U$2:U2490=A174)+(Recipes!X$2:X2490=A174))))"),"Teleportation Scroll")</f>
        <v>Teleportation Scroll</v>
      </c>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c r="AA174" s="47"/>
      <c r="AB174" s="47"/>
      <c r="AC174" s="47"/>
      <c r="AD174" s="47"/>
      <c r="AE174" s="47"/>
      <c r="AF174" s="47"/>
      <c r="AG174" s="47"/>
      <c r="AH174" s="47"/>
      <c r="AI174" s="47"/>
      <c r="AJ174" s="47"/>
      <c r="AK174" s="47"/>
      <c r="AL174" s="47"/>
      <c r="AM174" s="47"/>
      <c r="AN174" s="47"/>
      <c r="AO174" s="47"/>
      <c r="AP174" s="47"/>
      <c r="AQ174" s="47"/>
      <c r="AR174" s="47"/>
      <c r="AS174" s="47"/>
      <c r="AT174" s="47"/>
      <c r="AU174" s="47"/>
      <c r="AV174" s="47"/>
      <c r="AW174" s="47"/>
      <c r="AX174" s="47"/>
      <c r="AY174" s="47"/>
      <c r="AZ174" s="47"/>
      <c r="BA174" s="47"/>
      <c r="BB174" s="47"/>
      <c r="BC174" s="47"/>
      <c r="BD174" s="47"/>
      <c r="BE174" s="47"/>
      <c r="BF174" s="47"/>
      <c r="BG174" s="47"/>
      <c r="BH174" s="47"/>
      <c r="BI174" s="47"/>
      <c r="BJ174" s="47"/>
      <c r="BK174" s="47"/>
      <c r="BL174" s="47"/>
      <c r="BM174" s="47"/>
      <c r="BN174" s="47"/>
      <c r="BO174" s="47"/>
      <c r="BP174" s="47"/>
      <c r="BQ174" s="47"/>
      <c r="BR174" s="47"/>
      <c r="BS174" s="47"/>
      <c r="BT174" s="47"/>
      <c r="BU174" s="47"/>
      <c r="BV174" s="47"/>
      <c r="BW174" s="47"/>
      <c r="BX174" s="47"/>
      <c r="BY174" s="47"/>
      <c r="BZ174" s="47"/>
    </row>
    <row r="175" spans="1:78" ht="13">
      <c r="A175" s="152" t="str">
        <f ca="1">IFERROR(__xludf.DUMMYFUNCTION("""COMPUTED_VALUE"""),"Ferocity Herbmix")</f>
        <v>Ferocity Herbmix</v>
      </c>
      <c r="B175" s="47" t="str">
        <f ca="1">IFERROR(__xludf.DUMMYFUNCTION("TRANSPOSE(unique(filter(Recipes!A$2:A2490,(Recipes!L$2:L2490=A175)+(Recipes!O$2:O2490=A175)+(Recipes!R$2:R2490=A175)+(Recipes!U$2:U2490=A175)+(Recipes!X$2:X2490=A175))))"),"Potent Ferocity Herbmix")</f>
        <v>Potent Ferocity Herbmix</v>
      </c>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c r="AA175" s="47"/>
      <c r="AB175" s="47"/>
      <c r="AC175" s="47"/>
      <c r="AD175" s="47"/>
      <c r="AE175" s="47"/>
      <c r="AF175" s="47"/>
      <c r="AG175" s="47"/>
      <c r="AH175" s="47"/>
      <c r="AI175" s="47"/>
      <c r="AJ175" s="47"/>
      <c r="AK175" s="47"/>
      <c r="AL175" s="47"/>
      <c r="AM175" s="47"/>
      <c r="AN175" s="47"/>
      <c r="AO175" s="47"/>
      <c r="AP175" s="47"/>
      <c r="AQ175" s="47"/>
      <c r="AR175" s="47"/>
      <c r="AS175" s="47"/>
      <c r="AT175" s="47"/>
      <c r="AU175" s="47"/>
      <c r="AV175" s="47"/>
      <c r="AW175" s="47"/>
      <c r="AX175" s="47"/>
      <c r="AY175" s="47"/>
      <c r="AZ175" s="47"/>
      <c r="BA175" s="47"/>
      <c r="BB175" s="47"/>
      <c r="BC175" s="47"/>
      <c r="BD175" s="47"/>
      <c r="BE175" s="47"/>
      <c r="BF175" s="47"/>
      <c r="BG175" s="47"/>
      <c r="BH175" s="47"/>
      <c r="BI175" s="47"/>
      <c r="BJ175" s="47"/>
      <c r="BK175" s="47"/>
      <c r="BL175" s="47"/>
      <c r="BM175" s="47"/>
      <c r="BN175" s="47"/>
      <c r="BO175" s="47"/>
      <c r="BP175" s="47"/>
      <c r="BQ175" s="47"/>
      <c r="BR175" s="47"/>
      <c r="BS175" s="47"/>
      <c r="BT175" s="47"/>
      <c r="BU175" s="47"/>
      <c r="BV175" s="47"/>
      <c r="BW175" s="47"/>
      <c r="BX175" s="47"/>
      <c r="BY175" s="47"/>
      <c r="BZ175" s="47"/>
    </row>
    <row r="176" spans="1:78" ht="13">
      <c r="A176" s="152" t="str">
        <f ca="1">IFERROR(__xludf.DUMMYFUNCTION("""COMPUTED_VALUE"""),"Fire Arrow")</f>
        <v>Fire Arrow</v>
      </c>
      <c r="B176" s="47" t="str">
        <f ca="1">IFERROR(__xludf.DUMMYFUNCTION("TRANSPOSE(unique(filter(Recipes!A$2:A2490,(Recipes!L$2:L2490=A176)+(Recipes!O$2:O2490=A176)+(Recipes!R$2:R2490=A176)+(Recipes!U$2:U2490=A176)+(Recipes!X$2:X2490=A176))))"),"Cursed Fire Arrow")</f>
        <v>Cursed Fire Arrow</v>
      </c>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c r="AA176" s="47"/>
      <c r="AB176" s="47"/>
      <c r="AC176" s="47"/>
      <c r="AD176" s="47"/>
      <c r="AE176" s="47"/>
      <c r="AF176" s="47"/>
      <c r="AG176" s="47"/>
      <c r="AH176" s="47"/>
      <c r="AI176" s="47"/>
      <c r="AJ176" s="47"/>
      <c r="AK176" s="47"/>
      <c r="AL176" s="47"/>
      <c r="AM176" s="47"/>
      <c r="AN176" s="47"/>
      <c r="AO176" s="47"/>
      <c r="AP176" s="47"/>
      <c r="AQ176" s="47"/>
      <c r="AR176" s="47"/>
      <c r="AS176" s="47"/>
      <c r="AT176" s="47"/>
      <c r="AU176" s="47"/>
      <c r="AV176" s="47"/>
      <c r="AW176" s="47"/>
      <c r="AX176" s="47"/>
      <c r="AY176" s="47"/>
      <c r="AZ176" s="47"/>
      <c r="BA176" s="47"/>
      <c r="BB176" s="47"/>
      <c r="BC176" s="47"/>
      <c r="BD176" s="47"/>
      <c r="BE176" s="47"/>
      <c r="BF176" s="47"/>
      <c r="BG176" s="47"/>
      <c r="BH176" s="47"/>
      <c r="BI176" s="47"/>
      <c r="BJ176" s="47"/>
      <c r="BK176" s="47"/>
      <c r="BL176" s="47"/>
      <c r="BM176" s="47"/>
      <c r="BN176" s="47"/>
      <c r="BO176" s="47"/>
      <c r="BP176" s="47"/>
      <c r="BQ176" s="47"/>
      <c r="BR176" s="47"/>
      <c r="BS176" s="47"/>
      <c r="BT176" s="47"/>
      <c r="BU176" s="47"/>
      <c r="BV176" s="47"/>
      <c r="BW176" s="47"/>
      <c r="BX176" s="47"/>
      <c r="BY176" s="47"/>
      <c r="BZ176" s="47"/>
    </row>
    <row r="177" spans="1:78" ht="13">
      <c r="A177" s="152" t="str">
        <f ca="1">IFERROR(__xludf.DUMMYFUNCTION("""COMPUTED_VALUE"""),"Fire Arrowhead")</f>
        <v>Fire Arrowhead</v>
      </c>
      <c r="B177" s="47" t="str">
        <f ca="1">IFERROR(__xludf.DUMMYFUNCTION("TRANSPOSE(unique(filter(Recipes!A$2:A2490,(Recipes!L$2:L2490=A177)+(Recipes!O$2:O2490=A177)+(Recipes!R$2:R2490=A177)+(Recipes!U$2:U2490=A177)+(Recipes!X$2:X2490=A177))))"),"Fire Arrow")</f>
        <v>Fire Arrow</v>
      </c>
      <c r="C177" s="47" t="str">
        <f ca="1">IFERROR(__xludf.DUMMYFUNCTION("""COMPUTED_VALUE"""),"Cursed Fire Arrowhead")</f>
        <v>Cursed Fire Arrowhead</v>
      </c>
      <c r="D177" s="47" t="str">
        <f ca="1">IFERROR(__xludf.DUMMYFUNCTION("""COMPUTED_VALUE"""),"Explosive Arrowhead")</f>
        <v>Explosive Arrowhead</v>
      </c>
      <c r="E177" s="47" t="str">
        <f ca="1">IFERROR(__xludf.DUMMYFUNCTION("""COMPUTED_VALUE"""),"Steamcloud Arrowhead")</f>
        <v>Steamcloud Arrowhead</v>
      </c>
      <c r="F177" s="47"/>
      <c r="G177" s="47"/>
      <c r="H177" s="47"/>
      <c r="I177" s="47"/>
      <c r="J177" s="47"/>
      <c r="K177" s="47"/>
      <c r="L177" s="47"/>
      <c r="M177" s="47"/>
      <c r="N177" s="47"/>
      <c r="O177" s="47"/>
      <c r="P177" s="47"/>
      <c r="Q177" s="47"/>
      <c r="R177" s="47"/>
      <c r="S177" s="47"/>
      <c r="T177" s="47"/>
      <c r="U177" s="47"/>
      <c r="V177" s="47"/>
      <c r="W177" s="47"/>
      <c r="X177" s="47"/>
      <c r="Y177" s="47"/>
      <c r="Z177" s="47"/>
      <c r="AA177" s="47"/>
      <c r="AB177" s="47"/>
      <c r="AC177" s="47"/>
      <c r="AD177" s="47"/>
      <c r="AE177" s="47"/>
      <c r="AF177" s="47"/>
      <c r="AG177" s="47"/>
      <c r="AH177" s="47"/>
      <c r="AI177" s="47"/>
      <c r="AJ177" s="47"/>
      <c r="AK177" s="47"/>
      <c r="AL177" s="47"/>
      <c r="AM177" s="47"/>
      <c r="AN177" s="47"/>
      <c r="AO177" s="47"/>
      <c r="AP177" s="47"/>
      <c r="AQ177" s="47"/>
      <c r="AR177" s="47"/>
      <c r="AS177" s="47"/>
      <c r="AT177" s="47"/>
      <c r="AU177" s="47"/>
      <c r="AV177" s="47"/>
      <c r="AW177" s="47"/>
      <c r="AX177" s="47"/>
      <c r="AY177" s="47"/>
      <c r="AZ177" s="47"/>
      <c r="BA177" s="47"/>
      <c r="BB177" s="47"/>
      <c r="BC177" s="47"/>
      <c r="BD177" s="47"/>
      <c r="BE177" s="47"/>
      <c r="BF177" s="47"/>
      <c r="BG177" s="47"/>
      <c r="BH177" s="47"/>
      <c r="BI177" s="47"/>
      <c r="BJ177" s="47"/>
      <c r="BK177" s="47"/>
      <c r="BL177" s="47"/>
      <c r="BM177" s="47"/>
      <c r="BN177" s="47"/>
      <c r="BO177" s="47"/>
      <c r="BP177" s="47"/>
      <c r="BQ177" s="47"/>
      <c r="BR177" s="47"/>
      <c r="BS177" s="47"/>
      <c r="BT177" s="47"/>
      <c r="BU177" s="47"/>
      <c r="BV177" s="47"/>
      <c r="BW177" s="47"/>
      <c r="BX177" s="47"/>
      <c r="BY177" s="47"/>
      <c r="BZ177" s="47"/>
    </row>
    <row r="178" spans="1:78" ht="13">
      <c r="A178" s="152" t="str">
        <f ca="1">IFERROR(__xludf.DUMMYFUNCTION("""COMPUTED_VALUE"""),"Fire Essence")</f>
        <v>Fire Essence</v>
      </c>
      <c r="B178" s="47" t="str">
        <f ca="1">IFERROR(__xludf.DUMMYFUNCTION("TRANSPOSE(unique(filter(Recipes!A$2:A2490,(Recipes!L$2:L2490=A178)+(Recipes!O$2:O2490=A178)+(Recipes!R$2:R2490=A178)+(Recipes!U$2:U2490=A178)+(Recipes!X$2:X2490=A178))))"),"Fire Arrow")</f>
        <v>Fire Arrow</v>
      </c>
      <c r="C178" s="47" t="str">
        <f ca="1">IFERROR(__xludf.DUMMYFUNCTION("""COMPUTED_VALUE"""),"Fire Arrowhead")</f>
        <v>Fire Arrowhead</v>
      </c>
      <c r="D178" s="47" t="str">
        <f ca="1">IFERROR(__xludf.DUMMYFUNCTION("""COMPUTED_VALUE"""),"Cluster Grenade")</f>
        <v>Cluster Grenade</v>
      </c>
      <c r="E178" s="47" t="str">
        <f ca="1">IFERROR(__xludf.DUMMYFUNCTION("""COMPUTED_VALUE"""),"Fireball Scroll")</f>
        <v>Fireball Scroll</v>
      </c>
      <c r="F178" s="47" t="str">
        <f ca="1">IFERROR(__xludf.DUMMYFUNCTION("""COMPUTED_VALUE"""),"Haste Scroll")</f>
        <v>Haste Scroll</v>
      </c>
      <c r="G178" s="47" t="str">
        <f ca="1">IFERROR(__xludf.DUMMYFUNCTION("""COMPUTED_VALUE"""),"Ignition Scroll")</f>
        <v>Ignition Scroll</v>
      </c>
      <c r="H178" s="47" t="str">
        <f ca="1">IFERROR(__xludf.DUMMYFUNCTION("""COMPUTED_VALUE"""),"Peace of Mind Scroll")</f>
        <v>Peace of Mind Scroll</v>
      </c>
      <c r="I178" s="47" t="str">
        <f ca="1">IFERROR(__xludf.DUMMYFUNCTION("""COMPUTED_VALUE"""),"Searing Daggers Scroll")</f>
        <v>Searing Daggers Scroll</v>
      </c>
      <c r="J178" s="47" t="str">
        <f ca="1">IFERROR(__xludf.DUMMYFUNCTION("""COMPUTED_VALUE"""),"Potion of Strong Will")</f>
        <v>Potion of Strong Will</v>
      </c>
      <c r="K178" s="47"/>
      <c r="L178" s="47"/>
      <c r="M178" s="47"/>
      <c r="N178" s="47"/>
      <c r="O178" s="47"/>
      <c r="P178" s="47"/>
      <c r="Q178" s="47"/>
      <c r="R178" s="47"/>
      <c r="S178" s="47"/>
      <c r="T178" s="47"/>
      <c r="U178" s="47"/>
      <c r="V178" s="47"/>
      <c r="W178" s="47"/>
      <c r="X178" s="47"/>
      <c r="Y178" s="47"/>
      <c r="Z178" s="47"/>
      <c r="AA178" s="47"/>
      <c r="AB178" s="47"/>
      <c r="AC178" s="47"/>
      <c r="AD178" s="47"/>
      <c r="AE178" s="47"/>
      <c r="AF178" s="47"/>
      <c r="AG178" s="47"/>
      <c r="AH178" s="47"/>
      <c r="AI178" s="47"/>
      <c r="AJ178" s="47"/>
      <c r="AK178" s="47"/>
      <c r="AL178" s="47"/>
      <c r="AM178" s="47"/>
      <c r="AN178" s="47"/>
      <c r="AO178" s="47"/>
      <c r="AP178" s="47"/>
      <c r="AQ178" s="47"/>
      <c r="AR178" s="47"/>
      <c r="AS178" s="47"/>
      <c r="AT178" s="47"/>
      <c r="AU178" s="47"/>
      <c r="AV178" s="47"/>
      <c r="AW178" s="47"/>
      <c r="AX178" s="47"/>
      <c r="AY178" s="47"/>
      <c r="AZ178" s="47"/>
      <c r="BA178" s="47"/>
      <c r="BB178" s="47"/>
      <c r="BC178" s="47"/>
      <c r="BD178" s="47"/>
      <c r="BE178" s="47"/>
      <c r="BF178" s="47"/>
      <c r="BG178" s="47"/>
      <c r="BH178" s="47"/>
      <c r="BI178" s="47"/>
      <c r="BJ178" s="47"/>
      <c r="BK178" s="47"/>
      <c r="BL178" s="47"/>
      <c r="BM178" s="47"/>
      <c r="BN178" s="47"/>
      <c r="BO178" s="47"/>
      <c r="BP178" s="47"/>
      <c r="BQ178" s="47"/>
      <c r="BR178" s="47"/>
      <c r="BS178" s="47"/>
      <c r="BT178" s="47"/>
      <c r="BU178" s="47"/>
      <c r="BV178" s="47"/>
      <c r="BW178" s="47"/>
      <c r="BX178" s="47"/>
      <c r="BY178" s="47"/>
      <c r="BZ178" s="47"/>
    </row>
    <row r="179" spans="1:78" ht="13">
      <c r="A179" s="152" t="str">
        <f ca="1">IFERROR(__xludf.DUMMYFUNCTION("""COMPUTED_VALUE"""),"Fire Resistance Potion")</f>
        <v>Fire Resistance Potion</v>
      </c>
      <c r="B179" s="47" t="str">
        <f ca="1">IFERROR(__xludf.DUMMYFUNCTION("TRANSPOSE(unique(filter(Recipes!A$2:A2490,(Recipes!L$2:L2490=A179)+(Recipes!O$2:O2490=A179)+(Recipes!R$2:R2490=A179)+(Recipes!U$2:U2490=A179)+(Recipes!X$2:X2490=A179))))"),"Medium Fire Resistance Potion")</f>
        <v>Medium Fire Resistance Potion</v>
      </c>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c r="AA179" s="47"/>
      <c r="AB179" s="47"/>
      <c r="AC179" s="47"/>
      <c r="AD179" s="47"/>
      <c r="AE179" s="47"/>
      <c r="AF179" s="47"/>
      <c r="AG179" s="47"/>
      <c r="AH179" s="47"/>
      <c r="AI179" s="47"/>
      <c r="AJ179" s="47"/>
      <c r="AK179" s="47"/>
      <c r="AL179" s="47"/>
      <c r="AM179" s="47"/>
      <c r="AN179" s="47"/>
      <c r="AO179" s="47"/>
      <c r="AP179" s="47"/>
      <c r="AQ179" s="47"/>
      <c r="AR179" s="47"/>
      <c r="AS179" s="47"/>
      <c r="AT179" s="47"/>
      <c r="AU179" s="47"/>
      <c r="AV179" s="47"/>
      <c r="AW179" s="47"/>
      <c r="AX179" s="47"/>
      <c r="AY179" s="47"/>
      <c r="AZ179" s="47"/>
      <c r="BA179" s="47"/>
      <c r="BB179" s="47"/>
      <c r="BC179" s="47"/>
      <c r="BD179" s="47"/>
      <c r="BE179" s="47"/>
      <c r="BF179" s="47"/>
      <c r="BG179" s="47"/>
      <c r="BH179" s="47"/>
      <c r="BI179" s="47"/>
      <c r="BJ179" s="47"/>
      <c r="BK179" s="47"/>
      <c r="BL179" s="47"/>
      <c r="BM179" s="47"/>
      <c r="BN179" s="47"/>
      <c r="BO179" s="47"/>
      <c r="BP179" s="47"/>
      <c r="BQ179" s="47"/>
      <c r="BR179" s="47"/>
      <c r="BS179" s="47"/>
      <c r="BT179" s="47"/>
      <c r="BU179" s="47"/>
      <c r="BV179" s="47"/>
      <c r="BW179" s="47"/>
      <c r="BX179" s="47"/>
      <c r="BY179" s="47"/>
      <c r="BZ179" s="47"/>
    </row>
    <row r="180" spans="1:78" ht="13">
      <c r="A180" s="152" t="str">
        <f ca="1">IFERROR(__xludf.DUMMYFUNCTION("""COMPUTED_VALUE"""),"Fire Whip Scroll")</f>
        <v>Fire Whip Scroll</v>
      </c>
      <c r="B180" s="47" t="str">
        <f ca="1">IFERROR(__xludf.DUMMYFUNCTION("TRANSPOSE(unique(filter(Recipes!A$2:A2490,(Recipes!L$2:L2490=A180)+(Recipes!O$2:O2490=A180)+(Recipes!R$2:R2490=A180)+(Recipes!U$2:U2490=A180)+(Recipes!X$2:X2490=A180))))"),"Fire Whip Skillbook")</f>
        <v>Fire Whip Skillbook</v>
      </c>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c r="AA180" s="47"/>
      <c r="AB180" s="47"/>
      <c r="AC180" s="47"/>
      <c r="AD180" s="47"/>
      <c r="AE180" s="47"/>
      <c r="AF180" s="47"/>
      <c r="AG180" s="47"/>
      <c r="AH180" s="47"/>
      <c r="AI180" s="47"/>
      <c r="AJ180" s="47"/>
      <c r="AK180" s="47"/>
      <c r="AL180" s="47"/>
      <c r="AM180" s="47"/>
      <c r="AN180" s="47"/>
      <c r="AO180" s="47"/>
      <c r="AP180" s="47"/>
      <c r="AQ180" s="47"/>
      <c r="AR180" s="47"/>
      <c r="AS180" s="47"/>
      <c r="AT180" s="47"/>
      <c r="AU180" s="47"/>
      <c r="AV180" s="47"/>
      <c r="AW180" s="47"/>
      <c r="AX180" s="47"/>
      <c r="AY180" s="47"/>
      <c r="AZ180" s="47"/>
      <c r="BA180" s="47"/>
      <c r="BB180" s="47"/>
      <c r="BC180" s="47"/>
      <c r="BD180" s="47"/>
      <c r="BE180" s="47"/>
      <c r="BF180" s="47"/>
      <c r="BG180" s="47"/>
      <c r="BH180" s="47"/>
      <c r="BI180" s="47"/>
      <c r="BJ180" s="47"/>
      <c r="BK180" s="47"/>
      <c r="BL180" s="47"/>
      <c r="BM180" s="47"/>
      <c r="BN180" s="47"/>
      <c r="BO180" s="47"/>
      <c r="BP180" s="47"/>
      <c r="BQ180" s="47"/>
      <c r="BR180" s="47"/>
      <c r="BS180" s="47"/>
      <c r="BT180" s="47"/>
      <c r="BU180" s="47"/>
      <c r="BV180" s="47"/>
      <c r="BW180" s="47"/>
      <c r="BX180" s="47"/>
      <c r="BY180" s="47"/>
      <c r="BZ180" s="47"/>
    </row>
    <row r="181" spans="1:78" ht="13">
      <c r="A181" s="152" t="str">
        <f ca="1">IFERROR(__xludf.DUMMYFUNCTION("""COMPUTED_VALUE"""),"Fireball Scroll")</f>
        <v>Fireball Scroll</v>
      </c>
      <c r="B181" s="47" t="str">
        <f ca="1">IFERROR(__xludf.DUMMYFUNCTION("TRANSPOSE(unique(filter(Recipes!A$2:A2490,(Recipes!L$2:L2490=A181)+(Recipes!O$2:O2490=A181)+(Recipes!R$2:R2490=A181)+(Recipes!U$2:U2490=A181)+(Recipes!X$2:X2490=A181))))"),"Fireball Skillbook")</f>
        <v>Fireball Skillbook</v>
      </c>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c r="AA181" s="47"/>
      <c r="AB181" s="47"/>
      <c r="AC181" s="47"/>
      <c r="AD181" s="47"/>
      <c r="AE181" s="47"/>
      <c r="AF181" s="47"/>
      <c r="AG181" s="47"/>
      <c r="AH181" s="47"/>
      <c r="AI181" s="47"/>
      <c r="AJ181" s="47"/>
      <c r="AK181" s="47"/>
      <c r="AL181" s="47"/>
      <c r="AM181" s="47"/>
      <c r="AN181" s="47"/>
      <c r="AO181" s="47"/>
      <c r="AP181" s="47"/>
      <c r="AQ181" s="47"/>
      <c r="AR181" s="47"/>
      <c r="AS181" s="47"/>
      <c r="AT181" s="47"/>
      <c r="AU181" s="47"/>
      <c r="AV181" s="47"/>
      <c r="AW181" s="47"/>
      <c r="AX181" s="47"/>
      <c r="AY181" s="47"/>
      <c r="AZ181" s="47"/>
      <c r="BA181" s="47"/>
      <c r="BB181" s="47"/>
      <c r="BC181" s="47"/>
      <c r="BD181" s="47"/>
      <c r="BE181" s="47"/>
      <c r="BF181" s="47"/>
      <c r="BG181" s="47"/>
      <c r="BH181" s="47"/>
      <c r="BI181" s="47"/>
      <c r="BJ181" s="47"/>
      <c r="BK181" s="47"/>
      <c r="BL181" s="47"/>
      <c r="BM181" s="47"/>
      <c r="BN181" s="47"/>
      <c r="BO181" s="47"/>
      <c r="BP181" s="47"/>
      <c r="BQ181" s="47"/>
      <c r="BR181" s="47"/>
      <c r="BS181" s="47"/>
      <c r="BT181" s="47"/>
      <c r="BU181" s="47"/>
      <c r="BV181" s="47"/>
      <c r="BW181" s="47"/>
      <c r="BX181" s="47"/>
      <c r="BY181" s="47"/>
      <c r="BZ181" s="47"/>
    </row>
    <row r="182" spans="1:78" ht="13">
      <c r="A182" s="152" t="str">
        <f ca="1">IFERROR(__xludf.DUMMYFUNCTION("""COMPUTED_VALUE"""),"Firebrand Scroll")</f>
        <v>Firebrand Scroll</v>
      </c>
      <c r="B182" s="47" t="str">
        <f ca="1">IFERROR(__xludf.DUMMYFUNCTION("TRANSPOSE(unique(filter(Recipes!A$2:A2490,(Recipes!L$2:L2490=A182)+(Recipes!O$2:O2490=A182)+(Recipes!R$2:R2490=A182)+(Recipes!U$2:U2490=A182)+(Recipes!X$2:X2490=A182))))"),"Firebrand Skillbook")</f>
        <v>Firebrand Skillbook</v>
      </c>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c r="AA182" s="47"/>
      <c r="AB182" s="47"/>
      <c r="AC182" s="47"/>
      <c r="AD182" s="47"/>
      <c r="AE182" s="47"/>
      <c r="AF182" s="47"/>
      <c r="AG182" s="47"/>
      <c r="AH182" s="47"/>
      <c r="AI182" s="47"/>
      <c r="AJ182" s="47"/>
      <c r="AK182" s="47"/>
      <c r="AL182" s="47"/>
      <c r="AM182" s="47"/>
      <c r="AN182" s="47"/>
      <c r="AO182" s="47"/>
      <c r="AP182" s="47"/>
      <c r="AQ182" s="47"/>
      <c r="AR182" s="47"/>
      <c r="AS182" s="47"/>
      <c r="AT182" s="47"/>
      <c r="AU182" s="47"/>
      <c r="AV182" s="47"/>
      <c r="AW182" s="47"/>
      <c r="AX182" s="47"/>
      <c r="AY182" s="47"/>
      <c r="AZ182" s="47"/>
      <c r="BA182" s="47"/>
      <c r="BB182" s="47"/>
      <c r="BC182" s="47"/>
      <c r="BD182" s="47"/>
      <c r="BE182" s="47"/>
      <c r="BF182" s="47"/>
      <c r="BG182" s="47"/>
      <c r="BH182" s="47"/>
      <c r="BI182" s="47"/>
      <c r="BJ182" s="47"/>
      <c r="BK182" s="47"/>
      <c r="BL182" s="47"/>
      <c r="BM182" s="47"/>
      <c r="BN182" s="47"/>
      <c r="BO182" s="47"/>
      <c r="BP182" s="47"/>
      <c r="BQ182" s="47"/>
      <c r="BR182" s="47"/>
      <c r="BS182" s="47"/>
      <c r="BT182" s="47"/>
      <c r="BU182" s="47"/>
      <c r="BV182" s="47"/>
      <c r="BW182" s="47"/>
      <c r="BX182" s="47"/>
      <c r="BY182" s="47"/>
      <c r="BZ182" s="47"/>
    </row>
    <row r="183" spans="1:78" ht="13">
      <c r="A183" s="152" t="str">
        <f ca="1">IFERROR(__xludf.DUMMYFUNCTION("""COMPUTED_VALUE"""),"Firestorm Grenade")</f>
        <v>Firestorm Grenade</v>
      </c>
      <c r="B183" s="47" t="str">
        <f ca="1">IFERROR(__xludf.DUMMYFUNCTION("TRANSPOSE(unique(filter(Recipes!A$2:A2490,(Recipes!L$2:L2490=A183)+(Recipes!O$2:O2490=A183)+(Recipes!R$2:R2490=A183)+(Recipes!U$2:U2490=A183)+(Recipes!X$2:X2490=A183))))"),"Cursed Firestorm Grenade")</f>
        <v>Cursed Firestorm Grenade</v>
      </c>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c r="AA183" s="47"/>
      <c r="AB183" s="47"/>
      <c r="AC183" s="47"/>
      <c r="AD183" s="47"/>
      <c r="AE183" s="47"/>
      <c r="AF183" s="47"/>
      <c r="AG183" s="47"/>
      <c r="AH183" s="47"/>
      <c r="AI183" s="47"/>
      <c r="AJ183" s="47"/>
      <c r="AK183" s="47"/>
      <c r="AL183" s="47"/>
      <c r="AM183" s="47"/>
      <c r="AN183" s="47"/>
      <c r="AO183" s="47"/>
      <c r="AP183" s="47"/>
      <c r="AQ183" s="47"/>
      <c r="AR183" s="47"/>
      <c r="AS183" s="47"/>
      <c r="AT183" s="47"/>
      <c r="AU183" s="47"/>
      <c r="AV183" s="47"/>
      <c r="AW183" s="47"/>
      <c r="AX183" s="47"/>
      <c r="AY183" s="47"/>
      <c r="AZ183" s="47"/>
      <c r="BA183" s="47"/>
      <c r="BB183" s="47"/>
      <c r="BC183" s="47"/>
      <c r="BD183" s="47"/>
      <c r="BE183" s="47"/>
      <c r="BF183" s="47"/>
      <c r="BG183" s="47"/>
      <c r="BH183" s="47"/>
      <c r="BI183" s="47"/>
      <c r="BJ183" s="47"/>
      <c r="BK183" s="47"/>
      <c r="BL183" s="47"/>
      <c r="BM183" s="47"/>
      <c r="BN183" s="47"/>
      <c r="BO183" s="47"/>
      <c r="BP183" s="47"/>
      <c r="BQ183" s="47"/>
      <c r="BR183" s="47"/>
      <c r="BS183" s="47"/>
      <c r="BT183" s="47"/>
      <c r="BU183" s="47"/>
      <c r="BV183" s="47"/>
      <c r="BW183" s="47"/>
      <c r="BX183" s="47"/>
      <c r="BY183" s="47"/>
      <c r="BZ183" s="47"/>
    </row>
    <row r="184" spans="1:78" ht="13">
      <c r="A184" s="152" t="str">
        <f ca="1">IFERROR(__xludf.DUMMYFUNCTION("""COMPUTED_VALUE"""),"Fish")</f>
        <v>Fish</v>
      </c>
      <c r="B184" s="47" t="str">
        <f ca="1">IFERROR(__xludf.DUMMYFUNCTION("TRANSPOSE(unique(filter(Recipes!A$2:A2490,(Recipes!L$2:L2490=A184)+(Recipes!O$2:O2490=A184)+(Recipes!R$2:R2490=A184)+(Recipes!U$2:U2490=A184)+(Recipes!X$2:X2490=A184))))"),"Dinner")</f>
        <v>Dinner</v>
      </c>
      <c r="C184" s="47" t="str">
        <f ca="1">IFERROR(__xludf.DUMMYFUNCTION("""COMPUTED_VALUE"""),"Fish Pie Dough")</f>
        <v>Fish Pie Dough</v>
      </c>
      <c r="D184" s="47"/>
      <c r="E184" s="47"/>
      <c r="F184" s="47"/>
      <c r="G184" s="47"/>
      <c r="H184" s="47"/>
      <c r="I184" s="47"/>
      <c r="J184" s="47"/>
      <c r="K184" s="47"/>
      <c r="L184" s="47"/>
      <c r="M184" s="47"/>
      <c r="N184" s="47"/>
      <c r="O184" s="47"/>
      <c r="P184" s="47"/>
      <c r="Q184" s="47"/>
      <c r="R184" s="47"/>
      <c r="S184" s="47"/>
      <c r="T184" s="47"/>
      <c r="U184" s="47"/>
      <c r="V184" s="47"/>
      <c r="W184" s="47"/>
      <c r="X184" s="47"/>
      <c r="Y184" s="47"/>
      <c r="Z184" s="47"/>
      <c r="AA184" s="47"/>
      <c r="AB184" s="47"/>
      <c r="AC184" s="47"/>
      <c r="AD184" s="47"/>
      <c r="AE184" s="47"/>
      <c r="AF184" s="47"/>
      <c r="AG184" s="47"/>
      <c r="AH184" s="47"/>
      <c r="AI184" s="47"/>
      <c r="AJ184" s="47"/>
      <c r="AK184" s="47"/>
      <c r="AL184" s="47"/>
      <c r="AM184" s="47"/>
      <c r="AN184" s="47"/>
      <c r="AO184" s="47"/>
      <c r="AP184" s="47"/>
      <c r="AQ184" s="47"/>
      <c r="AR184" s="47"/>
      <c r="AS184" s="47"/>
      <c r="AT184" s="47"/>
      <c r="AU184" s="47"/>
      <c r="AV184" s="47"/>
      <c r="AW184" s="47"/>
      <c r="AX184" s="47"/>
      <c r="AY184" s="47"/>
      <c r="AZ184" s="47"/>
      <c r="BA184" s="47"/>
      <c r="BB184" s="47"/>
      <c r="BC184" s="47"/>
      <c r="BD184" s="47"/>
      <c r="BE184" s="47"/>
      <c r="BF184" s="47"/>
      <c r="BG184" s="47"/>
      <c r="BH184" s="47"/>
      <c r="BI184" s="47"/>
      <c r="BJ184" s="47"/>
      <c r="BK184" s="47"/>
      <c r="BL184" s="47"/>
      <c r="BM184" s="47"/>
      <c r="BN184" s="47"/>
      <c r="BO184" s="47"/>
      <c r="BP184" s="47"/>
      <c r="BQ184" s="47"/>
      <c r="BR184" s="47"/>
      <c r="BS184" s="47"/>
      <c r="BT184" s="47"/>
      <c r="BU184" s="47"/>
      <c r="BV184" s="47"/>
      <c r="BW184" s="47"/>
      <c r="BX184" s="47"/>
      <c r="BY184" s="47"/>
      <c r="BZ184" s="47"/>
    </row>
    <row r="185" spans="1:78" ht="13">
      <c r="A185" s="152" t="str">
        <f ca="1">IFERROR(__xludf.DUMMYFUNCTION("""COMPUTED_VALUE"""),"Fish Bone")</f>
        <v>Fish Bone</v>
      </c>
      <c r="B185" s="47" t="str">
        <f ca="1">IFERROR(__xludf.DUMMYFUNCTION("TRANSPOSE(unique(filter(Recipes!A$2:A2490,(Recipes!L$2:L2490=A185)+(Recipes!O$2:O2490=A185)+(Recipes!R$2:R2490=A185)+(Recipes!U$2:U2490=A185)+(Recipes!X$2:X2490=A185))))"),"Bone Cage Scroll")</f>
        <v>Bone Cage Scroll</v>
      </c>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c r="AA185" s="47"/>
      <c r="AB185" s="47"/>
      <c r="AC185" s="47"/>
      <c r="AD185" s="47"/>
      <c r="AE185" s="47"/>
      <c r="AF185" s="47"/>
      <c r="AG185" s="47"/>
      <c r="AH185" s="47"/>
      <c r="AI185" s="47"/>
      <c r="AJ185" s="47"/>
      <c r="AK185" s="47"/>
      <c r="AL185" s="47"/>
      <c r="AM185" s="47"/>
      <c r="AN185" s="47"/>
      <c r="AO185" s="47"/>
      <c r="AP185" s="47"/>
      <c r="AQ185" s="47"/>
      <c r="AR185" s="47"/>
      <c r="AS185" s="47"/>
      <c r="AT185" s="47"/>
      <c r="AU185" s="47"/>
      <c r="AV185" s="47"/>
      <c r="AW185" s="47"/>
      <c r="AX185" s="47"/>
      <c r="AY185" s="47"/>
      <c r="AZ185" s="47"/>
      <c r="BA185" s="47"/>
      <c r="BB185" s="47"/>
      <c r="BC185" s="47"/>
      <c r="BD185" s="47"/>
      <c r="BE185" s="47"/>
      <c r="BF185" s="47"/>
      <c r="BG185" s="47"/>
      <c r="BH185" s="47"/>
      <c r="BI185" s="47"/>
      <c r="BJ185" s="47"/>
      <c r="BK185" s="47"/>
      <c r="BL185" s="47"/>
      <c r="BM185" s="47"/>
      <c r="BN185" s="47"/>
      <c r="BO185" s="47"/>
      <c r="BP185" s="47"/>
      <c r="BQ185" s="47"/>
      <c r="BR185" s="47"/>
      <c r="BS185" s="47"/>
      <c r="BT185" s="47"/>
      <c r="BU185" s="47"/>
      <c r="BV185" s="47"/>
      <c r="BW185" s="47"/>
      <c r="BX185" s="47"/>
      <c r="BY185" s="47"/>
      <c r="BZ185" s="47"/>
    </row>
    <row r="186" spans="1:78" ht="13">
      <c r="A186" s="152" t="str">
        <f ca="1">IFERROR(__xludf.DUMMYFUNCTION("""COMPUTED_VALUE"""),"Fish Pie Dough")</f>
        <v>Fish Pie Dough</v>
      </c>
      <c r="B186" s="47" t="str">
        <f ca="1">IFERROR(__xludf.DUMMYFUNCTION("TRANSPOSE(unique(filter(Recipes!A$2:A2490,(Recipes!L$2:L2490=A186)+(Recipes!O$2:O2490=A186)+(Recipes!R$2:R2490=A186)+(Recipes!U$2:U2490=A186)+(Recipes!X$2:X2490=A186))))"),"Fish Pie")</f>
        <v>Fish Pie</v>
      </c>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c r="AA186" s="47"/>
      <c r="AB186" s="47"/>
      <c r="AC186" s="47"/>
      <c r="AD186" s="47"/>
      <c r="AE186" s="47"/>
      <c r="AF186" s="47"/>
      <c r="AG186" s="47"/>
      <c r="AH186" s="47"/>
      <c r="AI186" s="47"/>
      <c r="AJ186" s="47"/>
      <c r="AK186" s="47"/>
      <c r="AL186" s="47"/>
      <c r="AM186" s="47"/>
      <c r="AN186" s="47"/>
      <c r="AO186" s="47"/>
      <c r="AP186" s="47"/>
      <c r="AQ186" s="47"/>
      <c r="AR186" s="47"/>
      <c r="AS186" s="47"/>
      <c r="AT186" s="47"/>
      <c r="AU186" s="47"/>
      <c r="AV186" s="47"/>
      <c r="AW186" s="47"/>
      <c r="AX186" s="47"/>
      <c r="AY186" s="47"/>
      <c r="AZ186" s="47"/>
      <c r="BA186" s="47"/>
      <c r="BB186" s="47"/>
      <c r="BC186" s="47"/>
      <c r="BD186" s="47"/>
      <c r="BE186" s="47"/>
      <c r="BF186" s="47"/>
      <c r="BG186" s="47"/>
      <c r="BH186" s="47"/>
      <c r="BI186" s="47"/>
      <c r="BJ186" s="47"/>
      <c r="BK186" s="47"/>
      <c r="BL186" s="47"/>
      <c r="BM186" s="47"/>
      <c r="BN186" s="47"/>
      <c r="BO186" s="47"/>
      <c r="BP186" s="47"/>
      <c r="BQ186" s="47"/>
      <c r="BR186" s="47"/>
      <c r="BS186" s="47"/>
      <c r="BT186" s="47"/>
      <c r="BU186" s="47"/>
      <c r="BV186" s="47"/>
      <c r="BW186" s="47"/>
      <c r="BX186" s="47"/>
      <c r="BY186" s="47"/>
      <c r="BZ186" s="47"/>
    </row>
    <row r="187" spans="1:78" ht="13">
      <c r="A187" s="152" t="str">
        <f ca="1">IFERROR(__xludf.DUMMYFUNCTION("""COMPUTED_VALUE"""),"Flaming Crescendo Scroll")</f>
        <v>Flaming Crescendo Scroll</v>
      </c>
      <c r="B187" s="47" t="str">
        <f ca="1">IFERROR(__xludf.DUMMYFUNCTION("TRANSPOSE(unique(filter(Recipes!A$2:A2490,(Recipes!L$2:L2490=A187)+(Recipes!O$2:O2490=A187)+(Recipes!R$2:R2490=A187)+(Recipes!U$2:U2490=A187)+(Recipes!X$2:X2490=A187))))"),"Flaming Crescendo Skillbook")</f>
        <v>Flaming Crescendo Skillbook</v>
      </c>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c r="AA187" s="47"/>
      <c r="AB187" s="47"/>
      <c r="AC187" s="47"/>
      <c r="AD187" s="47"/>
      <c r="AE187" s="47"/>
      <c r="AF187" s="47"/>
      <c r="AG187" s="47"/>
      <c r="AH187" s="47"/>
      <c r="AI187" s="47"/>
      <c r="AJ187" s="47"/>
      <c r="AK187" s="47"/>
      <c r="AL187" s="47"/>
      <c r="AM187" s="47"/>
      <c r="AN187" s="47"/>
      <c r="AO187" s="47"/>
      <c r="AP187" s="47"/>
      <c r="AQ187" s="47"/>
      <c r="AR187" s="47"/>
      <c r="AS187" s="47"/>
      <c r="AT187" s="47"/>
      <c r="AU187" s="47"/>
      <c r="AV187" s="47"/>
      <c r="AW187" s="47"/>
      <c r="AX187" s="47"/>
      <c r="AY187" s="47"/>
      <c r="AZ187" s="47"/>
      <c r="BA187" s="47"/>
      <c r="BB187" s="47"/>
      <c r="BC187" s="47"/>
      <c r="BD187" s="47"/>
      <c r="BE187" s="47"/>
      <c r="BF187" s="47"/>
      <c r="BG187" s="47"/>
      <c r="BH187" s="47"/>
      <c r="BI187" s="47"/>
      <c r="BJ187" s="47"/>
      <c r="BK187" s="47"/>
      <c r="BL187" s="47"/>
      <c r="BM187" s="47"/>
      <c r="BN187" s="47"/>
      <c r="BO187" s="47"/>
      <c r="BP187" s="47"/>
      <c r="BQ187" s="47"/>
      <c r="BR187" s="47"/>
      <c r="BS187" s="47"/>
      <c r="BT187" s="47"/>
      <c r="BU187" s="47"/>
      <c r="BV187" s="47"/>
      <c r="BW187" s="47"/>
      <c r="BX187" s="47"/>
      <c r="BY187" s="47"/>
      <c r="BZ187" s="47"/>
    </row>
    <row r="188" spans="1:78" ht="13">
      <c r="A188" s="152" t="str">
        <f ca="1">IFERROR(__xludf.DUMMYFUNCTION("""COMPUTED_VALUE"""),"Flaming Tongues Scroll")</f>
        <v>Flaming Tongues Scroll</v>
      </c>
      <c r="B188" s="47" t="str">
        <f ca="1">IFERROR(__xludf.DUMMYFUNCTION("TRANSPOSE(unique(filter(Recipes!A$2:A2490,(Recipes!L$2:L2490=A188)+(Recipes!O$2:O2490=A188)+(Recipes!R$2:R2490=A188)+(Recipes!U$2:U2490=A188)+(Recipes!X$2:X2490=A188))))"),"Flaming Tongues Skillbook")</f>
        <v>Flaming Tongues Skillbook</v>
      </c>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c r="AA188" s="47"/>
      <c r="AB188" s="47"/>
      <c r="AC188" s="47"/>
      <c r="AD188" s="47"/>
      <c r="AE188" s="47"/>
      <c r="AF188" s="47"/>
      <c r="AG188" s="47"/>
      <c r="AH188" s="47"/>
      <c r="AI188" s="47"/>
      <c r="AJ188" s="47"/>
      <c r="AK188" s="47"/>
      <c r="AL188" s="47"/>
      <c r="AM188" s="47"/>
      <c r="AN188" s="47"/>
      <c r="AO188" s="47"/>
      <c r="AP188" s="47"/>
      <c r="AQ188" s="47"/>
      <c r="AR188" s="47"/>
      <c r="AS188" s="47"/>
      <c r="AT188" s="47"/>
      <c r="AU188" s="47"/>
      <c r="AV188" s="47"/>
      <c r="AW188" s="47"/>
      <c r="AX188" s="47"/>
      <c r="AY188" s="47"/>
      <c r="AZ188" s="47"/>
      <c r="BA188" s="47"/>
      <c r="BB188" s="47"/>
      <c r="BC188" s="47"/>
      <c r="BD188" s="47"/>
      <c r="BE188" s="47"/>
      <c r="BF188" s="47"/>
      <c r="BG188" s="47"/>
      <c r="BH188" s="47"/>
      <c r="BI188" s="47"/>
      <c r="BJ188" s="47"/>
      <c r="BK188" s="47"/>
      <c r="BL188" s="47"/>
      <c r="BM188" s="47"/>
      <c r="BN188" s="47"/>
      <c r="BO188" s="47"/>
      <c r="BP188" s="47"/>
      <c r="BQ188" s="47"/>
      <c r="BR188" s="47"/>
      <c r="BS188" s="47"/>
      <c r="BT188" s="47"/>
      <c r="BU188" s="47"/>
      <c r="BV188" s="47"/>
      <c r="BW188" s="47"/>
      <c r="BX188" s="47"/>
      <c r="BY188" s="47"/>
      <c r="BZ188" s="47"/>
    </row>
    <row r="189" spans="1:78" ht="13">
      <c r="A189" s="152" t="str">
        <f ca="1">IFERROR(__xludf.DUMMYFUNCTION("""COMPUTED_VALUE"""),"Flay Skin Scroll")</f>
        <v>Flay Skin Scroll</v>
      </c>
      <c r="B189" s="47" t="str">
        <f ca="1">IFERROR(__xludf.DUMMYFUNCTION("TRANSPOSE(unique(filter(Recipes!A$2:A2490,(Recipes!L$2:L2490=A189)+(Recipes!O$2:O2490=A189)+(Recipes!R$2:R2490=A189)+(Recipes!U$2:U2490=A189)+(Recipes!X$2:X2490=A189))))"),"Flay Skin Skillbook")</f>
        <v>Flay Skin Skillbook</v>
      </c>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c r="AA189" s="47"/>
      <c r="AB189" s="47"/>
      <c r="AC189" s="47"/>
      <c r="AD189" s="47"/>
      <c r="AE189" s="47"/>
      <c r="AF189" s="47"/>
      <c r="AG189" s="47"/>
      <c r="AH189" s="47"/>
      <c r="AI189" s="47"/>
      <c r="AJ189" s="47"/>
      <c r="AK189" s="47"/>
      <c r="AL189" s="47"/>
      <c r="AM189" s="47"/>
      <c r="AN189" s="47"/>
      <c r="AO189" s="47"/>
      <c r="AP189" s="47"/>
      <c r="AQ189" s="47"/>
      <c r="AR189" s="47"/>
      <c r="AS189" s="47"/>
      <c r="AT189" s="47"/>
      <c r="AU189" s="47"/>
      <c r="AV189" s="47"/>
      <c r="AW189" s="47"/>
      <c r="AX189" s="47"/>
      <c r="AY189" s="47"/>
      <c r="AZ189" s="47"/>
      <c r="BA189" s="47"/>
      <c r="BB189" s="47"/>
      <c r="BC189" s="47"/>
      <c r="BD189" s="47"/>
      <c r="BE189" s="47"/>
      <c r="BF189" s="47"/>
      <c r="BG189" s="47"/>
      <c r="BH189" s="47"/>
      <c r="BI189" s="47"/>
      <c r="BJ189" s="47"/>
      <c r="BK189" s="47"/>
      <c r="BL189" s="47"/>
      <c r="BM189" s="47"/>
      <c r="BN189" s="47"/>
      <c r="BO189" s="47"/>
      <c r="BP189" s="47"/>
      <c r="BQ189" s="47"/>
      <c r="BR189" s="47"/>
      <c r="BS189" s="47"/>
      <c r="BT189" s="47"/>
      <c r="BU189" s="47"/>
      <c r="BV189" s="47"/>
      <c r="BW189" s="47"/>
      <c r="BX189" s="47"/>
      <c r="BY189" s="47"/>
      <c r="BZ189" s="47"/>
    </row>
    <row r="190" spans="1:78" ht="13">
      <c r="A190" s="152" t="str">
        <f ca="1">IFERROR(__xludf.DUMMYFUNCTION("""COMPUTED_VALUE"""),"Flour")</f>
        <v>Flour</v>
      </c>
      <c r="B190" s="47" t="str">
        <f ca="1">IFERROR(__xludf.DUMMYFUNCTION("TRANSPOSE(unique(filter(Recipes!A$2:A2490,(Recipes!L$2:L2490=A190)+(Recipes!O$2:O2490=A190)+(Recipes!R$2:R2490=A190)+(Recipes!U$2:U2490=A190)+(Recipes!X$2:X2490=A190))))"),"Dough")</f>
        <v>Dough</v>
      </c>
      <c r="C190" s="47" t="str">
        <f ca="1">IFERROR(__xludf.DUMMYFUNCTION("""COMPUTED_VALUE"""),"Shocking Touch Scroll")</f>
        <v>Shocking Touch Scroll</v>
      </c>
      <c r="D190" s="47"/>
      <c r="E190" s="47"/>
      <c r="F190" s="47"/>
      <c r="G190" s="47"/>
      <c r="H190" s="47"/>
      <c r="I190" s="47"/>
      <c r="J190" s="47"/>
      <c r="K190" s="47"/>
      <c r="L190" s="47"/>
      <c r="M190" s="47"/>
      <c r="N190" s="47"/>
      <c r="O190" s="47"/>
      <c r="P190" s="47"/>
      <c r="Q190" s="47"/>
      <c r="R190" s="47"/>
      <c r="S190" s="47"/>
      <c r="T190" s="47"/>
      <c r="U190" s="47"/>
      <c r="V190" s="47"/>
      <c r="W190" s="47"/>
      <c r="X190" s="47"/>
      <c r="Y190" s="47"/>
      <c r="Z190" s="47"/>
      <c r="AA190" s="47"/>
      <c r="AB190" s="47"/>
      <c r="AC190" s="47"/>
      <c r="AD190" s="47"/>
      <c r="AE190" s="47"/>
      <c r="AF190" s="47"/>
      <c r="AG190" s="47"/>
      <c r="AH190" s="47"/>
      <c r="AI190" s="47"/>
      <c r="AJ190" s="47"/>
      <c r="AK190" s="47"/>
      <c r="AL190" s="47"/>
      <c r="AM190" s="47"/>
      <c r="AN190" s="47"/>
      <c r="AO190" s="47"/>
      <c r="AP190" s="47"/>
      <c r="AQ190" s="47"/>
      <c r="AR190" s="47"/>
      <c r="AS190" s="47"/>
      <c r="AT190" s="47"/>
      <c r="AU190" s="47"/>
      <c r="AV190" s="47"/>
      <c r="AW190" s="47"/>
      <c r="AX190" s="47"/>
      <c r="AY190" s="47"/>
      <c r="AZ190" s="47"/>
      <c r="BA190" s="47"/>
      <c r="BB190" s="47"/>
      <c r="BC190" s="47"/>
      <c r="BD190" s="47"/>
      <c r="BE190" s="47"/>
      <c r="BF190" s="47"/>
      <c r="BG190" s="47"/>
      <c r="BH190" s="47"/>
      <c r="BI190" s="47"/>
      <c r="BJ190" s="47"/>
      <c r="BK190" s="47"/>
      <c r="BL190" s="47"/>
      <c r="BM190" s="47"/>
      <c r="BN190" s="47"/>
      <c r="BO190" s="47"/>
      <c r="BP190" s="47"/>
      <c r="BQ190" s="47"/>
      <c r="BR190" s="47"/>
      <c r="BS190" s="47"/>
      <c r="BT190" s="47"/>
      <c r="BU190" s="47"/>
      <c r="BV190" s="47"/>
      <c r="BW190" s="47"/>
      <c r="BX190" s="47"/>
      <c r="BY190" s="47"/>
      <c r="BZ190" s="47"/>
    </row>
    <row r="191" spans="1:78" ht="13">
      <c r="A191" s="152" t="str">
        <f ca="1">IFERROR(__xludf.DUMMYFUNCTION("""COMPUTED_VALUE"""),"Fly Agaric Mushroom")</f>
        <v>Fly Agaric Mushroom</v>
      </c>
      <c r="B191" s="47" t="str">
        <f ca="1">IFERROR(__xludf.DUMMYFUNCTION("TRANSPOSE(unique(filter(Recipes!A$2:A2490,(Recipes!L$2:L2490=A191)+(Recipes!O$2:O2490=A191)+(Recipes!R$2:R2490=A191)+(Recipes!U$2:U2490=A191)+(Recipes!X$2:X2490=A191))))"),"Poison Dart Scroll")</f>
        <v>Poison Dart Scroll</v>
      </c>
      <c r="C191" s="47" t="str">
        <f ca="1">IFERROR(__xludf.DUMMYFUNCTION("""COMPUTED_VALUE"""),"Small Poison Bottle")</f>
        <v>Small Poison Bottle</v>
      </c>
      <c r="D191" s="47"/>
      <c r="E191" s="47"/>
      <c r="F191" s="47"/>
      <c r="G191" s="47"/>
      <c r="H191" s="47"/>
      <c r="I191" s="47"/>
      <c r="J191" s="47"/>
      <c r="K191" s="47"/>
      <c r="L191" s="47"/>
      <c r="M191" s="47"/>
      <c r="N191" s="47"/>
      <c r="O191" s="47"/>
      <c r="P191" s="47"/>
      <c r="Q191" s="47"/>
      <c r="R191" s="47"/>
      <c r="S191" s="47"/>
      <c r="T191" s="47"/>
      <c r="U191" s="47"/>
      <c r="V191" s="47"/>
      <c r="W191" s="47"/>
      <c r="X191" s="47"/>
      <c r="Y191" s="47"/>
      <c r="Z191" s="47"/>
      <c r="AA191" s="47"/>
      <c r="AB191" s="47"/>
      <c r="AC191" s="47"/>
      <c r="AD191" s="47"/>
      <c r="AE191" s="47"/>
      <c r="AF191" s="47"/>
      <c r="AG191" s="47"/>
      <c r="AH191" s="47"/>
      <c r="AI191" s="47"/>
      <c r="AJ191" s="47"/>
      <c r="AK191" s="47"/>
      <c r="AL191" s="47"/>
      <c r="AM191" s="47"/>
      <c r="AN191" s="47"/>
      <c r="AO191" s="47"/>
      <c r="AP191" s="47"/>
      <c r="AQ191" s="47"/>
      <c r="AR191" s="47"/>
      <c r="AS191" s="47"/>
      <c r="AT191" s="47"/>
      <c r="AU191" s="47"/>
      <c r="AV191" s="47"/>
      <c r="AW191" s="47"/>
      <c r="AX191" s="47"/>
      <c r="AY191" s="47"/>
      <c r="AZ191" s="47"/>
      <c r="BA191" s="47"/>
      <c r="BB191" s="47"/>
      <c r="BC191" s="47"/>
      <c r="BD191" s="47"/>
      <c r="BE191" s="47"/>
      <c r="BF191" s="47"/>
      <c r="BG191" s="47"/>
      <c r="BH191" s="47"/>
      <c r="BI191" s="47"/>
      <c r="BJ191" s="47"/>
      <c r="BK191" s="47"/>
      <c r="BL191" s="47"/>
      <c r="BM191" s="47"/>
      <c r="BN191" s="47"/>
      <c r="BO191" s="47"/>
      <c r="BP191" s="47"/>
      <c r="BQ191" s="47"/>
      <c r="BR191" s="47"/>
      <c r="BS191" s="47"/>
      <c r="BT191" s="47"/>
      <c r="BU191" s="47"/>
      <c r="BV191" s="47"/>
      <c r="BW191" s="47"/>
      <c r="BX191" s="47"/>
      <c r="BY191" s="47"/>
      <c r="BZ191" s="47"/>
    </row>
    <row r="192" spans="1:78" ht="13">
      <c r="A192" s="152" t="str">
        <f ca="1">IFERROR(__xludf.DUMMYFUNCTION("""COMPUTED_VALUE"""),"Food")</f>
        <v>Food</v>
      </c>
      <c r="B192" s="47" t="str">
        <f ca="1">IFERROR(__xludf.DUMMYFUNCTION("TRANSPOSE(unique(filter(Recipes!A$2:A2490,(Recipes!L$2:L2490=A192)+(Recipes!O$2:O2490=A192)+(Recipes!R$2:R2490=A192)+(Recipes!U$2:U2490=A192)+(Recipes!X$2:X2490=A192))))"),"Poisoned [Food]")</f>
        <v>Poisoned [Food]</v>
      </c>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c r="AA192" s="47"/>
      <c r="AB192" s="47"/>
      <c r="AC192" s="47"/>
      <c r="AD192" s="47"/>
      <c r="AE192" s="47"/>
      <c r="AF192" s="47"/>
      <c r="AG192" s="47"/>
      <c r="AH192" s="47"/>
      <c r="AI192" s="47"/>
      <c r="AJ192" s="47"/>
      <c r="AK192" s="47"/>
      <c r="AL192" s="47"/>
      <c r="AM192" s="47"/>
      <c r="AN192" s="47"/>
      <c r="AO192" s="47"/>
      <c r="AP192" s="47"/>
      <c r="AQ192" s="47"/>
      <c r="AR192" s="47"/>
      <c r="AS192" s="47"/>
      <c r="AT192" s="47"/>
      <c r="AU192" s="47"/>
      <c r="AV192" s="47"/>
      <c r="AW192" s="47"/>
      <c r="AX192" s="47"/>
      <c r="AY192" s="47"/>
      <c r="AZ192" s="47"/>
      <c r="BA192" s="47"/>
      <c r="BB192" s="47"/>
      <c r="BC192" s="47"/>
      <c r="BD192" s="47"/>
      <c r="BE192" s="47"/>
      <c r="BF192" s="47"/>
      <c r="BG192" s="47"/>
      <c r="BH192" s="47"/>
      <c r="BI192" s="47"/>
      <c r="BJ192" s="47"/>
      <c r="BK192" s="47"/>
      <c r="BL192" s="47"/>
      <c r="BM192" s="47"/>
      <c r="BN192" s="47"/>
      <c r="BO192" s="47"/>
      <c r="BP192" s="47"/>
      <c r="BQ192" s="47"/>
      <c r="BR192" s="47"/>
      <c r="BS192" s="47"/>
      <c r="BT192" s="47"/>
      <c r="BU192" s="47"/>
      <c r="BV192" s="47"/>
      <c r="BW192" s="47"/>
      <c r="BX192" s="47"/>
      <c r="BY192" s="47"/>
      <c r="BZ192" s="47"/>
    </row>
    <row r="193" spans="1:78" ht="13">
      <c r="A193" s="152" t="str">
        <f ca="1">IFERROR(__xludf.DUMMYFUNCTION("""COMPUTED_VALUE"""),"Forced Exchange Scroll")</f>
        <v>Forced Exchange Scroll</v>
      </c>
      <c r="B193" s="47" t="str">
        <f ca="1">IFERROR(__xludf.DUMMYFUNCTION("TRANSPOSE(unique(filter(Recipes!A$2:A2490,(Recipes!L$2:L2490=A193)+(Recipes!O$2:O2490=A193)+(Recipes!R$2:R2490=A193)+(Recipes!U$2:U2490=A193)+(Recipes!X$2:X2490=A193))))"),"Forced Exchange Skillbook")</f>
        <v>Forced Exchange Skillbook</v>
      </c>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c r="AA193" s="47"/>
      <c r="AB193" s="47"/>
      <c r="AC193" s="47"/>
      <c r="AD193" s="47"/>
      <c r="AE193" s="47"/>
      <c r="AF193" s="47"/>
      <c r="AG193" s="47"/>
      <c r="AH193" s="47"/>
      <c r="AI193" s="47"/>
      <c r="AJ193" s="47"/>
      <c r="AK193" s="47"/>
      <c r="AL193" s="47"/>
      <c r="AM193" s="47"/>
      <c r="AN193" s="47"/>
      <c r="AO193" s="47"/>
      <c r="AP193" s="47"/>
      <c r="AQ193" s="47"/>
      <c r="AR193" s="47"/>
      <c r="AS193" s="47"/>
      <c r="AT193" s="47"/>
      <c r="AU193" s="47"/>
      <c r="AV193" s="47"/>
      <c r="AW193" s="47"/>
      <c r="AX193" s="47"/>
      <c r="AY193" s="47"/>
      <c r="AZ193" s="47"/>
      <c r="BA193" s="47"/>
      <c r="BB193" s="47"/>
      <c r="BC193" s="47"/>
      <c r="BD193" s="47"/>
      <c r="BE193" s="47"/>
      <c r="BF193" s="47"/>
      <c r="BG193" s="47"/>
      <c r="BH193" s="47"/>
      <c r="BI193" s="47"/>
      <c r="BJ193" s="47"/>
      <c r="BK193" s="47"/>
      <c r="BL193" s="47"/>
      <c r="BM193" s="47"/>
      <c r="BN193" s="47"/>
      <c r="BO193" s="47"/>
      <c r="BP193" s="47"/>
      <c r="BQ193" s="47"/>
      <c r="BR193" s="47"/>
      <c r="BS193" s="47"/>
      <c r="BT193" s="47"/>
      <c r="BU193" s="47"/>
      <c r="BV193" s="47"/>
      <c r="BW193" s="47"/>
      <c r="BX193" s="47"/>
      <c r="BY193" s="47"/>
      <c r="BZ193" s="47"/>
    </row>
    <row r="194" spans="1:78" ht="13">
      <c r="A194" s="152" t="str">
        <f ca="1">IFERROR(__xludf.DUMMYFUNCTION("""COMPUTED_VALUE"""),"Fortify Scroll")</f>
        <v>Fortify Scroll</v>
      </c>
      <c r="B194" s="47" t="str">
        <f ca="1">IFERROR(__xludf.DUMMYFUNCTION("TRANSPOSE(unique(filter(Recipes!A$2:A2490,(Recipes!L$2:L2490=A194)+(Recipes!O$2:O2490=A194)+(Recipes!R$2:R2490=A194)+(Recipes!U$2:U2490=A194)+(Recipes!X$2:X2490=A194))))"),"Fortify Skillbook")</f>
        <v>Fortify Skillbook</v>
      </c>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c r="AA194" s="47"/>
      <c r="AB194" s="47"/>
      <c r="AC194" s="47"/>
      <c r="AD194" s="47"/>
      <c r="AE194" s="47"/>
      <c r="AF194" s="47"/>
      <c r="AG194" s="47"/>
      <c r="AH194" s="47"/>
      <c r="AI194" s="47"/>
      <c r="AJ194" s="47"/>
      <c r="AK194" s="47"/>
      <c r="AL194" s="47"/>
      <c r="AM194" s="47"/>
      <c r="AN194" s="47"/>
      <c r="AO194" s="47"/>
      <c r="AP194" s="47"/>
      <c r="AQ194" s="47"/>
      <c r="AR194" s="47"/>
      <c r="AS194" s="47"/>
      <c r="AT194" s="47"/>
      <c r="AU194" s="47"/>
      <c r="AV194" s="47"/>
      <c r="AW194" s="47"/>
      <c r="AX194" s="47"/>
      <c r="AY194" s="47"/>
      <c r="AZ194" s="47"/>
      <c r="BA194" s="47"/>
      <c r="BB194" s="47"/>
      <c r="BC194" s="47"/>
      <c r="BD194" s="47"/>
      <c r="BE194" s="47"/>
      <c r="BF194" s="47"/>
      <c r="BG194" s="47"/>
      <c r="BH194" s="47"/>
      <c r="BI194" s="47"/>
      <c r="BJ194" s="47"/>
      <c r="BK194" s="47"/>
      <c r="BL194" s="47"/>
      <c r="BM194" s="47"/>
      <c r="BN194" s="47"/>
      <c r="BO194" s="47"/>
      <c r="BP194" s="47"/>
      <c r="BQ194" s="47"/>
      <c r="BR194" s="47"/>
      <c r="BS194" s="47"/>
      <c r="BT194" s="47"/>
      <c r="BU194" s="47"/>
      <c r="BV194" s="47"/>
      <c r="BW194" s="47"/>
      <c r="BX194" s="47"/>
      <c r="BY194" s="47"/>
      <c r="BZ194" s="47"/>
    </row>
    <row r="195" spans="1:78" ht="13">
      <c r="A195" s="152" t="str">
        <f ca="1">IFERROR(__xludf.DUMMYFUNCTION("""COMPUTED_VALUE"""),"Fossil Strike Scroll")</f>
        <v>Fossil Strike Scroll</v>
      </c>
      <c r="B195" s="47" t="str">
        <f ca="1">IFERROR(__xludf.DUMMYFUNCTION("TRANSPOSE(unique(filter(Recipes!A$2:A2490,(Recipes!L$2:L2490=A195)+(Recipes!O$2:O2490=A195)+(Recipes!R$2:R2490=A195)+(Recipes!U$2:U2490=A195)+(Recipes!X$2:X2490=A195))))"),"Fossil Strike Skillbook")</f>
        <v>Fossil Strike Skillbook</v>
      </c>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c r="AA195" s="47"/>
      <c r="AB195" s="47"/>
      <c r="AC195" s="47"/>
      <c r="AD195" s="47"/>
      <c r="AE195" s="47"/>
      <c r="AF195" s="47"/>
      <c r="AG195" s="47"/>
      <c r="AH195" s="47"/>
      <c r="AI195" s="47"/>
      <c r="AJ195" s="47"/>
      <c r="AK195" s="47"/>
      <c r="AL195" s="47"/>
      <c r="AM195" s="47"/>
      <c r="AN195" s="47"/>
      <c r="AO195" s="47"/>
      <c r="AP195" s="47"/>
      <c r="AQ195" s="47"/>
      <c r="AR195" s="47"/>
      <c r="AS195" s="47"/>
      <c r="AT195" s="47"/>
      <c r="AU195" s="47"/>
      <c r="AV195" s="47"/>
      <c r="AW195" s="47"/>
      <c r="AX195" s="47"/>
      <c r="AY195" s="47"/>
      <c r="AZ195" s="47"/>
      <c r="BA195" s="47"/>
      <c r="BB195" s="47"/>
      <c r="BC195" s="47"/>
      <c r="BD195" s="47"/>
      <c r="BE195" s="47"/>
      <c r="BF195" s="47"/>
      <c r="BG195" s="47"/>
      <c r="BH195" s="47"/>
      <c r="BI195" s="47"/>
      <c r="BJ195" s="47"/>
      <c r="BK195" s="47"/>
      <c r="BL195" s="47"/>
      <c r="BM195" s="47"/>
      <c r="BN195" s="47"/>
      <c r="BO195" s="47"/>
      <c r="BP195" s="47"/>
      <c r="BQ195" s="47"/>
      <c r="BR195" s="47"/>
      <c r="BS195" s="47"/>
      <c r="BT195" s="47"/>
      <c r="BU195" s="47"/>
      <c r="BV195" s="47"/>
      <c r="BW195" s="47"/>
      <c r="BX195" s="47"/>
      <c r="BY195" s="47"/>
      <c r="BZ195" s="47"/>
    </row>
    <row r="196" spans="1:78" ht="13">
      <c r="A196" s="152" t="str">
        <f ca="1">IFERROR(__xludf.DUMMYFUNCTION("""COMPUTED_VALUE"""),"Freezing Arrowhead")</f>
        <v>Freezing Arrowhead</v>
      </c>
      <c r="B196" s="47" t="str">
        <f ca="1">IFERROR(__xludf.DUMMYFUNCTION("TRANSPOSE(unique(filter(Recipes!A$2:A2490,(Recipes!L$2:L2490=A196)+(Recipes!O$2:O2490=A196)+(Recipes!R$2:R2490=A196)+(Recipes!U$2:U2490=A196)+(Recipes!X$2:X2490=A196))))"),"Freezing Arrow")</f>
        <v>Freezing Arrow</v>
      </c>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c r="AA196" s="47"/>
      <c r="AB196" s="47"/>
      <c r="AC196" s="47"/>
      <c r="AD196" s="47"/>
      <c r="AE196" s="47"/>
      <c r="AF196" s="47"/>
      <c r="AG196" s="47"/>
      <c r="AH196" s="47"/>
      <c r="AI196" s="47"/>
      <c r="AJ196" s="47"/>
      <c r="AK196" s="47"/>
      <c r="AL196" s="47"/>
      <c r="AM196" s="47"/>
      <c r="AN196" s="47"/>
      <c r="AO196" s="47"/>
      <c r="AP196" s="47"/>
      <c r="AQ196" s="47"/>
      <c r="AR196" s="47"/>
      <c r="AS196" s="47"/>
      <c r="AT196" s="47"/>
      <c r="AU196" s="47"/>
      <c r="AV196" s="47"/>
      <c r="AW196" s="47"/>
      <c r="AX196" s="47"/>
      <c r="AY196" s="47"/>
      <c r="AZ196" s="47"/>
      <c r="BA196" s="47"/>
      <c r="BB196" s="47"/>
      <c r="BC196" s="47"/>
      <c r="BD196" s="47"/>
      <c r="BE196" s="47"/>
      <c r="BF196" s="47"/>
      <c r="BG196" s="47"/>
      <c r="BH196" s="47"/>
      <c r="BI196" s="47"/>
      <c r="BJ196" s="47"/>
      <c r="BK196" s="47"/>
      <c r="BL196" s="47"/>
      <c r="BM196" s="47"/>
      <c r="BN196" s="47"/>
      <c r="BO196" s="47"/>
      <c r="BP196" s="47"/>
      <c r="BQ196" s="47"/>
      <c r="BR196" s="47"/>
      <c r="BS196" s="47"/>
      <c r="BT196" s="47"/>
      <c r="BU196" s="47"/>
      <c r="BV196" s="47"/>
      <c r="BW196" s="47"/>
      <c r="BX196" s="47"/>
      <c r="BY196" s="47"/>
      <c r="BZ196" s="47"/>
    </row>
    <row r="197" spans="1:78" ht="13">
      <c r="A197" s="152" t="str">
        <f ca="1">IFERROR(__xludf.DUMMYFUNCTION("""COMPUTED_VALUE"""),"Frost Grenade")</f>
        <v>Frost Grenade</v>
      </c>
      <c r="B197" s="47" t="str">
        <f ca="1">IFERROR(__xludf.DUMMYFUNCTION("TRANSPOSE(unique(filter(Recipes!A$2:A2490,(Recipes!L$2:L2490=A197)+(Recipes!O$2:O2490=A197)+(Recipes!R$2:R2490=A197)+(Recipes!U$2:U2490=A197)+(Recipes!X$2:X2490=A197))))"),"Blessed Ice Grenade")</f>
        <v>Blessed Ice Grenade</v>
      </c>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c r="AA197" s="47"/>
      <c r="AB197" s="47"/>
      <c r="AC197" s="47"/>
      <c r="AD197" s="47"/>
      <c r="AE197" s="47"/>
      <c r="AF197" s="47"/>
      <c r="AG197" s="47"/>
      <c r="AH197" s="47"/>
      <c r="AI197" s="47"/>
      <c r="AJ197" s="47"/>
      <c r="AK197" s="47"/>
      <c r="AL197" s="47"/>
      <c r="AM197" s="47"/>
      <c r="AN197" s="47"/>
      <c r="AO197" s="47"/>
      <c r="AP197" s="47"/>
      <c r="AQ197" s="47"/>
      <c r="AR197" s="47"/>
      <c r="AS197" s="47"/>
      <c r="AT197" s="47"/>
      <c r="AU197" s="47"/>
      <c r="AV197" s="47"/>
      <c r="AW197" s="47"/>
      <c r="AX197" s="47"/>
      <c r="AY197" s="47"/>
      <c r="AZ197" s="47"/>
      <c r="BA197" s="47"/>
      <c r="BB197" s="47"/>
      <c r="BC197" s="47"/>
      <c r="BD197" s="47"/>
      <c r="BE197" s="47"/>
      <c r="BF197" s="47"/>
      <c r="BG197" s="47"/>
      <c r="BH197" s="47"/>
      <c r="BI197" s="47"/>
      <c r="BJ197" s="47"/>
      <c r="BK197" s="47"/>
      <c r="BL197" s="47"/>
      <c r="BM197" s="47"/>
      <c r="BN197" s="47"/>
      <c r="BO197" s="47"/>
      <c r="BP197" s="47"/>
      <c r="BQ197" s="47"/>
      <c r="BR197" s="47"/>
      <c r="BS197" s="47"/>
      <c r="BT197" s="47"/>
      <c r="BU197" s="47"/>
      <c r="BV197" s="47"/>
      <c r="BW197" s="47"/>
      <c r="BX197" s="47"/>
      <c r="BY197" s="47"/>
      <c r="BZ197" s="47"/>
    </row>
    <row r="198" spans="1:78" ht="13">
      <c r="A198" s="152" t="str">
        <f ca="1">IFERROR(__xludf.DUMMYFUNCTION("""COMPUTED_VALUE"""),"Fuse")</f>
        <v>Fuse</v>
      </c>
      <c r="B198" s="47" t="str">
        <f ca="1">IFERROR(__xludf.DUMMYFUNCTION("TRANSPOSE(unique(filter(Recipes!A$2:A2490,(Recipes!L$2:L2490=A198)+(Recipes!O$2:O2490=A198)+(Recipes!R$2:R2490=A198)+(Recipes!U$2:U2490=A198)+(Recipes!X$2:X2490=A198))))"),"Firestorm Grenade")</f>
        <v>Firestorm Grenade</v>
      </c>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c r="AA198" s="47"/>
      <c r="AB198" s="47"/>
      <c r="AC198" s="47"/>
      <c r="AD198" s="47"/>
      <c r="AE198" s="47"/>
      <c r="AF198" s="47"/>
      <c r="AG198" s="47"/>
      <c r="AH198" s="47"/>
      <c r="AI198" s="47"/>
      <c r="AJ198" s="47"/>
      <c r="AK198" s="47"/>
      <c r="AL198" s="47"/>
      <c r="AM198" s="47"/>
      <c r="AN198" s="47"/>
      <c r="AO198" s="47"/>
      <c r="AP198" s="47"/>
      <c r="AQ198" s="47"/>
      <c r="AR198" s="47"/>
      <c r="AS198" s="47"/>
      <c r="AT198" s="47"/>
      <c r="AU198" s="47"/>
      <c r="AV198" s="47"/>
      <c r="AW198" s="47"/>
      <c r="AX198" s="47"/>
      <c r="AY198" s="47"/>
      <c r="AZ198" s="47"/>
      <c r="BA198" s="47"/>
      <c r="BB198" s="47"/>
      <c r="BC198" s="47"/>
      <c r="BD198" s="47"/>
      <c r="BE198" s="47"/>
      <c r="BF198" s="47"/>
      <c r="BG198" s="47"/>
      <c r="BH198" s="47"/>
      <c r="BI198" s="47"/>
      <c r="BJ198" s="47"/>
      <c r="BK198" s="47"/>
      <c r="BL198" s="47"/>
      <c r="BM198" s="47"/>
      <c r="BN198" s="47"/>
      <c r="BO198" s="47"/>
      <c r="BP198" s="47"/>
      <c r="BQ198" s="47"/>
      <c r="BR198" s="47"/>
      <c r="BS198" s="47"/>
      <c r="BT198" s="47"/>
      <c r="BU198" s="47"/>
      <c r="BV198" s="47"/>
      <c r="BW198" s="47"/>
      <c r="BX198" s="47"/>
      <c r="BY198" s="47"/>
      <c r="BZ198" s="47"/>
    </row>
    <row r="199" spans="1:78" ht="13">
      <c r="A199" s="152" t="str">
        <f ca="1">IFERROR(__xludf.DUMMYFUNCTION("""COMPUTED_VALUE"""),"Garlic")</f>
        <v>Garlic</v>
      </c>
      <c r="B199" s="47" t="str">
        <f ca="1">IFERROR(__xludf.DUMMYFUNCTION("TRANSPOSE(unique(filter(Recipes!A$2:A2490,(Recipes!L$2:L2490=A199)+(Recipes!O$2:O2490=A199)+(Recipes!R$2:R2490=A199)+(Recipes!U$2:U2490=A199)+(Recipes!X$2:X2490=A199))))"),"Rallying Cry Scroll")</f>
        <v>Rallying Cry Scroll</v>
      </c>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c r="AA199" s="47"/>
      <c r="AB199" s="47"/>
      <c r="AC199" s="47"/>
      <c r="AD199" s="47"/>
      <c r="AE199" s="47"/>
      <c r="AF199" s="47"/>
      <c r="AG199" s="47"/>
      <c r="AH199" s="47"/>
      <c r="AI199" s="47"/>
      <c r="AJ199" s="47"/>
      <c r="AK199" s="47"/>
      <c r="AL199" s="47"/>
      <c r="AM199" s="47"/>
      <c r="AN199" s="47"/>
      <c r="AO199" s="47"/>
      <c r="AP199" s="47"/>
      <c r="AQ199" s="47"/>
      <c r="AR199" s="47"/>
      <c r="AS199" s="47"/>
      <c r="AT199" s="47"/>
      <c r="AU199" s="47"/>
      <c r="AV199" s="47"/>
      <c r="AW199" s="47"/>
      <c r="AX199" s="47"/>
      <c r="AY199" s="47"/>
      <c r="AZ199" s="47"/>
      <c r="BA199" s="47"/>
      <c r="BB199" s="47"/>
      <c r="BC199" s="47"/>
      <c r="BD199" s="47"/>
      <c r="BE199" s="47"/>
      <c r="BF199" s="47"/>
      <c r="BG199" s="47"/>
      <c r="BH199" s="47"/>
      <c r="BI199" s="47"/>
      <c r="BJ199" s="47"/>
      <c r="BK199" s="47"/>
      <c r="BL199" s="47"/>
      <c r="BM199" s="47"/>
      <c r="BN199" s="47"/>
      <c r="BO199" s="47"/>
      <c r="BP199" s="47"/>
      <c r="BQ199" s="47"/>
      <c r="BR199" s="47"/>
      <c r="BS199" s="47"/>
      <c r="BT199" s="47"/>
      <c r="BU199" s="47"/>
      <c r="BV199" s="47"/>
      <c r="BW199" s="47"/>
      <c r="BX199" s="47"/>
      <c r="BY199" s="47"/>
      <c r="BZ199" s="47"/>
    </row>
    <row r="200" spans="1:78" ht="13">
      <c r="A200" s="152" t="str">
        <f ca="1">IFERROR(__xludf.DUMMYFUNCTION("""COMPUTED_VALUE"""),"Giant Flame Rune")</f>
        <v>Giant Flame Rune</v>
      </c>
      <c r="B200" s="47" t="str">
        <f ca="1">IFERROR(__xludf.DUMMYFUNCTION("TRANSPOSE(unique(filter(Recipes!A$2:A2490,(Recipes!L$2:L2490=A200)+(Recipes!O$2:O2490=A200)+(Recipes!R$2:R2490=A200)+(Recipes!U$2:U2490=A200)+(Recipes!X$2:X2490=A200))))"),"Giant Flame Rune of Power")</f>
        <v>Giant Flame Rune of Power</v>
      </c>
      <c r="C200" s="47" t="str">
        <f ca="1">IFERROR(__xludf.DUMMYFUNCTION("""COMPUTED_VALUE"""),"Mystical Giant Flame Rune")</f>
        <v>Mystical Giant Flame Rune</v>
      </c>
      <c r="D200" s="47"/>
      <c r="E200" s="47"/>
      <c r="F200" s="47"/>
      <c r="G200" s="47"/>
      <c r="H200" s="47"/>
      <c r="I200" s="47"/>
      <c r="J200" s="47"/>
      <c r="K200" s="47"/>
      <c r="L200" s="47"/>
      <c r="M200" s="47"/>
      <c r="N200" s="47"/>
      <c r="O200" s="47"/>
      <c r="P200" s="47"/>
      <c r="Q200" s="47"/>
      <c r="R200" s="47"/>
      <c r="S200" s="47"/>
      <c r="T200" s="47"/>
      <c r="U200" s="47"/>
      <c r="V200" s="47"/>
      <c r="W200" s="47"/>
      <c r="X200" s="47"/>
      <c r="Y200" s="47"/>
      <c r="Z200" s="47"/>
      <c r="AA200" s="47"/>
      <c r="AB200" s="47"/>
      <c r="AC200" s="47"/>
      <c r="AD200" s="47"/>
      <c r="AE200" s="47"/>
      <c r="AF200" s="47"/>
      <c r="AG200" s="47"/>
      <c r="AH200" s="47"/>
      <c r="AI200" s="47"/>
      <c r="AJ200" s="47"/>
      <c r="AK200" s="47"/>
      <c r="AL200" s="47"/>
      <c r="AM200" s="47"/>
      <c r="AN200" s="47"/>
      <c r="AO200" s="47"/>
      <c r="AP200" s="47"/>
      <c r="AQ200" s="47"/>
      <c r="AR200" s="47"/>
      <c r="AS200" s="47"/>
      <c r="AT200" s="47"/>
      <c r="AU200" s="47"/>
      <c r="AV200" s="47"/>
      <c r="AW200" s="47"/>
      <c r="AX200" s="47"/>
      <c r="AY200" s="47"/>
      <c r="AZ200" s="47"/>
      <c r="BA200" s="47"/>
      <c r="BB200" s="47"/>
      <c r="BC200" s="47"/>
      <c r="BD200" s="47"/>
      <c r="BE200" s="47"/>
      <c r="BF200" s="47"/>
      <c r="BG200" s="47"/>
      <c r="BH200" s="47"/>
      <c r="BI200" s="47"/>
      <c r="BJ200" s="47"/>
      <c r="BK200" s="47"/>
      <c r="BL200" s="47"/>
      <c r="BM200" s="47"/>
      <c r="BN200" s="47"/>
      <c r="BO200" s="47"/>
      <c r="BP200" s="47"/>
      <c r="BQ200" s="47"/>
      <c r="BR200" s="47"/>
      <c r="BS200" s="47"/>
      <c r="BT200" s="47"/>
      <c r="BU200" s="47"/>
      <c r="BV200" s="47"/>
      <c r="BW200" s="47"/>
      <c r="BX200" s="47"/>
      <c r="BY200" s="47"/>
      <c r="BZ200" s="47"/>
    </row>
    <row r="201" spans="1:78" ht="13">
      <c r="A201" s="152" t="str">
        <f ca="1">IFERROR(__xludf.DUMMYFUNCTION("""COMPUTED_VALUE"""),"Giant Frost Rune")</f>
        <v>Giant Frost Rune</v>
      </c>
      <c r="B201" s="47" t="str">
        <f ca="1">IFERROR(__xludf.DUMMYFUNCTION("TRANSPOSE(unique(filter(Recipes!A$2:A2490,(Recipes!L$2:L2490=A201)+(Recipes!O$2:O2490=A201)+(Recipes!R$2:R2490=A201)+(Recipes!U$2:U2490=A201)+(Recipes!X$2:X2490=A201))))"),"Giant Frost Rune of Power")</f>
        <v>Giant Frost Rune of Power</v>
      </c>
      <c r="C201" s="47" t="str">
        <f ca="1">IFERROR(__xludf.DUMMYFUNCTION("""COMPUTED_VALUE"""),"Mystical Giant Frost Rune")</f>
        <v>Mystical Giant Frost Rune</v>
      </c>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c r="AC201" s="47"/>
      <c r="AD201" s="47"/>
      <c r="AE201" s="47"/>
      <c r="AF201" s="47"/>
      <c r="AG201" s="47"/>
      <c r="AH201" s="47"/>
      <c r="AI201" s="47"/>
      <c r="AJ201" s="47"/>
      <c r="AK201" s="47"/>
      <c r="AL201" s="47"/>
      <c r="AM201" s="47"/>
      <c r="AN201" s="47"/>
      <c r="AO201" s="47"/>
      <c r="AP201" s="47"/>
      <c r="AQ201" s="47"/>
      <c r="AR201" s="47"/>
      <c r="AS201" s="47"/>
      <c r="AT201" s="47"/>
      <c r="AU201" s="47"/>
      <c r="AV201" s="47"/>
      <c r="AW201" s="47"/>
      <c r="AX201" s="47"/>
      <c r="AY201" s="47"/>
      <c r="AZ201" s="47"/>
      <c r="BA201" s="47"/>
      <c r="BB201" s="47"/>
      <c r="BC201" s="47"/>
      <c r="BD201" s="47"/>
      <c r="BE201" s="47"/>
      <c r="BF201" s="47"/>
      <c r="BG201" s="47"/>
      <c r="BH201" s="47"/>
      <c r="BI201" s="47"/>
      <c r="BJ201" s="47"/>
      <c r="BK201" s="47"/>
      <c r="BL201" s="47"/>
      <c r="BM201" s="47"/>
      <c r="BN201" s="47"/>
      <c r="BO201" s="47"/>
      <c r="BP201" s="47"/>
      <c r="BQ201" s="47"/>
      <c r="BR201" s="47"/>
      <c r="BS201" s="47"/>
      <c r="BT201" s="47"/>
      <c r="BU201" s="47"/>
      <c r="BV201" s="47"/>
      <c r="BW201" s="47"/>
      <c r="BX201" s="47"/>
      <c r="BY201" s="47"/>
      <c r="BZ201" s="47"/>
    </row>
    <row r="202" spans="1:78" ht="13">
      <c r="A202" s="152" t="str">
        <f ca="1">IFERROR(__xludf.DUMMYFUNCTION("""COMPUTED_VALUE"""),"Giant Healing Potion")</f>
        <v>Giant Healing Potion</v>
      </c>
      <c r="B202" s="47" t="str">
        <f ca="1">IFERROR(__xludf.DUMMYFUNCTION("TRANSPOSE(unique(filter(Recipes!A$2:A2490,(Recipes!L$2:L2490=A202)+(Recipes!O$2:O2490=A202)+(Recipes!R$2:R2490=A202)+(Recipes!U$2:U2490=A202)+(Recipes!X$2:X2490=A202))))"),"Giant Poison Bottle")</f>
        <v>Giant Poison Bottle</v>
      </c>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c r="AC202" s="47"/>
      <c r="AD202" s="47"/>
      <c r="AE202" s="47"/>
      <c r="AF202" s="47"/>
      <c r="AG202" s="47"/>
      <c r="AH202" s="47"/>
      <c r="AI202" s="47"/>
      <c r="AJ202" s="47"/>
      <c r="AK202" s="47"/>
      <c r="AL202" s="47"/>
      <c r="AM202" s="47"/>
      <c r="AN202" s="47"/>
      <c r="AO202" s="47"/>
      <c r="AP202" s="47"/>
      <c r="AQ202" s="47"/>
      <c r="AR202" s="47"/>
      <c r="AS202" s="47"/>
      <c r="AT202" s="47"/>
      <c r="AU202" s="47"/>
      <c r="AV202" s="47"/>
      <c r="AW202" s="47"/>
      <c r="AX202" s="47"/>
      <c r="AY202" s="47"/>
      <c r="AZ202" s="47"/>
      <c r="BA202" s="47"/>
      <c r="BB202" s="47"/>
      <c r="BC202" s="47"/>
      <c r="BD202" s="47"/>
      <c r="BE202" s="47"/>
      <c r="BF202" s="47"/>
      <c r="BG202" s="47"/>
      <c r="BH202" s="47"/>
      <c r="BI202" s="47"/>
      <c r="BJ202" s="47"/>
      <c r="BK202" s="47"/>
      <c r="BL202" s="47"/>
      <c r="BM202" s="47"/>
      <c r="BN202" s="47"/>
      <c r="BO202" s="47"/>
      <c r="BP202" s="47"/>
      <c r="BQ202" s="47"/>
      <c r="BR202" s="47"/>
      <c r="BS202" s="47"/>
      <c r="BT202" s="47"/>
      <c r="BU202" s="47"/>
      <c r="BV202" s="47"/>
      <c r="BW202" s="47"/>
      <c r="BX202" s="47"/>
      <c r="BY202" s="47"/>
      <c r="BZ202" s="47"/>
    </row>
    <row r="203" spans="1:78" ht="13">
      <c r="A203" s="152" t="str">
        <f ca="1">IFERROR(__xludf.DUMMYFUNCTION("""COMPUTED_VALUE"""),"Giant Masterwork Rune")</f>
        <v>Giant Masterwork Rune</v>
      </c>
      <c r="B203" s="47" t="str">
        <f ca="1">IFERROR(__xludf.DUMMYFUNCTION("TRANSPOSE(unique(filter(Recipes!A$2:A2490,(Recipes!L$2:L2490=A203)+(Recipes!O$2:O2490=A203)+(Recipes!R$2:R2490=A203)+(Recipes!U$2:U2490=A203)+(Recipes!X$2:X2490=A203))))"),"Giant Masterwork Rune of Power")</f>
        <v>Giant Masterwork Rune of Power</v>
      </c>
      <c r="C203" s="47" t="str">
        <f ca="1">IFERROR(__xludf.DUMMYFUNCTION("""COMPUTED_VALUE"""),"Mystical Giant Masterwork Rune")</f>
        <v>Mystical Giant Masterwork Rune</v>
      </c>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c r="AC203" s="47"/>
      <c r="AD203" s="47"/>
      <c r="AE203" s="47"/>
      <c r="AF203" s="47"/>
      <c r="AG203" s="47"/>
      <c r="AH203" s="47"/>
      <c r="AI203" s="47"/>
      <c r="AJ203" s="47"/>
      <c r="AK203" s="47"/>
      <c r="AL203" s="47"/>
      <c r="AM203" s="47"/>
      <c r="AN203" s="47"/>
      <c r="AO203" s="47"/>
      <c r="AP203" s="47"/>
      <c r="AQ203" s="47"/>
      <c r="AR203" s="47"/>
      <c r="AS203" s="47"/>
      <c r="AT203" s="47"/>
      <c r="AU203" s="47"/>
      <c r="AV203" s="47"/>
      <c r="AW203" s="47"/>
      <c r="AX203" s="47"/>
      <c r="AY203" s="47"/>
      <c r="AZ203" s="47"/>
      <c r="BA203" s="47"/>
      <c r="BB203" s="47"/>
      <c r="BC203" s="47"/>
      <c r="BD203" s="47"/>
      <c r="BE203" s="47"/>
      <c r="BF203" s="47"/>
      <c r="BG203" s="47"/>
      <c r="BH203" s="47"/>
      <c r="BI203" s="47"/>
      <c r="BJ203" s="47"/>
      <c r="BK203" s="47"/>
      <c r="BL203" s="47"/>
      <c r="BM203" s="47"/>
      <c r="BN203" s="47"/>
      <c r="BO203" s="47"/>
      <c r="BP203" s="47"/>
      <c r="BQ203" s="47"/>
      <c r="BR203" s="47"/>
      <c r="BS203" s="47"/>
      <c r="BT203" s="47"/>
      <c r="BU203" s="47"/>
      <c r="BV203" s="47"/>
      <c r="BW203" s="47"/>
      <c r="BX203" s="47"/>
      <c r="BY203" s="47"/>
      <c r="BZ203" s="47"/>
    </row>
    <row r="204" spans="1:78" ht="13">
      <c r="A204" s="152" t="str">
        <f ca="1">IFERROR(__xludf.DUMMYFUNCTION("""COMPUTED_VALUE"""),"Giant Rock Rune")</f>
        <v>Giant Rock Rune</v>
      </c>
      <c r="B204" s="47" t="str">
        <f ca="1">IFERROR(__xludf.DUMMYFUNCTION("TRANSPOSE(unique(filter(Recipes!A$2:A2490,(Recipes!L$2:L2490=A204)+(Recipes!O$2:O2490=A204)+(Recipes!R$2:R2490=A204)+(Recipes!U$2:U2490=A204)+(Recipes!X$2:X2490=A204))))"),"Giant Rock Rune of Power")</f>
        <v>Giant Rock Rune of Power</v>
      </c>
      <c r="C204" s="47" t="str">
        <f ca="1">IFERROR(__xludf.DUMMYFUNCTION("""COMPUTED_VALUE"""),"Mystical Giant Rock Rune")</f>
        <v>Mystical Giant Rock Rune</v>
      </c>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c r="AC204" s="47"/>
      <c r="AD204" s="47"/>
      <c r="AE204" s="47"/>
      <c r="AF204" s="47"/>
      <c r="AG204" s="47"/>
      <c r="AH204" s="47"/>
      <c r="AI204" s="47"/>
      <c r="AJ204" s="47"/>
      <c r="AK204" s="47"/>
      <c r="AL204" s="47"/>
      <c r="AM204" s="47"/>
      <c r="AN204" s="47"/>
      <c r="AO204" s="47"/>
      <c r="AP204" s="47"/>
      <c r="AQ204" s="47"/>
      <c r="AR204" s="47"/>
      <c r="AS204" s="47"/>
      <c r="AT204" s="47"/>
      <c r="AU204" s="47"/>
      <c r="AV204" s="47"/>
      <c r="AW204" s="47"/>
      <c r="AX204" s="47"/>
      <c r="AY204" s="47"/>
      <c r="AZ204" s="47"/>
      <c r="BA204" s="47"/>
      <c r="BB204" s="47"/>
      <c r="BC204" s="47"/>
      <c r="BD204" s="47"/>
      <c r="BE204" s="47"/>
      <c r="BF204" s="47"/>
      <c r="BG204" s="47"/>
      <c r="BH204" s="47"/>
      <c r="BI204" s="47"/>
      <c r="BJ204" s="47"/>
      <c r="BK204" s="47"/>
      <c r="BL204" s="47"/>
      <c r="BM204" s="47"/>
      <c r="BN204" s="47"/>
      <c r="BO204" s="47"/>
      <c r="BP204" s="47"/>
      <c r="BQ204" s="47"/>
      <c r="BR204" s="47"/>
      <c r="BS204" s="47"/>
      <c r="BT204" s="47"/>
      <c r="BU204" s="47"/>
      <c r="BV204" s="47"/>
      <c r="BW204" s="47"/>
      <c r="BX204" s="47"/>
      <c r="BY204" s="47"/>
      <c r="BZ204" s="47"/>
    </row>
    <row r="205" spans="1:78" ht="13">
      <c r="A205" s="152" t="str">
        <f ca="1">IFERROR(__xludf.DUMMYFUNCTION("""COMPUTED_VALUE"""),"Giant Thunder Rune")</f>
        <v>Giant Thunder Rune</v>
      </c>
      <c r="B205" s="47" t="str">
        <f ca="1">IFERROR(__xludf.DUMMYFUNCTION("TRANSPOSE(unique(filter(Recipes!A$2:A2490,(Recipes!L$2:L2490=A205)+(Recipes!O$2:O2490=A205)+(Recipes!R$2:R2490=A205)+(Recipes!U$2:U2490=A205)+(Recipes!X$2:X2490=A205))))"),"Giant Thunder Rune of Power")</f>
        <v>Giant Thunder Rune of Power</v>
      </c>
      <c r="C205" s="47" t="str">
        <f ca="1">IFERROR(__xludf.DUMMYFUNCTION("""COMPUTED_VALUE"""),"Mystical Giant Thunder Rune")</f>
        <v>Mystical Giant Thunder Rune</v>
      </c>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c r="AC205" s="47"/>
      <c r="AD205" s="47"/>
      <c r="AE205" s="47"/>
      <c r="AF205" s="47"/>
      <c r="AG205" s="47"/>
      <c r="AH205" s="47"/>
      <c r="AI205" s="47"/>
      <c r="AJ205" s="47"/>
      <c r="AK205" s="47"/>
      <c r="AL205" s="47"/>
      <c r="AM205" s="47"/>
      <c r="AN205" s="47"/>
      <c r="AO205" s="47"/>
      <c r="AP205" s="47"/>
      <c r="AQ205" s="47"/>
      <c r="AR205" s="47"/>
      <c r="AS205" s="47"/>
      <c r="AT205" s="47"/>
      <c r="AU205" s="47"/>
      <c r="AV205" s="47"/>
      <c r="AW205" s="47"/>
      <c r="AX205" s="47"/>
      <c r="AY205" s="47"/>
      <c r="AZ205" s="47"/>
      <c r="BA205" s="47"/>
      <c r="BB205" s="47"/>
      <c r="BC205" s="47"/>
      <c r="BD205" s="47"/>
      <c r="BE205" s="47"/>
      <c r="BF205" s="47"/>
      <c r="BG205" s="47"/>
      <c r="BH205" s="47"/>
      <c r="BI205" s="47"/>
      <c r="BJ205" s="47"/>
      <c r="BK205" s="47"/>
      <c r="BL205" s="47"/>
      <c r="BM205" s="47"/>
      <c r="BN205" s="47"/>
      <c r="BO205" s="47"/>
      <c r="BP205" s="47"/>
      <c r="BQ205" s="47"/>
      <c r="BR205" s="47"/>
      <c r="BS205" s="47"/>
      <c r="BT205" s="47"/>
      <c r="BU205" s="47"/>
      <c r="BV205" s="47"/>
      <c r="BW205" s="47"/>
      <c r="BX205" s="47"/>
      <c r="BY205" s="47"/>
      <c r="BZ205" s="47"/>
    </row>
    <row r="206" spans="1:78" ht="13">
      <c r="A206" s="152" t="str">
        <f ca="1">IFERROR(__xludf.DUMMYFUNCTION("""COMPUTED_VALUE"""),"Giant Venom Rune")</f>
        <v>Giant Venom Rune</v>
      </c>
      <c r="B206" s="47" t="str">
        <f ca="1">IFERROR(__xludf.DUMMYFUNCTION("TRANSPOSE(unique(filter(Recipes!A$2:A2490,(Recipes!L$2:L2490=A206)+(Recipes!O$2:O2490=A206)+(Recipes!R$2:R2490=A206)+(Recipes!U$2:U2490=A206)+(Recipes!X$2:X2490=A206))))"),"Giant Venom Rune of Power")</f>
        <v>Giant Venom Rune of Power</v>
      </c>
      <c r="C206" s="47" t="str">
        <f ca="1">IFERROR(__xludf.DUMMYFUNCTION("""COMPUTED_VALUE"""),"Mystical Giant Venom Rune")</f>
        <v>Mystical Giant Venom Rune</v>
      </c>
      <c r="D206" s="47"/>
      <c r="E206" s="47"/>
      <c r="F206" s="47"/>
      <c r="G206" s="47"/>
      <c r="H206" s="47"/>
      <c r="I206" s="47"/>
      <c r="J206" s="47"/>
      <c r="K206" s="47"/>
      <c r="L206" s="47"/>
      <c r="M206" s="47"/>
      <c r="N206" s="47"/>
      <c r="O206" s="47"/>
      <c r="P206" s="47"/>
      <c r="Q206" s="47"/>
      <c r="R206" s="47"/>
      <c r="S206" s="47"/>
      <c r="T206" s="47"/>
      <c r="U206" s="47"/>
      <c r="V206" s="47"/>
      <c r="W206" s="47"/>
      <c r="X206" s="47"/>
      <c r="Y206" s="47"/>
      <c r="Z206" s="47"/>
      <c r="AA206" s="47"/>
      <c r="AB206" s="47"/>
      <c r="AC206" s="47"/>
      <c r="AD206" s="47"/>
      <c r="AE206" s="47"/>
      <c r="AF206" s="47"/>
      <c r="AG206" s="47"/>
      <c r="AH206" s="47"/>
      <c r="AI206" s="47"/>
      <c r="AJ206" s="47"/>
      <c r="AK206" s="47"/>
      <c r="AL206" s="47"/>
      <c r="AM206" s="47"/>
      <c r="AN206" s="47"/>
      <c r="AO206" s="47"/>
      <c r="AP206" s="47"/>
      <c r="AQ206" s="47"/>
      <c r="AR206" s="47"/>
      <c r="AS206" s="47"/>
      <c r="AT206" s="47"/>
      <c r="AU206" s="47"/>
      <c r="AV206" s="47"/>
      <c r="AW206" s="47"/>
      <c r="AX206" s="47"/>
      <c r="AY206" s="47"/>
      <c r="AZ206" s="47"/>
      <c r="BA206" s="47"/>
      <c r="BB206" s="47"/>
      <c r="BC206" s="47"/>
      <c r="BD206" s="47"/>
      <c r="BE206" s="47"/>
      <c r="BF206" s="47"/>
      <c r="BG206" s="47"/>
      <c r="BH206" s="47"/>
      <c r="BI206" s="47"/>
      <c r="BJ206" s="47"/>
      <c r="BK206" s="47"/>
      <c r="BL206" s="47"/>
      <c r="BM206" s="47"/>
      <c r="BN206" s="47"/>
      <c r="BO206" s="47"/>
      <c r="BP206" s="47"/>
      <c r="BQ206" s="47"/>
      <c r="BR206" s="47"/>
      <c r="BS206" s="47"/>
      <c r="BT206" s="47"/>
      <c r="BU206" s="47"/>
      <c r="BV206" s="47"/>
      <c r="BW206" s="47"/>
      <c r="BX206" s="47"/>
      <c r="BY206" s="47"/>
      <c r="BZ206" s="47"/>
    </row>
    <row r="207" spans="1:78" ht="13">
      <c r="A207" s="152" t="str">
        <f ca="1">IFERROR(__xludf.DUMMYFUNCTION("""COMPUTED_VALUE"""),"Global Cooling Scroll")</f>
        <v>Global Cooling Scroll</v>
      </c>
      <c r="B207" s="47" t="str">
        <f ca="1">IFERROR(__xludf.DUMMYFUNCTION("TRANSPOSE(unique(filter(Recipes!A$2:A2490,(Recipes!L$2:L2490=A207)+(Recipes!O$2:O2490=A207)+(Recipes!R$2:R2490=A207)+(Recipes!U$2:U2490=A207)+(Recipes!X$2:X2490=A207))))"),"Global Cooling Skillbook")</f>
        <v>Global Cooling Skillbook</v>
      </c>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c r="AA207" s="47"/>
      <c r="AB207" s="47"/>
      <c r="AC207" s="47"/>
      <c r="AD207" s="47"/>
      <c r="AE207" s="47"/>
      <c r="AF207" s="47"/>
      <c r="AG207" s="47"/>
      <c r="AH207" s="47"/>
      <c r="AI207" s="47"/>
      <c r="AJ207" s="47"/>
      <c r="AK207" s="47"/>
      <c r="AL207" s="47"/>
      <c r="AM207" s="47"/>
      <c r="AN207" s="47"/>
      <c r="AO207" s="47"/>
      <c r="AP207" s="47"/>
      <c r="AQ207" s="47"/>
      <c r="AR207" s="47"/>
      <c r="AS207" s="47"/>
      <c r="AT207" s="47"/>
      <c r="AU207" s="47"/>
      <c r="AV207" s="47"/>
      <c r="AW207" s="47"/>
      <c r="AX207" s="47"/>
      <c r="AY207" s="47"/>
      <c r="AZ207" s="47"/>
      <c r="BA207" s="47"/>
      <c r="BB207" s="47"/>
      <c r="BC207" s="47"/>
      <c r="BD207" s="47"/>
      <c r="BE207" s="47"/>
      <c r="BF207" s="47"/>
      <c r="BG207" s="47"/>
      <c r="BH207" s="47"/>
      <c r="BI207" s="47"/>
      <c r="BJ207" s="47"/>
      <c r="BK207" s="47"/>
      <c r="BL207" s="47"/>
      <c r="BM207" s="47"/>
      <c r="BN207" s="47"/>
      <c r="BO207" s="47"/>
      <c r="BP207" s="47"/>
      <c r="BQ207" s="47"/>
      <c r="BR207" s="47"/>
      <c r="BS207" s="47"/>
      <c r="BT207" s="47"/>
      <c r="BU207" s="47"/>
      <c r="BV207" s="47"/>
      <c r="BW207" s="47"/>
      <c r="BX207" s="47"/>
      <c r="BY207" s="47"/>
      <c r="BZ207" s="47"/>
    </row>
    <row r="208" spans="1:78" ht="13">
      <c r="A208" s="152" t="str">
        <f ca="1">IFERROR(__xludf.DUMMYFUNCTION("""COMPUTED_VALUE"""),"Gloves")</f>
        <v>Gloves</v>
      </c>
      <c r="B208" s="47" t="str">
        <f ca="1">IFERROR(__xludf.DUMMYFUNCTION("TRANSPOSE(unique(filter(Recipes!A$2:A2490,(Recipes!L$2:L2490=A208)+(Recipes!O$2:O2490=A208)+(Recipes!R$2:R2490=A208)+(Recipes!U$2:U2490=A208)+(Recipes!X$2:X2490=A208))))"),"Boost Gloves")</f>
        <v>Boost Gloves</v>
      </c>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c r="AA208" s="47"/>
      <c r="AB208" s="47"/>
      <c r="AC208" s="47"/>
      <c r="AD208" s="47"/>
      <c r="AE208" s="47"/>
      <c r="AF208" s="47"/>
      <c r="AG208" s="47"/>
      <c r="AH208" s="47"/>
      <c r="AI208" s="47"/>
      <c r="AJ208" s="47"/>
      <c r="AK208" s="47"/>
      <c r="AL208" s="47"/>
      <c r="AM208" s="47"/>
      <c r="AN208" s="47"/>
      <c r="AO208" s="47"/>
      <c r="AP208" s="47"/>
      <c r="AQ208" s="47"/>
      <c r="AR208" s="47"/>
      <c r="AS208" s="47"/>
      <c r="AT208" s="47"/>
      <c r="AU208" s="47"/>
      <c r="AV208" s="47"/>
      <c r="AW208" s="47"/>
      <c r="AX208" s="47"/>
      <c r="AY208" s="47"/>
      <c r="AZ208" s="47"/>
      <c r="BA208" s="47"/>
      <c r="BB208" s="47"/>
      <c r="BC208" s="47"/>
      <c r="BD208" s="47"/>
      <c r="BE208" s="47"/>
      <c r="BF208" s="47"/>
      <c r="BG208" s="47"/>
      <c r="BH208" s="47"/>
      <c r="BI208" s="47"/>
      <c r="BJ208" s="47"/>
      <c r="BK208" s="47"/>
      <c r="BL208" s="47"/>
      <c r="BM208" s="47"/>
      <c r="BN208" s="47"/>
      <c r="BO208" s="47"/>
      <c r="BP208" s="47"/>
      <c r="BQ208" s="47"/>
      <c r="BR208" s="47"/>
      <c r="BS208" s="47"/>
      <c r="BT208" s="47"/>
      <c r="BU208" s="47"/>
      <c r="BV208" s="47"/>
      <c r="BW208" s="47"/>
      <c r="BX208" s="47"/>
      <c r="BY208" s="47"/>
      <c r="BZ208" s="47"/>
    </row>
    <row r="209" spans="1:78" ht="13">
      <c r="A209" s="152" t="str">
        <f ca="1">IFERROR(__xludf.DUMMYFUNCTION("""COMPUTED_VALUE"""),"Gold object (not money)")</f>
        <v>Gold object (not money)</v>
      </c>
      <c r="B209" s="47" t="str">
        <f ca="1">IFERROR(__xludf.DUMMYFUNCTION("TRANSPOSE(unique(filter(Recipes!A$2:A2490,(Recipes!L$2:L2490=A209)+(Recipes!O$2:O2490=A209)+(Recipes!R$2:R2490=A209)+(Recipes!U$2:U2490=A209)+(Recipes!X$2:X2490=A209))))"),"Blinding Radiance Scroll")</f>
        <v>Blinding Radiance Scroll</v>
      </c>
      <c r="C209" s="47" t="str">
        <f ca="1">IFERROR(__xludf.DUMMYFUNCTION("""COMPUTED_VALUE"""),"Small Thunder Rune")</f>
        <v>Small Thunder Rune</v>
      </c>
      <c r="D209" s="47"/>
      <c r="E209" s="47"/>
      <c r="F209" s="47"/>
      <c r="G209" s="47"/>
      <c r="H209" s="47"/>
      <c r="I209" s="47"/>
      <c r="J209" s="47"/>
      <c r="K209" s="47"/>
      <c r="L209" s="47"/>
      <c r="M209" s="47"/>
      <c r="N209" s="47"/>
      <c r="O209" s="47"/>
      <c r="P209" s="47"/>
      <c r="Q209" s="47"/>
      <c r="R209" s="47"/>
      <c r="S209" s="47"/>
      <c r="T209" s="47"/>
      <c r="U209" s="47"/>
      <c r="V209" s="47"/>
      <c r="W209" s="47"/>
      <c r="X209" s="47"/>
      <c r="Y209" s="47"/>
      <c r="Z209" s="47"/>
      <c r="AA209" s="47"/>
      <c r="AB209" s="47"/>
      <c r="AC209" s="47"/>
      <c r="AD209" s="47"/>
      <c r="AE209" s="47"/>
      <c r="AF209" s="47"/>
      <c r="AG209" s="47"/>
      <c r="AH209" s="47"/>
      <c r="AI209" s="47"/>
      <c r="AJ209" s="47"/>
      <c r="AK209" s="47"/>
      <c r="AL209" s="47"/>
      <c r="AM209" s="47"/>
      <c r="AN209" s="47"/>
      <c r="AO209" s="47"/>
      <c r="AP209" s="47"/>
      <c r="AQ209" s="47"/>
      <c r="AR209" s="47"/>
      <c r="AS209" s="47"/>
      <c r="AT209" s="47"/>
      <c r="AU209" s="47"/>
      <c r="AV209" s="47"/>
      <c r="AW209" s="47"/>
      <c r="AX209" s="47"/>
      <c r="AY209" s="47"/>
      <c r="AZ209" s="47"/>
      <c r="BA209" s="47"/>
      <c r="BB209" s="47"/>
      <c r="BC209" s="47"/>
      <c r="BD209" s="47"/>
      <c r="BE209" s="47"/>
      <c r="BF209" s="47"/>
      <c r="BG209" s="47"/>
      <c r="BH209" s="47"/>
      <c r="BI209" s="47"/>
      <c r="BJ209" s="47"/>
      <c r="BK209" s="47"/>
      <c r="BL209" s="47"/>
      <c r="BM209" s="47"/>
      <c r="BN209" s="47"/>
      <c r="BO209" s="47"/>
      <c r="BP209" s="47"/>
      <c r="BQ209" s="47"/>
      <c r="BR209" s="47"/>
      <c r="BS209" s="47"/>
      <c r="BT209" s="47"/>
      <c r="BU209" s="47"/>
      <c r="BV209" s="47"/>
      <c r="BW209" s="47"/>
      <c r="BX209" s="47"/>
      <c r="BY209" s="47"/>
      <c r="BZ209" s="47"/>
    </row>
    <row r="210" spans="1:78" ht="13">
      <c r="A210" s="152" t="str">
        <f ca="1">IFERROR(__xludf.DUMMYFUNCTION("""COMPUTED_VALUE"""),"Goo")</f>
        <v>Goo</v>
      </c>
      <c r="B210" s="47" t="str">
        <f ca="1">IFERROR(__xludf.DUMMYFUNCTION("TRANSPOSE(unique(filter(Recipes!A$2:A2490,(Recipes!L$2:L2490=A210)+(Recipes!O$2:O2490=A210)+(Recipes!R$2:R2490=A210)+(Recipes!U$2:U2490=A210)+(Recipes!X$2:X2490=A210))))"),"Silencing Stare Scroll")</f>
        <v>Silencing Stare Scroll</v>
      </c>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c r="AA210" s="47"/>
      <c r="AB210" s="47"/>
      <c r="AC210" s="47"/>
      <c r="AD210" s="47"/>
      <c r="AE210" s="47"/>
      <c r="AF210" s="47"/>
      <c r="AG210" s="47"/>
      <c r="AH210" s="47"/>
      <c r="AI210" s="47"/>
      <c r="AJ210" s="47"/>
      <c r="AK210" s="47"/>
      <c r="AL210" s="47"/>
      <c r="AM210" s="47"/>
      <c r="AN210" s="47"/>
      <c r="AO210" s="47"/>
      <c r="AP210" s="47"/>
      <c r="AQ210" s="47"/>
      <c r="AR210" s="47"/>
      <c r="AS210" s="47"/>
      <c r="AT210" s="47"/>
      <c r="AU210" s="47"/>
      <c r="AV210" s="47"/>
      <c r="AW210" s="47"/>
      <c r="AX210" s="47"/>
      <c r="AY210" s="47"/>
      <c r="AZ210" s="47"/>
      <c r="BA210" s="47"/>
      <c r="BB210" s="47"/>
      <c r="BC210" s="47"/>
      <c r="BD210" s="47"/>
      <c r="BE210" s="47"/>
      <c r="BF210" s="47"/>
      <c r="BG210" s="47"/>
      <c r="BH210" s="47"/>
      <c r="BI210" s="47"/>
      <c r="BJ210" s="47"/>
      <c r="BK210" s="47"/>
      <c r="BL210" s="47"/>
      <c r="BM210" s="47"/>
      <c r="BN210" s="47"/>
      <c r="BO210" s="47"/>
      <c r="BP210" s="47"/>
      <c r="BQ210" s="47"/>
      <c r="BR210" s="47"/>
      <c r="BS210" s="47"/>
      <c r="BT210" s="47"/>
      <c r="BU210" s="47"/>
      <c r="BV210" s="47"/>
      <c r="BW210" s="47"/>
      <c r="BX210" s="47"/>
      <c r="BY210" s="47"/>
      <c r="BZ210" s="47"/>
    </row>
    <row r="211" spans="1:78" ht="13">
      <c r="A211" s="152" t="str">
        <f ca="1">IFERROR(__xludf.DUMMYFUNCTION("""COMPUTED_VALUE"""),"Grapes")</f>
        <v>Grapes</v>
      </c>
      <c r="B211" s="47" t="str">
        <f ca="1">IFERROR(__xludf.DUMMYFUNCTION("TRANSPOSE(unique(filter(Recipes!A$2:A2490,(Recipes!L$2:L2490=A211)+(Recipes!O$2:O2490=A211)+(Recipes!R$2:R2490=A211)+(Recipes!U$2:U2490=A211)+(Recipes!X$2:X2490=A211))))"),"Glass of Wine")</f>
        <v>Glass of Wine</v>
      </c>
      <c r="C211" s="47" t="str">
        <f ca="1">IFERROR(__xludf.DUMMYFUNCTION("""COMPUTED_VALUE"""),"Mug of Wine")</f>
        <v>Mug of Wine</v>
      </c>
      <c r="D211" s="47" t="str">
        <f ca="1">IFERROR(__xludf.DUMMYFUNCTION("""COMPUTED_VALUE"""),"Planar Gateway Scroll")</f>
        <v>Planar Gateway Scroll</v>
      </c>
      <c r="E211" s="47"/>
      <c r="F211" s="47"/>
      <c r="G211" s="47"/>
      <c r="H211" s="47"/>
      <c r="I211" s="47"/>
      <c r="J211" s="47"/>
      <c r="K211" s="47"/>
      <c r="L211" s="47"/>
      <c r="M211" s="47"/>
      <c r="N211" s="47"/>
      <c r="O211" s="47"/>
      <c r="P211" s="47"/>
      <c r="Q211" s="47"/>
      <c r="R211" s="47"/>
      <c r="S211" s="47"/>
      <c r="T211" s="47"/>
      <c r="U211" s="47"/>
      <c r="V211" s="47"/>
      <c r="W211" s="47"/>
      <c r="X211" s="47"/>
      <c r="Y211" s="47"/>
      <c r="Z211" s="47"/>
      <c r="AA211" s="47"/>
      <c r="AB211" s="47"/>
      <c r="AC211" s="47"/>
      <c r="AD211" s="47"/>
      <c r="AE211" s="47"/>
      <c r="AF211" s="47"/>
      <c r="AG211" s="47"/>
      <c r="AH211" s="47"/>
      <c r="AI211" s="47"/>
      <c r="AJ211" s="47"/>
      <c r="AK211" s="47"/>
      <c r="AL211" s="47"/>
      <c r="AM211" s="47"/>
      <c r="AN211" s="47"/>
      <c r="AO211" s="47"/>
      <c r="AP211" s="47"/>
      <c r="AQ211" s="47"/>
      <c r="AR211" s="47"/>
      <c r="AS211" s="47"/>
      <c r="AT211" s="47"/>
      <c r="AU211" s="47"/>
      <c r="AV211" s="47"/>
      <c r="AW211" s="47"/>
      <c r="AX211" s="47"/>
      <c r="AY211" s="47"/>
      <c r="AZ211" s="47"/>
      <c r="BA211" s="47"/>
      <c r="BB211" s="47"/>
      <c r="BC211" s="47"/>
      <c r="BD211" s="47"/>
      <c r="BE211" s="47"/>
      <c r="BF211" s="47"/>
      <c r="BG211" s="47"/>
      <c r="BH211" s="47"/>
      <c r="BI211" s="47"/>
      <c r="BJ211" s="47"/>
      <c r="BK211" s="47"/>
      <c r="BL211" s="47"/>
      <c r="BM211" s="47"/>
      <c r="BN211" s="47"/>
      <c r="BO211" s="47"/>
      <c r="BP211" s="47"/>
      <c r="BQ211" s="47"/>
      <c r="BR211" s="47"/>
      <c r="BS211" s="47"/>
      <c r="BT211" s="47"/>
      <c r="BU211" s="47"/>
      <c r="BV211" s="47"/>
      <c r="BW211" s="47"/>
      <c r="BX211" s="47"/>
      <c r="BY211" s="47"/>
      <c r="BZ211" s="47"/>
    </row>
    <row r="212" spans="1:78" ht="13">
      <c r="A212" s="152" t="str">
        <f ca="1">IFERROR(__xludf.DUMMYFUNCTION("""COMPUTED_VALUE"""),"Grasp of the Starved Scroll")</f>
        <v>Grasp of the Starved Scroll</v>
      </c>
      <c r="B212" s="47" t="str">
        <f ca="1">IFERROR(__xludf.DUMMYFUNCTION("TRANSPOSE(unique(filter(Recipes!A$2:A2490,(Recipes!L$2:L2490=A212)+(Recipes!O$2:O2490=A212)+(Recipes!R$2:R2490=A212)+(Recipes!U$2:U2490=A212)+(Recipes!X$2:X2490=A212))))"),"Grasp of the Starved Skillbook")</f>
        <v>Grasp of the Starved Skillbook</v>
      </c>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c r="AA212" s="47"/>
      <c r="AB212" s="47"/>
      <c r="AC212" s="47"/>
      <c r="AD212" s="47"/>
      <c r="AE212" s="47"/>
      <c r="AF212" s="47"/>
      <c r="AG212" s="47"/>
      <c r="AH212" s="47"/>
      <c r="AI212" s="47"/>
      <c r="AJ212" s="47"/>
      <c r="AK212" s="47"/>
      <c r="AL212" s="47"/>
      <c r="AM212" s="47"/>
      <c r="AN212" s="47"/>
      <c r="AO212" s="47"/>
      <c r="AP212" s="47"/>
      <c r="AQ212" s="47"/>
      <c r="AR212" s="47"/>
      <c r="AS212" s="47"/>
      <c r="AT212" s="47"/>
      <c r="AU212" s="47"/>
      <c r="AV212" s="47"/>
      <c r="AW212" s="47"/>
      <c r="AX212" s="47"/>
      <c r="AY212" s="47"/>
      <c r="AZ212" s="47"/>
      <c r="BA212" s="47"/>
      <c r="BB212" s="47"/>
      <c r="BC212" s="47"/>
      <c r="BD212" s="47"/>
      <c r="BE212" s="47"/>
      <c r="BF212" s="47"/>
      <c r="BG212" s="47"/>
      <c r="BH212" s="47"/>
      <c r="BI212" s="47"/>
      <c r="BJ212" s="47"/>
      <c r="BK212" s="47"/>
      <c r="BL212" s="47"/>
      <c r="BM212" s="47"/>
      <c r="BN212" s="47"/>
      <c r="BO212" s="47"/>
      <c r="BP212" s="47"/>
      <c r="BQ212" s="47"/>
      <c r="BR212" s="47"/>
      <c r="BS212" s="47"/>
      <c r="BT212" s="47"/>
      <c r="BU212" s="47"/>
      <c r="BV212" s="47"/>
      <c r="BW212" s="47"/>
      <c r="BX212" s="47"/>
      <c r="BY212" s="47"/>
      <c r="BZ212" s="47"/>
    </row>
    <row r="213" spans="1:78" ht="13">
      <c r="A213" s="152" t="str">
        <f ca="1">IFERROR(__xludf.DUMMYFUNCTION("""COMPUTED_VALUE"""),"Green Tea Leaves")</f>
        <v>Green Tea Leaves</v>
      </c>
      <c r="B213" s="47" t="str">
        <f ca="1">IFERROR(__xludf.DUMMYFUNCTION("TRANSPOSE(unique(filter(Recipes!A$2:A2490,(Recipes!L$2:L2490=A213)+(Recipes!O$2:O2490=A213)+(Recipes!R$2:R2490=A213)+(Recipes!U$2:U2490=A213)+(Recipes!X$2:X2490=A213))))"),"Green Tea")</f>
        <v>Green Tea</v>
      </c>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7"/>
      <c r="AB213" s="47"/>
      <c r="AC213" s="47"/>
      <c r="AD213" s="47"/>
      <c r="AE213" s="47"/>
      <c r="AF213" s="47"/>
      <c r="AG213" s="47"/>
      <c r="AH213" s="47"/>
      <c r="AI213" s="47"/>
      <c r="AJ213" s="47"/>
      <c r="AK213" s="47"/>
      <c r="AL213" s="47"/>
      <c r="AM213" s="47"/>
      <c r="AN213" s="47"/>
      <c r="AO213" s="47"/>
      <c r="AP213" s="47"/>
      <c r="AQ213" s="47"/>
      <c r="AR213" s="47"/>
      <c r="AS213" s="47"/>
      <c r="AT213" s="47"/>
      <c r="AU213" s="47"/>
      <c r="AV213" s="47"/>
      <c r="AW213" s="47"/>
      <c r="AX213" s="47"/>
      <c r="AY213" s="47"/>
      <c r="AZ213" s="47"/>
      <c r="BA213" s="47"/>
      <c r="BB213" s="47"/>
      <c r="BC213" s="47"/>
      <c r="BD213" s="47"/>
      <c r="BE213" s="47"/>
      <c r="BF213" s="47"/>
      <c r="BG213" s="47"/>
      <c r="BH213" s="47"/>
      <c r="BI213" s="47"/>
      <c r="BJ213" s="47"/>
      <c r="BK213" s="47"/>
      <c r="BL213" s="47"/>
      <c r="BM213" s="47"/>
      <c r="BN213" s="47"/>
      <c r="BO213" s="47"/>
      <c r="BP213" s="47"/>
      <c r="BQ213" s="47"/>
      <c r="BR213" s="47"/>
      <c r="BS213" s="47"/>
      <c r="BT213" s="47"/>
      <c r="BU213" s="47"/>
      <c r="BV213" s="47"/>
      <c r="BW213" s="47"/>
      <c r="BX213" s="47"/>
      <c r="BY213" s="47"/>
      <c r="BZ213" s="47"/>
    </row>
    <row r="214" spans="1:78" ht="13">
      <c r="A214" s="152" t="str">
        <f ca="1">IFERROR(__xludf.DUMMYFUNCTION("""COMPUTED_VALUE"""),"Guepinia Mushroom")</f>
        <v>Guepinia Mushroom</v>
      </c>
      <c r="B214" s="47" t="str">
        <f ca="1">IFERROR(__xludf.DUMMYFUNCTION("TRANSPOSE(unique(filter(Recipes!A$2:A2490,(Recipes!L$2:L2490=A214)+(Recipes!O$2:O2490=A214)+(Recipes!R$2:R2490=A214)+(Recipes!U$2:U2490=A214)+(Recipes!X$2:X2490=A214))))"),"Fire Resistance Potion")</f>
        <v>Fire Resistance Potion</v>
      </c>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7"/>
      <c r="AB214" s="47"/>
      <c r="AC214" s="47"/>
      <c r="AD214" s="47"/>
      <c r="AE214" s="47"/>
      <c r="AF214" s="47"/>
      <c r="AG214" s="47"/>
      <c r="AH214" s="47"/>
      <c r="AI214" s="47"/>
      <c r="AJ214" s="47"/>
      <c r="AK214" s="47"/>
      <c r="AL214" s="47"/>
      <c r="AM214" s="47"/>
      <c r="AN214" s="47"/>
      <c r="AO214" s="47"/>
      <c r="AP214" s="47"/>
      <c r="AQ214" s="47"/>
      <c r="AR214" s="47"/>
      <c r="AS214" s="47"/>
      <c r="AT214" s="47"/>
      <c r="AU214" s="47"/>
      <c r="AV214" s="47"/>
      <c r="AW214" s="47"/>
      <c r="AX214" s="47"/>
      <c r="AY214" s="47"/>
      <c r="AZ214" s="47"/>
      <c r="BA214" s="47"/>
      <c r="BB214" s="47"/>
      <c r="BC214" s="47"/>
      <c r="BD214" s="47"/>
      <c r="BE214" s="47"/>
      <c r="BF214" s="47"/>
      <c r="BG214" s="47"/>
      <c r="BH214" s="47"/>
      <c r="BI214" s="47"/>
      <c r="BJ214" s="47"/>
      <c r="BK214" s="47"/>
      <c r="BL214" s="47"/>
      <c r="BM214" s="47"/>
      <c r="BN214" s="47"/>
      <c r="BO214" s="47"/>
      <c r="BP214" s="47"/>
      <c r="BQ214" s="47"/>
      <c r="BR214" s="47"/>
      <c r="BS214" s="47"/>
      <c r="BT214" s="47"/>
      <c r="BU214" s="47"/>
      <c r="BV214" s="47"/>
      <c r="BW214" s="47"/>
      <c r="BX214" s="47"/>
      <c r="BY214" s="47"/>
      <c r="BZ214" s="47"/>
    </row>
    <row r="215" spans="1:78" ht="13">
      <c r="A215" s="152" t="str">
        <f ca="1">IFERROR(__xludf.DUMMYFUNCTION("""COMPUTED_VALUE"""),"Haft of the Promise Breaker")</f>
        <v>Haft of the Promise Breaker</v>
      </c>
      <c r="B215" s="47" t="str">
        <f ca="1">IFERROR(__xludf.DUMMYFUNCTION("TRANSPOSE(unique(filter(Recipes!A$2:A2490,(Recipes!L$2:L2490=A215)+(Recipes!O$2:O2490=A215)+(Recipes!R$2:R2490=A215)+(Recipes!U$2:U2490=A215)+(Recipes!X$2:X2490=A215))))"),"The Swornbreaker")</f>
        <v>The Swornbreaker</v>
      </c>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c r="AA215" s="47"/>
      <c r="AB215" s="47"/>
      <c r="AC215" s="47"/>
      <c r="AD215" s="47"/>
      <c r="AE215" s="47"/>
      <c r="AF215" s="47"/>
      <c r="AG215" s="47"/>
      <c r="AH215" s="47"/>
      <c r="AI215" s="47"/>
      <c r="AJ215" s="47"/>
      <c r="AK215" s="47"/>
      <c r="AL215" s="47"/>
      <c r="AM215" s="47"/>
      <c r="AN215" s="47"/>
      <c r="AO215" s="47"/>
      <c r="AP215" s="47"/>
      <c r="AQ215" s="47"/>
      <c r="AR215" s="47"/>
      <c r="AS215" s="47"/>
      <c r="AT215" s="47"/>
      <c r="AU215" s="47"/>
      <c r="AV215" s="47"/>
      <c r="AW215" s="47"/>
      <c r="AX215" s="47"/>
      <c r="AY215" s="47"/>
      <c r="AZ215" s="47"/>
      <c r="BA215" s="47"/>
      <c r="BB215" s="47"/>
      <c r="BC215" s="47"/>
      <c r="BD215" s="47"/>
      <c r="BE215" s="47"/>
      <c r="BF215" s="47"/>
      <c r="BG215" s="47"/>
      <c r="BH215" s="47"/>
      <c r="BI215" s="47"/>
      <c r="BJ215" s="47"/>
      <c r="BK215" s="47"/>
      <c r="BL215" s="47"/>
      <c r="BM215" s="47"/>
      <c r="BN215" s="47"/>
      <c r="BO215" s="47"/>
      <c r="BP215" s="47"/>
      <c r="BQ215" s="47"/>
      <c r="BR215" s="47"/>
      <c r="BS215" s="47"/>
      <c r="BT215" s="47"/>
      <c r="BU215" s="47"/>
      <c r="BV215" s="47"/>
      <c r="BW215" s="47"/>
      <c r="BX215" s="47"/>
      <c r="BY215" s="47"/>
      <c r="BZ215" s="47"/>
    </row>
    <row r="216" spans="1:78" ht="13">
      <c r="A216" s="152" t="str">
        <f ca="1">IFERROR(__xludf.DUMMYFUNCTION("""COMPUTED_VALUE"""),"Hail Strike Scroll")</f>
        <v>Hail Strike Scroll</v>
      </c>
      <c r="B216" s="47" t="str">
        <f ca="1">IFERROR(__xludf.DUMMYFUNCTION("TRANSPOSE(unique(filter(Recipes!A$2:A2490,(Recipes!L$2:L2490=A216)+(Recipes!O$2:O2490=A216)+(Recipes!R$2:R2490=A216)+(Recipes!U$2:U2490=A216)+(Recipes!X$2:X2490=A216))))"),"Hail Strike Skillbook")</f>
        <v>Hail Strike Skillbook</v>
      </c>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c r="AA216" s="47"/>
      <c r="AB216" s="47"/>
      <c r="AC216" s="47"/>
      <c r="AD216" s="47"/>
      <c r="AE216" s="47"/>
      <c r="AF216" s="47"/>
      <c r="AG216" s="47"/>
      <c r="AH216" s="47"/>
      <c r="AI216" s="47"/>
      <c r="AJ216" s="47"/>
      <c r="AK216" s="47"/>
      <c r="AL216" s="47"/>
      <c r="AM216" s="47"/>
      <c r="AN216" s="47"/>
      <c r="AO216" s="47"/>
      <c r="AP216" s="47"/>
      <c r="AQ216" s="47"/>
      <c r="AR216" s="47"/>
      <c r="AS216" s="47"/>
      <c r="AT216" s="47"/>
      <c r="AU216" s="47"/>
      <c r="AV216" s="47"/>
      <c r="AW216" s="47"/>
      <c r="AX216" s="47"/>
      <c r="AY216" s="47"/>
      <c r="AZ216" s="47"/>
      <c r="BA216" s="47"/>
      <c r="BB216" s="47"/>
      <c r="BC216" s="47"/>
      <c r="BD216" s="47"/>
      <c r="BE216" s="47"/>
      <c r="BF216" s="47"/>
      <c r="BG216" s="47"/>
      <c r="BH216" s="47"/>
      <c r="BI216" s="47"/>
      <c r="BJ216" s="47"/>
      <c r="BK216" s="47"/>
      <c r="BL216" s="47"/>
      <c r="BM216" s="47"/>
      <c r="BN216" s="47"/>
      <c r="BO216" s="47"/>
      <c r="BP216" s="47"/>
      <c r="BQ216" s="47"/>
      <c r="BR216" s="47"/>
      <c r="BS216" s="47"/>
      <c r="BT216" s="47"/>
      <c r="BU216" s="47"/>
      <c r="BV216" s="47"/>
      <c r="BW216" s="47"/>
      <c r="BX216" s="47"/>
      <c r="BY216" s="47"/>
      <c r="BZ216" s="47"/>
    </row>
    <row r="217" spans="1:78" ht="13">
      <c r="A217" s="152" t="str">
        <f ca="1">IFERROR(__xludf.DUMMYFUNCTION("""COMPUTED_VALUE"""),"Hair")</f>
        <v>Hair</v>
      </c>
      <c r="B217" s="47" t="str">
        <f ca="1">IFERROR(__xludf.DUMMYFUNCTION("TRANSPOSE(unique(filter(Recipes!A$2:A2490,(Recipes!L$2:L2490=A217)+(Recipes!O$2:O2490=A217)+(Recipes!R$2:R2490=A217)+(Recipes!U$2:U2490=A217)+(Recipes!X$2:X2490=A217))))"),"Tornado Scroll")</f>
        <v>Tornado Scroll</v>
      </c>
      <c r="C217" s="47" t="str">
        <f ca="1">IFERROR(__xludf.DUMMYFUNCTION("""COMPUTED_VALUE"""),"Thread")</f>
        <v>Thread</v>
      </c>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c r="AC217" s="47"/>
      <c r="AD217" s="47"/>
      <c r="AE217" s="47"/>
      <c r="AF217" s="47"/>
      <c r="AG217" s="47"/>
      <c r="AH217" s="47"/>
      <c r="AI217" s="47"/>
      <c r="AJ217" s="47"/>
      <c r="AK217" s="47"/>
      <c r="AL217" s="47"/>
      <c r="AM217" s="47"/>
      <c r="AN217" s="47"/>
      <c r="AO217" s="47"/>
      <c r="AP217" s="47"/>
      <c r="AQ217" s="47"/>
      <c r="AR217" s="47"/>
      <c r="AS217" s="47"/>
      <c r="AT217" s="47"/>
      <c r="AU217" s="47"/>
      <c r="AV217" s="47"/>
      <c r="AW217" s="47"/>
      <c r="AX217" s="47"/>
      <c r="AY217" s="47"/>
      <c r="AZ217" s="47"/>
      <c r="BA217" s="47"/>
      <c r="BB217" s="47"/>
      <c r="BC217" s="47"/>
      <c r="BD217" s="47"/>
      <c r="BE217" s="47"/>
      <c r="BF217" s="47"/>
      <c r="BG217" s="47"/>
      <c r="BH217" s="47"/>
      <c r="BI217" s="47"/>
      <c r="BJ217" s="47"/>
      <c r="BK217" s="47"/>
      <c r="BL217" s="47"/>
      <c r="BM217" s="47"/>
      <c r="BN217" s="47"/>
      <c r="BO217" s="47"/>
      <c r="BP217" s="47"/>
      <c r="BQ217" s="47"/>
      <c r="BR217" s="47"/>
      <c r="BS217" s="47"/>
      <c r="BT217" s="47"/>
      <c r="BU217" s="47"/>
      <c r="BV217" s="47"/>
      <c r="BW217" s="47"/>
      <c r="BX217" s="47"/>
      <c r="BY217" s="47"/>
      <c r="BZ217" s="47"/>
    </row>
    <row r="218" spans="1:78" ht="13">
      <c r="A218" s="152" t="str">
        <f ca="1">IFERROR(__xludf.DUMMYFUNCTION("""COMPUTED_VALUE"""),"Hammer")</f>
        <v>Hammer</v>
      </c>
      <c r="B218" s="47" t="str">
        <f ca="1">IFERROR(__xludf.DUMMYFUNCTION("TRANSPOSE(unique(filter(Recipes!A$2:A2490,(Recipes!L$2:L2490=A218)+(Recipes!O$2:O2490=A218)+(Recipes!R$2:R2490=A218)+(Recipes!U$2:U2490=A218)+(Recipes!X$2:X2490=A218))))"),"Cold Mashed Potatoes")</f>
        <v>Cold Mashed Potatoes</v>
      </c>
      <c r="C218" s="47" t="str">
        <f ca="1">IFERROR(__xludf.DUMMYFUNCTION("""COMPUTED_VALUE"""),"Tomato Sauce")</f>
        <v>Tomato Sauce</v>
      </c>
      <c r="D218" s="47" t="str">
        <f ca="1">IFERROR(__xludf.DUMMYFUNCTION("""COMPUTED_VALUE"""),"Broken Bottle")</f>
        <v>Broken Bottle</v>
      </c>
      <c r="E218" s="47" t="str">
        <f ca="1">IFERROR(__xludf.DUMMYFUNCTION("""COMPUTED_VALUE"""),"Lockpick")</f>
        <v>Lockpick</v>
      </c>
      <c r="F218" s="47" t="str">
        <f ca="1">IFERROR(__xludf.DUMMYFUNCTION("""COMPUTED_VALUE"""),"Handmade Sword")</f>
        <v>Handmade Sword</v>
      </c>
      <c r="G218" s="47" t="str">
        <f ca="1">IFERROR(__xludf.DUMMYFUNCTION("""COMPUTED_VALUE"""),"Shiv")</f>
        <v>Shiv</v>
      </c>
      <c r="H218" s="47"/>
      <c r="I218" s="47"/>
      <c r="J218" s="47"/>
      <c r="K218" s="47"/>
      <c r="L218" s="47"/>
      <c r="M218" s="47"/>
      <c r="N218" s="47"/>
      <c r="O218" s="47"/>
      <c r="P218" s="47"/>
      <c r="Q218" s="47"/>
      <c r="R218" s="47"/>
      <c r="S218" s="47"/>
      <c r="T218" s="47"/>
      <c r="U218" s="47"/>
      <c r="V218" s="47"/>
      <c r="W218" s="47"/>
      <c r="X218" s="47"/>
      <c r="Y218" s="47"/>
      <c r="Z218" s="47"/>
      <c r="AA218" s="47"/>
      <c r="AB218" s="47"/>
      <c r="AC218" s="47"/>
      <c r="AD218" s="47"/>
      <c r="AE218" s="47"/>
      <c r="AF218" s="47"/>
      <c r="AG218" s="47"/>
      <c r="AH218" s="47"/>
      <c r="AI218" s="47"/>
      <c r="AJ218" s="47"/>
      <c r="AK218" s="47"/>
      <c r="AL218" s="47"/>
      <c r="AM218" s="47"/>
      <c r="AN218" s="47"/>
      <c r="AO218" s="47"/>
      <c r="AP218" s="47"/>
      <c r="AQ218" s="47"/>
      <c r="AR218" s="47"/>
      <c r="AS218" s="47"/>
      <c r="AT218" s="47"/>
      <c r="AU218" s="47"/>
      <c r="AV218" s="47"/>
      <c r="AW218" s="47"/>
      <c r="AX218" s="47"/>
      <c r="AY218" s="47"/>
      <c r="AZ218" s="47"/>
      <c r="BA218" s="47"/>
      <c r="BB218" s="47"/>
      <c r="BC218" s="47"/>
      <c r="BD218" s="47"/>
      <c r="BE218" s="47"/>
      <c r="BF218" s="47"/>
      <c r="BG218" s="47"/>
      <c r="BH218" s="47"/>
      <c r="BI218" s="47"/>
      <c r="BJ218" s="47"/>
      <c r="BK218" s="47"/>
      <c r="BL218" s="47"/>
      <c r="BM218" s="47"/>
      <c r="BN218" s="47"/>
      <c r="BO218" s="47"/>
      <c r="BP218" s="47"/>
      <c r="BQ218" s="47"/>
      <c r="BR218" s="47"/>
      <c r="BS218" s="47"/>
      <c r="BT218" s="47"/>
      <c r="BU218" s="47"/>
      <c r="BV218" s="47"/>
      <c r="BW218" s="47"/>
      <c r="BX218" s="47"/>
      <c r="BY218" s="47"/>
      <c r="BZ218" s="47"/>
    </row>
    <row r="219" spans="1:78" ht="13">
      <c r="A219" s="152" t="str">
        <f ca="1">IFERROR(__xludf.DUMMYFUNCTION("""COMPUTED_VALUE"""),"Handkerchief")</f>
        <v>Handkerchief</v>
      </c>
      <c r="B219" s="47" t="str">
        <f ca="1">IFERROR(__xludf.DUMMYFUNCTION("TRANSPOSE(unique(filter(Recipes!A$2:A2490,(Recipes!L$2:L2490=A219)+(Recipes!O$2:O2490=A219)+(Recipes!R$2:R2490=A219)+(Recipes!U$2:U2490=A219)+(Recipes!X$2:X2490=A219))))"),"Pressure Spike Scroll")</f>
        <v>Pressure Spike Scroll</v>
      </c>
      <c r="C219" s="47" t="str">
        <f ca="1">IFERROR(__xludf.DUMMYFUNCTION("""COMPUTED_VALUE"""),"Shiv")</f>
        <v>Shiv</v>
      </c>
      <c r="D219" s="47"/>
      <c r="E219" s="47"/>
      <c r="F219" s="47"/>
      <c r="G219" s="47"/>
      <c r="H219" s="47"/>
      <c r="I219" s="47"/>
      <c r="J219" s="47"/>
      <c r="K219" s="47"/>
      <c r="L219" s="47"/>
      <c r="M219" s="47"/>
      <c r="N219" s="47"/>
      <c r="O219" s="47"/>
      <c r="P219" s="47"/>
      <c r="Q219" s="47"/>
      <c r="R219" s="47"/>
      <c r="S219" s="47"/>
      <c r="T219" s="47"/>
      <c r="U219" s="47"/>
      <c r="V219" s="47"/>
      <c r="W219" s="47"/>
      <c r="X219" s="47"/>
      <c r="Y219" s="47"/>
      <c r="Z219" s="47"/>
      <c r="AA219" s="47"/>
      <c r="AB219" s="47"/>
      <c r="AC219" s="47"/>
      <c r="AD219" s="47"/>
      <c r="AE219" s="47"/>
      <c r="AF219" s="47"/>
      <c r="AG219" s="47"/>
      <c r="AH219" s="47"/>
      <c r="AI219" s="47"/>
      <c r="AJ219" s="47"/>
      <c r="AK219" s="47"/>
      <c r="AL219" s="47"/>
      <c r="AM219" s="47"/>
      <c r="AN219" s="47"/>
      <c r="AO219" s="47"/>
      <c r="AP219" s="47"/>
      <c r="AQ219" s="47"/>
      <c r="AR219" s="47"/>
      <c r="AS219" s="47"/>
      <c r="AT219" s="47"/>
      <c r="AU219" s="47"/>
      <c r="AV219" s="47"/>
      <c r="AW219" s="47"/>
      <c r="AX219" s="47"/>
      <c r="AY219" s="47"/>
      <c r="AZ219" s="47"/>
      <c r="BA219" s="47"/>
      <c r="BB219" s="47"/>
      <c r="BC219" s="47"/>
      <c r="BD219" s="47"/>
      <c r="BE219" s="47"/>
      <c r="BF219" s="47"/>
      <c r="BG219" s="47"/>
      <c r="BH219" s="47"/>
      <c r="BI219" s="47"/>
      <c r="BJ219" s="47"/>
      <c r="BK219" s="47"/>
      <c r="BL219" s="47"/>
      <c r="BM219" s="47"/>
      <c r="BN219" s="47"/>
      <c r="BO219" s="47"/>
      <c r="BP219" s="47"/>
      <c r="BQ219" s="47"/>
      <c r="BR219" s="47"/>
      <c r="BS219" s="47"/>
      <c r="BT219" s="47"/>
      <c r="BU219" s="47"/>
      <c r="BV219" s="47"/>
      <c r="BW219" s="47"/>
      <c r="BX219" s="47"/>
      <c r="BY219" s="47"/>
      <c r="BZ219" s="47"/>
    </row>
    <row r="220" spans="1:78" ht="13">
      <c r="A220" s="152" t="str">
        <f ca="1">IFERROR(__xludf.DUMMYFUNCTION("""COMPUTED_VALUE"""),"Haste Scroll")</f>
        <v>Haste Scroll</v>
      </c>
      <c r="B220" s="47" t="str">
        <f ca="1">IFERROR(__xludf.DUMMYFUNCTION("TRANSPOSE(unique(filter(Recipes!A$2:A2490,(Recipes!L$2:L2490=A220)+(Recipes!O$2:O2490=A220)+(Recipes!R$2:R2490=A220)+(Recipes!U$2:U2490=A220)+(Recipes!X$2:X2490=A220))))"),"Haste Skillbook")</f>
        <v>Haste Skillbook</v>
      </c>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c r="AA220" s="47"/>
      <c r="AB220" s="47"/>
      <c r="AC220" s="47"/>
      <c r="AD220" s="47"/>
      <c r="AE220" s="47"/>
      <c r="AF220" s="47"/>
      <c r="AG220" s="47"/>
      <c r="AH220" s="47"/>
      <c r="AI220" s="47"/>
      <c r="AJ220" s="47"/>
      <c r="AK220" s="47"/>
      <c r="AL220" s="47"/>
      <c r="AM220" s="47"/>
      <c r="AN220" s="47"/>
      <c r="AO220" s="47"/>
      <c r="AP220" s="47"/>
      <c r="AQ220" s="47"/>
      <c r="AR220" s="47"/>
      <c r="AS220" s="47"/>
      <c r="AT220" s="47"/>
      <c r="AU220" s="47"/>
      <c r="AV220" s="47"/>
      <c r="AW220" s="47"/>
      <c r="AX220" s="47"/>
      <c r="AY220" s="47"/>
      <c r="AZ220" s="47"/>
      <c r="BA220" s="47"/>
      <c r="BB220" s="47"/>
      <c r="BC220" s="47"/>
      <c r="BD220" s="47"/>
      <c r="BE220" s="47"/>
      <c r="BF220" s="47"/>
      <c r="BG220" s="47"/>
      <c r="BH220" s="47"/>
      <c r="BI220" s="47"/>
      <c r="BJ220" s="47"/>
      <c r="BK220" s="47"/>
      <c r="BL220" s="47"/>
      <c r="BM220" s="47"/>
      <c r="BN220" s="47"/>
      <c r="BO220" s="47"/>
      <c r="BP220" s="47"/>
      <c r="BQ220" s="47"/>
      <c r="BR220" s="47"/>
      <c r="BS220" s="47"/>
      <c r="BT220" s="47"/>
      <c r="BU220" s="47"/>
      <c r="BV220" s="47"/>
      <c r="BW220" s="47"/>
      <c r="BX220" s="47"/>
      <c r="BY220" s="47"/>
      <c r="BZ220" s="47"/>
    </row>
    <row r="221" spans="1:78" ht="13">
      <c r="A221" s="152" t="str">
        <f ca="1">IFERROR(__xludf.DUMMYFUNCTION("""COMPUTED_VALUE"""),"Head of Angelic Statue")</f>
        <v>Head of Angelic Statue</v>
      </c>
      <c r="B221" s="47" t="str">
        <f ca="1">IFERROR(__xludf.DUMMYFUNCTION("TRANSPOSE(unique(filter(Recipes!A$2:A2490,(Recipes!L$2:L2490=A221)+(Recipes!O$2:O2490=A221)+(Recipes!R$2:R2490=A221)+(Recipes!U$2:U2490=A221)+(Recipes!X$2:X2490=A221))))"),"[blank in editor]")</f>
        <v>[blank in editor]</v>
      </c>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c r="AC221" s="47"/>
      <c r="AD221" s="47"/>
      <c r="AE221" s="47"/>
      <c r="AF221" s="47"/>
      <c r="AG221" s="47"/>
      <c r="AH221" s="47"/>
      <c r="AI221" s="47"/>
      <c r="AJ221" s="47"/>
      <c r="AK221" s="47"/>
      <c r="AL221" s="47"/>
      <c r="AM221" s="47"/>
      <c r="AN221" s="47"/>
      <c r="AO221" s="47"/>
      <c r="AP221" s="47"/>
      <c r="AQ221" s="47"/>
      <c r="AR221" s="47"/>
      <c r="AS221" s="47"/>
      <c r="AT221" s="47"/>
      <c r="AU221" s="47"/>
      <c r="AV221" s="47"/>
      <c r="AW221" s="47"/>
      <c r="AX221" s="47"/>
      <c r="AY221" s="47"/>
      <c r="AZ221" s="47"/>
      <c r="BA221" s="47"/>
      <c r="BB221" s="47"/>
      <c r="BC221" s="47"/>
      <c r="BD221" s="47"/>
      <c r="BE221" s="47"/>
      <c r="BF221" s="47"/>
      <c r="BG221" s="47"/>
      <c r="BH221" s="47"/>
      <c r="BI221" s="47"/>
      <c r="BJ221" s="47"/>
      <c r="BK221" s="47"/>
      <c r="BL221" s="47"/>
      <c r="BM221" s="47"/>
      <c r="BN221" s="47"/>
      <c r="BO221" s="47"/>
      <c r="BP221" s="47"/>
      <c r="BQ221" s="47"/>
      <c r="BR221" s="47"/>
      <c r="BS221" s="47"/>
      <c r="BT221" s="47"/>
      <c r="BU221" s="47"/>
      <c r="BV221" s="47"/>
      <c r="BW221" s="47"/>
      <c r="BX221" s="47"/>
      <c r="BY221" s="47"/>
      <c r="BZ221" s="47"/>
    </row>
    <row r="222" spans="1:78" ht="13">
      <c r="A222" s="152" t="str">
        <f ca="1">IFERROR(__xludf.DUMMYFUNCTION("""COMPUTED_VALUE"""),"Healing Elixir")</f>
        <v>Healing Elixir</v>
      </c>
      <c r="B222" s="47" t="str">
        <f ca="1">IFERROR(__xludf.DUMMYFUNCTION("TRANSPOSE(unique(filter(Recipes!A$2:A2490,(Recipes!L$2:L2490=A222)+(Recipes!O$2:O2490=A222)+(Recipes!R$2:R2490=A222)+(Recipes!U$2:U2490=A222)+(Recipes!X$2:X2490=A222))))"),"Poison Elixir")</f>
        <v>Poison Elixir</v>
      </c>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c r="AA222" s="47"/>
      <c r="AB222" s="47"/>
      <c r="AC222" s="47"/>
      <c r="AD222" s="47"/>
      <c r="AE222" s="47"/>
      <c r="AF222" s="47"/>
      <c r="AG222" s="47"/>
      <c r="AH222" s="47"/>
      <c r="AI222" s="47"/>
      <c r="AJ222" s="47"/>
      <c r="AK222" s="47"/>
      <c r="AL222" s="47"/>
      <c r="AM222" s="47"/>
      <c r="AN222" s="47"/>
      <c r="AO222" s="47"/>
      <c r="AP222" s="47"/>
      <c r="AQ222" s="47"/>
      <c r="AR222" s="47"/>
      <c r="AS222" s="47"/>
      <c r="AT222" s="47"/>
      <c r="AU222" s="47"/>
      <c r="AV222" s="47"/>
      <c r="AW222" s="47"/>
      <c r="AX222" s="47"/>
      <c r="AY222" s="47"/>
      <c r="AZ222" s="47"/>
      <c r="BA222" s="47"/>
      <c r="BB222" s="47"/>
      <c r="BC222" s="47"/>
      <c r="BD222" s="47"/>
      <c r="BE222" s="47"/>
      <c r="BF222" s="47"/>
      <c r="BG222" s="47"/>
      <c r="BH222" s="47"/>
      <c r="BI222" s="47"/>
      <c r="BJ222" s="47"/>
      <c r="BK222" s="47"/>
      <c r="BL222" s="47"/>
      <c r="BM222" s="47"/>
      <c r="BN222" s="47"/>
      <c r="BO222" s="47"/>
      <c r="BP222" s="47"/>
      <c r="BQ222" s="47"/>
      <c r="BR222" s="47"/>
      <c r="BS222" s="47"/>
      <c r="BT222" s="47"/>
      <c r="BU222" s="47"/>
      <c r="BV222" s="47"/>
      <c r="BW222" s="47"/>
      <c r="BX222" s="47"/>
      <c r="BY222" s="47"/>
      <c r="BZ222" s="47"/>
    </row>
    <row r="223" spans="1:78" ht="13">
      <c r="A223" s="152" t="str">
        <f ca="1">IFERROR(__xludf.DUMMYFUNCTION("""COMPUTED_VALUE"""),"Healing Potion [Large]")</f>
        <v>Healing Potion [Large]</v>
      </c>
      <c r="B223" s="47" t="str">
        <f ca="1">IFERROR(__xludf.DUMMYFUNCTION("TRANSPOSE(unique(filter(Recipes!A$2:A2490,(Recipes!L$2:L2490=A223)+(Recipes!O$2:O2490=A223)+(Recipes!R$2:R2490=A223)+(Recipes!U$2:U2490=A223)+(Recipes!X$2:X2490=A223))))"),"Huge Healing Potion")</f>
        <v>Huge Healing Potion</v>
      </c>
      <c r="C223" s="47" t="str">
        <f ca="1">IFERROR(__xludf.DUMMYFUNCTION("""COMPUTED_VALUE"""),"Large Poison Bottle")</f>
        <v>Large Poison Bottle</v>
      </c>
      <c r="D223" s="47"/>
      <c r="E223" s="47"/>
      <c r="F223" s="47"/>
      <c r="G223" s="47"/>
      <c r="H223" s="47"/>
      <c r="I223" s="47"/>
      <c r="J223" s="47"/>
      <c r="K223" s="47"/>
      <c r="L223" s="47"/>
      <c r="M223" s="47"/>
      <c r="N223" s="47"/>
      <c r="O223" s="47"/>
      <c r="P223" s="47"/>
      <c r="Q223" s="47"/>
      <c r="R223" s="47"/>
      <c r="S223" s="47"/>
      <c r="T223" s="47"/>
      <c r="U223" s="47"/>
      <c r="V223" s="47"/>
      <c r="W223" s="47"/>
      <c r="X223" s="47"/>
      <c r="Y223" s="47"/>
      <c r="Z223" s="47"/>
      <c r="AA223" s="47"/>
      <c r="AB223" s="47"/>
      <c r="AC223" s="47"/>
      <c r="AD223" s="47"/>
      <c r="AE223" s="47"/>
      <c r="AF223" s="47"/>
      <c r="AG223" s="47"/>
      <c r="AH223" s="47"/>
      <c r="AI223" s="47"/>
      <c r="AJ223" s="47"/>
      <c r="AK223" s="47"/>
      <c r="AL223" s="47"/>
      <c r="AM223" s="47"/>
      <c r="AN223" s="47"/>
      <c r="AO223" s="47"/>
      <c r="AP223" s="47"/>
      <c r="AQ223" s="47"/>
      <c r="AR223" s="47"/>
      <c r="AS223" s="47"/>
      <c r="AT223" s="47"/>
      <c r="AU223" s="47"/>
      <c r="AV223" s="47"/>
      <c r="AW223" s="47"/>
      <c r="AX223" s="47"/>
      <c r="AY223" s="47"/>
      <c r="AZ223" s="47"/>
      <c r="BA223" s="47"/>
      <c r="BB223" s="47"/>
      <c r="BC223" s="47"/>
      <c r="BD223" s="47"/>
      <c r="BE223" s="47"/>
      <c r="BF223" s="47"/>
      <c r="BG223" s="47"/>
      <c r="BH223" s="47"/>
      <c r="BI223" s="47"/>
      <c r="BJ223" s="47"/>
      <c r="BK223" s="47"/>
      <c r="BL223" s="47"/>
      <c r="BM223" s="47"/>
      <c r="BN223" s="47"/>
      <c r="BO223" s="47"/>
      <c r="BP223" s="47"/>
      <c r="BQ223" s="47"/>
      <c r="BR223" s="47"/>
      <c r="BS223" s="47"/>
      <c r="BT223" s="47"/>
      <c r="BU223" s="47"/>
      <c r="BV223" s="47"/>
      <c r="BW223" s="47"/>
      <c r="BX223" s="47"/>
      <c r="BY223" s="47"/>
      <c r="BZ223" s="47"/>
    </row>
    <row r="224" spans="1:78" ht="13">
      <c r="A224" s="152" t="str">
        <f ca="1">IFERROR(__xludf.DUMMYFUNCTION("""COMPUTED_VALUE"""),"Healing Ritual Scroll")</f>
        <v>Healing Ritual Scroll</v>
      </c>
      <c r="B224" s="47" t="str">
        <f ca="1">IFERROR(__xludf.DUMMYFUNCTION("TRANSPOSE(unique(filter(Recipes!A$2:A2490,(Recipes!L$2:L2490=A224)+(Recipes!O$2:O2490=A224)+(Recipes!R$2:R2490=A224)+(Recipes!U$2:U2490=A224)+(Recipes!X$2:X2490=A224))))"),"Healing Ritual Skillbook")</f>
        <v>Healing Ritual Skillbook</v>
      </c>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c r="AA224" s="47"/>
      <c r="AB224" s="47"/>
      <c r="AC224" s="47"/>
      <c r="AD224" s="47"/>
      <c r="AE224" s="47"/>
      <c r="AF224" s="47"/>
      <c r="AG224" s="47"/>
      <c r="AH224" s="47"/>
      <c r="AI224" s="47"/>
      <c r="AJ224" s="47"/>
      <c r="AK224" s="47"/>
      <c r="AL224" s="47"/>
      <c r="AM224" s="47"/>
      <c r="AN224" s="47"/>
      <c r="AO224" s="47"/>
      <c r="AP224" s="47"/>
      <c r="AQ224" s="47"/>
      <c r="AR224" s="47"/>
      <c r="AS224" s="47"/>
      <c r="AT224" s="47"/>
      <c r="AU224" s="47"/>
      <c r="AV224" s="47"/>
      <c r="AW224" s="47"/>
      <c r="AX224" s="47"/>
      <c r="AY224" s="47"/>
      <c r="AZ224" s="47"/>
      <c r="BA224" s="47"/>
      <c r="BB224" s="47"/>
      <c r="BC224" s="47"/>
      <c r="BD224" s="47"/>
      <c r="BE224" s="47"/>
      <c r="BF224" s="47"/>
      <c r="BG224" s="47"/>
      <c r="BH224" s="47"/>
      <c r="BI224" s="47"/>
      <c r="BJ224" s="47"/>
      <c r="BK224" s="47"/>
      <c r="BL224" s="47"/>
      <c r="BM224" s="47"/>
      <c r="BN224" s="47"/>
      <c r="BO224" s="47"/>
      <c r="BP224" s="47"/>
      <c r="BQ224" s="47"/>
      <c r="BR224" s="47"/>
      <c r="BS224" s="47"/>
      <c r="BT224" s="47"/>
      <c r="BU224" s="47"/>
      <c r="BV224" s="47"/>
      <c r="BW224" s="47"/>
      <c r="BX224" s="47"/>
      <c r="BY224" s="47"/>
      <c r="BZ224" s="47"/>
    </row>
    <row r="225" spans="1:78" ht="13">
      <c r="A225" s="152" t="str">
        <f ca="1">IFERROR(__xludf.DUMMYFUNCTION("""COMPUTED_VALUE"""),"Heart of Steel Scroll")</f>
        <v>Heart of Steel Scroll</v>
      </c>
      <c r="B225" s="47" t="str">
        <f ca="1">IFERROR(__xludf.DUMMYFUNCTION("TRANSPOSE(unique(filter(Recipes!A$2:A2490,(Recipes!L$2:L2490=A225)+(Recipes!O$2:O2490=A225)+(Recipes!R$2:R2490=A225)+(Recipes!U$2:U2490=A225)+(Recipes!X$2:X2490=A225))))"),"Heart of Steel Skillbook")</f>
        <v>Heart of Steel Skillbook</v>
      </c>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c r="AA225" s="47"/>
      <c r="AB225" s="47"/>
      <c r="AC225" s="47"/>
      <c r="AD225" s="47"/>
      <c r="AE225" s="47"/>
      <c r="AF225" s="47"/>
      <c r="AG225" s="47"/>
      <c r="AH225" s="47"/>
      <c r="AI225" s="47"/>
      <c r="AJ225" s="47"/>
      <c r="AK225" s="47"/>
      <c r="AL225" s="47"/>
      <c r="AM225" s="47"/>
      <c r="AN225" s="47"/>
      <c r="AO225" s="47"/>
      <c r="AP225" s="47"/>
      <c r="AQ225" s="47"/>
      <c r="AR225" s="47"/>
      <c r="AS225" s="47"/>
      <c r="AT225" s="47"/>
      <c r="AU225" s="47"/>
      <c r="AV225" s="47"/>
      <c r="AW225" s="47"/>
      <c r="AX225" s="47"/>
      <c r="AY225" s="47"/>
      <c r="AZ225" s="47"/>
      <c r="BA225" s="47"/>
      <c r="BB225" s="47"/>
      <c r="BC225" s="47"/>
      <c r="BD225" s="47"/>
      <c r="BE225" s="47"/>
      <c r="BF225" s="47"/>
      <c r="BG225" s="47"/>
      <c r="BH225" s="47"/>
      <c r="BI225" s="47"/>
      <c r="BJ225" s="47"/>
      <c r="BK225" s="47"/>
      <c r="BL225" s="47"/>
      <c r="BM225" s="47"/>
      <c r="BN225" s="47"/>
      <c r="BO225" s="47"/>
      <c r="BP225" s="47"/>
      <c r="BQ225" s="47"/>
      <c r="BR225" s="47"/>
      <c r="BS225" s="47"/>
      <c r="BT225" s="47"/>
      <c r="BU225" s="47"/>
      <c r="BV225" s="47"/>
      <c r="BW225" s="47"/>
      <c r="BX225" s="47"/>
      <c r="BY225" s="47"/>
      <c r="BZ225" s="47"/>
    </row>
    <row r="226" spans="1:78" ht="13">
      <c r="A226" s="152" t="str">
        <f ca="1">IFERROR(__xludf.DUMMYFUNCTION("""COMPUTED_VALUE"""),"Helmet")</f>
        <v>Helmet</v>
      </c>
      <c r="B226" s="47" t="str">
        <f ca="1">IFERROR(__xludf.DUMMYFUNCTION("TRANSPOSE(unique(filter(Recipes!A$2:A2490,(Recipes!L$2:L2490=A226)+(Recipes!O$2:O2490=A226)+(Recipes!R$2:R2490=A226)+(Recipes!U$2:U2490=A226)+(Recipes!X$2:X2490=A226))))"),"Boost Helmet")</f>
        <v>Boost Helmet</v>
      </c>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c r="AA226" s="47"/>
      <c r="AB226" s="47"/>
      <c r="AC226" s="47"/>
      <c r="AD226" s="47"/>
      <c r="AE226" s="47"/>
      <c r="AF226" s="47"/>
      <c r="AG226" s="47"/>
      <c r="AH226" s="47"/>
      <c r="AI226" s="47"/>
      <c r="AJ226" s="47"/>
      <c r="AK226" s="47"/>
      <c r="AL226" s="47"/>
      <c r="AM226" s="47"/>
      <c r="AN226" s="47"/>
      <c r="AO226" s="47"/>
      <c r="AP226" s="47"/>
      <c r="AQ226" s="47"/>
      <c r="AR226" s="47"/>
      <c r="AS226" s="47"/>
      <c r="AT226" s="47"/>
      <c r="AU226" s="47"/>
      <c r="AV226" s="47"/>
      <c r="AW226" s="47"/>
      <c r="AX226" s="47"/>
      <c r="AY226" s="47"/>
      <c r="AZ226" s="47"/>
      <c r="BA226" s="47"/>
      <c r="BB226" s="47"/>
      <c r="BC226" s="47"/>
      <c r="BD226" s="47"/>
      <c r="BE226" s="47"/>
      <c r="BF226" s="47"/>
      <c r="BG226" s="47"/>
      <c r="BH226" s="47"/>
      <c r="BI226" s="47"/>
      <c r="BJ226" s="47"/>
      <c r="BK226" s="47"/>
      <c r="BL226" s="47"/>
      <c r="BM226" s="47"/>
      <c r="BN226" s="47"/>
      <c r="BO226" s="47"/>
      <c r="BP226" s="47"/>
      <c r="BQ226" s="47"/>
      <c r="BR226" s="47"/>
      <c r="BS226" s="47"/>
      <c r="BT226" s="47"/>
      <c r="BU226" s="47"/>
      <c r="BV226" s="47"/>
      <c r="BW226" s="47"/>
      <c r="BX226" s="47"/>
      <c r="BY226" s="47"/>
      <c r="BZ226" s="47"/>
    </row>
    <row r="227" spans="1:78" ht="13">
      <c r="A227" s="152" t="str">
        <f ca="1">IFERROR(__xludf.DUMMYFUNCTION("""COMPUTED_VALUE"""),"Herring")</f>
        <v>Herring</v>
      </c>
      <c r="B227" s="47" t="str">
        <f ca="1">IFERROR(__xludf.DUMMYFUNCTION("TRANSPOSE(unique(filter(Recipes!A$2:A2490,(Recipes!L$2:L2490=A227)+(Recipes!O$2:O2490=A227)+(Recipes!R$2:R2490=A227)+(Recipes!U$2:U2490=A227)+(Recipes!X$2:X2490=A227))))"),"Rain Scroll")</f>
        <v>Rain Scroll</v>
      </c>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c r="AA227" s="47"/>
      <c r="AB227" s="47"/>
      <c r="AC227" s="47"/>
      <c r="AD227" s="47"/>
      <c r="AE227" s="47"/>
      <c r="AF227" s="47"/>
      <c r="AG227" s="47"/>
      <c r="AH227" s="47"/>
      <c r="AI227" s="47"/>
      <c r="AJ227" s="47"/>
      <c r="AK227" s="47"/>
      <c r="AL227" s="47"/>
      <c r="AM227" s="47"/>
      <c r="AN227" s="47"/>
      <c r="AO227" s="47"/>
      <c r="AP227" s="47"/>
      <c r="AQ227" s="47"/>
      <c r="AR227" s="47"/>
      <c r="AS227" s="47"/>
      <c r="AT227" s="47"/>
      <c r="AU227" s="47"/>
      <c r="AV227" s="47"/>
      <c r="AW227" s="47"/>
      <c r="AX227" s="47"/>
      <c r="AY227" s="47"/>
      <c r="AZ227" s="47"/>
      <c r="BA227" s="47"/>
      <c r="BB227" s="47"/>
      <c r="BC227" s="47"/>
      <c r="BD227" s="47"/>
      <c r="BE227" s="47"/>
      <c r="BF227" s="47"/>
      <c r="BG227" s="47"/>
      <c r="BH227" s="47"/>
      <c r="BI227" s="47"/>
      <c r="BJ227" s="47"/>
      <c r="BK227" s="47"/>
      <c r="BL227" s="47"/>
      <c r="BM227" s="47"/>
      <c r="BN227" s="47"/>
      <c r="BO227" s="47"/>
      <c r="BP227" s="47"/>
      <c r="BQ227" s="47"/>
      <c r="BR227" s="47"/>
      <c r="BS227" s="47"/>
      <c r="BT227" s="47"/>
      <c r="BU227" s="47"/>
      <c r="BV227" s="47"/>
      <c r="BW227" s="47"/>
      <c r="BX227" s="47"/>
      <c r="BY227" s="47"/>
      <c r="BZ227" s="47"/>
    </row>
    <row r="228" spans="1:78" ht="13">
      <c r="A228" s="152" t="str">
        <f ca="1">IFERROR(__xludf.DUMMYFUNCTION("""COMPUTED_VALUE"""),"High Quality Air Essence")</f>
        <v>High Quality Air Essence</v>
      </c>
      <c r="B228" s="47" t="str">
        <f ca="1">IFERROR(__xludf.DUMMYFUNCTION("TRANSPOSE(unique(filter(Recipes!A$2:A2490,(Recipes!L$2:L2490=A228)+(Recipes!O$2:O2490=A228)+(Recipes!R$2:R2490=A228)+(Recipes!U$2:U2490=A228)+(Recipes!X$2:X2490=A228))))"),"Apportation Scroll")</f>
        <v>Apportation Scroll</v>
      </c>
      <c r="C228" s="47" t="str">
        <f ca="1">IFERROR(__xludf.DUMMYFUNCTION("""COMPUTED_VALUE"""),"Netherswap Scroll")</f>
        <v>Netherswap Scroll</v>
      </c>
      <c r="D228" s="47" t="str">
        <f ca="1">IFERROR(__xludf.DUMMYFUNCTION("""COMPUTED_VALUE"""),"Pressure Spike Scroll")</f>
        <v>Pressure Spike Scroll</v>
      </c>
      <c r="E228" s="47" t="str">
        <f ca="1">IFERROR(__xludf.DUMMYFUNCTION("""COMPUTED_VALUE"""),"Tornado Scroll")</f>
        <v>Tornado Scroll</v>
      </c>
      <c r="F228" s="47"/>
      <c r="G228" s="47"/>
      <c r="H228" s="47"/>
      <c r="I228" s="47"/>
      <c r="J228" s="47"/>
      <c r="K228" s="47"/>
      <c r="L228" s="47"/>
      <c r="M228" s="47"/>
      <c r="N228" s="47"/>
      <c r="O228" s="47"/>
      <c r="P228" s="47"/>
      <c r="Q228" s="47"/>
      <c r="R228" s="47"/>
      <c r="S228" s="47"/>
      <c r="T228" s="47"/>
      <c r="U228" s="47"/>
      <c r="V228" s="47"/>
      <c r="W228" s="47"/>
      <c r="X228" s="47"/>
      <c r="Y228" s="47"/>
      <c r="Z228" s="47"/>
      <c r="AA228" s="47"/>
      <c r="AB228" s="47"/>
      <c r="AC228" s="47"/>
      <c r="AD228" s="47"/>
      <c r="AE228" s="47"/>
      <c r="AF228" s="47"/>
      <c r="AG228" s="47"/>
      <c r="AH228" s="47"/>
      <c r="AI228" s="47"/>
      <c r="AJ228" s="47"/>
      <c r="AK228" s="47"/>
      <c r="AL228" s="47"/>
      <c r="AM228" s="47"/>
      <c r="AN228" s="47"/>
      <c r="AO228" s="47"/>
      <c r="AP228" s="47"/>
      <c r="AQ228" s="47"/>
      <c r="AR228" s="47"/>
      <c r="AS228" s="47"/>
      <c r="AT228" s="47"/>
      <c r="AU228" s="47"/>
      <c r="AV228" s="47"/>
      <c r="AW228" s="47"/>
      <c r="AX228" s="47"/>
      <c r="AY228" s="47"/>
      <c r="AZ228" s="47"/>
      <c r="BA228" s="47"/>
      <c r="BB228" s="47"/>
      <c r="BC228" s="47"/>
      <c r="BD228" s="47"/>
      <c r="BE228" s="47"/>
      <c r="BF228" s="47"/>
      <c r="BG228" s="47"/>
      <c r="BH228" s="47"/>
      <c r="BI228" s="47"/>
      <c r="BJ228" s="47"/>
      <c r="BK228" s="47"/>
      <c r="BL228" s="47"/>
      <c r="BM228" s="47"/>
      <c r="BN228" s="47"/>
      <c r="BO228" s="47"/>
      <c r="BP228" s="47"/>
      <c r="BQ228" s="47"/>
      <c r="BR228" s="47"/>
      <c r="BS228" s="47"/>
      <c r="BT228" s="47"/>
      <c r="BU228" s="47"/>
      <c r="BV228" s="47"/>
      <c r="BW228" s="47"/>
      <c r="BX228" s="47"/>
      <c r="BY228" s="47"/>
      <c r="BZ228" s="47"/>
    </row>
    <row r="229" spans="1:78" ht="13">
      <c r="A229" s="152" t="str">
        <f ca="1">IFERROR(__xludf.DUMMYFUNCTION("""COMPUTED_VALUE"""),"High Quality Augmentor")</f>
        <v>High Quality Augmentor</v>
      </c>
      <c r="B229" s="47" t="str">
        <f ca="1">IFERROR(__xludf.DUMMYFUNCTION("TRANSPOSE(unique(filter(Recipes!A$2:A2490,(Recipes!L$2:L2490=A229)+(Recipes!O$2:O2490=A229)+(Recipes!R$2:R2490=A229)+(Recipes!U$2:U2490=A229)+(Recipes!X$2:X2490=A229))))"),"Large Air Resistance Potion")</f>
        <v>Large Air Resistance Potion</v>
      </c>
      <c r="C229" s="47" t="str">
        <f ca="1">IFERROR(__xludf.DUMMYFUNCTION("""COMPUTED_VALUE"""),"Large Earth Resistance Potion")</f>
        <v>Large Earth Resistance Potion</v>
      </c>
      <c r="D229" s="47" t="str">
        <f ca="1">IFERROR(__xludf.DUMMYFUNCTION("""COMPUTED_VALUE"""),"Large Fire Resistance Potion")</f>
        <v>Large Fire Resistance Potion</v>
      </c>
      <c r="E229" s="47" t="str">
        <f ca="1">IFERROR(__xludf.DUMMYFUNCTION("""COMPUTED_VALUE"""),"Large Magic Armor Potion")</f>
        <v>Large Magic Armor Potion</v>
      </c>
      <c r="F229" s="47" t="str">
        <f ca="1">IFERROR(__xludf.DUMMYFUNCTION("""COMPUTED_VALUE"""),"Large Physical Armor Potion")</f>
        <v>Large Physical Armor Potion</v>
      </c>
      <c r="G229" s="47" t="str">
        <f ca="1">IFERROR(__xludf.DUMMYFUNCTION("""COMPUTED_VALUE"""),"Large Water Resistance Potion")</f>
        <v>Large Water Resistance Potion</v>
      </c>
      <c r="H229" s="47" t="str">
        <f ca="1">IFERROR(__xludf.DUMMYFUNCTION("""COMPUTED_VALUE"""),"Medium Air Resistance Potion")</f>
        <v>Medium Air Resistance Potion</v>
      </c>
      <c r="I229" s="47" t="str">
        <f ca="1">IFERROR(__xludf.DUMMYFUNCTION("""COMPUTED_VALUE"""),"Medium Earth Resistance Potion")</f>
        <v>Medium Earth Resistance Potion</v>
      </c>
      <c r="J229" s="47" t="str">
        <f ca="1">IFERROR(__xludf.DUMMYFUNCTION("""COMPUTED_VALUE"""),"Medium Fire Resistance Potion")</f>
        <v>Medium Fire Resistance Potion</v>
      </c>
      <c r="K229" s="47" t="str">
        <f ca="1">IFERROR(__xludf.DUMMYFUNCTION("""COMPUTED_VALUE"""),"Medium Magic Armor Potion")</f>
        <v>Medium Magic Armor Potion</v>
      </c>
      <c r="L229" s="47" t="str">
        <f ca="1">IFERROR(__xludf.DUMMYFUNCTION("""COMPUTED_VALUE"""),"Medium Physical Armor Potion")</f>
        <v>Medium Physical Armor Potion</v>
      </c>
      <c r="M229" s="47" t="str">
        <f ca="1">IFERROR(__xludf.DUMMYFUNCTION("""COMPUTED_VALUE"""),"Medium Resist All Potion")</f>
        <v>Medium Resist All Potion</v>
      </c>
      <c r="N229" s="47" t="str">
        <f ca="1">IFERROR(__xludf.DUMMYFUNCTION("""COMPUTED_VALUE"""),"Medium Water Resistance Potion")</f>
        <v>Medium Water Resistance Potion</v>
      </c>
      <c r="O229" s="47" t="str">
        <f ca="1">IFERROR(__xludf.DUMMYFUNCTION("""COMPUTED_VALUE"""),"Healing Potion [Large]")</f>
        <v>Healing Potion [Large]</v>
      </c>
      <c r="P229" s="47" t="str">
        <f ca="1">IFERROR(__xludf.DUMMYFUNCTION("""COMPUTED_VALUE"""),"Huge Healing Potion")</f>
        <v>Huge Healing Potion</v>
      </c>
      <c r="Q229" s="47" t="str">
        <f ca="1">IFERROR(__xludf.DUMMYFUNCTION("""COMPUTED_VALUE"""),"Medium Healing Potion")</f>
        <v>Medium Healing Potion</v>
      </c>
      <c r="R229" s="47" t="str">
        <f ca="1">IFERROR(__xludf.DUMMYFUNCTION("""COMPUTED_VALUE"""),"Huge Poison Vial")</f>
        <v>Huge Poison Vial</v>
      </c>
      <c r="S229" s="47" t="str">
        <f ca="1">IFERROR(__xludf.DUMMYFUNCTION("""COMPUTED_VALUE"""),"Large Poison Bottle")</f>
        <v>Large Poison Bottle</v>
      </c>
      <c r="T229" s="47" t="str">
        <f ca="1">IFERROR(__xludf.DUMMYFUNCTION("""COMPUTED_VALUE"""),"Medium Poison Bottle")</f>
        <v>Medium Poison Bottle</v>
      </c>
      <c r="U229" s="47"/>
      <c r="V229" s="47"/>
      <c r="W229" s="47"/>
      <c r="X229" s="47"/>
      <c r="Y229" s="47"/>
      <c r="Z229" s="47"/>
      <c r="AA229" s="47"/>
      <c r="AB229" s="47"/>
      <c r="AC229" s="47"/>
      <c r="AD229" s="47"/>
      <c r="AE229" s="47"/>
      <c r="AF229" s="47"/>
      <c r="AG229" s="47"/>
      <c r="AH229" s="47"/>
      <c r="AI229" s="47"/>
      <c r="AJ229" s="47"/>
      <c r="AK229" s="47"/>
      <c r="AL229" s="47"/>
      <c r="AM229" s="47"/>
      <c r="AN229" s="47"/>
      <c r="AO229" s="47"/>
      <c r="AP229" s="47"/>
      <c r="AQ229" s="47"/>
      <c r="AR229" s="47"/>
      <c r="AS229" s="47"/>
      <c r="AT229" s="47"/>
      <c r="AU229" s="47"/>
      <c r="AV229" s="47"/>
      <c r="AW229" s="47"/>
      <c r="AX229" s="47"/>
      <c r="AY229" s="47"/>
      <c r="AZ229" s="47"/>
      <c r="BA229" s="47"/>
      <c r="BB229" s="47"/>
      <c r="BC229" s="47"/>
      <c r="BD229" s="47"/>
      <c r="BE229" s="47"/>
      <c r="BF229" s="47"/>
      <c r="BG229" s="47"/>
      <c r="BH229" s="47"/>
      <c r="BI229" s="47"/>
      <c r="BJ229" s="47"/>
      <c r="BK229" s="47"/>
      <c r="BL229" s="47"/>
      <c r="BM229" s="47"/>
      <c r="BN229" s="47"/>
      <c r="BO229" s="47"/>
      <c r="BP229" s="47"/>
      <c r="BQ229" s="47"/>
      <c r="BR229" s="47"/>
      <c r="BS229" s="47"/>
      <c r="BT229" s="47"/>
      <c r="BU229" s="47"/>
      <c r="BV229" s="47"/>
      <c r="BW229" s="47"/>
      <c r="BX229" s="47"/>
      <c r="BY229" s="47"/>
      <c r="BZ229" s="47"/>
    </row>
    <row r="230" spans="1:78" ht="13">
      <c r="A230" s="152" t="str">
        <f ca="1">IFERROR(__xludf.DUMMYFUNCTION("""COMPUTED_VALUE"""),"High Quality Earth Essence")</f>
        <v>High Quality Earth Essence</v>
      </c>
      <c r="B230" s="47" t="str">
        <f ca="1">IFERROR(__xludf.DUMMYFUNCTION("TRANSPOSE(unique(filter(Recipes!A$2:A2490,(Recipes!L$2:L2490=A230)+(Recipes!O$2:O2490=A230)+(Recipes!R$2:R2490=A230)+(Recipes!U$2:U2490=A230)+(Recipes!X$2:X2490=A230))))"),"Earthquake Scroll")</f>
        <v>Earthquake Scroll</v>
      </c>
      <c r="C230" s="47" t="str">
        <f ca="1">IFERROR(__xludf.DUMMYFUNCTION("""COMPUTED_VALUE"""),"Poison Wave Scroll")</f>
        <v>Poison Wave Scroll</v>
      </c>
      <c r="D230" s="47" t="str">
        <f ca="1">IFERROR(__xludf.DUMMYFUNCTION("""COMPUTED_VALUE"""),"Reactive Armor Scroll")</f>
        <v>Reactive Armor Scroll</v>
      </c>
      <c r="E230" s="47"/>
      <c r="F230" s="47"/>
      <c r="G230" s="47"/>
      <c r="H230" s="47"/>
      <c r="I230" s="47"/>
      <c r="J230" s="47"/>
      <c r="K230" s="47"/>
      <c r="L230" s="47"/>
      <c r="M230" s="47"/>
      <c r="N230" s="47"/>
      <c r="O230" s="47"/>
      <c r="P230" s="47"/>
      <c r="Q230" s="47"/>
      <c r="R230" s="47"/>
      <c r="S230" s="47"/>
      <c r="T230" s="47"/>
      <c r="U230" s="47"/>
      <c r="V230" s="47"/>
      <c r="W230" s="47"/>
      <c r="X230" s="47"/>
      <c r="Y230" s="47"/>
      <c r="Z230" s="47"/>
      <c r="AA230" s="47"/>
      <c r="AB230" s="47"/>
      <c r="AC230" s="47"/>
      <c r="AD230" s="47"/>
      <c r="AE230" s="47"/>
      <c r="AF230" s="47"/>
      <c r="AG230" s="47"/>
      <c r="AH230" s="47"/>
      <c r="AI230" s="47"/>
      <c r="AJ230" s="47"/>
      <c r="AK230" s="47"/>
      <c r="AL230" s="47"/>
      <c r="AM230" s="47"/>
      <c r="AN230" s="47"/>
      <c r="AO230" s="47"/>
      <c r="AP230" s="47"/>
      <c r="AQ230" s="47"/>
      <c r="AR230" s="47"/>
      <c r="AS230" s="47"/>
      <c r="AT230" s="47"/>
      <c r="AU230" s="47"/>
      <c r="AV230" s="47"/>
      <c r="AW230" s="47"/>
      <c r="AX230" s="47"/>
      <c r="AY230" s="47"/>
      <c r="AZ230" s="47"/>
      <c r="BA230" s="47"/>
      <c r="BB230" s="47"/>
      <c r="BC230" s="47"/>
      <c r="BD230" s="47"/>
      <c r="BE230" s="47"/>
      <c r="BF230" s="47"/>
      <c r="BG230" s="47"/>
      <c r="BH230" s="47"/>
      <c r="BI230" s="47"/>
      <c r="BJ230" s="47"/>
      <c r="BK230" s="47"/>
      <c r="BL230" s="47"/>
      <c r="BM230" s="47"/>
      <c r="BN230" s="47"/>
      <c r="BO230" s="47"/>
      <c r="BP230" s="47"/>
      <c r="BQ230" s="47"/>
      <c r="BR230" s="47"/>
      <c r="BS230" s="47"/>
      <c r="BT230" s="47"/>
      <c r="BU230" s="47"/>
      <c r="BV230" s="47"/>
      <c r="BW230" s="47"/>
      <c r="BX230" s="47"/>
      <c r="BY230" s="47"/>
      <c r="BZ230" s="47"/>
    </row>
    <row r="231" spans="1:78" ht="13">
      <c r="A231" s="152" t="str">
        <f ca="1">IFERROR(__xludf.DUMMYFUNCTION("""COMPUTED_VALUE"""),"High Quality Fire Essence")</f>
        <v>High Quality Fire Essence</v>
      </c>
      <c r="B231" s="47" t="str">
        <f ca="1">IFERROR(__xludf.DUMMYFUNCTION("TRANSPOSE(unique(filter(Recipes!A$2:A2490,(Recipes!L$2:L2490=A231)+(Recipes!O$2:O2490=A231)+(Recipes!R$2:R2490=A231)+(Recipes!U$2:U2490=A231)+(Recipes!X$2:X2490=A231))))"),"Fire Whip Scroll")</f>
        <v>Fire Whip Scroll</v>
      </c>
      <c r="C231" s="47" t="str">
        <f ca="1">IFERROR(__xludf.DUMMYFUNCTION("""COMPUTED_VALUE"""),"Flaming Tongues Scroll")</f>
        <v>Flaming Tongues Scroll</v>
      </c>
      <c r="D231" s="47" t="str">
        <f ca="1">IFERROR(__xludf.DUMMYFUNCTION("""COMPUTED_VALUE"""),"Laser Ray Scroll")</f>
        <v>Laser Ray Scroll</v>
      </c>
      <c r="E231" s="47" t="str">
        <f ca="1">IFERROR(__xludf.DUMMYFUNCTION("""COMPUTED_VALUE"""),"Supernova Scroll")</f>
        <v>Supernova Scroll</v>
      </c>
      <c r="F231" s="47"/>
      <c r="G231" s="47"/>
      <c r="H231" s="47"/>
      <c r="I231" s="47"/>
      <c r="J231" s="47"/>
      <c r="K231" s="47"/>
      <c r="L231" s="47"/>
      <c r="M231" s="47"/>
      <c r="N231" s="47"/>
      <c r="O231" s="47"/>
      <c r="P231" s="47"/>
      <c r="Q231" s="47"/>
      <c r="R231" s="47"/>
      <c r="S231" s="47"/>
      <c r="T231" s="47"/>
      <c r="U231" s="47"/>
      <c r="V231" s="47"/>
      <c r="W231" s="47"/>
      <c r="X231" s="47"/>
      <c r="Y231" s="47"/>
      <c r="Z231" s="47"/>
      <c r="AA231" s="47"/>
      <c r="AB231" s="47"/>
      <c r="AC231" s="47"/>
      <c r="AD231" s="47"/>
      <c r="AE231" s="47"/>
      <c r="AF231" s="47"/>
      <c r="AG231" s="47"/>
      <c r="AH231" s="47"/>
      <c r="AI231" s="47"/>
      <c r="AJ231" s="47"/>
      <c r="AK231" s="47"/>
      <c r="AL231" s="47"/>
      <c r="AM231" s="47"/>
      <c r="AN231" s="47"/>
      <c r="AO231" s="47"/>
      <c r="AP231" s="47"/>
      <c r="AQ231" s="47"/>
      <c r="AR231" s="47"/>
      <c r="AS231" s="47"/>
      <c r="AT231" s="47"/>
      <c r="AU231" s="47"/>
      <c r="AV231" s="47"/>
      <c r="AW231" s="47"/>
      <c r="AX231" s="47"/>
      <c r="AY231" s="47"/>
      <c r="AZ231" s="47"/>
      <c r="BA231" s="47"/>
      <c r="BB231" s="47"/>
      <c r="BC231" s="47"/>
      <c r="BD231" s="47"/>
      <c r="BE231" s="47"/>
      <c r="BF231" s="47"/>
      <c r="BG231" s="47"/>
      <c r="BH231" s="47"/>
      <c r="BI231" s="47"/>
      <c r="BJ231" s="47"/>
      <c r="BK231" s="47"/>
      <c r="BL231" s="47"/>
      <c r="BM231" s="47"/>
      <c r="BN231" s="47"/>
      <c r="BO231" s="47"/>
      <c r="BP231" s="47"/>
      <c r="BQ231" s="47"/>
      <c r="BR231" s="47"/>
      <c r="BS231" s="47"/>
      <c r="BT231" s="47"/>
      <c r="BU231" s="47"/>
      <c r="BV231" s="47"/>
      <c r="BW231" s="47"/>
      <c r="BX231" s="47"/>
      <c r="BY231" s="47"/>
      <c r="BZ231" s="47"/>
    </row>
    <row r="232" spans="1:78" ht="13">
      <c r="A232" s="152" t="str">
        <f ca="1">IFERROR(__xludf.DUMMYFUNCTION("""COMPUTED_VALUE"""),"High Quality Life Essence")</f>
        <v>High Quality Life Essence</v>
      </c>
      <c r="B232" s="47" t="str">
        <f ca="1">IFERROR(__xludf.DUMMYFUNCTION("TRANSPOSE(unique(filter(Recipes!A$2:A2490,(Recipes!L$2:L2490=A232)+(Recipes!O$2:O2490=A232)+(Recipes!R$2:R2490=A232)+(Recipes!U$2:U2490=A232)+(Recipes!X$2:X2490=A232))))"),"Spider Legs Scroll")</f>
        <v>Spider Legs Scroll</v>
      </c>
      <c r="C232" s="47" t="str">
        <f ca="1">IFERROR(__xludf.DUMMYFUNCTION("""COMPUTED_VALUE"""),"Summon Oily Blob Scroll")</f>
        <v>Summon Oily Blob Scroll</v>
      </c>
      <c r="D232" s="47"/>
      <c r="E232" s="47"/>
      <c r="F232" s="47"/>
      <c r="G232" s="47"/>
      <c r="H232" s="47"/>
      <c r="I232" s="47"/>
      <c r="J232" s="47"/>
      <c r="K232" s="47"/>
      <c r="L232" s="47"/>
      <c r="M232" s="47"/>
      <c r="N232" s="47"/>
      <c r="O232" s="47"/>
      <c r="P232" s="47"/>
      <c r="Q232" s="47"/>
      <c r="R232" s="47"/>
      <c r="S232" s="47"/>
      <c r="T232" s="47"/>
      <c r="U232" s="47"/>
      <c r="V232" s="47"/>
      <c r="W232" s="47"/>
      <c r="X232" s="47"/>
      <c r="Y232" s="47"/>
      <c r="Z232" s="47"/>
      <c r="AA232" s="47"/>
      <c r="AB232" s="47"/>
      <c r="AC232" s="47"/>
      <c r="AD232" s="47"/>
      <c r="AE232" s="47"/>
      <c r="AF232" s="47"/>
      <c r="AG232" s="47"/>
      <c r="AH232" s="47"/>
      <c r="AI232" s="47"/>
      <c r="AJ232" s="47"/>
      <c r="AK232" s="47"/>
      <c r="AL232" s="47"/>
      <c r="AM232" s="47"/>
      <c r="AN232" s="47"/>
      <c r="AO232" s="47"/>
      <c r="AP232" s="47"/>
      <c r="AQ232" s="47"/>
      <c r="AR232" s="47"/>
      <c r="AS232" s="47"/>
      <c r="AT232" s="47"/>
      <c r="AU232" s="47"/>
      <c r="AV232" s="47"/>
      <c r="AW232" s="47"/>
      <c r="AX232" s="47"/>
      <c r="AY232" s="47"/>
      <c r="AZ232" s="47"/>
      <c r="BA232" s="47"/>
      <c r="BB232" s="47"/>
      <c r="BC232" s="47"/>
      <c r="BD232" s="47"/>
      <c r="BE232" s="47"/>
      <c r="BF232" s="47"/>
      <c r="BG232" s="47"/>
      <c r="BH232" s="47"/>
      <c r="BI232" s="47"/>
      <c r="BJ232" s="47"/>
      <c r="BK232" s="47"/>
      <c r="BL232" s="47"/>
      <c r="BM232" s="47"/>
      <c r="BN232" s="47"/>
      <c r="BO232" s="47"/>
      <c r="BP232" s="47"/>
      <c r="BQ232" s="47"/>
      <c r="BR232" s="47"/>
      <c r="BS232" s="47"/>
      <c r="BT232" s="47"/>
      <c r="BU232" s="47"/>
      <c r="BV232" s="47"/>
      <c r="BW232" s="47"/>
      <c r="BX232" s="47"/>
      <c r="BY232" s="47"/>
      <c r="BZ232" s="47"/>
    </row>
    <row r="233" spans="1:78" ht="13">
      <c r="A233" s="152" t="str">
        <f ca="1">IFERROR(__xludf.DUMMYFUNCTION("""COMPUTED_VALUE"""),"High Quality Shadow Essence")</f>
        <v>High Quality Shadow Essence</v>
      </c>
      <c r="B233" s="47" t="str">
        <f ca="1">IFERROR(__xludf.DUMMYFUNCTION("TRANSPOSE(unique(filter(Recipes!A$2:A2490,(Recipes!L$2:L2490=A233)+(Recipes!O$2:O2490=A233)+(Recipes!R$2:R2490=A233)+(Recipes!U$2:U2490=A233)+(Recipes!X$2:X2490=A233))))"),"Bone Cage Scroll")</f>
        <v>Bone Cage Scroll</v>
      </c>
      <c r="C233" s="47" t="str">
        <f ca="1">IFERROR(__xludf.DUMMYFUNCTION("""COMPUTED_VALUE"""),"Grasp of the Starved Scroll")</f>
        <v>Grasp of the Starved Scroll</v>
      </c>
      <c r="D233" s="47" t="str">
        <f ca="1">IFERROR(__xludf.DUMMYFUNCTION("""COMPUTED_VALUE"""),"Living on the Edge Scroll")</f>
        <v>Living on the Edge Scroll</v>
      </c>
      <c r="E233" s="47" t="str">
        <f ca="1">IFERROR(__xludf.DUMMYFUNCTION("""COMPUTED_VALUE"""),"Raise Bone Widow Scroll")</f>
        <v>Raise Bone Widow Scroll</v>
      </c>
      <c r="F233" s="47"/>
      <c r="G233" s="47"/>
      <c r="H233" s="47"/>
      <c r="I233" s="47"/>
      <c r="J233" s="47"/>
      <c r="K233" s="47"/>
      <c r="L233" s="47"/>
      <c r="M233" s="47"/>
      <c r="N233" s="47"/>
      <c r="O233" s="47"/>
      <c r="P233" s="47"/>
      <c r="Q233" s="47"/>
      <c r="R233" s="47"/>
      <c r="S233" s="47"/>
      <c r="T233" s="47"/>
      <c r="U233" s="47"/>
      <c r="V233" s="47"/>
      <c r="W233" s="47"/>
      <c r="X233" s="47"/>
      <c r="Y233" s="47"/>
      <c r="Z233" s="47"/>
      <c r="AA233" s="47"/>
      <c r="AB233" s="47"/>
      <c r="AC233" s="47"/>
      <c r="AD233" s="47"/>
      <c r="AE233" s="47"/>
      <c r="AF233" s="47"/>
      <c r="AG233" s="47"/>
      <c r="AH233" s="47"/>
      <c r="AI233" s="47"/>
      <c r="AJ233" s="47"/>
      <c r="AK233" s="47"/>
      <c r="AL233" s="47"/>
      <c r="AM233" s="47"/>
      <c r="AN233" s="47"/>
      <c r="AO233" s="47"/>
      <c r="AP233" s="47"/>
      <c r="AQ233" s="47"/>
      <c r="AR233" s="47"/>
      <c r="AS233" s="47"/>
      <c r="AT233" s="47"/>
      <c r="AU233" s="47"/>
      <c r="AV233" s="47"/>
      <c r="AW233" s="47"/>
      <c r="AX233" s="47"/>
      <c r="AY233" s="47"/>
      <c r="AZ233" s="47"/>
      <c r="BA233" s="47"/>
      <c r="BB233" s="47"/>
      <c r="BC233" s="47"/>
      <c r="BD233" s="47"/>
      <c r="BE233" s="47"/>
      <c r="BF233" s="47"/>
      <c r="BG233" s="47"/>
      <c r="BH233" s="47"/>
      <c r="BI233" s="47"/>
      <c r="BJ233" s="47"/>
      <c r="BK233" s="47"/>
      <c r="BL233" s="47"/>
      <c r="BM233" s="47"/>
      <c r="BN233" s="47"/>
      <c r="BO233" s="47"/>
      <c r="BP233" s="47"/>
      <c r="BQ233" s="47"/>
      <c r="BR233" s="47"/>
      <c r="BS233" s="47"/>
      <c r="BT233" s="47"/>
      <c r="BU233" s="47"/>
      <c r="BV233" s="47"/>
      <c r="BW233" s="47"/>
      <c r="BX233" s="47"/>
      <c r="BY233" s="47"/>
      <c r="BZ233" s="47"/>
    </row>
    <row r="234" spans="1:78" ht="13">
      <c r="A234" s="152" t="str">
        <f ca="1">IFERROR(__xludf.DUMMYFUNCTION("""COMPUTED_VALUE"""),"High Quality Tormented Soul")</f>
        <v>High Quality Tormented Soul</v>
      </c>
      <c r="B234" s="47" t="str">
        <f ca="1">IFERROR(__xludf.DUMMYFUNCTION("TRANSPOSE(unique(filter(Recipes!A$2:A2490,(Recipes!L$2:L2490=A234)+(Recipes!O$2:O2490=A234)+(Recipes!R$2:R2490=A234)+(Recipes!U$2:U2490=A234)+(Recipes!X$2:X2490=A234))))"),"Curse Scroll")</f>
        <v>Curse Scroll</v>
      </c>
      <c r="C234" s="47" t="str">
        <f ca="1">IFERROR(__xludf.DUMMYFUNCTION("""COMPUTED_VALUE"""),"Soul Mate Scroll")</f>
        <v>Soul Mate Scroll</v>
      </c>
      <c r="D234" s="47"/>
      <c r="E234" s="47"/>
      <c r="F234" s="47"/>
      <c r="G234" s="47"/>
      <c r="H234" s="47"/>
      <c r="I234" s="47"/>
      <c r="J234" s="47"/>
      <c r="K234" s="47"/>
      <c r="L234" s="47"/>
      <c r="M234" s="47"/>
      <c r="N234" s="47"/>
      <c r="O234" s="47"/>
      <c r="P234" s="47"/>
      <c r="Q234" s="47"/>
      <c r="R234" s="47"/>
      <c r="S234" s="47"/>
      <c r="T234" s="47"/>
      <c r="U234" s="47"/>
      <c r="V234" s="47"/>
      <c r="W234" s="47"/>
      <c r="X234" s="47"/>
      <c r="Y234" s="47"/>
      <c r="Z234" s="47"/>
      <c r="AA234" s="47"/>
      <c r="AB234" s="47"/>
      <c r="AC234" s="47"/>
      <c r="AD234" s="47"/>
      <c r="AE234" s="47"/>
      <c r="AF234" s="47"/>
      <c r="AG234" s="47"/>
      <c r="AH234" s="47"/>
      <c r="AI234" s="47"/>
      <c r="AJ234" s="47"/>
      <c r="AK234" s="47"/>
      <c r="AL234" s="47"/>
      <c r="AM234" s="47"/>
      <c r="AN234" s="47"/>
      <c r="AO234" s="47"/>
      <c r="AP234" s="47"/>
      <c r="AQ234" s="47"/>
      <c r="AR234" s="47"/>
      <c r="AS234" s="47"/>
      <c r="AT234" s="47"/>
      <c r="AU234" s="47"/>
      <c r="AV234" s="47"/>
      <c r="AW234" s="47"/>
      <c r="AX234" s="47"/>
      <c r="AY234" s="47"/>
      <c r="AZ234" s="47"/>
      <c r="BA234" s="47"/>
      <c r="BB234" s="47"/>
      <c r="BC234" s="47"/>
      <c r="BD234" s="47"/>
      <c r="BE234" s="47"/>
      <c r="BF234" s="47"/>
      <c r="BG234" s="47"/>
      <c r="BH234" s="47"/>
      <c r="BI234" s="47"/>
      <c r="BJ234" s="47"/>
      <c r="BK234" s="47"/>
      <c r="BL234" s="47"/>
      <c r="BM234" s="47"/>
      <c r="BN234" s="47"/>
      <c r="BO234" s="47"/>
      <c r="BP234" s="47"/>
      <c r="BQ234" s="47"/>
      <c r="BR234" s="47"/>
      <c r="BS234" s="47"/>
      <c r="BT234" s="47"/>
      <c r="BU234" s="47"/>
      <c r="BV234" s="47"/>
      <c r="BW234" s="47"/>
      <c r="BX234" s="47"/>
      <c r="BY234" s="47"/>
      <c r="BZ234" s="47"/>
    </row>
    <row r="235" spans="1:78" ht="13">
      <c r="A235" s="152" t="str">
        <f ca="1">IFERROR(__xludf.DUMMYFUNCTION("""COMPUTED_VALUE"""),"High Quality Water Essence")</f>
        <v>High Quality Water Essence</v>
      </c>
      <c r="B235" s="47" t="str">
        <f ca="1">IFERROR(__xludf.DUMMYFUNCTION("TRANSPOSE(unique(filter(Recipes!A$2:A2490,(Recipes!L$2:L2490=A235)+(Recipes!O$2:O2490=A235)+(Recipes!R$2:R2490=A235)+(Recipes!U$2:U2490=A235)+(Recipes!X$2:X2490=A235))))"),"Hail Strike Scroll")</f>
        <v>Hail Strike Scroll</v>
      </c>
      <c r="C235" s="47" t="str">
        <f ca="1">IFERROR(__xludf.DUMMYFUNCTION("""COMPUTED_VALUE"""),"Healing Ritual Scroll")</f>
        <v>Healing Ritual Scroll</v>
      </c>
      <c r="D235" s="47"/>
      <c r="E235" s="47"/>
      <c r="F235" s="47"/>
      <c r="G235" s="47"/>
      <c r="H235" s="47"/>
      <c r="I235" s="47"/>
      <c r="J235" s="47"/>
      <c r="K235" s="47"/>
      <c r="L235" s="47"/>
      <c r="M235" s="47"/>
      <c r="N235" s="47"/>
      <c r="O235" s="47"/>
      <c r="P235" s="47"/>
      <c r="Q235" s="47"/>
      <c r="R235" s="47"/>
      <c r="S235" s="47"/>
      <c r="T235" s="47"/>
      <c r="U235" s="47"/>
      <c r="V235" s="47"/>
      <c r="W235" s="47"/>
      <c r="X235" s="47"/>
      <c r="Y235" s="47"/>
      <c r="Z235" s="47"/>
      <c r="AA235" s="47"/>
      <c r="AB235" s="47"/>
      <c r="AC235" s="47"/>
      <c r="AD235" s="47"/>
      <c r="AE235" s="47"/>
      <c r="AF235" s="47"/>
      <c r="AG235" s="47"/>
      <c r="AH235" s="47"/>
      <c r="AI235" s="47"/>
      <c r="AJ235" s="47"/>
      <c r="AK235" s="47"/>
      <c r="AL235" s="47"/>
      <c r="AM235" s="47"/>
      <c r="AN235" s="47"/>
      <c r="AO235" s="47"/>
      <c r="AP235" s="47"/>
      <c r="AQ235" s="47"/>
      <c r="AR235" s="47"/>
      <c r="AS235" s="47"/>
      <c r="AT235" s="47"/>
      <c r="AU235" s="47"/>
      <c r="AV235" s="47"/>
      <c r="AW235" s="47"/>
      <c r="AX235" s="47"/>
      <c r="AY235" s="47"/>
      <c r="AZ235" s="47"/>
      <c r="BA235" s="47"/>
      <c r="BB235" s="47"/>
      <c r="BC235" s="47"/>
      <c r="BD235" s="47"/>
      <c r="BE235" s="47"/>
      <c r="BF235" s="47"/>
      <c r="BG235" s="47"/>
      <c r="BH235" s="47"/>
      <c r="BI235" s="47"/>
      <c r="BJ235" s="47"/>
      <c r="BK235" s="47"/>
      <c r="BL235" s="47"/>
      <c r="BM235" s="47"/>
      <c r="BN235" s="47"/>
      <c r="BO235" s="47"/>
      <c r="BP235" s="47"/>
      <c r="BQ235" s="47"/>
      <c r="BR235" s="47"/>
      <c r="BS235" s="47"/>
      <c r="BT235" s="47"/>
      <c r="BU235" s="47"/>
      <c r="BV235" s="47"/>
      <c r="BW235" s="47"/>
      <c r="BX235" s="47"/>
      <c r="BY235" s="47"/>
      <c r="BZ235" s="47"/>
    </row>
    <row r="236" spans="1:78" ht="13">
      <c r="A236" s="152" t="str">
        <f ca="1">IFERROR(__xludf.DUMMYFUNCTION("""COMPUTED_VALUE"""),"High Tier Blank Skillbook Air")</f>
        <v>High Tier Blank Skillbook Air</v>
      </c>
      <c r="B236" s="47" t="str">
        <f ca="1">IFERROR(__xludf.DUMMYFUNCTION("TRANSPOSE(unique(filter(Recipes!A$2:A2490,(Recipes!L$2:L2490=A236)+(Recipes!O$2:O2490=A236)+(Recipes!R$2:R2490=A236)+(Recipes!U$2:U2490=A236)+(Recipes!X$2:X2490=A236))))"),"Blinding Radiance Skillbook")</f>
        <v>Blinding Radiance Skillbook</v>
      </c>
      <c r="C236" s="47" t="str">
        <f ca="1">IFERROR(__xludf.DUMMYFUNCTION("""COMPUTED_VALUE"""),"Chain Lightning Skillbook")</f>
        <v>Chain Lightning Skillbook</v>
      </c>
      <c r="D236" s="47" t="str">
        <f ca="1">IFERROR(__xludf.DUMMYFUNCTION("""COMPUTED_VALUE"""),"Closed Circuit Skillbook")</f>
        <v>Closed Circuit Skillbook</v>
      </c>
      <c r="E236" s="47" t="str">
        <f ca="1">IFERROR(__xludf.DUMMYFUNCTION("""COMPUTED_VALUE"""),"Netherswap Skillbook")</f>
        <v>Netherswap Skillbook</v>
      </c>
      <c r="F236" s="47" t="str">
        <f ca="1">IFERROR(__xludf.DUMMYFUNCTION("""COMPUTED_VALUE"""),"Superconductor Skillbook")</f>
        <v>Superconductor Skillbook</v>
      </c>
      <c r="G236" s="47" t="str">
        <f ca="1">IFERROR(__xludf.DUMMYFUNCTION("""COMPUTED_VALUE"""),"Thunderstorm Skillbook")</f>
        <v>Thunderstorm Skillbook</v>
      </c>
      <c r="H236" s="47" t="str">
        <f ca="1">IFERROR(__xludf.DUMMYFUNCTION("""COMPUTED_VALUE"""),"Tornado Skillbook")</f>
        <v>Tornado Skillbook</v>
      </c>
      <c r="I236" s="47"/>
      <c r="J236" s="47"/>
      <c r="K236" s="47"/>
      <c r="L236" s="47"/>
      <c r="M236" s="47"/>
      <c r="N236" s="47"/>
      <c r="O236" s="47"/>
      <c r="P236" s="47"/>
      <c r="Q236" s="47"/>
      <c r="R236" s="47"/>
      <c r="S236" s="47"/>
      <c r="T236" s="47"/>
      <c r="U236" s="47"/>
      <c r="V236" s="47"/>
      <c r="W236" s="47"/>
      <c r="X236" s="47"/>
      <c r="Y236" s="47"/>
      <c r="Z236" s="47"/>
      <c r="AA236" s="47"/>
      <c r="AB236" s="47"/>
      <c r="AC236" s="47"/>
      <c r="AD236" s="47"/>
      <c r="AE236" s="47"/>
      <c r="AF236" s="47"/>
      <c r="AG236" s="47"/>
      <c r="AH236" s="47"/>
      <c r="AI236" s="47"/>
      <c r="AJ236" s="47"/>
      <c r="AK236" s="47"/>
      <c r="AL236" s="47"/>
      <c r="AM236" s="47"/>
      <c r="AN236" s="47"/>
      <c r="AO236" s="47"/>
      <c r="AP236" s="47"/>
      <c r="AQ236" s="47"/>
      <c r="AR236" s="47"/>
      <c r="AS236" s="47"/>
      <c r="AT236" s="47"/>
      <c r="AU236" s="47"/>
      <c r="AV236" s="47"/>
      <c r="AW236" s="47"/>
      <c r="AX236" s="47"/>
      <c r="AY236" s="47"/>
      <c r="AZ236" s="47"/>
      <c r="BA236" s="47"/>
      <c r="BB236" s="47"/>
      <c r="BC236" s="47"/>
      <c r="BD236" s="47"/>
      <c r="BE236" s="47"/>
      <c r="BF236" s="47"/>
      <c r="BG236" s="47"/>
      <c r="BH236" s="47"/>
      <c r="BI236" s="47"/>
      <c r="BJ236" s="47"/>
      <c r="BK236" s="47"/>
      <c r="BL236" s="47"/>
      <c r="BM236" s="47"/>
      <c r="BN236" s="47"/>
      <c r="BO236" s="47"/>
      <c r="BP236" s="47"/>
      <c r="BQ236" s="47"/>
      <c r="BR236" s="47"/>
      <c r="BS236" s="47"/>
      <c r="BT236" s="47"/>
      <c r="BU236" s="47"/>
      <c r="BV236" s="47"/>
      <c r="BW236" s="47"/>
      <c r="BX236" s="47"/>
      <c r="BY236" s="47"/>
      <c r="BZ236" s="47"/>
    </row>
    <row r="237" spans="1:78" ht="13">
      <c r="A237" s="152" t="str">
        <f ca="1">IFERROR(__xludf.DUMMYFUNCTION("""COMPUTED_VALUE"""),"High Tier Blank Skillbook Earth")</f>
        <v>High Tier Blank Skillbook Earth</v>
      </c>
      <c r="B237" s="47" t="str">
        <f ca="1">IFERROR(__xludf.DUMMYFUNCTION("TRANSPOSE(unique(filter(Recipes!A$2:A2490,(Recipes!L$2:L2490=A237)+(Recipes!O$2:O2490=A237)+(Recipes!R$2:R2490=A237)+(Recipes!U$2:U2490=A237)+(Recipes!X$2:X2490=A237))))"),"Acid Spores Skillbook")</f>
        <v>Acid Spores Skillbook</v>
      </c>
      <c r="C237" s="47" t="str">
        <f ca="1">IFERROR(__xludf.DUMMYFUNCTION("""COMPUTED_VALUE"""),"Living Wall Skillbook")</f>
        <v>Living Wall Skillbook</v>
      </c>
      <c r="D237" s="47" t="str">
        <f ca="1">IFERROR(__xludf.DUMMYFUNCTION("""COMPUTED_VALUE"""),"Pyroclastic Eruption Skillbook")</f>
        <v>Pyroclastic Eruption Skillbook</v>
      </c>
      <c r="E237" s="47" t="str">
        <f ca="1">IFERROR(__xludf.DUMMYFUNCTION("""COMPUTED_VALUE"""),"Siphon Poison Skillbook")</f>
        <v>Siphon Poison Skillbook</v>
      </c>
      <c r="F237" s="47"/>
      <c r="G237" s="47"/>
      <c r="H237" s="47"/>
      <c r="I237" s="47"/>
      <c r="J237" s="47"/>
      <c r="K237" s="47"/>
      <c r="L237" s="47"/>
      <c r="M237" s="47"/>
      <c r="N237" s="47"/>
      <c r="O237" s="47"/>
      <c r="P237" s="47"/>
      <c r="Q237" s="47"/>
      <c r="R237" s="47"/>
      <c r="S237" s="47"/>
      <c r="T237" s="47"/>
      <c r="U237" s="47"/>
      <c r="V237" s="47"/>
      <c r="W237" s="47"/>
      <c r="X237" s="47"/>
      <c r="Y237" s="47"/>
      <c r="Z237" s="47"/>
      <c r="AA237" s="47"/>
      <c r="AB237" s="47"/>
      <c r="AC237" s="47"/>
      <c r="AD237" s="47"/>
      <c r="AE237" s="47"/>
      <c r="AF237" s="47"/>
      <c r="AG237" s="47"/>
      <c r="AH237" s="47"/>
      <c r="AI237" s="47"/>
      <c r="AJ237" s="47"/>
      <c r="AK237" s="47"/>
      <c r="AL237" s="47"/>
      <c r="AM237" s="47"/>
      <c r="AN237" s="47"/>
      <c r="AO237" s="47"/>
      <c r="AP237" s="47"/>
      <c r="AQ237" s="47"/>
      <c r="AR237" s="47"/>
      <c r="AS237" s="47"/>
      <c r="AT237" s="47"/>
      <c r="AU237" s="47"/>
      <c r="AV237" s="47"/>
      <c r="AW237" s="47"/>
      <c r="AX237" s="47"/>
      <c r="AY237" s="47"/>
      <c r="AZ237" s="47"/>
      <c r="BA237" s="47"/>
      <c r="BB237" s="47"/>
      <c r="BC237" s="47"/>
      <c r="BD237" s="47"/>
      <c r="BE237" s="47"/>
      <c r="BF237" s="47"/>
      <c r="BG237" s="47"/>
      <c r="BH237" s="47"/>
      <c r="BI237" s="47"/>
      <c r="BJ237" s="47"/>
      <c r="BK237" s="47"/>
      <c r="BL237" s="47"/>
      <c r="BM237" s="47"/>
      <c r="BN237" s="47"/>
      <c r="BO237" s="47"/>
      <c r="BP237" s="47"/>
      <c r="BQ237" s="47"/>
      <c r="BR237" s="47"/>
      <c r="BS237" s="47"/>
      <c r="BT237" s="47"/>
      <c r="BU237" s="47"/>
      <c r="BV237" s="47"/>
      <c r="BW237" s="47"/>
      <c r="BX237" s="47"/>
      <c r="BY237" s="47"/>
      <c r="BZ237" s="47"/>
    </row>
    <row r="238" spans="1:78" ht="13">
      <c r="A238" s="152" t="str">
        <f ca="1">IFERROR(__xludf.DUMMYFUNCTION("""COMPUTED_VALUE"""),"High Tier Blank Skillbook Fire")</f>
        <v>High Tier Blank Skillbook Fire</v>
      </c>
      <c r="B238" s="47" t="str">
        <f ca="1">IFERROR(__xludf.DUMMYFUNCTION("TRANSPOSE(unique(filter(Recipes!A$2:A2490,(Recipes!L$2:L2490=A238)+(Recipes!O$2:O2490=A238)+(Recipes!R$2:R2490=A238)+(Recipes!U$2:U2490=A238)+(Recipes!X$2:X2490=A238))))"),"Epidemic of Fire Skillbook")</f>
        <v>Epidemic of Fire Skillbook</v>
      </c>
      <c r="C238" s="47" t="str">
        <f ca="1">IFERROR(__xludf.DUMMYFUNCTION("""COMPUTED_VALUE"""),"Firebrand Skillbook")</f>
        <v>Firebrand Skillbook</v>
      </c>
      <c r="D238" s="47" t="str">
        <f ca="1">IFERROR(__xludf.DUMMYFUNCTION("""COMPUTED_VALUE"""),"Flaming Crescendo Skillbook")</f>
        <v>Flaming Crescendo Skillbook</v>
      </c>
      <c r="E238" s="47" t="str">
        <f ca="1">IFERROR(__xludf.DUMMYFUNCTION("""COMPUTED_VALUE"""),"Meteor Shower Skillbook")</f>
        <v>Meteor Shower Skillbook</v>
      </c>
      <c r="F238" s="47"/>
      <c r="G238" s="47"/>
      <c r="H238" s="47"/>
      <c r="I238" s="47"/>
      <c r="J238" s="47"/>
      <c r="K238" s="47"/>
      <c r="L238" s="47"/>
      <c r="M238" s="47"/>
      <c r="N238" s="47"/>
      <c r="O238" s="47"/>
      <c r="P238" s="47"/>
      <c r="Q238" s="47"/>
      <c r="R238" s="47"/>
      <c r="S238" s="47"/>
      <c r="T238" s="47"/>
      <c r="U238" s="47"/>
      <c r="V238" s="47"/>
      <c r="W238" s="47"/>
      <c r="X238" s="47"/>
      <c r="Y238" s="47"/>
      <c r="Z238" s="47"/>
      <c r="AA238" s="47"/>
      <c r="AB238" s="47"/>
      <c r="AC238" s="47"/>
      <c r="AD238" s="47"/>
      <c r="AE238" s="47"/>
      <c r="AF238" s="47"/>
      <c r="AG238" s="47"/>
      <c r="AH238" s="47"/>
      <c r="AI238" s="47"/>
      <c r="AJ238" s="47"/>
      <c r="AK238" s="47"/>
      <c r="AL238" s="47"/>
      <c r="AM238" s="47"/>
      <c r="AN238" s="47"/>
      <c r="AO238" s="47"/>
      <c r="AP238" s="47"/>
      <c r="AQ238" s="47"/>
      <c r="AR238" s="47"/>
      <c r="AS238" s="47"/>
      <c r="AT238" s="47"/>
      <c r="AU238" s="47"/>
      <c r="AV238" s="47"/>
      <c r="AW238" s="47"/>
      <c r="AX238" s="47"/>
      <c r="AY238" s="47"/>
      <c r="AZ238" s="47"/>
      <c r="BA238" s="47"/>
      <c r="BB238" s="47"/>
      <c r="BC238" s="47"/>
      <c r="BD238" s="47"/>
      <c r="BE238" s="47"/>
      <c r="BF238" s="47"/>
      <c r="BG238" s="47"/>
      <c r="BH238" s="47"/>
      <c r="BI238" s="47"/>
      <c r="BJ238" s="47"/>
      <c r="BK238" s="47"/>
      <c r="BL238" s="47"/>
      <c r="BM238" s="47"/>
      <c r="BN238" s="47"/>
      <c r="BO238" s="47"/>
      <c r="BP238" s="47"/>
      <c r="BQ238" s="47"/>
      <c r="BR238" s="47"/>
      <c r="BS238" s="47"/>
      <c r="BT238" s="47"/>
      <c r="BU238" s="47"/>
      <c r="BV238" s="47"/>
      <c r="BW238" s="47"/>
      <c r="BX238" s="47"/>
      <c r="BY238" s="47"/>
      <c r="BZ238" s="47"/>
    </row>
    <row r="239" spans="1:78" ht="13">
      <c r="A239" s="152" t="str">
        <f ca="1">IFERROR(__xludf.DUMMYFUNCTION("""COMPUTED_VALUE"""),"High Tier Blank Skillbook Necromancy")</f>
        <v>High Tier Blank Skillbook Necromancy</v>
      </c>
      <c r="B239" s="47" t="str">
        <f ca="1">IFERROR(__xludf.DUMMYFUNCTION("TRANSPOSE(unique(filter(Recipes!A$2:A2490,(Recipes!L$2:L2490=A239)+(Recipes!O$2:O2490=A239)+(Recipes!R$2:R2490=A239)+(Recipes!U$2:U2490=A239)+(Recipes!X$2:X2490=A239))))"),"Grasp of the Starved Skillbook")</f>
        <v>Grasp of the Starved Skillbook</v>
      </c>
      <c r="C239" s="47" t="str">
        <f ca="1">IFERROR(__xludf.DUMMYFUNCTION("""COMPUTED_VALUE"""),"Silencing Stare Skillbook")</f>
        <v>Silencing Stare Skillbook</v>
      </c>
      <c r="D239" s="47" t="str">
        <f ca="1">IFERROR(__xludf.DUMMYFUNCTION("""COMPUTED_VALUE"""),"Totems of the Necromancer Skillbook")</f>
        <v>Totems of the Necromancer Skillbook</v>
      </c>
      <c r="E239" s="47"/>
      <c r="F239" s="47"/>
      <c r="G239" s="47"/>
      <c r="H239" s="47"/>
      <c r="I239" s="47"/>
      <c r="J239" s="47"/>
      <c r="K239" s="47"/>
      <c r="L239" s="47"/>
      <c r="M239" s="47"/>
      <c r="N239" s="47"/>
      <c r="O239" s="47"/>
      <c r="P239" s="47"/>
      <c r="Q239" s="47"/>
      <c r="R239" s="47"/>
      <c r="S239" s="47"/>
      <c r="T239" s="47"/>
      <c r="U239" s="47"/>
      <c r="V239" s="47"/>
      <c r="W239" s="47"/>
      <c r="X239" s="47"/>
      <c r="Y239" s="47"/>
      <c r="Z239" s="47"/>
      <c r="AA239" s="47"/>
      <c r="AB239" s="47"/>
      <c r="AC239" s="47"/>
      <c r="AD239" s="47"/>
      <c r="AE239" s="47"/>
      <c r="AF239" s="47"/>
      <c r="AG239" s="47"/>
      <c r="AH239" s="47"/>
      <c r="AI239" s="47"/>
      <c r="AJ239" s="47"/>
      <c r="AK239" s="47"/>
      <c r="AL239" s="47"/>
      <c r="AM239" s="47"/>
      <c r="AN239" s="47"/>
      <c r="AO239" s="47"/>
      <c r="AP239" s="47"/>
      <c r="AQ239" s="47"/>
      <c r="AR239" s="47"/>
      <c r="AS239" s="47"/>
      <c r="AT239" s="47"/>
      <c r="AU239" s="47"/>
      <c r="AV239" s="47"/>
      <c r="AW239" s="47"/>
      <c r="AX239" s="47"/>
      <c r="AY239" s="47"/>
      <c r="AZ239" s="47"/>
      <c r="BA239" s="47"/>
      <c r="BB239" s="47"/>
      <c r="BC239" s="47"/>
      <c r="BD239" s="47"/>
      <c r="BE239" s="47"/>
      <c r="BF239" s="47"/>
      <c r="BG239" s="47"/>
      <c r="BH239" s="47"/>
      <c r="BI239" s="47"/>
      <c r="BJ239" s="47"/>
      <c r="BK239" s="47"/>
      <c r="BL239" s="47"/>
      <c r="BM239" s="47"/>
      <c r="BN239" s="47"/>
      <c r="BO239" s="47"/>
      <c r="BP239" s="47"/>
      <c r="BQ239" s="47"/>
      <c r="BR239" s="47"/>
      <c r="BS239" s="47"/>
      <c r="BT239" s="47"/>
      <c r="BU239" s="47"/>
      <c r="BV239" s="47"/>
      <c r="BW239" s="47"/>
      <c r="BX239" s="47"/>
      <c r="BY239" s="47"/>
      <c r="BZ239" s="47"/>
    </row>
    <row r="240" spans="1:78" ht="13">
      <c r="A240" s="152" t="str">
        <f ca="1">IFERROR(__xludf.DUMMYFUNCTION("""COMPUTED_VALUE"""),"High Tier Blank Skillbook Polymorph")</f>
        <v>High Tier Blank Skillbook Polymorph</v>
      </c>
      <c r="B240" s="47" t="str">
        <f ca="1">IFERROR(__xludf.DUMMYFUNCTION("TRANSPOSE(unique(filter(Recipes!A$2:A2490,(Recipes!L$2:L2490=A240)+(Recipes!O$2:O2490=A240)+(Recipes!R$2:R2490=A240)+(Recipes!U$2:U2490=A240)+(Recipes!X$2:X2490=A240))))"),"Apotheosis Skillbook")</f>
        <v>Apotheosis Skillbook</v>
      </c>
      <c r="C240" s="47" t="str">
        <f ca="1">IFERROR(__xludf.DUMMYFUNCTION("""COMPUTED_VALUE"""),"Equalise Skillbook")</f>
        <v>Equalise Skillbook</v>
      </c>
      <c r="D240" s="47" t="str">
        <f ca="1">IFERROR(__xludf.DUMMYFUNCTION("""COMPUTED_VALUE"""),"Flay Skin Skillbook")</f>
        <v>Flay Skin Skillbook</v>
      </c>
      <c r="E240" s="47" t="str">
        <f ca="1">IFERROR(__xludf.DUMMYFUNCTION("""COMPUTED_VALUE"""),"Forced Exchange Skillbook")</f>
        <v>Forced Exchange Skillbook</v>
      </c>
      <c r="F240" s="47"/>
      <c r="G240" s="47"/>
      <c r="H240" s="47"/>
      <c r="I240" s="47"/>
      <c r="J240" s="47"/>
      <c r="K240" s="47"/>
      <c r="L240" s="47"/>
      <c r="M240" s="47"/>
      <c r="N240" s="47"/>
      <c r="O240" s="47"/>
      <c r="P240" s="47"/>
      <c r="Q240" s="47"/>
      <c r="R240" s="47"/>
      <c r="S240" s="47"/>
      <c r="T240" s="47"/>
      <c r="U240" s="47"/>
      <c r="V240" s="47"/>
      <c r="W240" s="47"/>
      <c r="X240" s="47"/>
      <c r="Y240" s="47"/>
      <c r="Z240" s="47"/>
      <c r="AA240" s="47"/>
      <c r="AB240" s="47"/>
      <c r="AC240" s="47"/>
      <c r="AD240" s="47"/>
      <c r="AE240" s="47"/>
      <c r="AF240" s="47"/>
      <c r="AG240" s="47"/>
      <c r="AH240" s="47"/>
      <c r="AI240" s="47"/>
      <c r="AJ240" s="47"/>
      <c r="AK240" s="47"/>
      <c r="AL240" s="47"/>
      <c r="AM240" s="47"/>
      <c r="AN240" s="47"/>
      <c r="AO240" s="47"/>
      <c r="AP240" s="47"/>
      <c r="AQ240" s="47"/>
      <c r="AR240" s="47"/>
      <c r="AS240" s="47"/>
      <c r="AT240" s="47"/>
      <c r="AU240" s="47"/>
      <c r="AV240" s="47"/>
      <c r="AW240" s="47"/>
      <c r="AX240" s="47"/>
      <c r="AY240" s="47"/>
      <c r="AZ240" s="47"/>
      <c r="BA240" s="47"/>
      <c r="BB240" s="47"/>
      <c r="BC240" s="47"/>
      <c r="BD240" s="47"/>
      <c r="BE240" s="47"/>
      <c r="BF240" s="47"/>
      <c r="BG240" s="47"/>
      <c r="BH240" s="47"/>
      <c r="BI240" s="47"/>
      <c r="BJ240" s="47"/>
      <c r="BK240" s="47"/>
      <c r="BL240" s="47"/>
      <c r="BM240" s="47"/>
      <c r="BN240" s="47"/>
      <c r="BO240" s="47"/>
      <c r="BP240" s="47"/>
      <c r="BQ240" s="47"/>
      <c r="BR240" s="47"/>
      <c r="BS240" s="47"/>
      <c r="BT240" s="47"/>
      <c r="BU240" s="47"/>
      <c r="BV240" s="47"/>
      <c r="BW240" s="47"/>
      <c r="BX240" s="47"/>
      <c r="BY240" s="47"/>
      <c r="BZ240" s="47"/>
    </row>
    <row r="241" spans="1:78" ht="13">
      <c r="A241" s="152" t="str">
        <f ca="1">IFERROR(__xludf.DUMMYFUNCTION("""COMPUTED_VALUE"""),"High Tier Blank Skillbook Summoning")</f>
        <v>High Tier Blank Skillbook Summoning</v>
      </c>
      <c r="B241" s="47" t="str">
        <f ca="1">IFERROR(__xludf.DUMMYFUNCTION("TRANSPOSE(unique(filter(Recipes!A$2:A2490,(Recipes!L$2:L2490=A241)+(Recipes!O$2:O2490=A241)+(Recipes!R$2:R2490=A241)+(Recipes!U$2:U2490=A241)+(Recipes!X$2:X2490=A241))))"),"Cannibalize Skillbook")</f>
        <v>Cannibalize Skillbook</v>
      </c>
      <c r="C241" s="47" t="str">
        <f ca="1">IFERROR(__xludf.DUMMYFUNCTION("""COMPUTED_VALUE"""),"Door to Eternity Skillbook")</f>
        <v>Door to Eternity Skillbook</v>
      </c>
      <c r="D241" s="47" t="str">
        <f ca="1">IFERROR(__xludf.DUMMYFUNCTION("""COMPUTED_VALUE"""),"Ethereal Storm Skillbook")</f>
        <v>Ethereal Storm Skillbook</v>
      </c>
      <c r="E241" s="47" t="str">
        <f ca="1">IFERROR(__xludf.DUMMYFUNCTION("""COMPUTED_VALUE"""),"Warp Infusion Skillbook")</f>
        <v>Warp Infusion Skillbook</v>
      </c>
      <c r="F241" s="47"/>
      <c r="G241" s="47"/>
      <c r="H241" s="47"/>
      <c r="I241" s="47"/>
      <c r="J241" s="47"/>
      <c r="K241" s="47"/>
      <c r="L241" s="47"/>
      <c r="M241" s="47"/>
      <c r="N241" s="47"/>
      <c r="O241" s="47"/>
      <c r="P241" s="47"/>
      <c r="Q241" s="47"/>
      <c r="R241" s="47"/>
      <c r="S241" s="47"/>
      <c r="T241" s="47"/>
      <c r="U241" s="47"/>
      <c r="V241" s="47"/>
      <c r="W241" s="47"/>
      <c r="X241" s="47"/>
      <c r="Y241" s="47"/>
      <c r="Z241" s="47"/>
      <c r="AA241" s="47"/>
      <c r="AB241" s="47"/>
      <c r="AC241" s="47"/>
      <c r="AD241" s="47"/>
      <c r="AE241" s="47"/>
      <c r="AF241" s="47"/>
      <c r="AG241" s="47"/>
      <c r="AH241" s="47"/>
      <c r="AI241" s="47"/>
      <c r="AJ241" s="47"/>
      <c r="AK241" s="47"/>
      <c r="AL241" s="47"/>
      <c r="AM241" s="47"/>
      <c r="AN241" s="47"/>
      <c r="AO241" s="47"/>
      <c r="AP241" s="47"/>
      <c r="AQ241" s="47"/>
      <c r="AR241" s="47"/>
      <c r="AS241" s="47"/>
      <c r="AT241" s="47"/>
      <c r="AU241" s="47"/>
      <c r="AV241" s="47"/>
      <c r="AW241" s="47"/>
      <c r="AX241" s="47"/>
      <c r="AY241" s="47"/>
      <c r="AZ241" s="47"/>
      <c r="BA241" s="47"/>
      <c r="BB241" s="47"/>
      <c r="BC241" s="47"/>
      <c r="BD241" s="47"/>
      <c r="BE241" s="47"/>
      <c r="BF241" s="47"/>
      <c r="BG241" s="47"/>
      <c r="BH241" s="47"/>
      <c r="BI241" s="47"/>
      <c r="BJ241" s="47"/>
      <c r="BK241" s="47"/>
      <c r="BL241" s="47"/>
      <c r="BM241" s="47"/>
      <c r="BN241" s="47"/>
      <c r="BO241" s="47"/>
      <c r="BP241" s="47"/>
      <c r="BQ241" s="47"/>
      <c r="BR241" s="47"/>
      <c r="BS241" s="47"/>
      <c r="BT241" s="47"/>
      <c r="BU241" s="47"/>
      <c r="BV241" s="47"/>
      <c r="BW241" s="47"/>
      <c r="BX241" s="47"/>
      <c r="BY241" s="47"/>
      <c r="BZ241" s="47"/>
    </row>
    <row r="242" spans="1:78" ht="13">
      <c r="A242" s="152" t="str">
        <f ca="1">IFERROR(__xludf.DUMMYFUNCTION("""COMPUTED_VALUE"""),"High Tier Blank Skillbook Water")</f>
        <v>High Tier Blank Skillbook Water</v>
      </c>
      <c r="B242" s="47" t="str">
        <f ca="1">IFERROR(__xludf.DUMMYFUNCTION("TRANSPOSE(unique(filter(Recipes!A$2:A2490,(Recipes!L$2:L2490=A242)+(Recipes!O$2:O2490=A242)+(Recipes!R$2:R2490=A242)+(Recipes!U$2:U2490=A242)+(Recipes!X$2:X2490=A242))))"),"Deep Freeze Skillbook")</f>
        <v>Deep Freeze Skillbook</v>
      </c>
      <c r="C242" s="47" t="str">
        <f ca="1">IFERROR(__xludf.DUMMYFUNCTION("""COMPUTED_VALUE"""),"Global Cooling Skillbook")</f>
        <v>Global Cooling Skillbook</v>
      </c>
      <c r="D242" s="47" t="str">
        <f ca="1">IFERROR(__xludf.DUMMYFUNCTION("""COMPUTED_VALUE"""),"Healing Ritual Skillbook")</f>
        <v>Healing Ritual Skillbook</v>
      </c>
      <c r="E242" s="47" t="str">
        <f ca="1">IFERROR(__xludf.DUMMYFUNCTION("""COMPUTED_VALUE"""),"Ice Breaker Skillbook")</f>
        <v>Ice Breaker Skillbook</v>
      </c>
      <c r="F242" s="47" t="str">
        <f ca="1">IFERROR(__xludf.DUMMYFUNCTION("""COMPUTED_VALUE"""),"Steam Lance Skillbook")</f>
        <v>Steam Lance Skillbook</v>
      </c>
      <c r="G242" s="47"/>
      <c r="H242" s="47"/>
      <c r="I242" s="47"/>
      <c r="J242" s="47"/>
      <c r="K242" s="47"/>
      <c r="L242" s="47"/>
      <c r="M242" s="47"/>
      <c r="N242" s="47"/>
      <c r="O242" s="47"/>
      <c r="P242" s="47"/>
      <c r="Q242" s="47"/>
      <c r="R242" s="47"/>
      <c r="S242" s="47"/>
      <c r="T242" s="47"/>
      <c r="U242" s="47"/>
      <c r="V242" s="47"/>
      <c r="W242" s="47"/>
      <c r="X242" s="47"/>
      <c r="Y242" s="47"/>
      <c r="Z242" s="47"/>
      <c r="AA242" s="47"/>
      <c r="AB242" s="47"/>
      <c r="AC242" s="47"/>
      <c r="AD242" s="47"/>
      <c r="AE242" s="47"/>
      <c r="AF242" s="47"/>
      <c r="AG242" s="47"/>
      <c r="AH242" s="47"/>
      <c r="AI242" s="47"/>
      <c r="AJ242" s="47"/>
      <c r="AK242" s="47"/>
      <c r="AL242" s="47"/>
      <c r="AM242" s="47"/>
      <c r="AN242" s="47"/>
      <c r="AO242" s="47"/>
      <c r="AP242" s="47"/>
      <c r="AQ242" s="47"/>
      <c r="AR242" s="47"/>
      <c r="AS242" s="47"/>
      <c r="AT242" s="47"/>
      <c r="AU242" s="47"/>
      <c r="AV242" s="47"/>
      <c r="AW242" s="47"/>
      <c r="AX242" s="47"/>
      <c r="AY242" s="47"/>
      <c r="AZ242" s="47"/>
      <c r="BA242" s="47"/>
      <c r="BB242" s="47"/>
      <c r="BC242" s="47"/>
      <c r="BD242" s="47"/>
      <c r="BE242" s="47"/>
      <c r="BF242" s="47"/>
      <c r="BG242" s="47"/>
      <c r="BH242" s="47"/>
      <c r="BI242" s="47"/>
      <c r="BJ242" s="47"/>
      <c r="BK242" s="47"/>
      <c r="BL242" s="47"/>
      <c r="BM242" s="47"/>
      <c r="BN242" s="47"/>
      <c r="BO242" s="47"/>
      <c r="BP242" s="47"/>
      <c r="BQ242" s="47"/>
      <c r="BR242" s="47"/>
      <c r="BS242" s="47"/>
      <c r="BT242" s="47"/>
      <c r="BU242" s="47"/>
      <c r="BV242" s="47"/>
      <c r="BW242" s="47"/>
      <c r="BX242" s="47"/>
      <c r="BY242" s="47"/>
      <c r="BZ242" s="47"/>
    </row>
    <row r="243" spans="1:78" ht="13">
      <c r="A243" s="152" t="str">
        <f ca="1">IFERROR(__xludf.DUMMYFUNCTION("""COMPUTED_VALUE"""),"Huge Healing Potion")</f>
        <v>Huge Healing Potion</v>
      </c>
      <c r="B243" s="47" t="str">
        <f ca="1">IFERROR(__xludf.DUMMYFUNCTION("TRANSPOSE(unique(filter(Recipes!A$2:A2490,(Recipes!L$2:L2490=A243)+(Recipes!O$2:O2490=A243)+(Recipes!R$2:R2490=A243)+(Recipes!U$2:U2490=A243)+(Recipes!X$2:X2490=A243))))"),"Giant Healing Potion")</f>
        <v>Giant Healing Potion</v>
      </c>
      <c r="C243" s="47" t="str">
        <f ca="1">IFERROR(__xludf.DUMMYFUNCTION("""COMPUTED_VALUE"""),"Huge Poison Vial")</f>
        <v>Huge Poison Vial</v>
      </c>
      <c r="D243" s="47"/>
      <c r="E243" s="47"/>
      <c r="F243" s="47"/>
      <c r="G243" s="47"/>
      <c r="H243" s="47"/>
      <c r="I243" s="47"/>
      <c r="J243" s="47"/>
      <c r="K243" s="47"/>
      <c r="L243" s="47"/>
      <c r="M243" s="47"/>
      <c r="N243" s="47"/>
      <c r="O243" s="47"/>
      <c r="P243" s="47"/>
      <c r="Q243" s="47"/>
      <c r="R243" s="47"/>
      <c r="S243" s="47"/>
      <c r="T243" s="47"/>
      <c r="U243" s="47"/>
      <c r="V243" s="47"/>
      <c r="W243" s="47"/>
      <c r="X243" s="47"/>
      <c r="Y243" s="47"/>
      <c r="Z243" s="47"/>
      <c r="AA243" s="47"/>
      <c r="AB243" s="47"/>
      <c r="AC243" s="47"/>
      <c r="AD243" s="47"/>
      <c r="AE243" s="47"/>
      <c r="AF243" s="47"/>
      <c r="AG243" s="47"/>
      <c r="AH243" s="47"/>
      <c r="AI243" s="47"/>
      <c r="AJ243" s="47"/>
      <c r="AK243" s="47"/>
      <c r="AL243" s="47"/>
      <c r="AM243" s="47"/>
      <c r="AN243" s="47"/>
      <c r="AO243" s="47"/>
      <c r="AP243" s="47"/>
      <c r="AQ243" s="47"/>
      <c r="AR243" s="47"/>
      <c r="AS243" s="47"/>
      <c r="AT243" s="47"/>
      <c r="AU243" s="47"/>
      <c r="AV243" s="47"/>
      <c r="AW243" s="47"/>
      <c r="AX243" s="47"/>
      <c r="AY243" s="47"/>
      <c r="AZ243" s="47"/>
      <c r="BA243" s="47"/>
      <c r="BB243" s="47"/>
      <c r="BC243" s="47"/>
      <c r="BD243" s="47"/>
      <c r="BE243" s="47"/>
      <c r="BF243" s="47"/>
      <c r="BG243" s="47"/>
      <c r="BH243" s="47"/>
      <c r="BI243" s="47"/>
      <c r="BJ243" s="47"/>
      <c r="BK243" s="47"/>
      <c r="BL243" s="47"/>
      <c r="BM243" s="47"/>
      <c r="BN243" s="47"/>
      <c r="BO243" s="47"/>
      <c r="BP243" s="47"/>
      <c r="BQ243" s="47"/>
      <c r="BR243" s="47"/>
      <c r="BS243" s="47"/>
      <c r="BT243" s="47"/>
      <c r="BU243" s="47"/>
      <c r="BV243" s="47"/>
      <c r="BW243" s="47"/>
      <c r="BX243" s="47"/>
      <c r="BY243" s="47"/>
      <c r="BZ243" s="47"/>
    </row>
    <row r="244" spans="1:78" ht="13">
      <c r="A244" s="152" t="str">
        <f ca="1">IFERROR(__xludf.DUMMYFUNCTION("""COMPUTED_VALUE"""),"Huge Poison Vial")</f>
        <v>Huge Poison Vial</v>
      </c>
      <c r="B244" s="47" t="str">
        <f ca="1">IFERROR(__xludf.DUMMYFUNCTION("TRANSPOSE(unique(filter(Recipes!A$2:A2490,(Recipes!L$2:L2490=A244)+(Recipes!O$2:O2490=A244)+(Recipes!R$2:R2490=A244)+(Recipes!U$2:U2490=A244)+(Recipes!X$2:X2490=A244))))"),"Giant Poison Bottle")</f>
        <v>Giant Poison Bottle</v>
      </c>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c r="AA244" s="47"/>
      <c r="AB244" s="47"/>
      <c r="AC244" s="47"/>
      <c r="AD244" s="47"/>
      <c r="AE244" s="47"/>
      <c r="AF244" s="47"/>
      <c r="AG244" s="47"/>
      <c r="AH244" s="47"/>
      <c r="AI244" s="47"/>
      <c r="AJ244" s="47"/>
      <c r="AK244" s="47"/>
      <c r="AL244" s="47"/>
      <c r="AM244" s="47"/>
      <c r="AN244" s="47"/>
      <c r="AO244" s="47"/>
      <c r="AP244" s="47"/>
      <c r="AQ244" s="47"/>
      <c r="AR244" s="47"/>
      <c r="AS244" s="47"/>
      <c r="AT244" s="47"/>
      <c r="AU244" s="47"/>
      <c r="AV244" s="47"/>
      <c r="AW244" s="47"/>
      <c r="AX244" s="47"/>
      <c r="AY244" s="47"/>
      <c r="AZ244" s="47"/>
      <c r="BA244" s="47"/>
      <c r="BB244" s="47"/>
      <c r="BC244" s="47"/>
      <c r="BD244" s="47"/>
      <c r="BE244" s="47"/>
      <c r="BF244" s="47"/>
      <c r="BG244" s="47"/>
      <c r="BH244" s="47"/>
      <c r="BI244" s="47"/>
      <c r="BJ244" s="47"/>
      <c r="BK244" s="47"/>
      <c r="BL244" s="47"/>
      <c r="BM244" s="47"/>
      <c r="BN244" s="47"/>
      <c r="BO244" s="47"/>
      <c r="BP244" s="47"/>
      <c r="BQ244" s="47"/>
      <c r="BR244" s="47"/>
      <c r="BS244" s="47"/>
      <c r="BT244" s="47"/>
      <c r="BU244" s="47"/>
      <c r="BV244" s="47"/>
      <c r="BW244" s="47"/>
      <c r="BX244" s="47"/>
      <c r="BY244" s="47"/>
      <c r="BZ244" s="47"/>
    </row>
    <row r="245" spans="1:78" ht="13">
      <c r="A245" s="152" t="str">
        <f ca="1">IFERROR(__xludf.DUMMYFUNCTION("""COMPUTED_VALUE"""),"Human Face")</f>
        <v>Human Face</v>
      </c>
      <c r="B245" s="47" t="str">
        <f ca="1">IFERROR(__xludf.DUMMYFUNCTION("TRANSPOSE(unique(filter(Recipes!A$2:A2490,(Recipes!L$2:L2490=A245)+(Recipes!O$2:O2490=A245)+(Recipes!R$2:R2490=A245)+(Recipes!U$2:U2490=A245)+(Recipes!X$2:X2490=A245))))"),"Human Mask of the Shapeshifter")</f>
        <v>Human Mask of the Shapeshifter</v>
      </c>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c r="AA245" s="47"/>
      <c r="AB245" s="47"/>
      <c r="AC245" s="47"/>
      <c r="AD245" s="47"/>
      <c r="AE245" s="47"/>
      <c r="AF245" s="47"/>
      <c r="AG245" s="47"/>
      <c r="AH245" s="47"/>
      <c r="AI245" s="47"/>
      <c r="AJ245" s="47"/>
      <c r="AK245" s="47"/>
      <c r="AL245" s="47"/>
      <c r="AM245" s="47"/>
      <c r="AN245" s="47"/>
      <c r="AO245" s="47"/>
      <c r="AP245" s="47"/>
      <c r="AQ245" s="47"/>
      <c r="AR245" s="47"/>
      <c r="AS245" s="47"/>
      <c r="AT245" s="47"/>
      <c r="AU245" s="47"/>
      <c r="AV245" s="47"/>
      <c r="AW245" s="47"/>
      <c r="AX245" s="47"/>
      <c r="AY245" s="47"/>
      <c r="AZ245" s="47"/>
      <c r="BA245" s="47"/>
      <c r="BB245" s="47"/>
      <c r="BC245" s="47"/>
      <c r="BD245" s="47"/>
      <c r="BE245" s="47"/>
      <c r="BF245" s="47"/>
      <c r="BG245" s="47"/>
      <c r="BH245" s="47"/>
      <c r="BI245" s="47"/>
      <c r="BJ245" s="47"/>
      <c r="BK245" s="47"/>
      <c r="BL245" s="47"/>
      <c r="BM245" s="47"/>
      <c r="BN245" s="47"/>
      <c r="BO245" s="47"/>
      <c r="BP245" s="47"/>
      <c r="BQ245" s="47"/>
      <c r="BR245" s="47"/>
      <c r="BS245" s="47"/>
      <c r="BT245" s="47"/>
      <c r="BU245" s="47"/>
      <c r="BV245" s="47"/>
      <c r="BW245" s="47"/>
      <c r="BX245" s="47"/>
      <c r="BY245" s="47"/>
      <c r="BZ245" s="47"/>
    </row>
    <row r="246" spans="1:78" ht="13">
      <c r="A246" s="152" t="str">
        <f ca="1">IFERROR(__xludf.DUMMYFUNCTION("""COMPUTED_VALUE"""),"Human Mask of the Shapeshifter")</f>
        <v>Human Mask of the Shapeshifter</v>
      </c>
      <c r="B246" s="47" t="str">
        <f ca="1">IFERROR(__xludf.DUMMYFUNCTION("TRANSPOSE(unique(filter(Recipes!A$2:A2490,(Recipes!L$2:L2490=A246)+(Recipes!O$2:O2490=A246)+(Recipes!R$2:R2490=A246)+(Recipes!U$2:U2490=A246)+(Recipes!X$2:X2490=A246))))"),"Mask of the Shapeshifter")</f>
        <v>Mask of the Shapeshifter</v>
      </c>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c r="AA246" s="47"/>
      <c r="AB246" s="47"/>
      <c r="AC246" s="47"/>
      <c r="AD246" s="47"/>
      <c r="AE246" s="47"/>
      <c r="AF246" s="47"/>
      <c r="AG246" s="47"/>
      <c r="AH246" s="47"/>
      <c r="AI246" s="47"/>
      <c r="AJ246" s="47"/>
      <c r="AK246" s="47"/>
      <c r="AL246" s="47"/>
      <c r="AM246" s="47"/>
      <c r="AN246" s="47"/>
      <c r="AO246" s="47"/>
      <c r="AP246" s="47"/>
      <c r="AQ246" s="47"/>
      <c r="AR246" s="47"/>
      <c r="AS246" s="47"/>
      <c r="AT246" s="47"/>
      <c r="AU246" s="47"/>
      <c r="AV246" s="47"/>
      <c r="AW246" s="47"/>
      <c r="AX246" s="47"/>
      <c r="AY246" s="47"/>
      <c r="AZ246" s="47"/>
      <c r="BA246" s="47"/>
      <c r="BB246" s="47"/>
      <c r="BC246" s="47"/>
      <c r="BD246" s="47"/>
      <c r="BE246" s="47"/>
      <c r="BF246" s="47"/>
      <c r="BG246" s="47"/>
      <c r="BH246" s="47"/>
      <c r="BI246" s="47"/>
      <c r="BJ246" s="47"/>
      <c r="BK246" s="47"/>
      <c r="BL246" s="47"/>
      <c r="BM246" s="47"/>
      <c r="BN246" s="47"/>
      <c r="BO246" s="47"/>
      <c r="BP246" s="47"/>
      <c r="BQ246" s="47"/>
      <c r="BR246" s="47"/>
      <c r="BS246" s="47"/>
      <c r="BT246" s="47"/>
      <c r="BU246" s="47"/>
      <c r="BV246" s="47"/>
      <c r="BW246" s="47"/>
      <c r="BX246" s="47"/>
      <c r="BY246" s="47"/>
      <c r="BZ246" s="47"/>
    </row>
    <row r="247" spans="1:78" ht="13">
      <c r="A247" s="152" t="str">
        <f ca="1">IFERROR(__xludf.DUMMYFUNCTION("""COMPUTED_VALUE"""),"Ice Breaker Scroll")</f>
        <v>Ice Breaker Scroll</v>
      </c>
      <c r="B247" s="47" t="str">
        <f ca="1">IFERROR(__xludf.DUMMYFUNCTION("TRANSPOSE(unique(filter(Recipes!A$2:A2490,(Recipes!L$2:L2490=A247)+(Recipes!O$2:O2490=A247)+(Recipes!R$2:R2490=A247)+(Recipes!U$2:U2490=A247)+(Recipes!X$2:X2490=A247))))"),"Ice Breaker Skillbook")</f>
        <v>Ice Breaker Skillbook</v>
      </c>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c r="AA247" s="47"/>
      <c r="AB247" s="47"/>
      <c r="AC247" s="47"/>
      <c r="AD247" s="47"/>
      <c r="AE247" s="47"/>
      <c r="AF247" s="47"/>
      <c r="AG247" s="47"/>
      <c r="AH247" s="47"/>
      <c r="AI247" s="47"/>
      <c r="AJ247" s="47"/>
      <c r="AK247" s="47"/>
      <c r="AL247" s="47"/>
      <c r="AM247" s="47"/>
      <c r="AN247" s="47"/>
      <c r="AO247" s="47"/>
      <c r="AP247" s="47"/>
      <c r="AQ247" s="47"/>
      <c r="AR247" s="47"/>
      <c r="AS247" s="47"/>
      <c r="AT247" s="47"/>
      <c r="AU247" s="47"/>
      <c r="AV247" s="47"/>
      <c r="AW247" s="47"/>
      <c r="AX247" s="47"/>
      <c r="AY247" s="47"/>
      <c r="AZ247" s="47"/>
      <c r="BA247" s="47"/>
      <c r="BB247" s="47"/>
      <c r="BC247" s="47"/>
      <c r="BD247" s="47"/>
      <c r="BE247" s="47"/>
      <c r="BF247" s="47"/>
      <c r="BG247" s="47"/>
      <c r="BH247" s="47"/>
      <c r="BI247" s="47"/>
      <c r="BJ247" s="47"/>
      <c r="BK247" s="47"/>
      <c r="BL247" s="47"/>
      <c r="BM247" s="47"/>
      <c r="BN247" s="47"/>
      <c r="BO247" s="47"/>
      <c r="BP247" s="47"/>
      <c r="BQ247" s="47"/>
      <c r="BR247" s="47"/>
      <c r="BS247" s="47"/>
      <c r="BT247" s="47"/>
      <c r="BU247" s="47"/>
      <c r="BV247" s="47"/>
      <c r="BW247" s="47"/>
      <c r="BX247" s="47"/>
      <c r="BY247" s="47"/>
      <c r="BZ247" s="47"/>
    </row>
    <row r="248" spans="1:78" ht="13">
      <c r="A248" s="152" t="str">
        <f ca="1">IFERROR(__xludf.DUMMYFUNCTION("""COMPUTED_VALUE"""),"Ice Fan Scroll")</f>
        <v>Ice Fan Scroll</v>
      </c>
      <c r="B248" s="47" t="str">
        <f ca="1">IFERROR(__xludf.DUMMYFUNCTION("TRANSPOSE(unique(filter(Recipes!A$2:A2490,(Recipes!L$2:L2490=A248)+(Recipes!O$2:O2490=A248)+(Recipes!R$2:R2490=A248)+(Recipes!U$2:U2490=A248)+(Recipes!X$2:X2490=A248))))"),"Ice Fan Skillbook")</f>
        <v>Ice Fan Skillbook</v>
      </c>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c r="AA248" s="47"/>
      <c r="AB248" s="47"/>
      <c r="AC248" s="47"/>
      <c r="AD248" s="47"/>
      <c r="AE248" s="47"/>
      <c r="AF248" s="47"/>
      <c r="AG248" s="47"/>
      <c r="AH248" s="47"/>
      <c r="AI248" s="47"/>
      <c r="AJ248" s="47"/>
      <c r="AK248" s="47"/>
      <c r="AL248" s="47"/>
      <c r="AM248" s="47"/>
      <c r="AN248" s="47"/>
      <c r="AO248" s="47"/>
      <c r="AP248" s="47"/>
      <c r="AQ248" s="47"/>
      <c r="AR248" s="47"/>
      <c r="AS248" s="47"/>
      <c r="AT248" s="47"/>
      <c r="AU248" s="47"/>
      <c r="AV248" s="47"/>
      <c r="AW248" s="47"/>
      <c r="AX248" s="47"/>
      <c r="AY248" s="47"/>
      <c r="AZ248" s="47"/>
      <c r="BA248" s="47"/>
      <c r="BB248" s="47"/>
      <c r="BC248" s="47"/>
      <c r="BD248" s="47"/>
      <c r="BE248" s="47"/>
      <c r="BF248" s="47"/>
      <c r="BG248" s="47"/>
      <c r="BH248" s="47"/>
      <c r="BI248" s="47"/>
      <c r="BJ248" s="47"/>
      <c r="BK248" s="47"/>
      <c r="BL248" s="47"/>
      <c r="BM248" s="47"/>
      <c r="BN248" s="47"/>
      <c r="BO248" s="47"/>
      <c r="BP248" s="47"/>
      <c r="BQ248" s="47"/>
      <c r="BR248" s="47"/>
      <c r="BS248" s="47"/>
      <c r="BT248" s="47"/>
      <c r="BU248" s="47"/>
      <c r="BV248" s="47"/>
      <c r="BW248" s="47"/>
      <c r="BX248" s="47"/>
      <c r="BY248" s="47"/>
      <c r="BZ248" s="47"/>
    </row>
    <row r="249" spans="1:78" ht="13">
      <c r="A249" s="152" t="str">
        <f ca="1">IFERROR(__xludf.DUMMYFUNCTION("""COMPUTED_VALUE"""),"Ignition Scroll")</f>
        <v>Ignition Scroll</v>
      </c>
      <c r="B249" s="47" t="str">
        <f ca="1">IFERROR(__xludf.DUMMYFUNCTION("TRANSPOSE(unique(filter(Recipes!A$2:A2490,(Recipes!L$2:L2490=A249)+(Recipes!O$2:O2490=A249)+(Recipes!R$2:R2490=A249)+(Recipes!U$2:U2490=A249)+(Recipes!X$2:X2490=A249))))"),"Ignition Skillbook")</f>
        <v>Ignition Skillbook</v>
      </c>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c r="AA249" s="47"/>
      <c r="AB249" s="47"/>
      <c r="AC249" s="47"/>
      <c r="AD249" s="47"/>
      <c r="AE249" s="47"/>
      <c r="AF249" s="47"/>
      <c r="AG249" s="47"/>
      <c r="AH249" s="47"/>
      <c r="AI249" s="47"/>
      <c r="AJ249" s="47"/>
      <c r="AK249" s="47"/>
      <c r="AL249" s="47"/>
      <c r="AM249" s="47"/>
      <c r="AN249" s="47"/>
      <c r="AO249" s="47"/>
      <c r="AP249" s="47"/>
      <c r="AQ249" s="47"/>
      <c r="AR249" s="47"/>
      <c r="AS249" s="47"/>
      <c r="AT249" s="47"/>
      <c r="AU249" s="47"/>
      <c r="AV249" s="47"/>
      <c r="AW249" s="47"/>
      <c r="AX249" s="47"/>
      <c r="AY249" s="47"/>
      <c r="AZ249" s="47"/>
      <c r="BA249" s="47"/>
      <c r="BB249" s="47"/>
      <c r="BC249" s="47"/>
      <c r="BD249" s="47"/>
      <c r="BE249" s="47"/>
      <c r="BF249" s="47"/>
      <c r="BG249" s="47"/>
      <c r="BH249" s="47"/>
      <c r="BI249" s="47"/>
      <c r="BJ249" s="47"/>
      <c r="BK249" s="47"/>
      <c r="BL249" s="47"/>
      <c r="BM249" s="47"/>
      <c r="BN249" s="47"/>
      <c r="BO249" s="47"/>
      <c r="BP249" s="47"/>
      <c r="BQ249" s="47"/>
      <c r="BR249" s="47"/>
      <c r="BS249" s="47"/>
      <c r="BT249" s="47"/>
      <c r="BU249" s="47"/>
      <c r="BV249" s="47"/>
      <c r="BW249" s="47"/>
      <c r="BX249" s="47"/>
      <c r="BY249" s="47"/>
      <c r="BZ249" s="47"/>
    </row>
    <row r="250" spans="1:78" ht="13">
      <c r="A250" s="152" t="str">
        <f ca="1">IFERROR(__xludf.DUMMYFUNCTION("""COMPUTED_VALUE"""),"Impalement Scroll")</f>
        <v>Impalement Scroll</v>
      </c>
      <c r="B250" s="47" t="str">
        <f ca="1">IFERROR(__xludf.DUMMYFUNCTION("TRANSPOSE(unique(filter(Recipes!A$2:A2490,(Recipes!L$2:L2490=A250)+(Recipes!O$2:O2490=A250)+(Recipes!R$2:R2490=A250)+(Recipes!U$2:U2490=A250)+(Recipes!X$2:X2490=A250))))"),"Impalement Skillbook")</f>
        <v>Impalement Skillbook</v>
      </c>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c r="AA250" s="47"/>
      <c r="AB250" s="47"/>
      <c r="AC250" s="47"/>
      <c r="AD250" s="47"/>
      <c r="AE250" s="47"/>
      <c r="AF250" s="47"/>
      <c r="AG250" s="47"/>
      <c r="AH250" s="47"/>
      <c r="AI250" s="47"/>
      <c r="AJ250" s="47"/>
      <c r="AK250" s="47"/>
      <c r="AL250" s="47"/>
      <c r="AM250" s="47"/>
      <c r="AN250" s="47"/>
      <c r="AO250" s="47"/>
      <c r="AP250" s="47"/>
      <c r="AQ250" s="47"/>
      <c r="AR250" s="47"/>
      <c r="AS250" s="47"/>
      <c r="AT250" s="47"/>
      <c r="AU250" s="47"/>
      <c r="AV250" s="47"/>
      <c r="AW250" s="47"/>
      <c r="AX250" s="47"/>
      <c r="AY250" s="47"/>
      <c r="AZ250" s="47"/>
      <c r="BA250" s="47"/>
      <c r="BB250" s="47"/>
      <c r="BC250" s="47"/>
      <c r="BD250" s="47"/>
      <c r="BE250" s="47"/>
      <c r="BF250" s="47"/>
      <c r="BG250" s="47"/>
      <c r="BH250" s="47"/>
      <c r="BI250" s="47"/>
      <c r="BJ250" s="47"/>
      <c r="BK250" s="47"/>
      <c r="BL250" s="47"/>
      <c r="BM250" s="47"/>
      <c r="BN250" s="47"/>
      <c r="BO250" s="47"/>
      <c r="BP250" s="47"/>
      <c r="BQ250" s="47"/>
      <c r="BR250" s="47"/>
      <c r="BS250" s="47"/>
      <c r="BT250" s="47"/>
      <c r="BU250" s="47"/>
      <c r="BV250" s="47"/>
      <c r="BW250" s="47"/>
      <c r="BX250" s="47"/>
      <c r="BY250" s="47"/>
      <c r="BZ250" s="47"/>
    </row>
    <row r="251" spans="1:78" ht="13">
      <c r="A251" s="152" t="str">
        <f ca="1">IFERROR(__xludf.DUMMYFUNCTION("""COMPUTED_VALUE"""),"Infect Scroll")</f>
        <v>Infect Scroll</v>
      </c>
      <c r="B251" s="47" t="str">
        <f ca="1">IFERROR(__xludf.DUMMYFUNCTION("TRANSPOSE(unique(filter(Recipes!A$2:A2490,(Recipes!L$2:L2490=A251)+(Recipes!O$2:O2490=A251)+(Recipes!R$2:R2490=A251)+(Recipes!U$2:U2490=A251)+(Recipes!X$2:X2490=A251))))"),"Infect Skillbook")</f>
        <v>Infect Skillbook</v>
      </c>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c r="AA251" s="47"/>
      <c r="AB251" s="47"/>
      <c r="AC251" s="47"/>
      <c r="AD251" s="47"/>
      <c r="AE251" s="47"/>
      <c r="AF251" s="47"/>
      <c r="AG251" s="47"/>
      <c r="AH251" s="47"/>
      <c r="AI251" s="47"/>
      <c r="AJ251" s="47"/>
      <c r="AK251" s="47"/>
      <c r="AL251" s="47"/>
      <c r="AM251" s="47"/>
      <c r="AN251" s="47"/>
      <c r="AO251" s="47"/>
      <c r="AP251" s="47"/>
      <c r="AQ251" s="47"/>
      <c r="AR251" s="47"/>
      <c r="AS251" s="47"/>
      <c r="AT251" s="47"/>
      <c r="AU251" s="47"/>
      <c r="AV251" s="47"/>
      <c r="AW251" s="47"/>
      <c r="AX251" s="47"/>
      <c r="AY251" s="47"/>
      <c r="AZ251" s="47"/>
      <c r="BA251" s="47"/>
      <c r="BB251" s="47"/>
      <c r="BC251" s="47"/>
      <c r="BD251" s="47"/>
      <c r="BE251" s="47"/>
      <c r="BF251" s="47"/>
      <c r="BG251" s="47"/>
      <c r="BH251" s="47"/>
      <c r="BI251" s="47"/>
      <c r="BJ251" s="47"/>
      <c r="BK251" s="47"/>
      <c r="BL251" s="47"/>
      <c r="BM251" s="47"/>
      <c r="BN251" s="47"/>
      <c r="BO251" s="47"/>
      <c r="BP251" s="47"/>
      <c r="BQ251" s="47"/>
      <c r="BR251" s="47"/>
      <c r="BS251" s="47"/>
      <c r="BT251" s="47"/>
      <c r="BU251" s="47"/>
      <c r="BV251" s="47"/>
      <c r="BW251" s="47"/>
      <c r="BX251" s="47"/>
      <c r="BY251" s="47"/>
      <c r="BZ251" s="47"/>
    </row>
    <row r="252" spans="1:78" ht="13">
      <c r="A252" s="152" t="str">
        <f ca="1">IFERROR(__xludf.DUMMYFUNCTION("""COMPUTED_VALUE"""),"Intestines")</f>
        <v>Intestines</v>
      </c>
      <c r="B252" s="47" t="str">
        <f ca="1">IFERROR(__xludf.DUMMYFUNCTION("TRANSPOSE(unique(filter(Recipes!A$2:A2490,(Recipes!L$2:L2490=A252)+(Recipes!O$2:O2490=A252)+(Recipes!R$2:R2490=A252)+(Recipes!U$2:U2490=A252)+(Recipes!X$2:X2490=A252))))"),"Chemical Warfare Grenade")</f>
        <v>Chemical Warfare Grenade</v>
      </c>
      <c r="C252" s="47" t="str">
        <f ca="1">IFERROR(__xludf.DUMMYFUNCTION("""COMPUTED_VALUE"""),"Water Balloon")</f>
        <v>Water Balloon</v>
      </c>
      <c r="D252" s="47" t="str">
        <f ca="1">IFERROR(__xludf.DUMMYFUNCTION("""COMPUTED_VALUE"""),"Contamination Scroll")</f>
        <v>Contamination Scroll</v>
      </c>
      <c r="E252" s="47" t="str">
        <f ca="1">IFERROR(__xludf.DUMMYFUNCTION("""COMPUTED_VALUE"""),"Infect Scroll")</f>
        <v>Infect Scroll</v>
      </c>
      <c r="F252" s="47"/>
      <c r="G252" s="47"/>
      <c r="H252" s="47"/>
      <c r="I252" s="47"/>
      <c r="J252" s="47"/>
      <c r="K252" s="47"/>
      <c r="L252" s="47"/>
      <c r="M252" s="47"/>
      <c r="N252" s="47"/>
      <c r="O252" s="47"/>
      <c r="P252" s="47"/>
      <c r="Q252" s="47"/>
      <c r="R252" s="47"/>
      <c r="S252" s="47"/>
      <c r="T252" s="47"/>
      <c r="U252" s="47"/>
      <c r="V252" s="47"/>
      <c r="W252" s="47"/>
      <c r="X252" s="47"/>
      <c r="Y252" s="47"/>
      <c r="Z252" s="47"/>
      <c r="AA252" s="47"/>
      <c r="AB252" s="47"/>
      <c r="AC252" s="47"/>
      <c r="AD252" s="47"/>
      <c r="AE252" s="47"/>
      <c r="AF252" s="47"/>
      <c r="AG252" s="47"/>
      <c r="AH252" s="47"/>
      <c r="AI252" s="47"/>
      <c r="AJ252" s="47"/>
      <c r="AK252" s="47"/>
      <c r="AL252" s="47"/>
      <c r="AM252" s="47"/>
      <c r="AN252" s="47"/>
      <c r="AO252" s="47"/>
      <c r="AP252" s="47"/>
      <c r="AQ252" s="47"/>
      <c r="AR252" s="47"/>
      <c r="AS252" s="47"/>
      <c r="AT252" s="47"/>
      <c r="AU252" s="47"/>
      <c r="AV252" s="47"/>
      <c r="AW252" s="47"/>
      <c r="AX252" s="47"/>
      <c r="AY252" s="47"/>
      <c r="AZ252" s="47"/>
      <c r="BA252" s="47"/>
      <c r="BB252" s="47"/>
      <c r="BC252" s="47"/>
      <c r="BD252" s="47"/>
      <c r="BE252" s="47"/>
      <c r="BF252" s="47"/>
      <c r="BG252" s="47"/>
      <c r="BH252" s="47"/>
      <c r="BI252" s="47"/>
      <c r="BJ252" s="47"/>
      <c r="BK252" s="47"/>
      <c r="BL252" s="47"/>
      <c r="BM252" s="47"/>
      <c r="BN252" s="47"/>
      <c r="BO252" s="47"/>
      <c r="BP252" s="47"/>
      <c r="BQ252" s="47"/>
      <c r="BR252" s="47"/>
      <c r="BS252" s="47"/>
      <c r="BT252" s="47"/>
      <c r="BU252" s="47"/>
      <c r="BV252" s="47"/>
      <c r="BW252" s="47"/>
      <c r="BX252" s="47"/>
      <c r="BY252" s="47"/>
      <c r="BZ252" s="47"/>
    </row>
    <row r="253" spans="1:78" ht="13">
      <c r="A253" s="152" t="str">
        <f ca="1">IFERROR(__xludf.DUMMYFUNCTION("""COMPUTED_VALUE"""),"Jar of Honey")</f>
        <v>Jar of Honey</v>
      </c>
      <c r="B253" s="47" t="str">
        <f ca="1">IFERROR(__xludf.DUMMYFUNCTION("TRANSPOSE(unique(filter(Recipes!A$2:A2490,(Recipes!L$2:L2490=A253)+(Recipes!O$2:O2490=A253)+(Recipes!R$2:R2490=A253)+(Recipes!U$2:U2490=A253)+(Recipes!X$2:X2490=A253))))"),"Charming Arrow")</f>
        <v>Charming Arrow</v>
      </c>
      <c r="C253" s="47" t="str">
        <f ca="1">IFERROR(__xludf.DUMMYFUNCTION("""COMPUTED_VALUE"""),"Charming Arrowhead")</f>
        <v>Charming Arrowhead</v>
      </c>
      <c r="D253" s="47" t="str">
        <f ca="1">IFERROR(__xludf.DUMMYFUNCTION("""COMPUTED_VALUE"""),"Milk and Honey")</f>
        <v>Milk and Honey</v>
      </c>
      <c r="E253" s="47" t="str">
        <f ca="1">IFERROR(__xludf.DUMMYFUNCTION("""COMPUTED_VALUE"""),"Love Grenade")</f>
        <v>Love Grenade</v>
      </c>
      <c r="F253" s="47" t="str">
        <f ca="1">IFERROR(__xludf.DUMMYFUNCTION("""COMPUTED_VALUE"""),"Charm Scroll")</f>
        <v>Charm Scroll</v>
      </c>
      <c r="G253" s="47"/>
      <c r="H253" s="47"/>
      <c r="I253" s="47"/>
      <c r="J253" s="47"/>
      <c r="K253" s="47"/>
      <c r="L253" s="47"/>
      <c r="M253" s="47"/>
      <c r="N253" s="47"/>
      <c r="O253" s="47"/>
      <c r="P253" s="47"/>
      <c r="Q253" s="47"/>
      <c r="R253" s="47"/>
      <c r="S253" s="47"/>
      <c r="T253" s="47"/>
      <c r="U253" s="47"/>
      <c r="V253" s="47"/>
      <c r="W253" s="47"/>
      <c r="X253" s="47"/>
      <c r="Y253" s="47"/>
      <c r="Z253" s="47"/>
      <c r="AA253" s="47"/>
      <c r="AB253" s="47"/>
      <c r="AC253" s="47"/>
      <c r="AD253" s="47"/>
      <c r="AE253" s="47"/>
      <c r="AF253" s="47"/>
      <c r="AG253" s="47"/>
      <c r="AH253" s="47"/>
      <c r="AI253" s="47"/>
      <c r="AJ253" s="47"/>
      <c r="AK253" s="47"/>
      <c r="AL253" s="47"/>
      <c r="AM253" s="47"/>
      <c r="AN253" s="47"/>
      <c r="AO253" s="47"/>
      <c r="AP253" s="47"/>
      <c r="AQ253" s="47"/>
      <c r="AR253" s="47"/>
      <c r="AS253" s="47"/>
      <c r="AT253" s="47"/>
      <c r="AU253" s="47"/>
      <c r="AV253" s="47"/>
      <c r="AW253" s="47"/>
      <c r="AX253" s="47"/>
      <c r="AY253" s="47"/>
      <c r="AZ253" s="47"/>
      <c r="BA253" s="47"/>
      <c r="BB253" s="47"/>
      <c r="BC253" s="47"/>
      <c r="BD253" s="47"/>
      <c r="BE253" s="47"/>
      <c r="BF253" s="47"/>
      <c r="BG253" s="47"/>
      <c r="BH253" s="47"/>
      <c r="BI253" s="47"/>
      <c r="BJ253" s="47"/>
      <c r="BK253" s="47"/>
      <c r="BL253" s="47"/>
      <c r="BM253" s="47"/>
      <c r="BN253" s="47"/>
      <c r="BO253" s="47"/>
      <c r="BP253" s="47"/>
      <c r="BQ253" s="47"/>
      <c r="BR253" s="47"/>
      <c r="BS253" s="47"/>
      <c r="BT253" s="47"/>
      <c r="BU253" s="47"/>
      <c r="BV253" s="47"/>
      <c r="BW253" s="47"/>
      <c r="BX253" s="47"/>
      <c r="BY253" s="47"/>
      <c r="BZ253" s="47"/>
    </row>
    <row r="254" spans="1:78" ht="13">
      <c r="A254" s="152" t="str">
        <f ca="1">IFERROR(__xludf.DUMMYFUNCTION("""COMPUTED_VALUE"""),"Jar of Mind Maggots")</f>
        <v>Jar of Mind Maggots</v>
      </c>
      <c r="B254" s="47" t="str">
        <f ca="1">IFERROR(__xludf.DUMMYFUNCTION("TRANSPOSE(unique(filter(Recipes!A$2:A2490,(Recipes!L$2:L2490=A254)+(Recipes!O$2:O2490=A254)+(Recipes!R$2:R2490=A254)+(Recipes!U$2:U2490=A254)+(Recipes!X$2:X2490=A254))))"),"Mind Maggot Grenade")</f>
        <v>Mind Maggot Grenade</v>
      </c>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c r="AA254" s="47"/>
      <c r="AB254" s="47"/>
      <c r="AC254" s="47"/>
      <c r="AD254" s="47"/>
      <c r="AE254" s="47"/>
      <c r="AF254" s="47"/>
      <c r="AG254" s="47"/>
      <c r="AH254" s="47"/>
      <c r="AI254" s="47"/>
      <c r="AJ254" s="47"/>
      <c r="AK254" s="47"/>
      <c r="AL254" s="47"/>
      <c r="AM254" s="47"/>
      <c r="AN254" s="47"/>
      <c r="AO254" s="47"/>
      <c r="AP254" s="47"/>
      <c r="AQ254" s="47"/>
      <c r="AR254" s="47"/>
      <c r="AS254" s="47"/>
      <c r="AT254" s="47"/>
      <c r="AU254" s="47"/>
      <c r="AV254" s="47"/>
      <c r="AW254" s="47"/>
      <c r="AX254" s="47"/>
      <c r="AY254" s="47"/>
      <c r="AZ254" s="47"/>
      <c r="BA254" s="47"/>
      <c r="BB254" s="47"/>
      <c r="BC254" s="47"/>
      <c r="BD254" s="47"/>
      <c r="BE254" s="47"/>
      <c r="BF254" s="47"/>
      <c r="BG254" s="47"/>
      <c r="BH254" s="47"/>
      <c r="BI254" s="47"/>
      <c r="BJ254" s="47"/>
      <c r="BK254" s="47"/>
      <c r="BL254" s="47"/>
      <c r="BM254" s="47"/>
      <c r="BN254" s="47"/>
      <c r="BO254" s="47"/>
      <c r="BP254" s="47"/>
      <c r="BQ254" s="47"/>
      <c r="BR254" s="47"/>
      <c r="BS254" s="47"/>
      <c r="BT254" s="47"/>
      <c r="BU254" s="47"/>
      <c r="BV254" s="47"/>
      <c r="BW254" s="47"/>
      <c r="BX254" s="47"/>
      <c r="BY254" s="47"/>
      <c r="BZ254" s="47"/>
    </row>
    <row r="255" spans="1:78" ht="13">
      <c r="A255" s="152" t="str">
        <f ca="1">IFERROR(__xludf.DUMMYFUNCTION("""COMPUTED_VALUE"""),"Jellyroom")</f>
        <v>Jellyroom</v>
      </c>
      <c r="B255" s="47" t="str">
        <f ca="1">IFERROR(__xludf.DUMMYFUNCTION("TRANSPOSE(unique(filter(Recipes!A$2:A2490,(Recipes!L$2:L2490=A255)+(Recipes!O$2:O2490=A255)+(Recipes!R$2:R2490=A255)+(Recipes!U$2:U2490=A255)+(Recipes!X$2:X2490=A255))))"),"Razze Dazzle Grenade")</f>
        <v>Razze Dazzle Grenade</v>
      </c>
      <c r="C255" s="47" t="str">
        <f ca="1">IFERROR(__xludf.DUMMYFUNCTION("""COMPUTED_VALUE"""),"Superconductor Scroll")</f>
        <v>Superconductor Scroll</v>
      </c>
      <c r="D255" s="47" t="str">
        <f ca="1">IFERROR(__xludf.DUMMYFUNCTION("""COMPUTED_VALUE"""),"Small Air Resistance Potion")</f>
        <v>Small Air Resistance Potion</v>
      </c>
      <c r="E255" s="47"/>
      <c r="F255" s="47"/>
      <c r="G255" s="47"/>
      <c r="H255" s="47"/>
      <c r="I255" s="47"/>
      <c r="J255" s="47"/>
      <c r="K255" s="47"/>
      <c r="L255" s="47"/>
      <c r="M255" s="47"/>
      <c r="N255" s="47"/>
      <c r="O255" s="47"/>
      <c r="P255" s="47"/>
      <c r="Q255" s="47"/>
      <c r="R255" s="47"/>
      <c r="S255" s="47"/>
      <c r="T255" s="47"/>
      <c r="U255" s="47"/>
      <c r="V255" s="47"/>
      <c r="W255" s="47"/>
      <c r="X255" s="47"/>
      <c r="Y255" s="47"/>
      <c r="Z255" s="47"/>
      <c r="AA255" s="47"/>
      <c r="AB255" s="47"/>
      <c r="AC255" s="47"/>
      <c r="AD255" s="47"/>
      <c r="AE255" s="47"/>
      <c r="AF255" s="47"/>
      <c r="AG255" s="47"/>
      <c r="AH255" s="47"/>
      <c r="AI255" s="47"/>
      <c r="AJ255" s="47"/>
      <c r="AK255" s="47"/>
      <c r="AL255" s="47"/>
      <c r="AM255" s="47"/>
      <c r="AN255" s="47"/>
      <c r="AO255" s="47"/>
      <c r="AP255" s="47"/>
      <c r="AQ255" s="47"/>
      <c r="AR255" s="47"/>
      <c r="AS255" s="47"/>
      <c r="AT255" s="47"/>
      <c r="AU255" s="47"/>
      <c r="AV255" s="47"/>
      <c r="AW255" s="47"/>
      <c r="AX255" s="47"/>
      <c r="AY255" s="47"/>
      <c r="AZ255" s="47"/>
      <c r="BA255" s="47"/>
      <c r="BB255" s="47"/>
      <c r="BC255" s="47"/>
      <c r="BD255" s="47"/>
      <c r="BE255" s="47"/>
      <c r="BF255" s="47"/>
      <c r="BG255" s="47"/>
      <c r="BH255" s="47"/>
      <c r="BI255" s="47"/>
      <c r="BJ255" s="47"/>
      <c r="BK255" s="47"/>
      <c r="BL255" s="47"/>
      <c r="BM255" s="47"/>
      <c r="BN255" s="47"/>
      <c r="BO255" s="47"/>
      <c r="BP255" s="47"/>
      <c r="BQ255" s="47"/>
      <c r="BR255" s="47"/>
      <c r="BS255" s="47"/>
      <c r="BT255" s="47"/>
      <c r="BU255" s="47"/>
      <c r="BV255" s="47"/>
      <c r="BW255" s="47"/>
      <c r="BX255" s="47"/>
      <c r="BY255" s="47"/>
      <c r="BZ255" s="47"/>
    </row>
    <row r="256" spans="1:78" ht="13">
      <c r="A256" s="152" t="str">
        <f ca="1">IFERROR(__xludf.DUMMYFUNCTION("""COMPUTED_VALUE"""),"Key")</f>
        <v>Key</v>
      </c>
      <c r="B256" s="47" t="str">
        <f ca="1">IFERROR(__xludf.DUMMYFUNCTION("TRANSPOSE(unique(filter(Recipes!A$2:A2490,(Recipes!L$2:L2490=A256)+(Recipes!O$2:O2490=A256)+(Recipes!R$2:R2490=A256)+(Recipes!U$2:U2490=A256)+(Recipes!X$2:X2490=A256))))"),"Lockpick")</f>
        <v>Lockpick</v>
      </c>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c r="AA256" s="47"/>
      <c r="AB256" s="47"/>
      <c r="AC256" s="47"/>
      <c r="AD256" s="47"/>
      <c r="AE256" s="47"/>
      <c r="AF256" s="47"/>
      <c r="AG256" s="47"/>
      <c r="AH256" s="47"/>
      <c r="AI256" s="47"/>
      <c r="AJ256" s="47"/>
      <c r="AK256" s="47"/>
      <c r="AL256" s="47"/>
      <c r="AM256" s="47"/>
      <c r="AN256" s="47"/>
      <c r="AO256" s="47"/>
      <c r="AP256" s="47"/>
      <c r="AQ256" s="47"/>
      <c r="AR256" s="47"/>
      <c r="AS256" s="47"/>
      <c r="AT256" s="47"/>
      <c r="AU256" s="47"/>
      <c r="AV256" s="47"/>
      <c r="AW256" s="47"/>
      <c r="AX256" s="47"/>
      <c r="AY256" s="47"/>
      <c r="AZ256" s="47"/>
      <c r="BA256" s="47"/>
      <c r="BB256" s="47"/>
      <c r="BC256" s="47"/>
      <c r="BD256" s="47"/>
      <c r="BE256" s="47"/>
      <c r="BF256" s="47"/>
      <c r="BG256" s="47"/>
      <c r="BH256" s="47"/>
      <c r="BI256" s="47"/>
      <c r="BJ256" s="47"/>
      <c r="BK256" s="47"/>
      <c r="BL256" s="47"/>
      <c r="BM256" s="47"/>
      <c r="BN256" s="47"/>
      <c r="BO256" s="47"/>
      <c r="BP256" s="47"/>
      <c r="BQ256" s="47"/>
      <c r="BR256" s="47"/>
      <c r="BS256" s="47"/>
      <c r="BT256" s="47"/>
      <c r="BU256" s="47"/>
      <c r="BV256" s="47"/>
      <c r="BW256" s="47"/>
      <c r="BX256" s="47"/>
      <c r="BY256" s="47"/>
      <c r="BZ256" s="47"/>
    </row>
    <row r="257" spans="1:78" ht="13">
      <c r="A257" s="152" t="str">
        <f ca="1">IFERROR(__xludf.DUMMYFUNCTION("""COMPUTED_VALUE"""),"Knife")</f>
        <v>Knife</v>
      </c>
      <c r="B257" s="47" t="str">
        <f ca="1">IFERROR(__xludf.DUMMYFUNCTION("TRANSPOSE(unique(filter(Recipes!A$2:A2490,(Recipes!L$2:L2490=A257)+(Recipes!O$2:O2490=A257)+(Recipes!R$2:R2490=A257)+(Recipes!U$2:U2490=A257)+(Recipes!X$2:X2490=A257))))"),"Cold Fries")</f>
        <v>Cold Fries</v>
      </c>
      <c r="C257" s="47" t="str">
        <f ca="1">IFERROR(__xludf.DUMMYFUNCTION("""COMPUTED_VALUE"""),"Knife on a Stick")</f>
        <v>Knife on a Stick</v>
      </c>
      <c r="D257" s="47" t="str">
        <f ca="1">IFERROR(__xludf.DUMMYFUNCTION("""COMPUTED_VALUE"""),"Primitive Harpoon")</f>
        <v>Primitive Harpoon</v>
      </c>
      <c r="E257" s="47"/>
      <c r="F257" s="47"/>
      <c r="G257" s="47"/>
      <c r="H257" s="47"/>
      <c r="I257" s="47"/>
      <c r="J257" s="47"/>
      <c r="K257" s="47"/>
      <c r="L257" s="47"/>
      <c r="M257" s="47"/>
      <c r="N257" s="47"/>
      <c r="O257" s="47"/>
      <c r="P257" s="47"/>
      <c r="Q257" s="47"/>
      <c r="R257" s="47"/>
      <c r="S257" s="47"/>
      <c r="T257" s="47"/>
      <c r="U257" s="47"/>
      <c r="V257" s="47"/>
      <c r="W257" s="47"/>
      <c r="X257" s="47"/>
      <c r="Y257" s="47"/>
      <c r="Z257" s="47"/>
      <c r="AA257" s="47"/>
      <c r="AB257" s="47"/>
      <c r="AC257" s="47"/>
      <c r="AD257" s="47"/>
      <c r="AE257" s="47"/>
      <c r="AF257" s="47"/>
      <c r="AG257" s="47"/>
      <c r="AH257" s="47"/>
      <c r="AI257" s="47"/>
      <c r="AJ257" s="47"/>
      <c r="AK257" s="47"/>
      <c r="AL257" s="47"/>
      <c r="AM257" s="47"/>
      <c r="AN257" s="47"/>
      <c r="AO257" s="47"/>
      <c r="AP257" s="47"/>
      <c r="AQ257" s="47"/>
      <c r="AR257" s="47"/>
      <c r="AS257" s="47"/>
      <c r="AT257" s="47"/>
      <c r="AU257" s="47"/>
      <c r="AV257" s="47"/>
      <c r="AW257" s="47"/>
      <c r="AX257" s="47"/>
      <c r="AY257" s="47"/>
      <c r="AZ257" s="47"/>
      <c r="BA257" s="47"/>
      <c r="BB257" s="47"/>
      <c r="BC257" s="47"/>
      <c r="BD257" s="47"/>
      <c r="BE257" s="47"/>
      <c r="BF257" s="47"/>
      <c r="BG257" s="47"/>
      <c r="BH257" s="47"/>
      <c r="BI257" s="47"/>
      <c r="BJ257" s="47"/>
      <c r="BK257" s="47"/>
      <c r="BL257" s="47"/>
      <c r="BM257" s="47"/>
      <c r="BN257" s="47"/>
      <c r="BO257" s="47"/>
      <c r="BP257" s="47"/>
      <c r="BQ257" s="47"/>
      <c r="BR257" s="47"/>
      <c r="BS257" s="47"/>
      <c r="BT257" s="47"/>
      <c r="BU257" s="47"/>
      <c r="BV257" s="47"/>
      <c r="BW257" s="47"/>
      <c r="BX257" s="47"/>
      <c r="BY257" s="47"/>
      <c r="BZ257" s="47"/>
    </row>
    <row r="258" spans="1:78" ht="13">
      <c r="A258" s="152" t="str">
        <f ca="1">IFERROR(__xludf.DUMMYFUNCTION("""COMPUTED_VALUE"""),"Knockdown Arrowhead")</f>
        <v>Knockdown Arrowhead</v>
      </c>
      <c r="B258" s="47" t="str">
        <f ca="1">IFERROR(__xludf.DUMMYFUNCTION("TRANSPOSE(unique(filter(Recipes!A$2:A2490,(Recipes!L$2:L2490=A258)+(Recipes!O$2:O2490=A258)+(Recipes!R$2:R2490=A258)+(Recipes!U$2:U2490=A258)+(Recipes!X$2:X2490=A258))))"),"Knockdown Arrow")</f>
        <v>Knockdown Arrow</v>
      </c>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c r="AA258" s="47"/>
      <c r="AB258" s="47"/>
      <c r="AC258" s="47"/>
      <c r="AD258" s="47"/>
      <c r="AE258" s="47"/>
      <c r="AF258" s="47"/>
      <c r="AG258" s="47"/>
      <c r="AH258" s="47"/>
      <c r="AI258" s="47"/>
      <c r="AJ258" s="47"/>
      <c r="AK258" s="47"/>
      <c r="AL258" s="47"/>
      <c r="AM258" s="47"/>
      <c r="AN258" s="47"/>
      <c r="AO258" s="47"/>
      <c r="AP258" s="47"/>
      <c r="AQ258" s="47"/>
      <c r="AR258" s="47"/>
      <c r="AS258" s="47"/>
      <c r="AT258" s="47"/>
      <c r="AU258" s="47"/>
      <c r="AV258" s="47"/>
      <c r="AW258" s="47"/>
      <c r="AX258" s="47"/>
      <c r="AY258" s="47"/>
      <c r="AZ258" s="47"/>
      <c r="BA258" s="47"/>
      <c r="BB258" s="47"/>
      <c r="BC258" s="47"/>
      <c r="BD258" s="47"/>
      <c r="BE258" s="47"/>
      <c r="BF258" s="47"/>
      <c r="BG258" s="47"/>
      <c r="BH258" s="47"/>
      <c r="BI258" s="47"/>
      <c r="BJ258" s="47"/>
      <c r="BK258" s="47"/>
      <c r="BL258" s="47"/>
      <c r="BM258" s="47"/>
      <c r="BN258" s="47"/>
      <c r="BO258" s="47"/>
      <c r="BP258" s="47"/>
      <c r="BQ258" s="47"/>
      <c r="BR258" s="47"/>
      <c r="BS258" s="47"/>
      <c r="BT258" s="47"/>
      <c r="BU258" s="47"/>
      <c r="BV258" s="47"/>
      <c r="BW258" s="47"/>
      <c r="BX258" s="47"/>
      <c r="BY258" s="47"/>
      <c r="BZ258" s="47"/>
    </row>
    <row r="259" spans="1:78" ht="13">
      <c r="A259" s="152" t="str">
        <f ca="1">IFERROR(__xludf.DUMMYFUNCTION("""COMPUTED_VALUE"""),"Large Air Resistance Potion")</f>
        <v>Large Air Resistance Potion</v>
      </c>
      <c r="B259" s="47" t="str">
        <f ca="1">IFERROR(__xludf.DUMMYFUNCTION("TRANSPOSE(unique(filter(Recipes!A$2:A2490,(Recipes!L$2:L2490=A259)+(Recipes!O$2:O2490=A259)+(Recipes!R$2:R2490=A259)+(Recipes!U$2:U2490=A259)+(Recipes!X$2:X2490=A259))))"),"Huge Air Resistance Potion")</f>
        <v>Huge Air Resistance Potion</v>
      </c>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c r="AA259" s="47"/>
      <c r="AB259" s="47"/>
      <c r="AC259" s="47"/>
      <c r="AD259" s="47"/>
      <c r="AE259" s="47"/>
      <c r="AF259" s="47"/>
      <c r="AG259" s="47"/>
      <c r="AH259" s="47"/>
      <c r="AI259" s="47"/>
      <c r="AJ259" s="47"/>
      <c r="AK259" s="47"/>
      <c r="AL259" s="47"/>
      <c r="AM259" s="47"/>
      <c r="AN259" s="47"/>
      <c r="AO259" s="47"/>
      <c r="AP259" s="47"/>
      <c r="AQ259" s="47"/>
      <c r="AR259" s="47"/>
      <c r="AS259" s="47"/>
      <c r="AT259" s="47"/>
      <c r="AU259" s="47"/>
      <c r="AV259" s="47"/>
      <c r="AW259" s="47"/>
      <c r="AX259" s="47"/>
      <c r="AY259" s="47"/>
      <c r="AZ259" s="47"/>
      <c r="BA259" s="47"/>
      <c r="BB259" s="47"/>
      <c r="BC259" s="47"/>
      <c r="BD259" s="47"/>
      <c r="BE259" s="47"/>
      <c r="BF259" s="47"/>
      <c r="BG259" s="47"/>
      <c r="BH259" s="47"/>
      <c r="BI259" s="47"/>
      <c r="BJ259" s="47"/>
      <c r="BK259" s="47"/>
      <c r="BL259" s="47"/>
      <c r="BM259" s="47"/>
      <c r="BN259" s="47"/>
      <c r="BO259" s="47"/>
      <c r="BP259" s="47"/>
      <c r="BQ259" s="47"/>
      <c r="BR259" s="47"/>
      <c r="BS259" s="47"/>
      <c r="BT259" s="47"/>
      <c r="BU259" s="47"/>
      <c r="BV259" s="47"/>
      <c r="BW259" s="47"/>
      <c r="BX259" s="47"/>
      <c r="BY259" s="47"/>
      <c r="BZ259" s="47"/>
    </row>
    <row r="260" spans="1:78" ht="13">
      <c r="A260" s="152" t="str">
        <f ca="1">IFERROR(__xludf.DUMMYFUNCTION("""COMPUTED_VALUE"""),"Large Earth Resistance Potion")</f>
        <v>Large Earth Resistance Potion</v>
      </c>
      <c r="B260" s="47" t="str">
        <f ca="1">IFERROR(__xludf.DUMMYFUNCTION("TRANSPOSE(unique(filter(Recipes!A$2:A2490,(Recipes!L$2:L2490=A260)+(Recipes!O$2:O2490=A260)+(Recipes!R$2:R2490=A260)+(Recipes!U$2:U2490=A260)+(Recipes!X$2:X2490=A260))))"),"Huge Earth Resistance Potion")</f>
        <v>Huge Earth Resistance Potion</v>
      </c>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c r="AA260" s="47"/>
      <c r="AB260" s="47"/>
      <c r="AC260" s="47"/>
      <c r="AD260" s="47"/>
      <c r="AE260" s="47"/>
      <c r="AF260" s="47"/>
      <c r="AG260" s="47"/>
      <c r="AH260" s="47"/>
      <c r="AI260" s="47"/>
      <c r="AJ260" s="47"/>
      <c r="AK260" s="47"/>
      <c r="AL260" s="47"/>
      <c r="AM260" s="47"/>
      <c r="AN260" s="47"/>
      <c r="AO260" s="47"/>
      <c r="AP260" s="47"/>
      <c r="AQ260" s="47"/>
      <c r="AR260" s="47"/>
      <c r="AS260" s="47"/>
      <c r="AT260" s="47"/>
      <c r="AU260" s="47"/>
      <c r="AV260" s="47"/>
      <c r="AW260" s="47"/>
      <c r="AX260" s="47"/>
      <c r="AY260" s="47"/>
      <c r="AZ260" s="47"/>
      <c r="BA260" s="47"/>
      <c r="BB260" s="47"/>
      <c r="BC260" s="47"/>
      <c r="BD260" s="47"/>
      <c r="BE260" s="47"/>
      <c r="BF260" s="47"/>
      <c r="BG260" s="47"/>
      <c r="BH260" s="47"/>
      <c r="BI260" s="47"/>
      <c r="BJ260" s="47"/>
      <c r="BK260" s="47"/>
      <c r="BL260" s="47"/>
      <c r="BM260" s="47"/>
      <c r="BN260" s="47"/>
      <c r="BO260" s="47"/>
      <c r="BP260" s="47"/>
      <c r="BQ260" s="47"/>
      <c r="BR260" s="47"/>
      <c r="BS260" s="47"/>
      <c r="BT260" s="47"/>
      <c r="BU260" s="47"/>
      <c r="BV260" s="47"/>
      <c r="BW260" s="47"/>
      <c r="BX260" s="47"/>
      <c r="BY260" s="47"/>
      <c r="BZ260" s="47"/>
    </row>
    <row r="261" spans="1:78" ht="13">
      <c r="A261" s="152" t="str">
        <f ca="1">IFERROR(__xludf.DUMMYFUNCTION("""COMPUTED_VALUE"""),"Large Fire Resistance Potion")</f>
        <v>Large Fire Resistance Potion</v>
      </c>
      <c r="B261" s="47" t="str">
        <f ca="1">IFERROR(__xludf.DUMMYFUNCTION("TRANSPOSE(unique(filter(Recipes!A$2:A2490,(Recipes!L$2:L2490=A261)+(Recipes!O$2:O2490=A261)+(Recipes!R$2:R2490=A261)+(Recipes!U$2:U2490=A261)+(Recipes!X$2:X2490=A261))))"),"Huge Fire Resistance Potion")</f>
        <v>Huge Fire Resistance Potion</v>
      </c>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c r="AA261" s="47"/>
      <c r="AB261" s="47"/>
      <c r="AC261" s="47"/>
      <c r="AD261" s="47"/>
      <c r="AE261" s="47"/>
      <c r="AF261" s="47"/>
      <c r="AG261" s="47"/>
      <c r="AH261" s="47"/>
      <c r="AI261" s="47"/>
      <c r="AJ261" s="47"/>
      <c r="AK261" s="47"/>
      <c r="AL261" s="47"/>
      <c r="AM261" s="47"/>
      <c r="AN261" s="47"/>
      <c r="AO261" s="47"/>
      <c r="AP261" s="47"/>
      <c r="AQ261" s="47"/>
      <c r="AR261" s="47"/>
      <c r="AS261" s="47"/>
      <c r="AT261" s="47"/>
      <c r="AU261" s="47"/>
      <c r="AV261" s="47"/>
      <c r="AW261" s="47"/>
      <c r="AX261" s="47"/>
      <c r="AY261" s="47"/>
      <c r="AZ261" s="47"/>
      <c r="BA261" s="47"/>
      <c r="BB261" s="47"/>
      <c r="BC261" s="47"/>
      <c r="BD261" s="47"/>
      <c r="BE261" s="47"/>
      <c r="BF261" s="47"/>
      <c r="BG261" s="47"/>
      <c r="BH261" s="47"/>
      <c r="BI261" s="47"/>
      <c r="BJ261" s="47"/>
      <c r="BK261" s="47"/>
      <c r="BL261" s="47"/>
      <c r="BM261" s="47"/>
      <c r="BN261" s="47"/>
      <c r="BO261" s="47"/>
      <c r="BP261" s="47"/>
      <c r="BQ261" s="47"/>
      <c r="BR261" s="47"/>
      <c r="BS261" s="47"/>
      <c r="BT261" s="47"/>
      <c r="BU261" s="47"/>
      <c r="BV261" s="47"/>
      <c r="BW261" s="47"/>
      <c r="BX261" s="47"/>
      <c r="BY261" s="47"/>
      <c r="BZ261" s="47"/>
    </row>
    <row r="262" spans="1:78" ht="13">
      <c r="A262" s="152" t="str">
        <f ca="1">IFERROR(__xludf.DUMMYFUNCTION("""COMPUTED_VALUE"""),"Large Flame Rune")</f>
        <v>Large Flame Rune</v>
      </c>
      <c r="B262" s="47" t="str">
        <f ca="1">IFERROR(__xludf.DUMMYFUNCTION("TRANSPOSE(unique(filter(Recipes!A$2:A2490,(Recipes!L$2:L2490=A262)+(Recipes!O$2:O2490=A262)+(Recipes!R$2:R2490=A262)+(Recipes!U$2:U2490=A262)+(Recipes!X$2:X2490=A262))))"),"Giant Flame Rune")</f>
        <v>Giant Flame Rune</v>
      </c>
      <c r="C262" s="47" t="str">
        <f ca="1">IFERROR(__xludf.DUMMYFUNCTION("""COMPUTED_VALUE"""),"Large Flame Rune of Power")</f>
        <v>Large Flame Rune of Power</v>
      </c>
      <c r="D262" s="47" t="str">
        <f ca="1">IFERROR(__xludf.DUMMYFUNCTION("""COMPUTED_VALUE"""),"Mystical Large Flame Rune")</f>
        <v>Mystical Large Flame Rune</v>
      </c>
      <c r="E262" s="47"/>
      <c r="F262" s="47"/>
      <c r="G262" s="47"/>
      <c r="H262" s="47"/>
      <c r="I262" s="47"/>
      <c r="J262" s="47"/>
      <c r="K262" s="47"/>
      <c r="L262" s="47"/>
      <c r="M262" s="47"/>
      <c r="N262" s="47"/>
      <c r="O262" s="47"/>
      <c r="P262" s="47"/>
      <c r="Q262" s="47"/>
      <c r="R262" s="47"/>
      <c r="S262" s="47"/>
      <c r="T262" s="47"/>
      <c r="U262" s="47"/>
      <c r="V262" s="47"/>
      <c r="W262" s="47"/>
      <c r="X262" s="47"/>
      <c r="Y262" s="47"/>
      <c r="Z262" s="47"/>
      <c r="AA262" s="47"/>
      <c r="AB262" s="47"/>
      <c r="AC262" s="47"/>
      <c r="AD262" s="47"/>
      <c r="AE262" s="47"/>
      <c r="AF262" s="47"/>
      <c r="AG262" s="47"/>
      <c r="AH262" s="47"/>
      <c r="AI262" s="47"/>
      <c r="AJ262" s="47"/>
      <c r="AK262" s="47"/>
      <c r="AL262" s="47"/>
      <c r="AM262" s="47"/>
      <c r="AN262" s="47"/>
      <c r="AO262" s="47"/>
      <c r="AP262" s="47"/>
      <c r="AQ262" s="47"/>
      <c r="AR262" s="47"/>
      <c r="AS262" s="47"/>
      <c r="AT262" s="47"/>
      <c r="AU262" s="47"/>
      <c r="AV262" s="47"/>
      <c r="AW262" s="47"/>
      <c r="AX262" s="47"/>
      <c r="AY262" s="47"/>
      <c r="AZ262" s="47"/>
      <c r="BA262" s="47"/>
      <c r="BB262" s="47"/>
      <c r="BC262" s="47"/>
      <c r="BD262" s="47"/>
      <c r="BE262" s="47"/>
      <c r="BF262" s="47"/>
      <c r="BG262" s="47"/>
      <c r="BH262" s="47"/>
      <c r="BI262" s="47"/>
      <c r="BJ262" s="47"/>
      <c r="BK262" s="47"/>
      <c r="BL262" s="47"/>
      <c r="BM262" s="47"/>
      <c r="BN262" s="47"/>
      <c r="BO262" s="47"/>
      <c r="BP262" s="47"/>
      <c r="BQ262" s="47"/>
      <c r="BR262" s="47"/>
      <c r="BS262" s="47"/>
      <c r="BT262" s="47"/>
      <c r="BU262" s="47"/>
      <c r="BV262" s="47"/>
      <c r="BW262" s="47"/>
      <c r="BX262" s="47"/>
      <c r="BY262" s="47"/>
      <c r="BZ262" s="47"/>
    </row>
    <row r="263" spans="1:78" ht="13">
      <c r="A263" s="152" t="str">
        <f ca="1">IFERROR(__xludf.DUMMYFUNCTION("""COMPUTED_VALUE"""),"Large Frost Rune")</f>
        <v>Large Frost Rune</v>
      </c>
      <c r="B263" s="47" t="str">
        <f ca="1">IFERROR(__xludf.DUMMYFUNCTION("TRANSPOSE(unique(filter(Recipes!A$2:A2490,(Recipes!L$2:L2490=A263)+(Recipes!O$2:O2490=A263)+(Recipes!R$2:R2490=A263)+(Recipes!U$2:U2490=A263)+(Recipes!X$2:X2490=A263))))"),"Giant Frost Rune")</f>
        <v>Giant Frost Rune</v>
      </c>
      <c r="C263" s="47" t="str">
        <f ca="1">IFERROR(__xludf.DUMMYFUNCTION("""COMPUTED_VALUE"""),"Large Frost Rune of Power")</f>
        <v>Large Frost Rune of Power</v>
      </c>
      <c r="D263" s="47" t="str">
        <f ca="1">IFERROR(__xludf.DUMMYFUNCTION("""COMPUTED_VALUE"""),"Mystical Large Frost Rune")</f>
        <v>Mystical Large Frost Rune</v>
      </c>
      <c r="E263" s="47"/>
      <c r="F263" s="47"/>
      <c r="G263" s="47"/>
      <c r="H263" s="47"/>
      <c r="I263" s="47"/>
      <c r="J263" s="47"/>
      <c r="K263" s="47"/>
      <c r="L263" s="47"/>
      <c r="M263" s="47"/>
      <c r="N263" s="47"/>
      <c r="O263" s="47"/>
      <c r="P263" s="47"/>
      <c r="Q263" s="47"/>
      <c r="R263" s="47"/>
      <c r="S263" s="47"/>
      <c r="T263" s="47"/>
      <c r="U263" s="47"/>
      <c r="V263" s="47"/>
      <c r="W263" s="47"/>
      <c r="X263" s="47"/>
      <c r="Y263" s="47"/>
      <c r="Z263" s="47"/>
      <c r="AA263" s="47"/>
      <c r="AB263" s="47"/>
      <c r="AC263" s="47"/>
      <c r="AD263" s="47"/>
      <c r="AE263" s="47"/>
      <c r="AF263" s="47"/>
      <c r="AG263" s="47"/>
      <c r="AH263" s="47"/>
      <c r="AI263" s="47"/>
      <c r="AJ263" s="47"/>
      <c r="AK263" s="47"/>
      <c r="AL263" s="47"/>
      <c r="AM263" s="47"/>
      <c r="AN263" s="47"/>
      <c r="AO263" s="47"/>
      <c r="AP263" s="47"/>
      <c r="AQ263" s="47"/>
      <c r="AR263" s="47"/>
      <c r="AS263" s="47"/>
      <c r="AT263" s="47"/>
      <c r="AU263" s="47"/>
      <c r="AV263" s="47"/>
      <c r="AW263" s="47"/>
      <c r="AX263" s="47"/>
      <c r="AY263" s="47"/>
      <c r="AZ263" s="47"/>
      <c r="BA263" s="47"/>
      <c r="BB263" s="47"/>
      <c r="BC263" s="47"/>
      <c r="BD263" s="47"/>
      <c r="BE263" s="47"/>
      <c r="BF263" s="47"/>
      <c r="BG263" s="47"/>
      <c r="BH263" s="47"/>
      <c r="BI263" s="47"/>
      <c r="BJ263" s="47"/>
      <c r="BK263" s="47"/>
      <c r="BL263" s="47"/>
      <c r="BM263" s="47"/>
      <c r="BN263" s="47"/>
      <c r="BO263" s="47"/>
      <c r="BP263" s="47"/>
      <c r="BQ263" s="47"/>
      <c r="BR263" s="47"/>
      <c r="BS263" s="47"/>
      <c r="BT263" s="47"/>
      <c r="BU263" s="47"/>
      <c r="BV263" s="47"/>
      <c r="BW263" s="47"/>
      <c r="BX263" s="47"/>
      <c r="BY263" s="47"/>
      <c r="BZ263" s="47"/>
    </row>
    <row r="264" spans="1:78" ht="13">
      <c r="A264" s="152" t="str">
        <f ca="1">IFERROR(__xludf.DUMMYFUNCTION("""COMPUTED_VALUE"""),"Large Masterwork Rune")</f>
        <v>Large Masterwork Rune</v>
      </c>
      <c r="B264" s="47" t="str">
        <f ca="1">IFERROR(__xludf.DUMMYFUNCTION("TRANSPOSE(unique(filter(Recipes!A$2:A2490,(Recipes!L$2:L2490=A264)+(Recipes!O$2:O2490=A264)+(Recipes!R$2:R2490=A264)+(Recipes!U$2:U2490=A264)+(Recipes!X$2:X2490=A264))))"),"Giant Masterwork Rune")</f>
        <v>Giant Masterwork Rune</v>
      </c>
      <c r="C264" s="47" t="str">
        <f ca="1">IFERROR(__xludf.DUMMYFUNCTION("""COMPUTED_VALUE"""),"Large Masterwork Rune of Power")</f>
        <v>Large Masterwork Rune of Power</v>
      </c>
      <c r="D264" s="47" t="str">
        <f ca="1">IFERROR(__xludf.DUMMYFUNCTION("""COMPUTED_VALUE"""),"Mystical Large Masterwork Rune")</f>
        <v>Mystical Large Masterwork Rune</v>
      </c>
      <c r="E264" s="47"/>
      <c r="F264" s="47"/>
      <c r="G264" s="47"/>
      <c r="H264" s="47"/>
      <c r="I264" s="47"/>
      <c r="J264" s="47"/>
      <c r="K264" s="47"/>
      <c r="L264" s="47"/>
      <c r="M264" s="47"/>
      <c r="N264" s="47"/>
      <c r="O264" s="47"/>
      <c r="P264" s="47"/>
      <c r="Q264" s="47"/>
      <c r="R264" s="47"/>
      <c r="S264" s="47"/>
      <c r="T264" s="47"/>
      <c r="U264" s="47"/>
      <c r="V264" s="47"/>
      <c r="W264" s="47"/>
      <c r="X264" s="47"/>
      <c r="Y264" s="47"/>
      <c r="Z264" s="47"/>
      <c r="AA264" s="47"/>
      <c r="AB264" s="47"/>
      <c r="AC264" s="47"/>
      <c r="AD264" s="47"/>
      <c r="AE264" s="47"/>
      <c r="AF264" s="47"/>
      <c r="AG264" s="47"/>
      <c r="AH264" s="47"/>
      <c r="AI264" s="47"/>
      <c r="AJ264" s="47"/>
      <c r="AK264" s="47"/>
      <c r="AL264" s="47"/>
      <c r="AM264" s="47"/>
      <c r="AN264" s="47"/>
      <c r="AO264" s="47"/>
      <c r="AP264" s="47"/>
      <c r="AQ264" s="47"/>
      <c r="AR264" s="47"/>
      <c r="AS264" s="47"/>
      <c r="AT264" s="47"/>
      <c r="AU264" s="47"/>
      <c r="AV264" s="47"/>
      <c r="AW264" s="47"/>
      <c r="AX264" s="47"/>
      <c r="AY264" s="47"/>
      <c r="AZ264" s="47"/>
      <c r="BA264" s="47"/>
      <c r="BB264" s="47"/>
      <c r="BC264" s="47"/>
      <c r="BD264" s="47"/>
      <c r="BE264" s="47"/>
      <c r="BF264" s="47"/>
      <c r="BG264" s="47"/>
      <c r="BH264" s="47"/>
      <c r="BI264" s="47"/>
      <c r="BJ264" s="47"/>
      <c r="BK264" s="47"/>
      <c r="BL264" s="47"/>
      <c r="BM264" s="47"/>
      <c r="BN264" s="47"/>
      <c r="BO264" s="47"/>
      <c r="BP264" s="47"/>
      <c r="BQ264" s="47"/>
      <c r="BR264" s="47"/>
      <c r="BS264" s="47"/>
      <c r="BT264" s="47"/>
      <c r="BU264" s="47"/>
      <c r="BV264" s="47"/>
      <c r="BW264" s="47"/>
      <c r="BX264" s="47"/>
      <c r="BY264" s="47"/>
      <c r="BZ264" s="47"/>
    </row>
    <row r="265" spans="1:78" ht="13">
      <c r="A265" s="152" t="str">
        <f ca="1">IFERROR(__xludf.DUMMYFUNCTION("""COMPUTED_VALUE"""),"Large Poison Bottle")</f>
        <v>Large Poison Bottle</v>
      </c>
      <c r="B265" s="47" t="str">
        <f ca="1">IFERROR(__xludf.DUMMYFUNCTION("TRANSPOSE(unique(filter(Recipes!A$2:A2490,(Recipes!L$2:L2490=A265)+(Recipes!O$2:O2490=A265)+(Recipes!R$2:R2490=A265)+(Recipes!U$2:U2490=A265)+(Recipes!X$2:X2490=A265))))"),"Healing Potion [Poisoned]")</f>
        <v>Healing Potion [Poisoned]</v>
      </c>
      <c r="C265" s="47" t="str">
        <f ca="1">IFERROR(__xludf.DUMMYFUNCTION("""COMPUTED_VALUE"""),"Huge Poison Vial")</f>
        <v>Huge Poison Vial</v>
      </c>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c r="AC265" s="47"/>
      <c r="AD265" s="47"/>
      <c r="AE265" s="47"/>
      <c r="AF265" s="47"/>
      <c r="AG265" s="47"/>
      <c r="AH265" s="47"/>
      <c r="AI265" s="47"/>
      <c r="AJ265" s="47"/>
      <c r="AK265" s="47"/>
      <c r="AL265" s="47"/>
      <c r="AM265" s="47"/>
      <c r="AN265" s="47"/>
      <c r="AO265" s="47"/>
      <c r="AP265" s="47"/>
      <c r="AQ265" s="47"/>
      <c r="AR265" s="47"/>
      <c r="AS265" s="47"/>
      <c r="AT265" s="47"/>
      <c r="AU265" s="47"/>
      <c r="AV265" s="47"/>
      <c r="AW265" s="47"/>
      <c r="AX265" s="47"/>
      <c r="AY265" s="47"/>
      <c r="AZ265" s="47"/>
      <c r="BA265" s="47"/>
      <c r="BB265" s="47"/>
      <c r="BC265" s="47"/>
      <c r="BD265" s="47"/>
      <c r="BE265" s="47"/>
      <c r="BF265" s="47"/>
      <c r="BG265" s="47"/>
      <c r="BH265" s="47"/>
      <c r="BI265" s="47"/>
      <c r="BJ265" s="47"/>
      <c r="BK265" s="47"/>
      <c r="BL265" s="47"/>
      <c r="BM265" s="47"/>
      <c r="BN265" s="47"/>
      <c r="BO265" s="47"/>
      <c r="BP265" s="47"/>
      <c r="BQ265" s="47"/>
      <c r="BR265" s="47"/>
      <c r="BS265" s="47"/>
      <c r="BT265" s="47"/>
      <c r="BU265" s="47"/>
      <c r="BV265" s="47"/>
      <c r="BW265" s="47"/>
      <c r="BX265" s="47"/>
      <c r="BY265" s="47"/>
      <c r="BZ265" s="47"/>
    </row>
    <row r="266" spans="1:78" ht="13">
      <c r="A266" s="152" t="str">
        <f ca="1">IFERROR(__xludf.DUMMYFUNCTION("""COMPUTED_VALUE"""),"Large Rock Rune")</f>
        <v>Large Rock Rune</v>
      </c>
      <c r="B266" s="47" t="str">
        <f ca="1">IFERROR(__xludf.DUMMYFUNCTION("TRANSPOSE(unique(filter(Recipes!A$2:A2490,(Recipes!L$2:L2490=A266)+(Recipes!O$2:O2490=A266)+(Recipes!R$2:R2490=A266)+(Recipes!U$2:U2490=A266)+(Recipes!X$2:X2490=A266))))"),"Giant Rock Rune")</f>
        <v>Giant Rock Rune</v>
      </c>
      <c r="C266" s="47" t="str">
        <f ca="1">IFERROR(__xludf.DUMMYFUNCTION("""COMPUTED_VALUE"""),"Large Rock Rune of Power")</f>
        <v>Large Rock Rune of Power</v>
      </c>
      <c r="D266" s="47" t="str">
        <f ca="1">IFERROR(__xludf.DUMMYFUNCTION("""COMPUTED_VALUE"""),"Mystical Large Rock Rune")</f>
        <v>Mystical Large Rock Rune</v>
      </c>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c r="AC266" s="47"/>
      <c r="AD266" s="47"/>
      <c r="AE266" s="47"/>
      <c r="AF266" s="47"/>
      <c r="AG266" s="47"/>
      <c r="AH266" s="47"/>
      <c r="AI266" s="47"/>
      <c r="AJ266" s="47"/>
      <c r="AK266" s="47"/>
      <c r="AL266" s="47"/>
      <c r="AM266" s="47"/>
      <c r="AN266" s="47"/>
      <c r="AO266" s="47"/>
      <c r="AP266" s="47"/>
      <c r="AQ266" s="47"/>
      <c r="AR266" s="47"/>
      <c r="AS266" s="47"/>
      <c r="AT266" s="47"/>
      <c r="AU266" s="47"/>
      <c r="AV266" s="47"/>
      <c r="AW266" s="47"/>
      <c r="AX266" s="47"/>
      <c r="AY266" s="47"/>
      <c r="AZ266" s="47"/>
      <c r="BA266" s="47"/>
      <c r="BB266" s="47"/>
      <c r="BC266" s="47"/>
      <c r="BD266" s="47"/>
      <c r="BE266" s="47"/>
      <c r="BF266" s="47"/>
      <c r="BG266" s="47"/>
      <c r="BH266" s="47"/>
      <c r="BI266" s="47"/>
      <c r="BJ266" s="47"/>
      <c r="BK266" s="47"/>
      <c r="BL266" s="47"/>
      <c r="BM266" s="47"/>
      <c r="BN266" s="47"/>
      <c r="BO266" s="47"/>
      <c r="BP266" s="47"/>
      <c r="BQ266" s="47"/>
      <c r="BR266" s="47"/>
      <c r="BS266" s="47"/>
      <c r="BT266" s="47"/>
      <c r="BU266" s="47"/>
      <c r="BV266" s="47"/>
      <c r="BW266" s="47"/>
      <c r="BX266" s="47"/>
      <c r="BY266" s="47"/>
      <c r="BZ266" s="47"/>
    </row>
    <row r="267" spans="1:78" ht="13">
      <c r="A267" s="152" t="str">
        <f ca="1">IFERROR(__xludf.DUMMYFUNCTION("""COMPUTED_VALUE"""),"Large Thunder Rune")</f>
        <v>Large Thunder Rune</v>
      </c>
      <c r="B267" s="47" t="str">
        <f ca="1">IFERROR(__xludf.DUMMYFUNCTION("TRANSPOSE(unique(filter(Recipes!A$2:A2490,(Recipes!L$2:L2490=A267)+(Recipes!O$2:O2490=A267)+(Recipes!R$2:R2490=A267)+(Recipes!U$2:U2490=A267)+(Recipes!X$2:X2490=A267))))"),"Giant Thunder Rune")</f>
        <v>Giant Thunder Rune</v>
      </c>
      <c r="C267" s="47" t="str">
        <f ca="1">IFERROR(__xludf.DUMMYFUNCTION("""COMPUTED_VALUE"""),"Large Thunder Rune of Power")</f>
        <v>Large Thunder Rune of Power</v>
      </c>
      <c r="D267" s="47" t="str">
        <f ca="1">IFERROR(__xludf.DUMMYFUNCTION("""COMPUTED_VALUE"""),"Mystical Large Thunder Rune")</f>
        <v>Mystical Large Thunder Rune</v>
      </c>
      <c r="E267" s="47"/>
      <c r="F267" s="47"/>
      <c r="G267" s="47"/>
      <c r="H267" s="47"/>
      <c r="I267" s="47"/>
      <c r="J267" s="47"/>
      <c r="K267" s="47"/>
      <c r="L267" s="47"/>
      <c r="M267" s="47"/>
      <c r="N267" s="47"/>
      <c r="O267" s="47"/>
      <c r="P267" s="47"/>
      <c r="Q267" s="47"/>
      <c r="R267" s="47"/>
      <c r="S267" s="47"/>
      <c r="T267" s="47"/>
      <c r="U267" s="47"/>
      <c r="V267" s="47"/>
      <c r="W267" s="47"/>
      <c r="X267" s="47"/>
      <c r="Y267" s="47"/>
      <c r="Z267" s="47"/>
      <c r="AA267" s="47"/>
      <c r="AB267" s="47"/>
      <c r="AC267" s="47"/>
      <c r="AD267" s="47"/>
      <c r="AE267" s="47"/>
      <c r="AF267" s="47"/>
      <c r="AG267" s="47"/>
      <c r="AH267" s="47"/>
      <c r="AI267" s="47"/>
      <c r="AJ267" s="47"/>
      <c r="AK267" s="47"/>
      <c r="AL267" s="47"/>
      <c r="AM267" s="47"/>
      <c r="AN267" s="47"/>
      <c r="AO267" s="47"/>
      <c r="AP267" s="47"/>
      <c r="AQ267" s="47"/>
      <c r="AR267" s="47"/>
      <c r="AS267" s="47"/>
      <c r="AT267" s="47"/>
      <c r="AU267" s="47"/>
      <c r="AV267" s="47"/>
      <c r="AW267" s="47"/>
      <c r="AX267" s="47"/>
      <c r="AY267" s="47"/>
      <c r="AZ267" s="47"/>
      <c r="BA267" s="47"/>
      <c r="BB267" s="47"/>
      <c r="BC267" s="47"/>
      <c r="BD267" s="47"/>
      <c r="BE267" s="47"/>
      <c r="BF267" s="47"/>
      <c r="BG267" s="47"/>
      <c r="BH267" s="47"/>
      <c r="BI267" s="47"/>
      <c r="BJ267" s="47"/>
      <c r="BK267" s="47"/>
      <c r="BL267" s="47"/>
      <c r="BM267" s="47"/>
      <c r="BN267" s="47"/>
      <c r="BO267" s="47"/>
      <c r="BP267" s="47"/>
      <c r="BQ267" s="47"/>
      <c r="BR267" s="47"/>
      <c r="BS267" s="47"/>
      <c r="BT267" s="47"/>
      <c r="BU267" s="47"/>
      <c r="BV267" s="47"/>
      <c r="BW267" s="47"/>
      <c r="BX267" s="47"/>
      <c r="BY267" s="47"/>
      <c r="BZ267" s="47"/>
    </row>
    <row r="268" spans="1:78" ht="13">
      <c r="A268" s="152" t="str">
        <f ca="1">IFERROR(__xludf.DUMMYFUNCTION("""COMPUTED_VALUE"""),"Large Tusk")</f>
        <v>Large Tusk</v>
      </c>
      <c r="B268" s="47" t="str">
        <f ca="1">IFERROR(__xludf.DUMMYFUNCTION("TRANSPOSE(unique(filter(Recipes!A$2:A2490,(Recipes!L$2:L2490=A268)+(Recipes!O$2:O2490=A268)+(Recipes!R$2:R2490=A268)+(Recipes!U$2:U2490=A268)+(Recipes!X$2:X2490=A268))))"),"Epidemic of Fire Scroll")</f>
        <v>Epidemic of Fire Scroll</v>
      </c>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c r="AA268" s="47"/>
      <c r="AB268" s="47"/>
      <c r="AC268" s="47"/>
      <c r="AD268" s="47"/>
      <c r="AE268" s="47"/>
      <c r="AF268" s="47"/>
      <c r="AG268" s="47"/>
      <c r="AH268" s="47"/>
      <c r="AI268" s="47"/>
      <c r="AJ268" s="47"/>
      <c r="AK268" s="47"/>
      <c r="AL268" s="47"/>
      <c r="AM268" s="47"/>
      <c r="AN268" s="47"/>
      <c r="AO268" s="47"/>
      <c r="AP268" s="47"/>
      <c r="AQ268" s="47"/>
      <c r="AR268" s="47"/>
      <c r="AS268" s="47"/>
      <c r="AT268" s="47"/>
      <c r="AU268" s="47"/>
      <c r="AV268" s="47"/>
      <c r="AW268" s="47"/>
      <c r="AX268" s="47"/>
      <c r="AY268" s="47"/>
      <c r="AZ268" s="47"/>
      <c r="BA268" s="47"/>
      <c r="BB268" s="47"/>
      <c r="BC268" s="47"/>
      <c r="BD268" s="47"/>
      <c r="BE268" s="47"/>
      <c r="BF268" s="47"/>
      <c r="BG268" s="47"/>
      <c r="BH268" s="47"/>
      <c r="BI268" s="47"/>
      <c r="BJ268" s="47"/>
      <c r="BK268" s="47"/>
      <c r="BL268" s="47"/>
      <c r="BM268" s="47"/>
      <c r="BN268" s="47"/>
      <c r="BO268" s="47"/>
      <c r="BP268" s="47"/>
      <c r="BQ268" s="47"/>
      <c r="BR268" s="47"/>
      <c r="BS268" s="47"/>
      <c r="BT268" s="47"/>
      <c r="BU268" s="47"/>
      <c r="BV268" s="47"/>
      <c r="BW268" s="47"/>
      <c r="BX268" s="47"/>
      <c r="BY268" s="47"/>
      <c r="BZ268" s="47"/>
    </row>
    <row r="269" spans="1:78" ht="13">
      <c r="A269" s="152" t="str">
        <f ca="1">IFERROR(__xludf.DUMMYFUNCTION("""COMPUTED_VALUE"""),"Large Venom Rune")</f>
        <v>Large Venom Rune</v>
      </c>
      <c r="B269" s="47" t="str">
        <f ca="1">IFERROR(__xludf.DUMMYFUNCTION("TRANSPOSE(unique(filter(Recipes!A$2:A2490,(Recipes!L$2:L2490=A269)+(Recipes!O$2:O2490=A269)+(Recipes!R$2:R2490=A269)+(Recipes!U$2:U2490=A269)+(Recipes!X$2:X2490=A269))))"),"Giant Venom Rune")</f>
        <v>Giant Venom Rune</v>
      </c>
      <c r="C269" s="47" t="str">
        <f ca="1">IFERROR(__xludf.DUMMYFUNCTION("""COMPUTED_VALUE"""),"Large Venom Rune of Power")</f>
        <v>Large Venom Rune of Power</v>
      </c>
      <c r="D269" s="47" t="str">
        <f ca="1">IFERROR(__xludf.DUMMYFUNCTION("""COMPUTED_VALUE"""),"Mystical Large Venom Rune")</f>
        <v>Mystical Large Venom Rune</v>
      </c>
      <c r="E269" s="47"/>
      <c r="F269" s="47"/>
      <c r="G269" s="47"/>
      <c r="H269" s="47"/>
      <c r="I269" s="47"/>
      <c r="J269" s="47"/>
      <c r="K269" s="47"/>
      <c r="L269" s="47"/>
      <c r="M269" s="47"/>
      <c r="N269" s="47"/>
      <c r="O269" s="47"/>
      <c r="P269" s="47"/>
      <c r="Q269" s="47"/>
      <c r="R269" s="47"/>
      <c r="S269" s="47"/>
      <c r="T269" s="47"/>
      <c r="U269" s="47"/>
      <c r="V269" s="47"/>
      <c r="W269" s="47"/>
      <c r="X269" s="47"/>
      <c r="Y269" s="47"/>
      <c r="Z269" s="47"/>
      <c r="AA269" s="47"/>
      <c r="AB269" s="47"/>
      <c r="AC269" s="47"/>
      <c r="AD269" s="47"/>
      <c r="AE269" s="47"/>
      <c r="AF269" s="47"/>
      <c r="AG269" s="47"/>
      <c r="AH269" s="47"/>
      <c r="AI269" s="47"/>
      <c r="AJ269" s="47"/>
      <c r="AK269" s="47"/>
      <c r="AL269" s="47"/>
      <c r="AM269" s="47"/>
      <c r="AN269" s="47"/>
      <c r="AO269" s="47"/>
      <c r="AP269" s="47"/>
      <c r="AQ269" s="47"/>
      <c r="AR269" s="47"/>
      <c r="AS269" s="47"/>
      <c r="AT269" s="47"/>
      <c r="AU269" s="47"/>
      <c r="AV269" s="47"/>
      <c r="AW269" s="47"/>
      <c r="AX269" s="47"/>
      <c r="AY269" s="47"/>
      <c r="AZ269" s="47"/>
      <c r="BA269" s="47"/>
      <c r="BB269" s="47"/>
      <c r="BC269" s="47"/>
      <c r="BD269" s="47"/>
      <c r="BE269" s="47"/>
      <c r="BF269" s="47"/>
      <c r="BG269" s="47"/>
      <c r="BH269" s="47"/>
      <c r="BI269" s="47"/>
      <c r="BJ269" s="47"/>
      <c r="BK269" s="47"/>
      <c r="BL269" s="47"/>
      <c r="BM269" s="47"/>
      <c r="BN269" s="47"/>
      <c r="BO269" s="47"/>
      <c r="BP269" s="47"/>
      <c r="BQ269" s="47"/>
      <c r="BR269" s="47"/>
      <c r="BS269" s="47"/>
      <c r="BT269" s="47"/>
      <c r="BU269" s="47"/>
      <c r="BV269" s="47"/>
      <c r="BW269" s="47"/>
      <c r="BX269" s="47"/>
      <c r="BY269" s="47"/>
      <c r="BZ269" s="47"/>
    </row>
    <row r="270" spans="1:78" ht="13">
      <c r="A270" s="152" t="str">
        <f ca="1">IFERROR(__xludf.DUMMYFUNCTION("""COMPUTED_VALUE"""),"Large Water Resistance Potion")</f>
        <v>Large Water Resistance Potion</v>
      </c>
      <c r="B270" s="47" t="str">
        <f ca="1">IFERROR(__xludf.DUMMYFUNCTION("TRANSPOSE(unique(filter(Recipes!A$2:A2490,(Recipes!L$2:L2490=A270)+(Recipes!O$2:O2490=A270)+(Recipes!R$2:R2490=A270)+(Recipes!U$2:U2490=A270)+(Recipes!X$2:X2490=A270))))"),"Huge Water Resistance Potion")</f>
        <v>Huge Water Resistance Potion</v>
      </c>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c r="AA270" s="47"/>
      <c r="AB270" s="47"/>
      <c r="AC270" s="47"/>
      <c r="AD270" s="47"/>
      <c r="AE270" s="47"/>
      <c r="AF270" s="47"/>
      <c r="AG270" s="47"/>
      <c r="AH270" s="47"/>
      <c r="AI270" s="47"/>
      <c r="AJ270" s="47"/>
      <c r="AK270" s="47"/>
      <c r="AL270" s="47"/>
      <c r="AM270" s="47"/>
      <c r="AN270" s="47"/>
      <c r="AO270" s="47"/>
      <c r="AP270" s="47"/>
      <c r="AQ270" s="47"/>
      <c r="AR270" s="47"/>
      <c r="AS270" s="47"/>
      <c r="AT270" s="47"/>
      <c r="AU270" s="47"/>
      <c r="AV270" s="47"/>
      <c r="AW270" s="47"/>
      <c r="AX270" s="47"/>
      <c r="AY270" s="47"/>
      <c r="AZ270" s="47"/>
      <c r="BA270" s="47"/>
      <c r="BB270" s="47"/>
      <c r="BC270" s="47"/>
      <c r="BD270" s="47"/>
      <c r="BE270" s="47"/>
      <c r="BF270" s="47"/>
      <c r="BG270" s="47"/>
      <c r="BH270" s="47"/>
      <c r="BI270" s="47"/>
      <c r="BJ270" s="47"/>
      <c r="BK270" s="47"/>
      <c r="BL270" s="47"/>
      <c r="BM270" s="47"/>
      <c r="BN270" s="47"/>
      <c r="BO270" s="47"/>
      <c r="BP270" s="47"/>
      <c r="BQ270" s="47"/>
      <c r="BR270" s="47"/>
      <c r="BS270" s="47"/>
      <c r="BT270" s="47"/>
      <c r="BU270" s="47"/>
      <c r="BV270" s="47"/>
      <c r="BW270" s="47"/>
      <c r="BX270" s="47"/>
      <c r="BY270" s="47"/>
      <c r="BZ270" s="47"/>
    </row>
    <row r="271" spans="1:78" ht="13">
      <c r="A271" s="152" t="str">
        <f ca="1">IFERROR(__xludf.DUMMYFUNCTION("""COMPUTED_VALUE"""),"Laser Ray Scroll")</f>
        <v>Laser Ray Scroll</v>
      </c>
      <c r="B271" s="47" t="str">
        <f ca="1">IFERROR(__xludf.DUMMYFUNCTION("TRANSPOSE(unique(filter(Recipes!A$2:A2490,(Recipes!L$2:L2490=A271)+(Recipes!O$2:O2490=A271)+(Recipes!R$2:R2490=A271)+(Recipes!U$2:U2490=A271)+(Recipes!X$2:X2490=A271))))"),"Laser Ray Skillbook")</f>
        <v>Laser Ray Skillbook</v>
      </c>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c r="AA271" s="47"/>
      <c r="AB271" s="47"/>
      <c r="AC271" s="47"/>
      <c r="AD271" s="47"/>
      <c r="AE271" s="47"/>
      <c r="AF271" s="47"/>
      <c r="AG271" s="47"/>
      <c r="AH271" s="47"/>
      <c r="AI271" s="47"/>
      <c r="AJ271" s="47"/>
      <c r="AK271" s="47"/>
      <c r="AL271" s="47"/>
      <c r="AM271" s="47"/>
      <c r="AN271" s="47"/>
      <c r="AO271" s="47"/>
      <c r="AP271" s="47"/>
      <c r="AQ271" s="47"/>
      <c r="AR271" s="47"/>
      <c r="AS271" s="47"/>
      <c r="AT271" s="47"/>
      <c r="AU271" s="47"/>
      <c r="AV271" s="47"/>
      <c r="AW271" s="47"/>
      <c r="AX271" s="47"/>
      <c r="AY271" s="47"/>
      <c r="AZ271" s="47"/>
      <c r="BA271" s="47"/>
      <c r="BB271" s="47"/>
      <c r="BC271" s="47"/>
      <c r="BD271" s="47"/>
      <c r="BE271" s="47"/>
      <c r="BF271" s="47"/>
      <c r="BG271" s="47"/>
      <c r="BH271" s="47"/>
      <c r="BI271" s="47"/>
      <c r="BJ271" s="47"/>
      <c r="BK271" s="47"/>
      <c r="BL271" s="47"/>
      <c r="BM271" s="47"/>
      <c r="BN271" s="47"/>
      <c r="BO271" s="47"/>
      <c r="BP271" s="47"/>
      <c r="BQ271" s="47"/>
      <c r="BR271" s="47"/>
      <c r="BS271" s="47"/>
      <c r="BT271" s="47"/>
      <c r="BU271" s="47"/>
      <c r="BV271" s="47"/>
      <c r="BW271" s="47"/>
      <c r="BX271" s="47"/>
      <c r="BY271" s="47"/>
      <c r="BZ271" s="47"/>
    </row>
    <row r="272" spans="1:78" ht="13">
      <c r="A272" s="152" t="str">
        <f ca="1">IFERROR(__xludf.DUMMYFUNCTION("""COMPUTED_VALUE"""),"Leather Scraps")</f>
        <v>Leather Scraps</v>
      </c>
      <c r="B272" s="47" t="str">
        <f ca="1">IFERROR(__xludf.DUMMYFUNCTION("TRANSPOSE(unique(filter(Recipes!A$2:A2490,(Recipes!L$2:L2490=A272)+(Recipes!O$2:O2490=A272)+(Recipes!R$2:R2490=A272)+(Recipes!U$2:U2490=A272)+(Recipes!X$2:X2490=A272))))"),"Handmade Leather Armour")</f>
        <v>Handmade Leather Armour</v>
      </c>
      <c r="C272" s="47" t="str">
        <f ca="1">IFERROR(__xludf.DUMMYFUNCTION("""COMPUTED_VALUE"""),"Backpack")</f>
        <v>Backpack</v>
      </c>
      <c r="D272" s="47" t="str">
        <f ca="1">IFERROR(__xludf.DUMMYFUNCTION("""COMPUTED_VALUE"""),"Big Tongs Roped Together")</f>
        <v>Big Tongs Roped Together</v>
      </c>
      <c r="E272" s="47" t="str">
        <f ca="1">IFERROR(__xludf.DUMMYFUNCTION("""COMPUTED_VALUE"""),"Makeshift Club [2H]")</f>
        <v>Makeshift Club [2H]</v>
      </c>
      <c r="F272" s="47" t="str">
        <f ca="1">IFERROR(__xludf.DUMMYFUNCTION("""COMPUTED_VALUE"""),"Shiv")</f>
        <v>Shiv</v>
      </c>
      <c r="G272" s="47"/>
      <c r="H272" s="47"/>
      <c r="I272" s="47"/>
      <c r="J272" s="47"/>
      <c r="K272" s="47"/>
      <c r="L272" s="47"/>
      <c r="M272" s="47"/>
      <c r="N272" s="47"/>
      <c r="O272" s="47"/>
      <c r="P272" s="47"/>
      <c r="Q272" s="47"/>
      <c r="R272" s="47"/>
      <c r="S272" s="47"/>
      <c r="T272" s="47"/>
      <c r="U272" s="47"/>
      <c r="V272" s="47"/>
      <c r="W272" s="47"/>
      <c r="X272" s="47"/>
      <c r="Y272" s="47"/>
      <c r="Z272" s="47"/>
      <c r="AA272" s="47"/>
      <c r="AB272" s="47"/>
      <c r="AC272" s="47"/>
      <c r="AD272" s="47"/>
      <c r="AE272" s="47"/>
      <c r="AF272" s="47"/>
      <c r="AG272" s="47"/>
      <c r="AH272" s="47"/>
      <c r="AI272" s="47"/>
      <c r="AJ272" s="47"/>
      <c r="AK272" s="47"/>
      <c r="AL272" s="47"/>
      <c r="AM272" s="47"/>
      <c r="AN272" s="47"/>
      <c r="AO272" s="47"/>
      <c r="AP272" s="47"/>
      <c r="AQ272" s="47"/>
      <c r="AR272" s="47"/>
      <c r="AS272" s="47"/>
      <c r="AT272" s="47"/>
      <c r="AU272" s="47"/>
      <c r="AV272" s="47"/>
      <c r="AW272" s="47"/>
      <c r="AX272" s="47"/>
      <c r="AY272" s="47"/>
      <c r="AZ272" s="47"/>
      <c r="BA272" s="47"/>
      <c r="BB272" s="47"/>
      <c r="BC272" s="47"/>
      <c r="BD272" s="47"/>
      <c r="BE272" s="47"/>
      <c r="BF272" s="47"/>
      <c r="BG272" s="47"/>
      <c r="BH272" s="47"/>
      <c r="BI272" s="47"/>
      <c r="BJ272" s="47"/>
      <c r="BK272" s="47"/>
      <c r="BL272" s="47"/>
      <c r="BM272" s="47"/>
      <c r="BN272" s="47"/>
      <c r="BO272" s="47"/>
      <c r="BP272" s="47"/>
      <c r="BQ272" s="47"/>
      <c r="BR272" s="47"/>
      <c r="BS272" s="47"/>
      <c r="BT272" s="47"/>
      <c r="BU272" s="47"/>
      <c r="BV272" s="47"/>
      <c r="BW272" s="47"/>
      <c r="BX272" s="47"/>
      <c r="BY272" s="47"/>
      <c r="BZ272" s="47"/>
    </row>
    <row r="273" spans="1:78" ht="13">
      <c r="A273" s="152" t="str">
        <f ca="1">IFERROR(__xludf.DUMMYFUNCTION("""COMPUTED_VALUE"""),"Lemon")</f>
        <v>Lemon</v>
      </c>
      <c r="B273" s="47" t="str">
        <f ca="1">IFERROR(__xludf.DUMMYFUNCTION("TRANSPOSE(unique(filter(Recipes!A$2:A2490,(Recipes!L$2:L2490=A273)+(Recipes!O$2:O2490=A273)+(Recipes!R$2:R2490=A273)+(Recipes!U$2:U2490=A273)+(Recipes!X$2:X2490=A273))))"),"Lemonade")</f>
        <v>Lemonade</v>
      </c>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c r="AA273" s="47"/>
      <c r="AB273" s="47"/>
      <c r="AC273" s="47"/>
      <c r="AD273" s="47"/>
      <c r="AE273" s="47"/>
      <c r="AF273" s="47"/>
      <c r="AG273" s="47"/>
      <c r="AH273" s="47"/>
      <c r="AI273" s="47"/>
      <c r="AJ273" s="47"/>
      <c r="AK273" s="47"/>
      <c r="AL273" s="47"/>
      <c r="AM273" s="47"/>
      <c r="AN273" s="47"/>
      <c r="AO273" s="47"/>
      <c r="AP273" s="47"/>
      <c r="AQ273" s="47"/>
      <c r="AR273" s="47"/>
      <c r="AS273" s="47"/>
      <c r="AT273" s="47"/>
      <c r="AU273" s="47"/>
      <c r="AV273" s="47"/>
      <c r="AW273" s="47"/>
      <c r="AX273" s="47"/>
      <c r="AY273" s="47"/>
      <c r="AZ273" s="47"/>
      <c r="BA273" s="47"/>
      <c r="BB273" s="47"/>
      <c r="BC273" s="47"/>
      <c r="BD273" s="47"/>
      <c r="BE273" s="47"/>
      <c r="BF273" s="47"/>
      <c r="BG273" s="47"/>
      <c r="BH273" s="47"/>
      <c r="BI273" s="47"/>
      <c r="BJ273" s="47"/>
      <c r="BK273" s="47"/>
      <c r="BL273" s="47"/>
      <c r="BM273" s="47"/>
      <c r="BN273" s="47"/>
      <c r="BO273" s="47"/>
      <c r="BP273" s="47"/>
      <c r="BQ273" s="47"/>
      <c r="BR273" s="47"/>
      <c r="BS273" s="47"/>
      <c r="BT273" s="47"/>
      <c r="BU273" s="47"/>
      <c r="BV273" s="47"/>
      <c r="BW273" s="47"/>
      <c r="BX273" s="47"/>
      <c r="BY273" s="47"/>
      <c r="BZ273" s="47"/>
    </row>
    <row r="274" spans="1:78" ht="13">
      <c r="A274" s="152" t="str">
        <f ca="1">IFERROR(__xludf.DUMMYFUNCTION("""COMPUTED_VALUE"""),"Life Essence")</f>
        <v>Life Essence</v>
      </c>
      <c r="B274" s="47" t="str">
        <f ca="1">IFERROR(__xludf.DUMMYFUNCTION("TRANSPOSE(unique(filter(Recipes!A$2:A2490,(Recipes!L$2:L2490=A274)+(Recipes!O$2:O2490=A274)+(Recipes!R$2:R2490=A274)+(Recipes!U$2:U2490=A274)+(Recipes!X$2:X2490=A274))))"),"Bull Horns Scroll")</f>
        <v>Bull Horns Scroll</v>
      </c>
      <c r="C274" s="47" t="str">
        <f ca="1">IFERROR(__xludf.DUMMYFUNCTION("""COMPUTED_VALUE"""),"Chameleon Cloak Scroll")</f>
        <v>Chameleon Cloak Scroll</v>
      </c>
      <c r="D274" s="47" t="str">
        <f ca="1">IFERROR(__xludf.DUMMYFUNCTION("""COMPUTED_VALUE"""),"Chicken Claw Scroll")</f>
        <v>Chicken Claw Scroll</v>
      </c>
      <c r="E274" s="47" t="str">
        <f ca="1">IFERROR(__xludf.DUMMYFUNCTION("""COMPUTED_VALUE"""),"Heart of Steel Scroll")</f>
        <v>Heart of Steel Scroll</v>
      </c>
      <c r="F274" s="47" t="str">
        <f ca="1">IFERROR(__xludf.DUMMYFUNCTION("""COMPUTED_VALUE"""),"Resurrection Scroll")</f>
        <v>Resurrection Scroll</v>
      </c>
      <c r="G274" s="47" t="str">
        <f ca="1">IFERROR(__xludf.DUMMYFUNCTION("""COMPUTED_VALUE"""),"Spread Your Wings Scroll")</f>
        <v>Spread Your Wings Scroll</v>
      </c>
      <c r="H274" s="47" t="str">
        <f ca="1">IFERROR(__xludf.DUMMYFUNCTION("""COMPUTED_VALUE"""),"Tentacle Lash Scroll")</f>
        <v>Tentacle Lash Scroll</v>
      </c>
      <c r="I274" s="47"/>
      <c r="J274" s="47"/>
      <c r="K274" s="47"/>
      <c r="L274" s="47"/>
      <c r="M274" s="47"/>
      <c r="N274" s="47"/>
      <c r="O274" s="47"/>
      <c r="P274" s="47"/>
      <c r="Q274" s="47"/>
      <c r="R274" s="47"/>
      <c r="S274" s="47"/>
      <c r="T274" s="47"/>
      <c r="U274" s="47"/>
      <c r="V274" s="47"/>
      <c r="W274" s="47"/>
      <c r="X274" s="47"/>
      <c r="Y274" s="47"/>
      <c r="Z274" s="47"/>
      <c r="AA274" s="47"/>
      <c r="AB274" s="47"/>
      <c r="AC274" s="47"/>
      <c r="AD274" s="47"/>
      <c r="AE274" s="47"/>
      <c r="AF274" s="47"/>
      <c r="AG274" s="47"/>
      <c r="AH274" s="47"/>
      <c r="AI274" s="47"/>
      <c r="AJ274" s="47"/>
      <c r="AK274" s="47"/>
      <c r="AL274" s="47"/>
      <c r="AM274" s="47"/>
      <c r="AN274" s="47"/>
      <c r="AO274" s="47"/>
      <c r="AP274" s="47"/>
      <c r="AQ274" s="47"/>
      <c r="AR274" s="47"/>
      <c r="AS274" s="47"/>
      <c r="AT274" s="47"/>
      <c r="AU274" s="47"/>
      <c r="AV274" s="47"/>
      <c r="AW274" s="47"/>
      <c r="AX274" s="47"/>
      <c r="AY274" s="47"/>
      <c r="AZ274" s="47"/>
      <c r="BA274" s="47"/>
      <c r="BB274" s="47"/>
      <c r="BC274" s="47"/>
      <c r="BD274" s="47"/>
      <c r="BE274" s="47"/>
      <c r="BF274" s="47"/>
      <c r="BG274" s="47"/>
      <c r="BH274" s="47"/>
      <c r="BI274" s="47"/>
      <c r="BJ274" s="47"/>
      <c r="BK274" s="47"/>
      <c r="BL274" s="47"/>
      <c r="BM274" s="47"/>
      <c r="BN274" s="47"/>
      <c r="BO274" s="47"/>
      <c r="BP274" s="47"/>
      <c r="BQ274" s="47"/>
      <c r="BR274" s="47"/>
      <c r="BS274" s="47"/>
      <c r="BT274" s="47"/>
      <c r="BU274" s="47"/>
      <c r="BV274" s="47"/>
      <c r="BW274" s="47"/>
      <c r="BX274" s="47"/>
      <c r="BY274" s="47"/>
      <c r="BZ274" s="47"/>
    </row>
    <row r="275" spans="1:78" ht="13">
      <c r="A275" s="152" t="str">
        <f ca="1">IFERROR(__xludf.DUMMYFUNCTION("""COMPUTED_VALUE"""),"Livewood Log")</f>
        <v>Livewood Log</v>
      </c>
      <c r="B275" s="47" t="str">
        <f ca="1">IFERROR(__xludf.DUMMYFUNCTION("TRANSPOSE(unique(filter(Recipes!A$2:A2490,(Recipes!L$2:L2490=A275)+(Recipes!O$2:O2490=A275)+(Recipes!R$2:R2490=A275)+(Recipes!U$2:U2490=A275)+(Recipes!X$2:X2490=A275))))"),"Acid Spores Scroll")</f>
        <v>Acid Spores Scroll</v>
      </c>
      <c r="C275" s="47" t="str">
        <f ca="1">IFERROR(__xludf.DUMMYFUNCTION("""COMPUTED_VALUE"""),"Small Masterwork Rune")</f>
        <v>Small Masterwork Rune</v>
      </c>
      <c r="D275" s="47"/>
      <c r="E275" s="47"/>
      <c r="F275" s="47"/>
      <c r="G275" s="47"/>
      <c r="H275" s="47"/>
      <c r="I275" s="47"/>
      <c r="J275" s="47"/>
      <c r="K275" s="47"/>
      <c r="L275" s="47"/>
      <c r="M275" s="47"/>
      <c r="N275" s="47"/>
      <c r="O275" s="47"/>
      <c r="P275" s="47"/>
      <c r="Q275" s="47"/>
      <c r="R275" s="47"/>
      <c r="S275" s="47"/>
      <c r="T275" s="47"/>
      <c r="U275" s="47"/>
      <c r="V275" s="47"/>
      <c r="W275" s="47"/>
      <c r="X275" s="47"/>
      <c r="Y275" s="47"/>
      <c r="Z275" s="47"/>
      <c r="AA275" s="47"/>
      <c r="AB275" s="47"/>
      <c r="AC275" s="47"/>
      <c r="AD275" s="47"/>
      <c r="AE275" s="47"/>
      <c r="AF275" s="47"/>
      <c r="AG275" s="47"/>
      <c r="AH275" s="47"/>
      <c r="AI275" s="47"/>
      <c r="AJ275" s="47"/>
      <c r="AK275" s="47"/>
      <c r="AL275" s="47"/>
      <c r="AM275" s="47"/>
      <c r="AN275" s="47"/>
      <c r="AO275" s="47"/>
      <c r="AP275" s="47"/>
      <c r="AQ275" s="47"/>
      <c r="AR275" s="47"/>
      <c r="AS275" s="47"/>
      <c r="AT275" s="47"/>
      <c r="AU275" s="47"/>
      <c r="AV275" s="47"/>
      <c r="AW275" s="47"/>
      <c r="AX275" s="47"/>
      <c r="AY275" s="47"/>
      <c r="AZ275" s="47"/>
      <c r="BA275" s="47"/>
      <c r="BB275" s="47"/>
      <c r="BC275" s="47"/>
      <c r="BD275" s="47"/>
      <c r="BE275" s="47"/>
      <c r="BF275" s="47"/>
      <c r="BG275" s="47"/>
      <c r="BH275" s="47"/>
      <c r="BI275" s="47"/>
      <c r="BJ275" s="47"/>
      <c r="BK275" s="47"/>
      <c r="BL275" s="47"/>
      <c r="BM275" s="47"/>
      <c r="BN275" s="47"/>
      <c r="BO275" s="47"/>
      <c r="BP275" s="47"/>
      <c r="BQ275" s="47"/>
      <c r="BR275" s="47"/>
      <c r="BS275" s="47"/>
      <c r="BT275" s="47"/>
      <c r="BU275" s="47"/>
      <c r="BV275" s="47"/>
      <c r="BW275" s="47"/>
      <c r="BX275" s="47"/>
      <c r="BY275" s="47"/>
      <c r="BZ275" s="47"/>
    </row>
    <row r="276" spans="1:78" ht="13">
      <c r="A276" s="152" t="str">
        <f ca="1">IFERROR(__xludf.DUMMYFUNCTION("""COMPUTED_VALUE"""),"Living on the Edge Scroll")</f>
        <v>Living on the Edge Scroll</v>
      </c>
      <c r="B276" s="47" t="str">
        <f ca="1">IFERROR(__xludf.DUMMYFUNCTION("TRANSPOSE(unique(filter(Recipes!A$2:A2490,(Recipes!L$2:L2490=A276)+(Recipes!O$2:O2490=A276)+(Recipes!R$2:R2490=A276)+(Recipes!U$2:U2490=A276)+(Recipes!X$2:X2490=A276))))"),"Living on the Edge Skillbook")</f>
        <v>Living on the Edge Skillbook</v>
      </c>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c r="AA276" s="47"/>
      <c r="AB276" s="47"/>
      <c r="AC276" s="47"/>
      <c r="AD276" s="47"/>
      <c r="AE276" s="47"/>
      <c r="AF276" s="47"/>
      <c r="AG276" s="47"/>
      <c r="AH276" s="47"/>
      <c r="AI276" s="47"/>
      <c r="AJ276" s="47"/>
      <c r="AK276" s="47"/>
      <c r="AL276" s="47"/>
      <c r="AM276" s="47"/>
      <c r="AN276" s="47"/>
      <c r="AO276" s="47"/>
      <c r="AP276" s="47"/>
      <c r="AQ276" s="47"/>
      <c r="AR276" s="47"/>
      <c r="AS276" s="47"/>
      <c r="AT276" s="47"/>
      <c r="AU276" s="47"/>
      <c r="AV276" s="47"/>
      <c r="AW276" s="47"/>
      <c r="AX276" s="47"/>
      <c r="AY276" s="47"/>
      <c r="AZ276" s="47"/>
      <c r="BA276" s="47"/>
      <c r="BB276" s="47"/>
      <c r="BC276" s="47"/>
      <c r="BD276" s="47"/>
      <c r="BE276" s="47"/>
      <c r="BF276" s="47"/>
      <c r="BG276" s="47"/>
      <c r="BH276" s="47"/>
      <c r="BI276" s="47"/>
      <c r="BJ276" s="47"/>
      <c r="BK276" s="47"/>
      <c r="BL276" s="47"/>
      <c r="BM276" s="47"/>
      <c r="BN276" s="47"/>
      <c r="BO276" s="47"/>
      <c r="BP276" s="47"/>
      <c r="BQ276" s="47"/>
      <c r="BR276" s="47"/>
      <c r="BS276" s="47"/>
      <c r="BT276" s="47"/>
      <c r="BU276" s="47"/>
      <c r="BV276" s="47"/>
      <c r="BW276" s="47"/>
      <c r="BX276" s="47"/>
      <c r="BY276" s="47"/>
      <c r="BZ276" s="47"/>
    </row>
    <row r="277" spans="1:78" ht="13">
      <c r="A277" s="152" t="str">
        <f ca="1">IFERROR(__xludf.DUMMYFUNCTION("""COMPUTED_VALUE"""),"Living Wall Scroll")</f>
        <v>Living Wall Scroll</v>
      </c>
      <c r="B277" s="47" t="str">
        <f ca="1">IFERROR(__xludf.DUMMYFUNCTION("TRANSPOSE(unique(filter(Recipes!A$2:A2490,(Recipes!L$2:L2490=A277)+(Recipes!O$2:O2490=A277)+(Recipes!R$2:R2490=A277)+(Recipes!U$2:U2490=A277)+(Recipes!X$2:X2490=A277))))"),"Living Wall Skillbook")</f>
        <v>Living Wall Skillbook</v>
      </c>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c r="AA277" s="47"/>
      <c r="AB277" s="47"/>
      <c r="AC277" s="47"/>
      <c r="AD277" s="47"/>
      <c r="AE277" s="47"/>
      <c r="AF277" s="47"/>
      <c r="AG277" s="47"/>
      <c r="AH277" s="47"/>
      <c r="AI277" s="47"/>
      <c r="AJ277" s="47"/>
      <c r="AK277" s="47"/>
      <c r="AL277" s="47"/>
      <c r="AM277" s="47"/>
      <c r="AN277" s="47"/>
      <c r="AO277" s="47"/>
      <c r="AP277" s="47"/>
      <c r="AQ277" s="47"/>
      <c r="AR277" s="47"/>
      <c r="AS277" s="47"/>
      <c r="AT277" s="47"/>
      <c r="AU277" s="47"/>
      <c r="AV277" s="47"/>
      <c r="AW277" s="47"/>
      <c r="AX277" s="47"/>
      <c r="AY277" s="47"/>
      <c r="AZ277" s="47"/>
      <c r="BA277" s="47"/>
      <c r="BB277" s="47"/>
      <c r="BC277" s="47"/>
      <c r="BD277" s="47"/>
      <c r="BE277" s="47"/>
      <c r="BF277" s="47"/>
      <c r="BG277" s="47"/>
      <c r="BH277" s="47"/>
      <c r="BI277" s="47"/>
      <c r="BJ277" s="47"/>
      <c r="BK277" s="47"/>
      <c r="BL277" s="47"/>
      <c r="BM277" s="47"/>
      <c r="BN277" s="47"/>
      <c r="BO277" s="47"/>
      <c r="BP277" s="47"/>
      <c r="BQ277" s="47"/>
      <c r="BR277" s="47"/>
      <c r="BS277" s="47"/>
      <c r="BT277" s="47"/>
      <c r="BU277" s="47"/>
      <c r="BV277" s="47"/>
      <c r="BW277" s="47"/>
      <c r="BX277" s="47"/>
      <c r="BY277" s="47"/>
      <c r="BZ277" s="47"/>
    </row>
    <row r="278" spans="1:78" ht="13">
      <c r="A278" s="152" t="str">
        <f ca="1">IFERROR(__xludf.DUMMYFUNCTION("""COMPUTED_VALUE"""),"Lizard Face")</f>
        <v>Lizard Face</v>
      </c>
      <c r="B278" s="47" t="str">
        <f ca="1">IFERROR(__xludf.DUMMYFUNCTION("TRANSPOSE(unique(filter(Recipes!A$2:A2490,(Recipes!L$2:L2490=A278)+(Recipes!O$2:O2490=A278)+(Recipes!R$2:R2490=A278)+(Recipes!U$2:U2490=A278)+(Recipes!X$2:X2490=A278))))"),"Lizard Mask of the Shapeshifter")</f>
        <v>Lizard Mask of the Shapeshifter</v>
      </c>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c r="AA278" s="47"/>
      <c r="AB278" s="47"/>
      <c r="AC278" s="47"/>
      <c r="AD278" s="47"/>
      <c r="AE278" s="47"/>
      <c r="AF278" s="47"/>
      <c r="AG278" s="47"/>
      <c r="AH278" s="47"/>
      <c r="AI278" s="47"/>
      <c r="AJ278" s="47"/>
      <c r="AK278" s="47"/>
      <c r="AL278" s="47"/>
      <c r="AM278" s="47"/>
      <c r="AN278" s="47"/>
      <c r="AO278" s="47"/>
      <c r="AP278" s="47"/>
      <c r="AQ278" s="47"/>
      <c r="AR278" s="47"/>
      <c r="AS278" s="47"/>
      <c r="AT278" s="47"/>
      <c r="AU278" s="47"/>
      <c r="AV278" s="47"/>
      <c r="AW278" s="47"/>
      <c r="AX278" s="47"/>
      <c r="AY278" s="47"/>
      <c r="AZ278" s="47"/>
      <c r="BA278" s="47"/>
      <c r="BB278" s="47"/>
      <c r="BC278" s="47"/>
      <c r="BD278" s="47"/>
      <c r="BE278" s="47"/>
      <c r="BF278" s="47"/>
      <c r="BG278" s="47"/>
      <c r="BH278" s="47"/>
      <c r="BI278" s="47"/>
      <c r="BJ278" s="47"/>
      <c r="BK278" s="47"/>
      <c r="BL278" s="47"/>
      <c r="BM278" s="47"/>
      <c r="BN278" s="47"/>
      <c r="BO278" s="47"/>
      <c r="BP278" s="47"/>
      <c r="BQ278" s="47"/>
      <c r="BR278" s="47"/>
      <c r="BS278" s="47"/>
      <c r="BT278" s="47"/>
      <c r="BU278" s="47"/>
      <c r="BV278" s="47"/>
      <c r="BW278" s="47"/>
      <c r="BX278" s="47"/>
      <c r="BY278" s="47"/>
      <c r="BZ278" s="47"/>
    </row>
    <row r="279" spans="1:78" ht="13">
      <c r="A279" s="152" t="str">
        <f ca="1">IFERROR(__xludf.DUMMYFUNCTION("""COMPUTED_VALUE"""),"Lizard Mask of the Shapeshifter")</f>
        <v>Lizard Mask of the Shapeshifter</v>
      </c>
      <c r="B279" s="47" t="str">
        <f ca="1">IFERROR(__xludf.DUMMYFUNCTION("TRANSPOSE(unique(filter(Recipes!A$2:A2490,(Recipes!L$2:L2490=A279)+(Recipes!O$2:O2490=A279)+(Recipes!R$2:R2490=A279)+(Recipes!U$2:U2490=A279)+(Recipes!X$2:X2490=A279))))"),"Mask of the Shapeshifter")</f>
        <v>Mask of the Shapeshifter</v>
      </c>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c r="AA279" s="47"/>
      <c r="AB279" s="47"/>
      <c r="AC279" s="47"/>
      <c r="AD279" s="47"/>
      <c r="AE279" s="47"/>
      <c r="AF279" s="47"/>
      <c r="AG279" s="47"/>
      <c r="AH279" s="47"/>
      <c r="AI279" s="47"/>
      <c r="AJ279" s="47"/>
      <c r="AK279" s="47"/>
      <c r="AL279" s="47"/>
      <c r="AM279" s="47"/>
      <c r="AN279" s="47"/>
      <c r="AO279" s="47"/>
      <c r="AP279" s="47"/>
      <c r="AQ279" s="47"/>
      <c r="AR279" s="47"/>
      <c r="AS279" s="47"/>
      <c r="AT279" s="47"/>
      <c r="AU279" s="47"/>
      <c r="AV279" s="47"/>
      <c r="AW279" s="47"/>
      <c r="AX279" s="47"/>
      <c r="AY279" s="47"/>
      <c r="AZ279" s="47"/>
      <c r="BA279" s="47"/>
      <c r="BB279" s="47"/>
      <c r="BC279" s="47"/>
      <c r="BD279" s="47"/>
      <c r="BE279" s="47"/>
      <c r="BF279" s="47"/>
      <c r="BG279" s="47"/>
      <c r="BH279" s="47"/>
      <c r="BI279" s="47"/>
      <c r="BJ279" s="47"/>
      <c r="BK279" s="47"/>
      <c r="BL279" s="47"/>
      <c r="BM279" s="47"/>
      <c r="BN279" s="47"/>
      <c r="BO279" s="47"/>
      <c r="BP279" s="47"/>
      <c r="BQ279" s="47"/>
      <c r="BR279" s="47"/>
      <c r="BS279" s="47"/>
      <c r="BT279" s="47"/>
      <c r="BU279" s="47"/>
      <c r="BV279" s="47"/>
      <c r="BW279" s="47"/>
      <c r="BX279" s="47"/>
      <c r="BY279" s="47"/>
      <c r="BZ279" s="47"/>
    </row>
    <row r="280" spans="1:78" ht="13">
      <c r="A280" s="152" t="str">
        <f ca="1">IFERROR(__xludf.DUMMYFUNCTION("""COMPUTED_VALUE"""),"Log")</f>
        <v>Log</v>
      </c>
      <c r="B280" s="47" t="str">
        <f ca="1">IFERROR(__xludf.DUMMYFUNCTION("TRANSPOSE(unique(filter(Recipes!A$2:A2490,(Recipes!L$2:L2490=A280)+(Recipes!O$2:O2490=A280)+(Recipes!R$2:R2490=A280)+(Recipes!U$2:U2490=A280)+(Recipes!X$2:X2490=A280))))"),"Long Branch")</f>
        <v>Long Branch</v>
      </c>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c r="AA280" s="47"/>
      <c r="AB280" s="47"/>
      <c r="AC280" s="47"/>
      <c r="AD280" s="47"/>
      <c r="AE280" s="47"/>
      <c r="AF280" s="47"/>
      <c r="AG280" s="47"/>
      <c r="AH280" s="47"/>
      <c r="AI280" s="47"/>
      <c r="AJ280" s="47"/>
      <c r="AK280" s="47"/>
      <c r="AL280" s="47"/>
      <c r="AM280" s="47"/>
      <c r="AN280" s="47"/>
      <c r="AO280" s="47"/>
      <c r="AP280" s="47"/>
      <c r="AQ280" s="47"/>
      <c r="AR280" s="47"/>
      <c r="AS280" s="47"/>
      <c r="AT280" s="47"/>
      <c r="AU280" s="47"/>
      <c r="AV280" s="47"/>
      <c r="AW280" s="47"/>
      <c r="AX280" s="47"/>
      <c r="AY280" s="47"/>
      <c r="AZ280" s="47"/>
      <c r="BA280" s="47"/>
      <c r="BB280" s="47"/>
      <c r="BC280" s="47"/>
      <c r="BD280" s="47"/>
      <c r="BE280" s="47"/>
      <c r="BF280" s="47"/>
      <c r="BG280" s="47"/>
      <c r="BH280" s="47"/>
      <c r="BI280" s="47"/>
      <c r="BJ280" s="47"/>
      <c r="BK280" s="47"/>
      <c r="BL280" s="47"/>
      <c r="BM280" s="47"/>
      <c r="BN280" s="47"/>
      <c r="BO280" s="47"/>
      <c r="BP280" s="47"/>
      <c r="BQ280" s="47"/>
      <c r="BR280" s="47"/>
      <c r="BS280" s="47"/>
      <c r="BT280" s="47"/>
      <c r="BU280" s="47"/>
      <c r="BV280" s="47"/>
      <c r="BW280" s="47"/>
      <c r="BX280" s="47"/>
      <c r="BY280" s="47"/>
      <c r="BZ280" s="47"/>
    </row>
    <row r="281" spans="1:78" ht="13">
      <c r="A281" s="152" t="str">
        <f ca="1">IFERROR(__xludf.DUMMYFUNCTION("""COMPUTED_VALUE"""),"Long Branch")</f>
        <v>Long Branch</v>
      </c>
      <c r="B281" s="47" t="str">
        <f ca="1">IFERROR(__xludf.DUMMYFUNCTION("TRANSPOSE(unique(filter(Recipes!A$2:A2490,(Recipes!L$2:L2490=A281)+(Recipes!O$2:O2490=A281)+(Recipes!R$2:R2490=A281)+(Recipes!U$2:U2490=A281)+(Recipes!X$2:X2490=A281))))"),"Short Stick")</f>
        <v>Short Stick</v>
      </c>
      <c r="C281" s="47" t="str">
        <f ca="1">IFERROR(__xludf.DUMMYFUNCTION("""COMPUTED_VALUE"""),"Improvised Shovel")</f>
        <v>Improvised Shovel</v>
      </c>
      <c r="D281" s="47" t="str">
        <f ca="1">IFERROR(__xludf.DUMMYFUNCTION("""COMPUTED_VALUE"""),"Improvised Staff")</f>
        <v>Improvised Staff</v>
      </c>
      <c r="E281" s="47" t="str">
        <f ca="1">IFERROR(__xludf.DUMMYFUNCTION("""COMPUTED_VALUE"""),"Makeshift Club [1H]")</f>
        <v>Makeshift Club [1H]</v>
      </c>
      <c r="F281" s="47" t="str">
        <f ca="1">IFERROR(__xludf.DUMMYFUNCTION("""COMPUTED_VALUE"""),"Makeshift Club [2H]")</f>
        <v>Makeshift Club [2H]</v>
      </c>
      <c r="G281" s="47" t="str">
        <f ca="1">IFERROR(__xludf.DUMMYFUNCTION("""COMPUTED_VALUE"""),"Primitive Harpoon")</f>
        <v>Primitive Harpoon</v>
      </c>
      <c r="H281" s="47" t="str">
        <f ca="1">IFERROR(__xludf.DUMMYFUNCTION("""COMPUTED_VALUE"""),"Sharp Stone on a Long Stick")</f>
        <v>Sharp Stone on a Long Stick</v>
      </c>
      <c r="I281" s="47" t="str">
        <f ca="1">IFERROR(__xludf.DUMMYFUNCTION("""COMPUTED_VALUE"""),"Toy Crossbow")</f>
        <v>Toy Crossbow</v>
      </c>
      <c r="J281" s="47"/>
      <c r="K281" s="47"/>
      <c r="L281" s="47"/>
      <c r="M281" s="47"/>
      <c r="N281" s="47"/>
      <c r="O281" s="47"/>
      <c r="P281" s="47"/>
      <c r="Q281" s="47"/>
      <c r="R281" s="47"/>
      <c r="S281" s="47"/>
      <c r="T281" s="47"/>
      <c r="U281" s="47"/>
      <c r="V281" s="47"/>
      <c r="W281" s="47"/>
      <c r="X281" s="47"/>
      <c r="Y281" s="47"/>
      <c r="Z281" s="47"/>
      <c r="AA281" s="47"/>
      <c r="AB281" s="47"/>
      <c r="AC281" s="47"/>
      <c r="AD281" s="47"/>
      <c r="AE281" s="47"/>
      <c r="AF281" s="47"/>
      <c r="AG281" s="47"/>
      <c r="AH281" s="47"/>
      <c r="AI281" s="47"/>
      <c r="AJ281" s="47"/>
      <c r="AK281" s="47"/>
      <c r="AL281" s="47"/>
      <c r="AM281" s="47"/>
      <c r="AN281" s="47"/>
      <c r="AO281" s="47"/>
      <c r="AP281" s="47"/>
      <c r="AQ281" s="47"/>
      <c r="AR281" s="47"/>
      <c r="AS281" s="47"/>
      <c r="AT281" s="47"/>
      <c r="AU281" s="47"/>
      <c r="AV281" s="47"/>
      <c r="AW281" s="47"/>
      <c r="AX281" s="47"/>
      <c r="AY281" s="47"/>
      <c r="AZ281" s="47"/>
      <c r="BA281" s="47"/>
      <c r="BB281" s="47"/>
      <c r="BC281" s="47"/>
      <c r="BD281" s="47"/>
      <c r="BE281" s="47"/>
      <c r="BF281" s="47"/>
      <c r="BG281" s="47"/>
      <c r="BH281" s="47"/>
      <c r="BI281" s="47"/>
      <c r="BJ281" s="47"/>
      <c r="BK281" s="47"/>
      <c r="BL281" s="47"/>
      <c r="BM281" s="47"/>
      <c r="BN281" s="47"/>
      <c r="BO281" s="47"/>
      <c r="BP281" s="47"/>
      <c r="BQ281" s="47"/>
      <c r="BR281" s="47"/>
      <c r="BS281" s="47"/>
      <c r="BT281" s="47"/>
      <c r="BU281" s="47"/>
      <c r="BV281" s="47"/>
      <c r="BW281" s="47"/>
      <c r="BX281" s="47"/>
      <c r="BY281" s="47"/>
      <c r="BZ281" s="47"/>
    </row>
    <row r="282" spans="1:78" ht="13">
      <c r="A282" s="152" t="str">
        <f ca="1">IFERROR(__xludf.DUMMYFUNCTION("""COMPUTED_VALUE"""),"Long Rat Tail")</f>
        <v>Long Rat Tail</v>
      </c>
      <c r="B282" s="47" t="str">
        <f ca="1">IFERROR(__xludf.DUMMYFUNCTION("TRANSPOSE(unique(filter(Recipes!A$2:A2490,(Recipes!L$2:L2490=A282)+(Recipes!O$2:O2490=A282)+(Recipes!R$2:R2490=A282)+(Recipes!U$2:U2490=A282)+(Recipes!X$2:X2490=A282))))"),"Chameleon Cloak Scroll")</f>
        <v>Chameleon Cloak Scroll</v>
      </c>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c r="AA282" s="47"/>
      <c r="AB282" s="47"/>
      <c r="AC282" s="47"/>
      <c r="AD282" s="47"/>
      <c r="AE282" s="47"/>
      <c r="AF282" s="47"/>
      <c r="AG282" s="47"/>
      <c r="AH282" s="47"/>
      <c r="AI282" s="47"/>
      <c r="AJ282" s="47"/>
      <c r="AK282" s="47"/>
      <c r="AL282" s="47"/>
      <c r="AM282" s="47"/>
      <c r="AN282" s="47"/>
      <c r="AO282" s="47"/>
      <c r="AP282" s="47"/>
      <c r="AQ282" s="47"/>
      <c r="AR282" s="47"/>
      <c r="AS282" s="47"/>
      <c r="AT282" s="47"/>
      <c r="AU282" s="47"/>
      <c r="AV282" s="47"/>
      <c r="AW282" s="47"/>
      <c r="AX282" s="47"/>
      <c r="AY282" s="47"/>
      <c r="AZ282" s="47"/>
      <c r="BA282" s="47"/>
      <c r="BB282" s="47"/>
      <c r="BC282" s="47"/>
      <c r="BD282" s="47"/>
      <c r="BE282" s="47"/>
      <c r="BF282" s="47"/>
      <c r="BG282" s="47"/>
      <c r="BH282" s="47"/>
      <c r="BI282" s="47"/>
      <c r="BJ282" s="47"/>
      <c r="BK282" s="47"/>
      <c r="BL282" s="47"/>
      <c r="BM282" s="47"/>
      <c r="BN282" s="47"/>
      <c r="BO282" s="47"/>
      <c r="BP282" s="47"/>
      <c r="BQ282" s="47"/>
      <c r="BR282" s="47"/>
      <c r="BS282" s="47"/>
      <c r="BT282" s="47"/>
      <c r="BU282" s="47"/>
      <c r="BV282" s="47"/>
      <c r="BW282" s="47"/>
      <c r="BX282" s="47"/>
      <c r="BY282" s="47"/>
      <c r="BZ282" s="47"/>
    </row>
    <row r="283" spans="1:78" ht="13">
      <c r="A283" s="152" t="str">
        <f ca="1">IFERROR(__xludf.DUMMYFUNCTION("""COMPUTED_VALUE"""),"Lucky Rabbit's Paw")</f>
        <v>Lucky Rabbit's Paw</v>
      </c>
      <c r="B283" s="47" t="str">
        <f ca="1">IFERROR(__xludf.DUMMYFUNCTION("TRANSPOSE(unique(filter(Recipes!A$2:A2490,(Recipes!L$2:L2490=A283)+(Recipes!O$2:O2490=A283)+(Recipes!R$2:R2490=A283)+(Recipes!U$2:U2490=A283)+(Recipes!X$2:X2490=A283))))"),"Closed Circuit Scroll")</f>
        <v>Closed Circuit Scroll</v>
      </c>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c r="AA283" s="47"/>
      <c r="AB283" s="47"/>
      <c r="AC283" s="47"/>
      <c r="AD283" s="47"/>
      <c r="AE283" s="47"/>
      <c r="AF283" s="47"/>
      <c r="AG283" s="47"/>
      <c r="AH283" s="47"/>
      <c r="AI283" s="47"/>
      <c r="AJ283" s="47"/>
      <c r="AK283" s="47"/>
      <c r="AL283" s="47"/>
      <c r="AM283" s="47"/>
      <c r="AN283" s="47"/>
      <c r="AO283" s="47"/>
      <c r="AP283" s="47"/>
      <c r="AQ283" s="47"/>
      <c r="AR283" s="47"/>
      <c r="AS283" s="47"/>
      <c r="AT283" s="47"/>
      <c r="AU283" s="47"/>
      <c r="AV283" s="47"/>
      <c r="AW283" s="47"/>
      <c r="AX283" s="47"/>
      <c r="AY283" s="47"/>
      <c r="AZ283" s="47"/>
      <c r="BA283" s="47"/>
      <c r="BB283" s="47"/>
      <c r="BC283" s="47"/>
      <c r="BD283" s="47"/>
      <c r="BE283" s="47"/>
      <c r="BF283" s="47"/>
      <c r="BG283" s="47"/>
      <c r="BH283" s="47"/>
      <c r="BI283" s="47"/>
      <c r="BJ283" s="47"/>
      <c r="BK283" s="47"/>
      <c r="BL283" s="47"/>
      <c r="BM283" s="47"/>
      <c r="BN283" s="47"/>
      <c r="BO283" s="47"/>
      <c r="BP283" s="47"/>
      <c r="BQ283" s="47"/>
      <c r="BR283" s="47"/>
      <c r="BS283" s="47"/>
      <c r="BT283" s="47"/>
      <c r="BU283" s="47"/>
      <c r="BV283" s="47"/>
      <c r="BW283" s="47"/>
      <c r="BX283" s="47"/>
      <c r="BY283" s="47"/>
      <c r="BZ283" s="47"/>
    </row>
    <row r="284" spans="1:78" ht="13">
      <c r="A284" s="152" t="str">
        <f ca="1">IFERROR(__xludf.DUMMYFUNCTION("""COMPUTED_VALUE"""),"Mackerel")</f>
        <v>Mackerel</v>
      </c>
      <c r="B284" s="47" t="str">
        <f ca="1">IFERROR(__xludf.DUMMYFUNCTION("TRANSPOSE(unique(filter(Recipes!A$2:A2490,(Recipes!L$2:L2490=A284)+(Recipes!O$2:O2490=A284)+(Recipes!R$2:R2490=A284)+(Recipes!U$2:U2490=A284)+(Recipes!X$2:X2490=A284))))"),"Deep Freeze Scroll")</f>
        <v>Deep Freeze Scroll</v>
      </c>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c r="AA284" s="47"/>
      <c r="AB284" s="47"/>
      <c r="AC284" s="47"/>
      <c r="AD284" s="47"/>
      <c r="AE284" s="47"/>
      <c r="AF284" s="47"/>
      <c r="AG284" s="47"/>
      <c r="AH284" s="47"/>
      <c r="AI284" s="47"/>
      <c r="AJ284" s="47"/>
      <c r="AK284" s="47"/>
      <c r="AL284" s="47"/>
      <c r="AM284" s="47"/>
      <c r="AN284" s="47"/>
      <c r="AO284" s="47"/>
      <c r="AP284" s="47"/>
      <c r="AQ284" s="47"/>
      <c r="AR284" s="47"/>
      <c r="AS284" s="47"/>
      <c r="AT284" s="47"/>
      <c r="AU284" s="47"/>
      <c r="AV284" s="47"/>
      <c r="AW284" s="47"/>
      <c r="AX284" s="47"/>
      <c r="AY284" s="47"/>
      <c r="AZ284" s="47"/>
      <c r="BA284" s="47"/>
      <c r="BB284" s="47"/>
      <c r="BC284" s="47"/>
      <c r="BD284" s="47"/>
      <c r="BE284" s="47"/>
      <c r="BF284" s="47"/>
      <c r="BG284" s="47"/>
      <c r="BH284" s="47"/>
      <c r="BI284" s="47"/>
      <c r="BJ284" s="47"/>
      <c r="BK284" s="47"/>
      <c r="BL284" s="47"/>
      <c r="BM284" s="47"/>
      <c r="BN284" s="47"/>
      <c r="BO284" s="47"/>
      <c r="BP284" s="47"/>
      <c r="BQ284" s="47"/>
      <c r="BR284" s="47"/>
      <c r="BS284" s="47"/>
      <c r="BT284" s="47"/>
      <c r="BU284" s="47"/>
      <c r="BV284" s="47"/>
      <c r="BW284" s="47"/>
      <c r="BX284" s="47"/>
      <c r="BY284" s="47"/>
      <c r="BZ284" s="47"/>
    </row>
    <row r="285" spans="1:78" ht="13">
      <c r="A285" s="152" t="str">
        <f ca="1">IFERROR(__xludf.DUMMYFUNCTION("""COMPUTED_VALUE"""),"Meat")</f>
        <v>Meat</v>
      </c>
      <c r="B285" s="47" t="str">
        <f ca="1">IFERROR(__xludf.DUMMYFUNCTION("TRANSPOSE(unique(filter(Recipes!A$2:A2490,(Recipes!L$2:L2490=A285)+(Recipes!O$2:O2490=A285)+(Recipes!R$2:R2490=A285)+(Recipes!U$2:U2490=A285)+(Recipes!X$2:X2490=A285))))"),"Dinner")</f>
        <v>Dinner</v>
      </c>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c r="AA285" s="47"/>
      <c r="AB285" s="47"/>
      <c r="AC285" s="47"/>
      <c r="AD285" s="47"/>
      <c r="AE285" s="47"/>
      <c r="AF285" s="47"/>
      <c r="AG285" s="47"/>
      <c r="AH285" s="47"/>
      <c r="AI285" s="47"/>
      <c r="AJ285" s="47"/>
      <c r="AK285" s="47"/>
      <c r="AL285" s="47"/>
      <c r="AM285" s="47"/>
      <c r="AN285" s="47"/>
      <c r="AO285" s="47"/>
      <c r="AP285" s="47"/>
      <c r="AQ285" s="47"/>
      <c r="AR285" s="47"/>
      <c r="AS285" s="47"/>
      <c r="AT285" s="47"/>
      <c r="AU285" s="47"/>
      <c r="AV285" s="47"/>
      <c r="AW285" s="47"/>
      <c r="AX285" s="47"/>
      <c r="AY285" s="47"/>
      <c r="AZ285" s="47"/>
      <c r="BA285" s="47"/>
      <c r="BB285" s="47"/>
      <c r="BC285" s="47"/>
      <c r="BD285" s="47"/>
      <c r="BE285" s="47"/>
      <c r="BF285" s="47"/>
      <c r="BG285" s="47"/>
      <c r="BH285" s="47"/>
      <c r="BI285" s="47"/>
      <c r="BJ285" s="47"/>
      <c r="BK285" s="47"/>
      <c r="BL285" s="47"/>
      <c r="BM285" s="47"/>
      <c r="BN285" s="47"/>
      <c r="BO285" s="47"/>
      <c r="BP285" s="47"/>
      <c r="BQ285" s="47"/>
      <c r="BR285" s="47"/>
      <c r="BS285" s="47"/>
      <c r="BT285" s="47"/>
      <c r="BU285" s="47"/>
      <c r="BV285" s="47"/>
      <c r="BW285" s="47"/>
      <c r="BX285" s="47"/>
      <c r="BY285" s="47"/>
      <c r="BZ285" s="47"/>
    </row>
    <row r="286" spans="1:78" ht="13">
      <c r="A286" s="152" t="str">
        <f ca="1">IFERROR(__xludf.DUMMYFUNCTION("""COMPUTED_VALUE"""),"Meaty Stew")</f>
        <v>Meaty Stew</v>
      </c>
      <c r="B286" s="47" t="str">
        <f ca="1">IFERROR(__xludf.DUMMYFUNCTION("TRANSPOSE(unique(filter(Recipes!A$2:A2490,(Recipes!L$2:L2490=A286)+(Recipes!O$2:O2490=A286)+(Recipes!R$2:R2490=A286)+(Recipes!U$2:U2490=A286)+(Recipes!X$2:X2490=A286))))"),"Tainted Stew")</f>
        <v>Tainted Stew</v>
      </c>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c r="AA286" s="47"/>
      <c r="AB286" s="47"/>
      <c r="AC286" s="47"/>
      <c r="AD286" s="47"/>
      <c r="AE286" s="47"/>
      <c r="AF286" s="47"/>
      <c r="AG286" s="47"/>
      <c r="AH286" s="47"/>
      <c r="AI286" s="47"/>
      <c r="AJ286" s="47"/>
      <c r="AK286" s="47"/>
      <c r="AL286" s="47"/>
      <c r="AM286" s="47"/>
      <c r="AN286" s="47"/>
      <c r="AO286" s="47"/>
      <c r="AP286" s="47"/>
      <c r="AQ286" s="47"/>
      <c r="AR286" s="47"/>
      <c r="AS286" s="47"/>
      <c r="AT286" s="47"/>
      <c r="AU286" s="47"/>
      <c r="AV286" s="47"/>
      <c r="AW286" s="47"/>
      <c r="AX286" s="47"/>
      <c r="AY286" s="47"/>
      <c r="AZ286" s="47"/>
      <c r="BA286" s="47"/>
      <c r="BB286" s="47"/>
      <c r="BC286" s="47"/>
      <c r="BD286" s="47"/>
      <c r="BE286" s="47"/>
      <c r="BF286" s="47"/>
      <c r="BG286" s="47"/>
      <c r="BH286" s="47"/>
      <c r="BI286" s="47"/>
      <c r="BJ286" s="47"/>
      <c r="BK286" s="47"/>
      <c r="BL286" s="47"/>
      <c r="BM286" s="47"/>
      <c r="BN286" s="47"/>
      <c r="BO286" s="47"/>
      <c r="BP286" s="47"/>
      <c r="BQ286" s="47"/>
      <c r="BR286" s="47"/>
      <c r="BS286" s="47"/>
      <c r="BT286" s="47"/>
      <c r="BU286" s="47"/>
      <c r="BV286" s="47"/>
      <c r="BW286" s="47"/>
      <c r="BX286" s="47"/>
      <c r="BY286" s="47"/>
      <c r="BZ286" s="47"/>
    </row>
    <row r="287" spans="1:78" ht="13">
      <c r="A287" s="152" t="str">
        <f ca="1">IFERROR(__xludf.DUMMYFUNCTION("""COMPUTED_VALUE"""),"Medium Air Resistance Potion")</f>
        <v>Medium Air Resistance Potion</v>
      </c>
      <c r="B287" s="47" t="str">
        <f ca="1">IFERROR(__xludf.DUMMYFUNCTION("TRANSPOSE(unique(filter(Recipes!A$2:A2490,(Recipes!L$2:L2490=A287)+(Recipes!O$2:O2490=A287)+(Recipes!R$2:R2490=A287)+(Recipes!U$2:U2490=A287)+(Recipes!X$2:X2490=A287))))"),"Large Air Resistance Potion")</f>
        <v>Large Air Resistance Potion</v>
      </c>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c r="AA287" s="47"/>
      <c r="AB287" s="47"/>
      <c r="AC287" s="47"/>
      <c r="AD287" s="47"/>
      <c r="AE287" s="47"/>
      <c r="AF287" s="47"/>
      <c r="AG287" s="47"/>
      <c r="AH287" s="47"/>
      <c r="AI287" s="47"/>
      <c r="AJ287" s="47"/>
      <c r="AK287" s="47"/>
      <c r="AL287" s="47"/>
      <c r="AM287" s="47"/>
      <c r="AN287" s="47"/>
      <c r="AO287" s="47"/>
      <c r="AP287" s="47"/>
      <c r="AQ287" s="47"/>
      <c r="AR287" s="47"/>
      <c r="AS287" s="47"/>
      <c r="AT287" s="47"/>
      <c r="AU287" s="47"/>
      <c r="AV287" s="47"/>
      <c r="AW287" s="47"/>
      <c r="AX287" s="47"/>
      <c r="AY287" s="47"/>
      <c r="AZ287" s="47"/>
      <c r="BA287" s="47"/>
      <c r="BB287" s="47"/>
      <c r="BC287" s="47"/>
      <c r="BD287" s="47"/>
      <c r="BE287" s="47"/>
      <c r="BF287" s="47"/>
      <c r="BG287" s="47"/>
      <c r="BH287" s="47"/>
      <c r="BI287" s="47"/>
      <c r="BJ287" s="47"/>
      <c r="BK287" s="47"/>
      <c r="BL287" s="47"/>
      <c r="BM287" s="47"/>
      <c r="BN287" s="47"/>
      <c r="BO287" s="47"/>
      <c r="BP287" s="47"/>
      <c r="BQ287" s="47"/>
      <c r="BR287" s="47"/>
      <c r="BS287" s="47"/>
      <c r="BT287" s="47"/>
      <c r="BU287" s="47"/>
      <c r="BV287" s="47"/>
      <c r="BW287" s="47"/>
      <c r="BX287" s="47"/>
      <c r="BY287" s="47"/>
      <c r="BZ287" s="47"/>
    </row>
    <row r="288" spans="1:78" ht="13">
      <c r="A288" s="152" t="str">
        <f ca="1">IFERROR(__xludf.DUMMYFUNCTION("""COMPUTED_VALUE"""),"Medium Earth Resistance Potion")</f>
        <v>Medium Earth Resistance Potion</v>
      </c>
      <c r="B288" s="47" t="str">
        <f ca="1">IFERROR(__xludf.DUMMYFUNCTION("TRANSPOSE(unique(filter(Recipes!A$2:A2490,(Recipes!L$2:L2490=A288)+(Recipes!O$2:O2490=A288)+(Recipes!R$2:R2490=A288)+(Recipes!U$2:U2490=A288)+(Recipes!X$2:X2490=A288))))"),"Large Earth Resistance Potion")</f>
        <v>Large Earth Resistance Potion</v>
      </c>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c r="AA288" s="47"/>
      <c r="AB288" s="47"/>
      <c r="AC288" s="47"/>
      <c r="AD288" s="47"/>
      <c r="AE288" s="47"/>
      <c r="AF288" s="47"/>
      <c r="AG288" s="47"/>
      <c r="AH288" s="47"/>
      <c r="AI288" s="47"/>
      <c r="AJ288" s="47"/>
      <c r="AK288" s="47"/>
      <c r="AL288" s="47"/>
      <c r="AM288" s="47"/>
      <c r="AN288" s="47"/>
      <c r="AO288" s="47"/>
      <c r="AP288" s="47"/>
      <c r="AQ288" s="47"/>
      <c r="AR288" s="47"/>
      <c r="AS288" s="47"/>
      <c r="AT288" s="47"/>
      <c r="AU288" s="47"/>
      <c r="AV288" s="47"/>
      <c r="AW288" s="47"/>
      <c r="AX288" s="47"/>
      <c r="AY288" s="47"/>
      <c r="AZ288" s="47"/>
      <c r="BA288" s="47"/>
      <c r="BB288" s="47"/>
      <c r="BC288" s="47"/>
      <c r="BD288" s="47"/>
      <c r="BE288" s="47"/>
      <c r="BF288" s="47"/>
      <c r="BG288" s="47"/>
      <c r="BH288" s="47"/>
      <c r="BI288" s="47"/>
      <c r="BJ288" s="47"/>
      <c r="BK288" s="47"/>
      <c r="BL288" s="47"/>
      <c r="BM288" s="47"/>
      <c r="BN288" s="47"/>
      <c r="BO288" s="47"/>
      <c r="BP288" s="47"/>
      <c r="BQ288" s="47"/>
      <c r="BR288" s="47"/>
      <c r="BS288" s="47"/>
      <c r="BT288" s="47"/>
      <c r="BU288" s="47"/>
      <c r="BV288" s="47"/>
      <c r="BW288" s="47"/>
      <c r="BX288" s="47"/>
      <c r="BY288" s="47"/>
      <c r="BZ288" s="47"/>
    </row>
    <row r="289" spans="1:78" ht="13">
      <c r="A289" s="152" t="str">
        <f ca="1">IFERROR(__xludf.DUMMYFUNCTION("""COMPUTED_VALUE"""),"Medium Fire Resistance Potion")</f>
        <v>Medium Fire Resistance Potion</v>
      </c>
      <c r="B289" s="47" t="str">
        <f ca="1">IFERROR(__xludf.DUMMYFUNCTION("TRANSPOSE(unique(filter(Recipes!A$2:A2490,(Recipes!L$2:L2490=A289)+(Recipes!O$2:O2490=A289)+(Recipes!R$2:R2490=A289)+(Recipes!U$2:U2490=A289)+(Recipes!X$2:X2490=A289))))"),"Large Fire Resistance Potion")</f>
        <v>Large Fire Resistance Potion</v>
      </c>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c r="AA289" s="47"/>
      <c r="AB289" s="47"/>
      <c r="AC289" s="47"/>
      <c r="AD289" s="47"/>
      <c r="AE289" s="47"/>
      <c r="AF289" s="47"/>
      <c r="AG289" s="47"/>
      <c r="AH289" s="47"/>
      <c r="AI289" s="47"/>
      <c r="AJ289" s="47"/>
      <c r="AK289" s="47"/>
      <c r="AL289" s="47"/>
      <c r="AM289" s="47"/>
      <c r="AN289" s="47"/>
      <c r="AO289" s="47"/>
      <c r="AP289" s="47"/>
      <c r="AQ289" s="47"/>
      <c r="AR289" s="47"/>
      <c r="AS289" s="47"/>
      <c r="AT289" s="47"/>
      <c r="AU289" s="47"/>
      <c r="AV289" s="47"/>
      <c r="AW289" s="47"/>
      <c r="AX289" s="47"/>
      <c r="AY289" s="47"/>
      <c r="AZ289" s="47"/>
      <c r="BA289" s="47"/>
      <c r="BB289" s="47"/>
      <c r="BC289" s="47"/>
      <c r="BD289" s="47"/>
      <c r="BE289" s="47"/>
      <c r="BF289" s="47"/>
      <c r="BG289" s="47"/>
      <c r="BH289" s="47"/>
      <c r="BI289" s="47"/>
      <c r="BJ289" s="47"/>
      <c r="BK289" s="47"/>
      <c r="BL289" s="47"/>
      <c r="BM289" s="47"/>
      <c r="BN289" s="47"/>
      <c r="BO289" s="47"/>
      <c r="BP289" s="47"/>
      <c r="BQ289" s="47"/>
      <c r="BR289" s="47"/>
      <c r="BS289" s="47"/>
      <c r="BT289" s="47"/>
      <c r="BU289" s="47"/>
      <c r="BV289" s="47"/>
      <c r="BW289" s="47"/>
      <c r="BX289" s="47"/>
      <c r="BY289" s="47"/>
      <c r="BZ289" s="47"/>
    </row>
    <row r="290" spans="1:78" ht="13">
      <c r="A290" s="152" t="str">
        <f ca="1">IFERROR(__xludf.DUMMYFUNCTION("""COMPUTED_VALUE"""),"Medium Flame Rune")</f>
        <v>Medium Flame Rune</v>
      </c>
      <c r="B290" s="47" t="str">
        <f ca="1">IFERROR(__xludf.DUMMYFUNCTION("TRANSPOSE(unique(filter(Recipes!A$2:A2490,(Recipes!L$2:L2490=A290)+(Recipes!O$2:O2490=A290)+(Recipes!R$2:R2490=A290)+(Recipes!U$2:U2490=A290)+(Recipes!X$2:X2490=A290))))"),"Large Flame Rune")</f>
        <v>Large Flame Rune</v>
      </c>
      <c r="C290" s="47" t="str">
        <f ca="1">IFERROR(__xludf.DUMMYFUNCTION("""COMPUTED_VALUE"""),"Medium Flame Rune of Power")</f>
        <v>Medium Flame Rune of Power</v>
      </c>
      <c r="D290" s="47" t="str">
        <f ca="1">IFERROR(__xludf.DUMMYFUNCTION("""COMPUTED_VALUE"""),"Mystical Medium Flame Rune")</f>
        <v>Mystical Medium Flame Rune</v>
      </c>
      <c r="E290" s="47"/>
      <c r="F290" s="47"/>
      <c r="G290" s="47"/>
      <c r="H290" s="47"/>
      <c r="I290" s="47"/>
      <c r="J290" s="47"/>
      <c r="K290" s="47"/>
      <c r="L290" s="47"/>
      <c r="M290" s="47"/>
      <c r="N290" s="47"/>
      <c r="O290" s="47"/>
      <c r="P290" s="47"/>
      <c r="Q290" s="47"/>
      <c r="R290" s="47"/>
      <c r="S290" s="47"/>
      <c r="T290" s="47"/>
      <c r="U290" s="47"/>
      <c r="V290" s="47"/>
      <c r="W290" s="47"/>
      <c r="X290" s="47"/>
      <c r="Y290" s="47"/>
      <c r="Z290" s="47"/>
      <c r="AA290" s="47"/>
      <c r="AB290" s="47"/>
      <c r="AC290" s="47"/>
      <c r="AD290" s="47"/>
      <c r="AE290" s="47"/>
      <c r="AF290" s="47"/>
      <c r="AG290" s="47"/>
      <c r="AH290" s="47"/>
      <c r="AI290" s="47"/>
      <c r="AJ290" s="47"/>
      <c r="AK290" s="47"/>
      <c r="AL290" s="47"/>
      <c r="AM290" s="47"/>
      <c r="AN290" s="47"/>
      <c r="AO290" s="47"/>
      <c r="AP290" s="47"/>
      <c r="AQ290" s="47"/>
      <c r="AR290" s="47"/>
      <c r="AS290" s="47"/>
      <c r="AT290" s="47"/>
      <c r="AU290" s="47"/>
      <c r="AV290" s="47"/>
      <c r="AW290" s="47"/>
      <c r="AX290" s="47"/>
      <c r="AY290" s="47"/>
      <c r="AZ290" s="47"/>
      <c r="BA290" s="47"/>
      <c r="BB290" s="47"/>
      <c r="BC290" s="47"/>
      <c r="BD290" s="47"/>
      <c r="BE290" s="47"/>
      <c r="BF290" s="47"/>
      <c r="BG290" s="47"/>
      <c r="BH290" s="47"/>
      <c r="BI290" s="47"/>
      <c r="BJ290" s="47"/>
      <c r="BK290" s="47"/>
      <c r="BL290" s="47"/>
      <c r="BM290" s="47"/>
      <c r="BN290" s="47"/>
      <c r="BO290" s="47"/>
      <c r="BP290" s="47"/>
      <c r="BQ290" s="47"/>
      <c r="BR290" s="47"/>
      <c r="BS290" s="47"/>
      <c r="BT290" s="47"/>
      <c r="BU290" s="47"/>
      <c r="BV290" s="47"/>
      <c r="BW290" s="47"/>
      <c r="BX290" s="47"/>
      <c r="BY290" s="47"/>
      <c r="BZ290" s="47"/>
    </row>
    <row r="291" spans="1:78" ht="13">
      <c r="A291" s="152" t="str">
        <f ca="1">IFERROR(__xludf.DUMMYFUNCTION("""COMPUTED_VALUE"""),"Medium Frost Rune")</f>
        <v>Medium Frost Rune</v>
      </c>
      <c r="B291" s="47" t="str">
        <f ca="1">IFERROR(__xludf.DUMMYFUNCTION("TRANSPOSE(unique(filter(Recipes!A$2:A2490,(Recipes!L$2:L2490=A291)+(Recipes!O$2:O2490=A291)+(Recipes!R$2:R2490=A291)+(Recipes!U$2:U2490=A291)+(Recipes!X$2:X2490=A291))))"),"Large Frost Rune")</f>
        <v>Large Frost Rune</v>
      </c>
      <c r="C291" s="47" t="str">
        <f ca="1">IFERROR(__xludf.DUMMYFUNCTION("""COMPUTED_VALUE"""),"Medium Frost Rune of Power")</f>
        <v>Medium Frost Rune of Power</v>
      </c>
      <c r="D291" s="47" t="str">
        <f ca="1">IFERROR(__xludf.DUMMYFUNCTION("""COMPUTED_VALUE"""),"Mystical Medium Frost Rune")</f>
        <v>Mystical Medium Frost Rune</v>
      </c>
      <c r="E291" s="47"/>
      <c r="F291" s="47"/>
      <c r="G291" s="47"/>
      <c r="H291" s="47"/>
      <c r="I291" s="47"/>
      <c r="J291" s="47"/>
      <c r="K291" s="47"/>
      <c r="L291" s="47"/>
      <c r="M291" s="47"/>
      <c r="N291" s="47"/>
      <c r="O291" s="47"/>
      <c r="P291" s="47"/>
      <c r="Q291" s="47"/>
      <c r="R291" s="47"/>
      <c r="S291" s="47"/>
      <c r="T291" s="47"/>
      <c r="U291" s="47"/>
      <c r="V291" s="47"/>
      <c r="W291" s="47"/>
      <c r="X291" s="47"/>
      <c r="Y291" s="47"/>
      <c r="Z291" s="47"/>
      <c r="AA291" s="47"/>
      <c r="AB291" s="47"/>
      <c r="AC291" s="47"/>
      <c r="AD291" s="47"/>
      <c r="AE291" s="47"/>
      <c r="AF291" s="47"/>
      <c r="AG291" s="47"/>
      <c r="AH291" s="47"/>
      <c r="AI291" s="47"/>
      <c r="AJ291" s="47"/>
      <c r="AK291" s="47"/>
      <c r="AL291" s="47"/>
      <c r="AM291" s="47"/>
      <c r="AN291" s="47"/>
      <c r="AO291" s="47"/>
      <c r="AP291" s="47"/>
      <c r="AQ291" s="47"/>
      <c r="AR291" s="47"/>
      <c r="AS291" s="47"/>
      <c r="AT291" s="47"/>
      <c r="AU291" s="47"/>
      <c r="AV291" s="47"/>
      <c r="AW291" s="47"/>
      <c r="AX291" s="47"/>
      <c r="AY291" s="47"/>
      <c r="AZ291" s="47"/>
      <c r="BA291" s="47"/>
      <c r="BB291" s="47"/>
      <c r="BC291" s="47"/>
      <c r="BD291" s="47"/>
      <c r="BE291" s="47"/>
      <c r="BF291" s="47"/>
      <c r="BG291" s="47"/>
      <c r="BH291" s="47"/>
      <c r="BI291" s="47"/>
      <c r="BJ291" s="47"/>
      <c r="BK291" s="47"/>
      <c r="BL291" s="47"/>
      <c r="BM291" s="47"/>
      <c r="BN291" s="47"/>
      <c r="BO291" s="47"/>
      <c r="BP291" s="47"/>
      <c r="BQ291" s="47"/>
      <c r="BR291" s="47"/>
      <c r="BS291" s="47"/>
      <c r="BT291" s="47"/>
      <c r="BU291" s="47"/>
      <c r="BV291" s="47"/>
      <c r="BW291" s="47"/>
      <c r="BX291" s="47"/>
      <c r="BY291" s="47"/>
      <c r="BZ291" s="47"/>
    </row>
    <row r="292" spans="1:78" ht="13">
      <c r="A292" s="152" t="str">
        <f ca="1">IFERROR(__xludf.DUMMYFUNCTION("""COMPUTED_VALUE"""),"Medium Healing Potion")</f>
        <v>Medium Healing Potion</v>
      </c>
      <c r="B292" s="47" t="str">
        <f ca="1">IFERROR(__xludf.DUMMYFUNCTION("TRANSPOSE(unique(filter(Recipes!A$2:A2490,(Recipes!L$2:L2490=A292)+(Recipes!O$2:O2490=A292)+(Recipes!R$2:R2490=A292)+(Recipes!U$2:U2490=A292)+(Recipes!X$2:X2490=A292))))"),"Healing Potion [Large]")</f>
        <v>Healing Potion [Large]</v>
      </c>
      <c r="C292" s="47" t="str">
        <f ca="1">IFERROR(__xludf.DUMMYFUNCTION("""COMPUTED_VALUE"""),"Medium Poison Bottle")</f>
        <v>Medium Poison Bottle</v>
      </c>
      <c r="D292" s="47"/>
      <c r="E292" s="47"/>
      <c r="F292" s="47"/>
      <c r="G292" s="47"/>
      <c r="H292" s="47"/>
      <c r="I292" s="47"/>
      <c r="J292" s="47"/>
      <c r="K292" s="47"/>
      <c r="L292" s="47"/>
      <c r="M292" s="47"/>
      <c r="N292" s="47"/>
      <c r="O292" s="47"/>
      <c r="P292" s="47"/>
      <c r="Q292" s="47"/>
      <c r="R292" s="47"/>
      <c r="S292" s="47"/>
      <c r="T292" s="47"/>
      <c r="U292" s="47"/>
      <c r="V292" s="47"/>
      <c r="W292" s="47"/>
      <c r="X292" s="47"/>
      <c r="Y292" s="47"/>
      <c r="Z292" s="47"/>
      <c r="AA292" s="47"/>
      <c r="AB292" s="47"/>
      <c r="AC292" s="47"/>
      <c r="AD292" s="47"/>
      <c r="AE292" s="47"/>
      <c r="AF292" s="47"/>
      <c r="AG292" s="47"/>
      <c r="AH292" s="47"/>
      <c r="AI292" s="47"/>
      <c r="AJ292" s="47"/>
      <c r="AK292" s="47"/>
      <c r="AL292" s="47"/>
      <c r="AM292" s="47"/>
      <c r="AN292" s="47"/>
      <c r="AO292" s="47"/>
      <c r="AP292" s="47"/>
      <c r="AQ292" s="47"/>
      <c r="AR292" s="47"/>
      <c r="AS292" s="47"/>
      <c r="AT292" s="47"/>
      <c r="AU292" s="47"/>
      <c r="AV292" s="47"/>
      <c r="AW292" s="47"/>
      <c r="AX292" s="47"/>
      <c r="AY292" s="47"/>
      <c r="AZ292" s="47"/>
      <c r="BA292" s="47"/>
      <c r="BB292" s="47"/>
      <c r="BC292" s="47"/>
      <c r="BD292" s="47"/>
      <c r="BE292" s="47"/>
      <c r="BF292" s="47"/>
      <c r="BG292" s="47"/>
      <c r="BH292" s="47"/>
      <c r="BI292" s="47"/>
      <c r="BJ292" s="47"/>
      <c r="BK292" s="47"/>
      <c r="BL292" s="47"/>
      <c r="BM292" s="47"/>
      <c r="BN292" s="47"/>
      <c r="BO292" s="47"/>
      <c r="BP292" s="47"/>
      <c r="BQ292" s="47"/>
      <c r="BR292" s="47"/>
      <c r="BS292" s="47"/>
      <c r="BT292" s="47"/>
      <c r="BU292" s="47"/>
      <c r="BV292" s="47"/>
      <c r="BW292" s="47"/>
      <c r="BX292" s="47"/>
      <c r="BY292" s="47"/>
      <c r="BZ292" s="47"/>
    </row>
    <row r="293" spans="1:78" ht="13">
      <c r="A293" s="152" t="str">
        <f ca="1">IFERROR(__xludf.DUMMYFUNCTION("""COMPUTED_VALUE"""),"Medium Magic Armor Potion")</f>
        <v>Medium Magic Armor Potion</v>
      </c>
      <c r="B293" s="47" t="str">
        <f ca="1">IFERROR(__xludf.DUMMYFUNCTION("TRANSPOSE(unique(filter(Recipes!A$2:A2490,(Recipes!L$2:L2490=A293)+(Recipes!O$2:O2490=A293)+(Recipes!R$2:R2490=A293)+(Recipes!U$2:U2490=A293)+(Recipes!X$2:X2490=A293))))"),"Large Magic Armor Potion")</f>
        <v>Large Magic Armor Potion</v>
      </c>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c r="AA293" s="47"/>
      <c r="AB293" s="47"/>
      <c r="AC293" s="47"/>
      <c r="AD293" s="47"/>
      <c r="AE293" s="47"/>
      <c r="AF293" s="47"/>
      <c r="AG293" s="47"/>
      <c r="AH293" s="47"/>
      <c r="AI293" s="47"/>
      <c r="AJ293" s="47"/>
      <c r="AK293" s="47"/>
      <c r="AL293" s="47"/>
      <c r="AM293" s="47"/>
      <c r="AN293" s="47"/>
      <c r="AO293" s="47"/>
      <c r="AP293" s="47"/>
      <c r="AQ293" s="47"/>
      <c r="AR293" s="47"/>
      <c r="AS293" s="47"/>
      <c r="AT293" s="47"/>
      <c r="AU293" s="47"/>
      <c r="AV293" s="47"/>
      <c r="AW293" s="47"/>
      <c r="AX293" s="47"/>
      <c r="AY293" s="47"/>
      <c r="AZ293" s="47"/>
      <c r="BA293" s="47"/>
      <c r="BB293" s="47"/>
      <c r="BC293" s="47"/>
      <c r="BD293" s="47"/>
      <c r="BE293" s="47"/>
      <c r="BF293" s="47"/>
      <c r="BG293" s="47"/>
      <c r="BH293" s="47"/>
      <c r="BI293" s="47"/>
      <c r="BJ293" s="47"/>
      <c r="BK293" s="47"/>
      <c r="BL293" s="47"/>
      <c r="BM293" s="47"/>
      <c r="BN293" s="47"/>
      <c r="BO293" s="47"/>
      <c r="BP293" s="47"/>
      <c r="BQ293" s="47"/>
      <c r="BR293" s="47"/>
      <c r="BS293" s="47"/>
      <c r="BT293" s="47"/>
      <c r="BU293" s="47"/>
      <c r="BV293" s="47"/>
      <c r="BW293" s="47"/>
      <c r="BX293" s="47"/>
      <c r="BY293" s="47"/>
      <c r="BZ293" s="47"/>
    </row>
    <row r="294" spans="1:78" ht="13">
      <c r="A294" s="152" t="str">
        <f ca="1">IFERROR(__xludf.DUMMYFUNCTION("""COMPUTED_VALUE"""),"Medium Masterwork Rune")</f>
        <v>Medium Masterwork Rune</v>
      </c>
      <c r="B294" s="47" t="str">
        <f ca="1">IFERROR(__xludf.DUMMYFUNCTION("TRANSPOSE(unique(filter(Recipes!A$2:A2490,(Recipes!L$2:L2490=A294)+(Recipes!O$2:O2490=A294)+(Recipes!R$2:R2490=A294)+(Recipes!U$2:U2490=A294)+(Recipes!X$2:X2490=A294))))"),"Large Masterwork Rune")</f>
        <v>Large Masterwork Rune</v>
      </c>
      <c r="C294" s="47" t="str">
        <f ca="1">IFERROR(__xludf.DUMMYFUNCTION("""COMPUTED_VALUE"""),"Medium Masterwork Rune of Power")</f>
        <v>Medium Masterwork Rune of Power</v>
      </c>
      <c r="D294" s="47" t="str">
        <f ca="1">IFERROR(__xludf.DUMMYFUNCTION("""COMPUTED_VALUE"""),"Mystical Medium Masterwork Rune")</f>
        <v>Mystical Medium Masterwork Rune</v>
      </c>
      <c r="E294" s="47"/>
      <c r="F294" s="47"/>
      <c r="G294" s="47"/>
      <c r="H294" s="47"/>
      <c r="I294" s="47"/>
      <c r="J294" s="47"/>
      <c r="K294" s="47"/>
      <c r="L294" s="47"/>
      <c r="M294" s="47"/>
      <c r="N294" s="47"/>
      <c r="O294" s="47"/>
      <c r="P294" s="47"/>
      <c r="Q294" s="47"/>
      <c r="R294" s="47"/>
      <c r="S294" s="47"/>
      <c r="T294" s="47"/>
      <c r="U294" s="47"/>
      <c r="V294" s="47"/>
      <c r="W294" s="47"/>
      <c r="X294" s="47"/>
      <c r="Y294" s="47"/>
      <c r="Z294" s="47"/>
      <c r="AA294" s="47"/>
      <c r="AB294" s="47"/>
      <c r="AC294" s="47"/>
      <c r="AD294" s="47"/>
      <c r="AE294" s="47"/>
      <c r="AF294" s="47"/>
      <c r="AG294" s="47"/>
      <c r="AH294" s="47"/>
      <c r="AI294" s="47"/>
      <c r="AJ294" s="47"/>
      <c r="AK294" s="47"/>
      <c r="AL294" s="47"/>
      <c r="AM294" s="47"/>
      <c r="AN294" s="47"/>
      <c r="AO294" s="47"/>
      <c r="AP294" s="47"/>
      <c r="AQ294" s="47"/>
      <c r="AR294" s="47"/>
      <c r="AS294" s="47"/>
      <c r="AT294" s="47"/>
      <c r="AU294" s="47"/>
      <c r="AV294" s="47"/>
      <c r="AW294" s="47"/>
      <c r="AX294" s="47"/>
      <c r="AY294" s="47"/>
      <c r="AZ294" s="47"/>
      <c r="BA294" s="47"/>
      <c r="BB294" s="47"/>
      <c r="BC294" s="47"/>
      <c r="BD294" s="47"/>
      <c r="BE294" s="47"/>
      <c r="BF294" s="47"/>
      <c r="BG294" s="47"/>
      <c r="BH294" s="47"/>
      <c r="BI294" s="47"/>
      <c r="BJ294" s="47"/>
      <c r="BK294" s="47"/>
      <c r="BL294" s="47"/>
      <c r="BM294" s="47"/>
      <c r="BN294" s="47"/>
      <c r="BO294" s="47"/>
      <c r="BP294" s="47"/>
      <c r="BQ294" s="47"/>
      <c r="BR294" s="47"/>
      <c r="BS294" s="47"/>
      <c r="BT294" s="47"/>
      <c r="BU294" s="47"/>
      <c r="BV294" s="47"/>
      <c r="BW294" s="47"/>
      <c r="BX294" s="47"/>
      <c r="BY294" s="47"/>
      <c r="BZ294" s="47"/>
    </row>
    <row r="295" spans="1:78" ht="13">
      <c r="A295" s="152" t="str">
        <f ca="1">IFERROR(__xludf.DUMMYFUNCTION("""COMPUTED_VALUE"""),"Medium Physical Armor Potion")</f>
        <v>Medium Physical Armor Potion</v>
      </c>
      <c r="B295" s="47" t="str">
        <f ca="1">IFERROR(__xludf.DUMMYFUNCTION("TRANSPOSE(unique(filter(Recipes!A$2:A2490,(Recipes!L$2:L2490=A295)+(Recipes!O$2:O2490=A295)+(Recipes!R$2:R2490=A295)+(Recipes!U$2:U2490=A295)+(Recipes!X$2:X2490=A295))))"),"Large Physical Armor Potion")</f>
        <v>Large Physical Armor Potion</v>
      </c>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c r="AA295" s="47"/>
      <c r="AB295" s="47"/>
      <c r="AC295" s="47"/>
      <c r="AD295" s="47"/>
      <c r="AE295" s="47"/>
      <c r="AF295" s="47"/>
      <c r="AG295" s="47"/>
      <c r="AH295" s="47"/>
      <c r="AI295" s="47"/>
      <c r="AJ295" s="47"/>
      <c r="AK295" s="47"/>
      <c r="AL295" s="47"/>
      <c r="AM295" s="47"/>
      <c r="AN295" s="47"/>
      <c r="AO295" s="47"/>
      <c r="AP295" s="47"/>
      <c r="AQ295" s="47"/>
      <c r="AR295" s="47"/>
      <c r="AS295" s="47"/>
      <c r="AT295" s="47"/>
      <c r="AU295" s="47"/>
      <c r="AV295" s="47"/>
      <c r="AW295" s="47"/>
      <c r="AX295" s="47"/>
      <c r="AY295" s="47"/>
      <c r="AZ295" s="47"/>
      <c r="BA295" s="47"/>
      <c r="BB295" s="47"/>
      <c r="BC295" s="47"/>
      <c r="BD295" s="47"/>
      <c r="BE295" s="47"/>
      <c r="BF295" s="47"/>
      <c r="BG295" s="47"/>
      <c r="BH295" s="47"/>
      <c r="BI295" s="47"/>
      <c r="BJ295" s="47"/>
      <c r="BK295" s="47"/>
      <c r="BL295" s="47"/>
      <c r="BM295" s="47"/>
      <c r="BN295" s="47"/>
      <c r="BO295" s="47"/>
      <c r="BP295" s="47"/>
      <c r="BQ295" s="47"/>
      <c r="BR295" s="47"/>
      <c r="BS295" s="47"/>
      <c r="BT295" s="47"/>
      <c r="BU295" s="47"/>
      <c r="BV295" s="47"/>
      <c r="BW295" s="47"/>
      <c r="BX295" s="47"/>
      <c r="BY295" s="47"/>
      <c r="BZ295" s="47"/>
    </row>
    <row r="296" spans="1:78" ht="13">
      <c r="A296" s="152" t="str">
        <f ca="1">IFERROR(__xludf.DUMMYFUNCTION("""COMPUTED_VALUE"""),"Medium Poison Bottle")</f>
        <v>Medium Poison Bottle</v>
      </c>
      <c r="B296" s="47" t="str">
        <f ca="1">IFERROR(__xludf.DUMMYFUNCTION("TRANSPOSE(unique(filter(Recipes!A$2:A2490,(Recipes!L$2:L2490=A296)+(Recipes!O$2:O2490=A296)+(Recipes!R$2:R2490=A296)+(Recipes!U$2:U2490=A296)+(Recipes!X$2:X2490=A296))))"),"Large Poison Bottle")</f>
        <v>Large Poison Bottle</v>
      </c>
      <c r="C296" s="47" t="str">
        <f ca="1">IFERROR(__xludf.DUMMYFUNCTION("""COMPUTED_VALUE"""),"Medium Healing Potion [Poisoned]")</f>
        <v>Medium Healing Potion [Poisoned]</v>
      </c>
      <c r="D296" s="47"/>
      <c r="E296" s="47"/>
      <c r="F296" s="47"/>
      <c r="G296" s="47"/>
      <c r="H296" s="47"/>
      <c r="I296" s="47"/>
      <c r="J296" s="47"/>
      <c r="K296" s="47"/>
      <c r="L296" s="47"/>
      <c r="M296" s="47"/>
      <c r="N296" s="47"/>
      <c r="O296" s="47"/>
      <c r="P296" s="47"/>
      <c r="Q296" s="47"/>
      <c r="R296" s="47"/>
      <c r="S296" s="47"/>
      <c r="T296" s="47"/>
      <c r="U296" s="47"/>
      <c r="V296" s="47"/>
      <c r="W296" s="47"/>
      <c r="X296" s="47"/>
      <c r="Y296" s="47"/>
      <c r="Z296" s="47"/>
      <c r="AA296" s="47"/>
      <c r="AB296" s="47"/>
      <c r="AC296" s="47"/>
      <c r="AD296" s="47"/>
      <c r="AE296" s="47"/>
      <c r="AF296" s="47"/>
      <c r="AG296" s="47"/>
      <c r="AH296" s="47"/>
      <c r="AI296" s="47"/>
      <c r="AJ296" s="47"/>
      <c r="AK296" s="47"/>
      <c r="AL296" s="47"/>
      <c r="AM296" s="47"/>
      <c r="AN296" s="47"/>
      <c r="AO296" s="47"/>
      <c r="AP296" s="47"/>
      <c r="AQ296" s="47"/>
      <c r="AR296" s="47"/>
      <c r="AS296" s="47"/>
      <c r="AT296" s="47"/>
      <c r="AU296" s="47"/>
      <c r="AV296" s="47"/>
      <c r="AW296" s="47"/>
      <c r="AX296" s="47"/>
      <c r="AY296" s="47"/>
      <c r="AZ296" s="47"/>
      <c r="BA296" s="47"/>
      <c r="BB296" s="47"/>
      <c r="BC296" s="47"/>
      <c r="BD296" s="47"/>
      <c r="BE296" s="47"/>
      <c r="BF296" s="47"/>
      <c r="BG296" s="47"/>
      <c r="BH296" s="47"/>
      <c r="BI296" s="47"/>
      <c r="BJ296" s="47"/>
      <c r="BK296" s="47"/>
      <c r="BL296" s="47"/>
      <c r="BM296" s="47"/>
      <c r="BN296" s="47"/>
      <c r="BO296" s="47"/>
      <c r="BP296" s="47"/>
      <c r="BQ296" s="47"/>
      <c r="BR296" s="47"/>
      <c r="BS296" s="47"/>
      <c r="BT296" s="47"/>
      <c r="BU296" s="47"/>
      <c r="BV296" s="47"/>
      <c r="BW296" s="47"/>
      <c r="BX296" s="47"/>
      <c r="BY296" s="47"/>
      <c r="BZ296" s="47"/>
    </row>
    <row r="297" spans="1:78" ht="13">
      <c r="A297" s="152" t="str">
        <f ca="1">IFERROR(__xludf.DUMMYFUNCTION("""COMPUTED_VALUE"""),"Medium Resist All Potion")</f>
        <v>Medium Resist All Potion</v>
      </c>
      <c r="B297" s="47" t="str">
        <f ca="1">IFERROR(__xludf.DUMMYFUNCTION("TRANSPOSE(unique(filter(Recipes!A$2:A2490,(Recipes!L$2:L2490=A297)+(Recipes!O$2:O2490=A297)+(Recipes!R$2:R2490=A297)+(Recipes!U$2:U2490=A297)+(Recipes!X$2:X2490=A297))))"),"Large Resist All Potion")</f>
        <v>Large Resist All Potion</v>
      </c>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c r="AA297" s="47"/>
      <c r="AB297" s="47"/>
      <c r="AC297" s="47"/>
      <c r="AD297" s="47"/>
      <c r="AE297" s="47"/>
      <c r="AF297" s="47"/>
      <c r="AG297" s="47"/>
      <c r="AH297" s="47"/>
      <c r="AI297" s="47"/>
      <c r="AJ297" s="47"/>
      <c r="AK297" s="47"/>
      <c r="AL297" s="47"/>
      <c r="AM297" s="47"/>
      <c r="AN297" s="47"/>
      <c r="AO297" s="47"/>
      <c r="AP297" s="47"/>
      <c r="AQ297" s="47"/>
      <c r="AR297" s="47"/>
      <c r="AS297" s="47"/>
      <c r="AT297" s="47"/>
      <c r="AU297" s="47"/>
      <c r="AV297" s="47"/>
      <c r="AW297" s="47"/>
      <c r="AX297" s="47"/>
      <c r="AY297" s="47"/>
      <c r="AZ297" s="47"/>
      <c r="BA297" s="47"/>
      <c r="BB297" s="47"/>
      <c r="BC297" s="47"/>
      <c r="BD297" s="47"/>
      <c r="BE297" s="47"/>
      <c r="BF297" s="47"/>
      <c r="BG297" s="47"/>
      <c r="BH297" s="47"/>
      <c r="BI297" s="47"/>
      <c r="BJ297" s="47"/>
      <c r="BK297" s="47"/>
      <c r="BL297" s="47"/>
      <c r="BM297" s="47"/>
      <c r="BN297" s="47"/>
      <c r="BO297" s="47"/>
      <c r="BP297" s="47"/>
      <c r="BQ297" s="47"/>
      <c r="BR297" s="47"/>
      <c r="BS297" s="47"/>
      <c r="BT297" s="47"/>
      <c r="BU297" s="47"/>
      <c r="BV297" s="47"/>
      <c r="BW297" s="47"/>
      <c r="BX297" s="47"/>
      <c r="BY297" s="47"/>
      <c r="BZ297" s="47"/>
    </row>
    <row r="298" spans="1:78" ht="13">
      <c r="A298" s="152" t="str">
        <f ca="1">IFERROR(__xludf.DUMMYFUNCTION("""COMPUTED_VALUE"""),"Medium Rock Rune")</f>
        <v>Medium Rock Rune</v>
      </c>
      <c r="B298" s="47" t="str">
        <f ca="1">IFERROR(__xludf.DUMMYFUNCTION("TRANSPOSE(unique(filter(Recipes!A$2:A2490,(Recipes!L$2:L2490=A298)+(Recipes!O$2:O2490=A298)+(Recipes!R$2:R2490=A298)+(Recipes!U$2:U2490=A298)+(Recipes!X$2:X2490=A298))))"),"Large Rock Rune")</f>
        <v>Large Rock Rune</v>
      </c>
      <c r="C298" s="47" t="str">
        <f ca="1">IFERROR(__xludf.DUMMYFUNCTION("""COMPUTED_VALUE"""),"Medium Rock Rune of Power")</f>
        <v>Medium Rock Rune of Power</v>
      </c>
      <c r="D298" s="47" t="str">
        <f ca="1">IFERROR(__xludf.DUMMYFUNCTION("""COMPUTED_VALUE"""),"Mystical Medium Rock Rune")</f>
        <v>Mystical Medium Rock Rune</v>
      </c>
      <c r="E298" s="47"/>
      <c r="F298" s="47"/>
      <c r="G298" s="47"/>
      <c r="H298" s="47"/>
      <c r="I298" s="47"/>
      <c r="J298" s="47"/>
      <c r="K298" s="47"/>
      <c r="L298" s="47"/>
      <c r="M298" s="47"/>
      <c r="N298" s="47"/>
      <c r="O298" s="47"/>
      <c r="P298" s="47"/>
      <c r="Q298" s="47"/>
      <c r="R298" s="47"/>
      <c r="S298" s="47"/>
      <c r="T298" s="47"/>
      <c r="U298" s="47"/>
      <c r="V298" s="47"/>
      <c r="W298" s="47"/>
      <c r="X298" s="47"/>
      <c r="Y298" s="47"/>
      <c r="Z298" s="47"/>
      <c r="AA298" s="47"/>
      <c r="AB298" s="47"/>
      <c r="AC298" s="47"/>
      <c r="AD298" s="47"/>
      <c r="AE298" s="47"/>
      <c r="AF298" s="47"/>
      <c r="AG298" s="47"/>
      <c r="AH298" s="47"/>
      <c r="AI298" s="47"/>
      <c r="AJ298" s="47"/>
      <c r="AK298" s="47"/>
      <c r="AL298" s="47"/>
      <c r="AM298" s="47"/>
      <c r="AN298" s="47"/>
      <c r="AO298" s="47"/>
      <c r="AP298" s="47"/>
      <c r="AQ298" s="47"/>
      <c r="AR298" s="47"/>
      <c r="AS298" s="47"/>
      <c r="AT298" s="47"/>
      <c r="AU298" s="47"/>
      <c r="AV298" s="47"/>
      <c r="AW298" s="47"/>
      <c r="AX298" s="47"/>
      <c r="AY298" s="47"/>
      <c r="AZ298" s="47"/>
      <c r="BA298" s="47"/>
      <c r="BB298" s="47"/>
      <c r="BC298" s="47"/>
      <c r="BD298" s="47"/>
      <c r="BE298" s="47"/>
      <c r="BF298" s="47"/>
      <c r="BG298" s="47"/>
      <c r="BH298" s="47"/>
      <c r="BI298" s="47"/>
      <c r="BJ298" s="47"/>
      <c r="BK298" s="47"/>
      <c r="BL298" s="47"/>
      <c r="BM298" s="47"/>
      <c r="BN298" s="47"/>
      <c r="BO298" s="47"/>
      <c r="BP298" s="47"/>
      <c r="BQ298" s="47"/>
      <c r="BR298" s="47"/>
      <c r="BS298" s="47"/>
      <c r="BT298" s="47"/>
      <c r="BU298" s="47"/>
      <c r="BV298" s="47"/>
      <c r="BW298" s="47"/>
      <c r="BX298" s="47"/>
      <c r="BY298" s="47"/>
      <c r="BZ298" s="47"/>
    </row>
    <row r="299" spans="1:78" ht="13">
      <c r="A299" s="152" t="str">
        <f ca="1">IFERROR(__xludf.DUMMYFUNCTION("""COMPUTED_VALUE"""),"Medium Thunder Rune")</f>
        <v>Medium Thunder Rune</v>
      </c>
      <c r="B299" s="47" t="str">
        <f ca="1">IFERROR(__xludf.DUMMYFUNCTION("TRANSPOSE(unique(filter(Recipes!A$2:A2490,(Recipes!L$2:L2490=A299)+(Recipes!O$2:O2490=A299)+(Recipes!R$2:R2490=A299)+(Recipes!U$2:U2490=A299)+(Recipes!X$2:X2490=A299))))"),"Large Thunder Rune")</f>
        <v>Large Thunder Rune</v>
      </c>
      <c r="C299" s="47" t="str">
        <f ca="1">IFERROR(__xludf.DUMMYFUNCTION("""COMPUTED_VALUE"""),"Medium Thunder Rune of Power")</f>
        <v>Medium Thunder Rune of Power</v>
      </c>
      <c r="D299" s="47" t="str">
        <f ca="1">IFERROR(__xludf.DUMMYFUNCTION("""COMPUTED_VALUE"""),"Mystical Medium Thunder Rune")</f>
        <v>Mystical Medium Thunder Rune</v>
      </c>
      <c r="E299" s="47"/>
      <c r="F299" s="47"/>
      <c r="G299" s="47"/>
      <c r="H299" s="47"/>
      <c r="I299" s="47"/>
      <c r="J299" s="47"/>
      <c r="K299" s="47"/>
      <c r="L299" s="47"/>
      <c r="M299" s="47"/>
      <c r="N299" s="47"/>
      <c r="O299" s="47"/>
      <c r="P299" s="47"/>
      <c r="Q299" s="47"/>
      <c r="R299" s="47"/>
      <c r="S299" s="47"/>
      <c r="T299" s="47"/>
      <c r="U299" s="47"/>
      <c r="V299" s="47"/>
      <c r="W299" s="47"/>
      <c r="X299" s="47"/>
      <c r="Y299" s="47"/>
      <c r="Z299" s="47"/>
      <c r="AA299" s="47"/>
      <c r="AB299" s="47"/>
      <c r="AC299" s="47"/>
      <c r="AD299" s="47"/>
      <c r="AE299" s="47"/>
      <c r="AF299" s="47"/>
      <c r="AG299" s="47"/>
      <c r="AH299" s="47"/>
      <c r="AI299" s="47"/>
      <c r="AJ299" s="47"/>
      <c r="AK299" s="47"/>
      <c r="AL299" s="47"/>
      <c r="AM299" s="47"/>
      <c r="AN299" s="47"/>
      <c r="AO299" s="47"/>
      <c r="AP299" s="47"/>
      <c r="AQ299" s="47"/>
      <c r="AR299" s="47"/>
      <c r="AS299" s="47"/>
      <c r="AT299" s="47"/>
      <c r="AU299" s="47"/>
      <c r="AV299" s="47"/>
      <c r="AW299" s="47"/>
      <c r="AX299" s="47"/>
      <c r="AY299" s="47"/>
      <c r="AZ299" s="47"/>
      <c r="BA299" s="47"/>
      <c r="BB299" s="47"/>
      <c r="BC299" s="47"/>
      <c r="BD299" s="47"/>
      <c r="BE299" s="47"/>
      <c r="BF299" s="47"/>
      <c r="BG299" s="47"/>
      <c r="BH299" s="47"/>
      <c r="BI299" s="47"/>
      <c r="BJ299" s="47"/>
      <c r="BK299" s="47"/>
      <c r="BL299" s="47"/>
      <c r="BM299" s="47"/>
      <c r="BN299" s="47"/>
      <c r="BO299" s="47"/>
      <c r="BP299" s="47"/>
      <c r="BQ299" s="47"/>
      <c r="BR299" s="47"/>
      <c r="BS299" s="47"/>
      <c r="BT299" s="47"/>
      <c r="BU299" s="47"/>
      <c r="BV299" s="47"/>
      <c r="BW299" s="47"/>
      <c r="BX299" s="47"/>
      <c r="BY299" s="47"/>
      <c r="BZ299" s="47"/>
    </row>
    <row r="300" spans="1:78" ht="13">
      <c r="A300" s="152" t="str">
        <f ca="1">IFERROR(__xludf.DUMMYFUNCTION("""COMPUTED_VALUE"""),"Medium Venom Rune")</f>
        <v>Medium Venom Rune</v>
      </c>
      <c r="B300" s="47" t="str">
        <f ca="1">IFERROR(__xludf.DUMMYFUNCTION("TRANSPOSE(unique(filter(Recipes!A$2:A2490,(Recipes!L$2:L2490=A300)+(Recipes!O$2:O2490=A300)+(Recipes!R$2:R2490=A300)+(Recipes!U$2:U2490=A300)+(Recipes!X$2:X2490=A300))))"),"Large Venom Rune")</f>
        <v>Large Venom Rune</v>
      </c>
      <c r="C300" s="47" t="str">
        <f ca="1">IFERROR(__xludf.DUMMYFUNCTION("""COMPUTED_VALUE"""),"Medium Venom Rune of Power")</f>
        <v>Medium Venom Rune of Power</v>
      </c>
      <c r="D300" s="47" t="str">
        <f ca="1">IFERROR(__xludf.DUMMYFUNCTION("""COMPUTED_VALUE"""),"Mystical Medium Venom Rune")</f>
        <v>Mystical Medium Venom Rune</v>
      </c>
      <c r="E300" s="47"/>
      <c r="F300" s="47"/>
      <c r="G300" s="47"/>
      <c r="H300" s="47"/>
      <c r="I300" s="47"/>
      <c r="J300" s="47"/>
      <c r="K300" s="47"/>
      <c r="L300" s="47"/>
      <c r="M300" s="47"/>
      <c r="N300" s="47"/>
      <c r="O300" s="47"/>
      <c r="P300" s="47"/>
      <c r="Q300" s="47"/>
      <c r="R300" s="47"/>
      <c r="S300" s="47"/>
      <c r="T300" s="47"/>
      <c r="U300" s="47"/>
      <c r="V300" s="47"/>
      <c r="W300" s="47"/>
      <c r="X300" s="47"/>
      <c r="Y300" s="47"/>
      <c r="Z300" s="47"/>
      <c r="AA300" s="47"/>
      <c r="AB300" s="47"/>
      <c r="AC300" s="47"/>
      <c r="AD300" s="47"/>
      <c r="AE300" s="47"/>
      <c r="AF300" s="47"/>
      <c r="AG300" s="47"/>
      <c r="AH300" s="47"/>
      <c r="AI300" s="47"/>
      <c r="AJ300" s="47"/>
      <c r="AK300" s="47"/>
      <c r="AL300" s="47"/>
      <c r="AM300" s="47"/>
      <c r="AN300" s="47"/>
      <c r="AO300" s="47"/>
      <c r="AP300" s="47"/>
      <c r="AQ300" s="47"/>
      <c r="AR300" s="47"/>
      <c r="AS300" s="47"/>
      <c r="AT300" s="47"/>
      <c r="AU300" s="47"/>
      <c r="AV300" s="47"/>
      <c r="AW300" s="47"/>
      <c r="AX300" s="47"/>
      <c r="AY300" s="47"/>
      <c r="AZ300" s="47"/>
      <c r="BA300" s="47"/>
      <c r="BB300" s="47"/>
      <c r="BC300" s="47"/>
      <c r="BD300" s="47"/>
      <c r="BE300" s="47"/>
      <c r="BF300" s="47"/>
      <c r="BG300" s="47"/>
      <c r="BH300" s="47"/>
      <c r="BI300" s="47"/>
      <c r="BJ300" s="47"/>
      <c r="BK300" s="47"/>
      <c r="BL300" s="47"/>
      <c r="BM300" s="47"/>
      <c r="BN300" s="47"/>
      <c r="BO300" s="47"/>
      <c r="BP300" s="47"/>
      <c r="BQ300" s="47"/>
      <c r="BR300" s="47"/>
      <c r="BS300" s="47"/>
      <c r="BT300" s="47"/>
      <c r="BU300" s="47"/>
      <c r="BV300" s="47"/>
      <c r="BW300" s="47"/>
      <c r="BX300" s="47"/>
      <c r="BY300" s="47"/>
      <c r="BZ300" s="47"/>
    </row>
    <row r="301" spans="1:78" ht="13">
      <c r="A301" s="152" t="str">
        <f ca="1">IFERROR(__xludf.DUMMYFUNCTION("""COMPUTED_VALUE"""),"Medium Water Resistance Potion")</f>
        <v>Medium Water Resistance Potion</v>
      </c>
      <c r="B301" s="47" t="str">
        <f ca="1">IFERROR(__xludf.DUMMYFUNCTION("TRANSPOSE(unique(filter(Recipes!A$2:A2490,(Recipes!L$2:L2490=A301)+(Recipes!O$2:O2490=A301)+(Recipes!R$2:R2490=A301)+(Recipes!U$2:U2490=A301)+(Recipes!X$2:X2490=A301))))"),"Large Water Resistance Potion")</f>
        <v>Large Water Resistance Potion</v>
      </c>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c r="AA301" s="47"/>
      <c r="AB301" s="47"/>
      <c r="AC301" s="47"/>
      <c r="AD301" s="47"/>
      <c r="AE301" s="47"/>
      <c r="AF301" s="47"/>
      <c r="AG301" s="47"/>
      <c r="AH301" s="47"/>
      <c r="AI301" s="47"/>
      <c r="AJ301" s="47"/>
      <c r="AK301" s="47"/>
      <c r="AL301" s="47"/>
      <c r="AM301" s="47"/>
      <c r="AN301" s="47"/>
      <c r="AO301" s="47"/>
      <c r="AP301" s="47"/>
      <c r="AQ301" s="47"/>
      <c r="AR301" s="47"/>
      <c r="AS301" s="47"/>
      <c r="AT301" s="47"/>
      <c r="AU301" s="47"/>
      <c r="AV301" s="47"/>
      <c r="AW301" s="47"/>
      <c r="AX301" s="47"/>
      <c r="AY301" s="47"/>
      <c r="AZ301" s="47"/>
      <c r="BA301" s="47"/>
      <c r="BB301" s="47"/>
      <c r="BC301" s="47"/>
      <c r="BD301" s="47"/>
      <c r="BE301" s="47"/>
      <c r="BF301" s="47"/>
      <c r="BG301" s="47"/>
      <c r="BH301" s="47"/>
      <c r="BI301" s="47"/>
      <c r="BJ301" s="47"/>
      <c r="BK301" s="47"/>
      <c r="BL301" s="47"/>
      <c r="BM301" s="47"/>
      <c r="BN301" s="47"/>
      <c r="BO301" s="47"/>
      <c r="BP301" s="47"/>
      <c r="BQ301" s="47"/>
      <c r="BR301" s="47"/>
      <c r="BS301" s="47"/>
      <c r="BT301" s="47"/>
      <c r="BU301" s="47"/>
      <c r="BV301" s="47"/>
      <c r="BW301" s="47"/>
      <c r="BX301" s="47"/>
      <c r="BY301" s="47"/>
      <c r="BZ301" s="47"/>
    </row>
    <row r="302" spans="1:78" ht="13">
      <c r="A302" s="152" t="str">
        <f ca="1">IFERROR(__xludf.DUMMYFUNCTION("""COMPUTED_VALUE"""),"Medusa Head Scroll")</f>
        <v>Medusa Head Scroll</v>
      </c>
      <c r="B302" s="47" t="str">
        <f ca="1">IFERROR(__xludf.DUMMYFUNCTION("TRANSPOSE(unique(filter(Recipes!A$2:A2490,(Recipes!L$2:L2490=A302)+(Recipes!O$2:O2490=A302)+(Recipes!R$2:R2490=A302)+(Recipes!U$2:U2490=A302)+(Recipes!X$2:X2490=A302))))"),"Medusa Head Skillbook")</f>
        <v>Medusa Head Skillbook</v>
      </c>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c r="AA302" s="47"/>
      <c r="AB302" s="47"/>
      <c r="AC302" s="47"/>
      <c r="AD302" s="47"/>
      <c r="AE302" s="47"/>
      <c r="AF302" s="47"/>
      <c r="AG302" s="47"/>
      <c r="AH302" s="47"/>
      <c r="AI302" s="47"/>
      <c r="AJ302" s="47"/>
      <c r="AK302" s="47"/>
      <c r="AL302" s="47"/>
      <c r="AM302" s="47"/>
      <c r="AN302" s="47"/>
      <c r="AO302" s="47"/>
      <c r="AP302" s="47"/>
      <c r="AQ302" s="47"/>
      <c r="AR302" s="47"/>
      <c r="AS302" s="47"/>
      <c r="AT302" s="47"/>
      <c r="AU302" s="47"/>
      <c r="AV302" s="47"/>
      <c r="AW302" s="47"/>
      <c r="AX302" s="47"/>
      <c r="AY302" s="47"/>
      <c r="AZ302" s="47"/>
      <c r="BA302" s="47"/>
      <c r="BB302" s="47"/>
      <c r="BC302" s="47"/>
      <c r="BD302" s="47"/>
      <c r="BE302" s="47"/>
      <c r="BF302" s="47"/>
      <c r="BG302" s="47"/>
      <c r="BH302" s="47"/>
      <c r="BI302" s="47"/>
      <c r="BJ302" s="47"/>
      <c r="BK302" s="47"/>
      <c r="BL302" s="47"/>
      <c r="BM302" s="47"/>
      <c r="BN302" s="47"/>
      <c r="BO302" s="47"/>
      <c r="BP302" s="47"/>
      <c r="BQ302" s="47"/>
      <c r="BR302" s="47"/>
      <c r="BS302" s="47"/>
      <c r="BT302" s="47"/>
      <c r="BU302" s="47"/>
      <c r="BV302" s="47"/>
      <c r="BW302" s="47"/>
      <c r="BX302" s="47"/>
      <c r="BY302" s="47"/>
      <c r="BZ302" s="47"/>
    </row>
    <row r="303" spans="1:78" ht="13">
      <c r="A303" s="152" t="str">
        <f ca="1">IFERROR(__xludf.DUMMYFUNCTION("""COMPUTED_VALUE"""),"Mend Metal Scroll")</f>
        <v>Mend Metal Scroll</v>
      </c>
      <c r="B303" s="47" t="str">
        <f ca="1">IFERROR(__xludf.DUMMYFUNCTION("TRANSPOSE(unique(filter(Recipes!A$2:A2490,(Recipes!L$2:L2490=A303)+(Recipes!O$2:O2490=A303)+(Recipes!R$2:R2490=A303)+(Recipes!U$2:U2490=A303)+(Recipes!X$2:X2490=A303))))"),"Mend Metal Skillbook")</f>
        <v>Mend Metal Skillbook</v>
      </c>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c r="AA303" s="47"/>
      <c r="AB303" s="47"/>
      <c r="AC303" s="47"/>
      <c r="AD303" s="47"/>
      <c r="AE303" s="47"/>
      <c r="AF303" s="47"/>
      <c r="AG303" s="47"/>
      <c r="AH303" s="47"/>
      <c r="AI303" s="47"/>
      <c r="AJ303" s="47"/>
      <c r="AK303" s="47"/>
      <c r="AL303" s="47"/>
      <c r="AM303" s="47"/>
      <c r="AN303" s="47"/>
      <c r="AO303" s="47"/>
      <c r="AP303" s="47"/>
      <c r="AQ303" s="47"/>
      <c r="AR303" s="47"/>
      <c r="AS303" s="47"/>
      <c r="AT303" s="47"/>
      <c r="AU303" s="47"/>
      <c r="AV303" s="47"/>
      <c r="AW303" s="47"/>
      <c r="AX303" s="47"/>
      <c r="AY303" s="47"/>
      <c r="AZ303" s="47"/>
      <c r="BA303" s="47"/>
      <c r="BB303" s="47"/>
      <c r="BC303" s="47"/>
      <c r="BD303" s="47"/>
      <c r="BE303" s="47"/>
      <c r="BF303" s="47"/>
      <c r="BG303" s="47"/>
      <c r="BH303" s="47"/>
      <c r="BI303" s="47"/>
      <c r="BJ303" s="47"/>
      <c r="BK303" s="47"/>
      <c r="BL303" s="47"/>
      <c r="BM303" s="47"/>
      <c r="BN303" s="47"/>
      <c r="BO303" s="47"/>
      <c r="BP303" s="47"/>
      <c r="BQ303" s="47"/>
      <c r="BR303" s="47"/>
      <c r="BS303" s="47"/>
      <c r="BT303" s="47"/>
      <c r="BU303" s="47"/>
      <c r="BV303" s="47"/>
      <c r="BW303" s="47"/>
      <c r="BX303" s="47"/>
      <c r="BY303" s="47"/>
      <c r="BZ303" s="47"/>
    </row>
    <row r="304" spans="1:78" ht="13">
      <c r="A304" s="152" t="str">
        <f ca="1">IFERROR(__xludf.DUMMYFUNCTION("""COMPUTED_VALUE"""),"Metal")</f>
        <v>Metal</v>
      </c>
      <c r="B304" s="47" t="str">
        <f ca="1">IFERROR(__xludf.DUMMYFUNCTION("TRANSPOSE(unique(filter(Recipes!A$2:A2490,(Recipes!L$2:L2490=A304)+(Recipes!O$2:O2490=A304)+(Recipes!R$2:R2490=A304)+(Recipes!U$2:U2490=A304)+(Recipes!X$2:X2490=A304))))"),"Heart of Steel Scroll")</f>
        <v>Heart of Steel Scroll</v>
      </c>
      <c r="C304" s="47" t="str">
        <f ca="1">IFERROR(__xludf.DUMMYFUNCTION("""COMPUTED_VALUE"""),"Small Frost Rune")</f>
        <v>Small Frost Rune</v>
      </c>
      <c r="D304" s="47"/>
      <c r="E304" s="47"/>
      <c r="F304" s="47"/>
      <c r="G304" s="47"/>
      <c r="H304" s="47"/>
      <c r="I304" s="47"/>
      <c r="J304" s="47"/>
      <c r="K304" s="47"/>
      <c r="L304" s="47"/>
      <c r="M304" s="47"/>
      <c r="N304" s="47"/>
      <c r="O304" s="47"/>
      <c r="P304" s="47"/>
      <c r="Q304" s="47"/>
      <c r="R304" s="47"/>
      <c r="S304" s="47"/>
      <c r="T304" s="47"/>
      <c r="U304" s="47"/>
      <c r="V304" s="47"/>
      <c r="W304" s="47"/>
      <c r="X304" s="47"/>
      <c r="Y304" s="47"/>
      <c r="Z304" s="47"/>
      <c r="AA304" s="47"/>
      <c r="AB304" s="47"/>
      <c r="AC304" s="47"/>
      <c r="AD304" s="47"/>
      <c r="AE304" s="47"/>
      <c r="AF304" s="47"/>
      <c r="AG304" s="47"/>
      <c r="AH304" s="47"/>
      <c r="AI304" s="47"/>
      <c r="AJ304" s="47"/>
      <c r="AK304" s="47"/>
      <c r="AL304" s="47"/>
      <c r="AM304" s="47"/>
      <c r="AN304" s="47"/>
      <c r="AO304" s="47"/>
      <c r="AP304" s="47"/>
      <c r="AQ304" s="47"/>
      <c r="AR304" s="47"/>
      <c r="AS304" s="47"/>
      <c r="AT304" s="47"/>
      <c r="AU304" s="47"/>
      <c r="AV304" s="47"/>
      <c r="AW304" s="47"/>
      <c r="AX304" s="47"/>
      <c r="AY304" s="47"/>
      <c r="AZ304" s="47"/>
      <c r="BA304" s="47"/>
      <c r="BB304" s="47"/>
      <c r="BC304" s="47"/>
      <c r="BD304" s="47"/>
      <c r="BE304" s="47"/>
      <c r="BF304" s="47"/>
      <c r="BG304" s="47"/>
      <c r="BH304" s="47"/>
      <c r="BI304" s="47"/>
      <c r="BJ304" s="47"/>
      <c r="BK304" s="47"/>
      <c r="BL304" s="47"/>
      <c r="BM304" s="47"/>
      <c r="BN304" s="47"/>
      <c r="BO304" s="47"/>
      <c r="BP304" s="47"/>
      <c r="BQ304" s="47"/>
      <c r="BR304" s="47"/>
      <c r="BS304" s="47"/>
      <c r="BT304" s="47"/>
      <c r="BU304" s="47"/>
      <c r="BV304" s="47"/>
      <c r="BW304" s="47"/>
      <c r="BX304" s="47"/>
      <c r="BY304" s="47"/>
      <c r="BZ304" s="47"/>
    </row>
    <row r="305" spans="1:78" ht="13">
      <c r="A305" s="152" t="str">
        <f ca="1">IFERROR(__xludf.DUMMYFUNCTION("""COMPUTED_VALUE"""),"Metal Scraps")</f>
        <v>Metal Scraps</v>
      </c>
      <c r="B305" s="47" t="str">
        <f ca="1">IFERROR(__xludf.DUMMYFUNCTION("TRANSPOSE(unique(filter(Recipes!A$2:A2490,(Recipes!L$2:L2490=A305)+(Recipes!O$2:O2490=A305)+(Recipes!R$2:R2490=A305)+(Recipes!U$2:U2490=A305)+(Recipes!X$2:X2490=A305))))"),"Armour of the Eternals")</f>
        <v>Armour of the Eternals</v>
      </c>
      <c r="C305" s="47" t="str">
        <f ca="1">IFERROR(__xludf.DUMMYFUNCTION("""COMPUTED_VALUE"""),"Handmade Mail Armour")</f>
        <v>Handmade Mail Armour</v>
      </c>
      <c r="D305" s="47" t="str">
        <f ca="1">IFERROR(__xludf.DUMMYFUNCTION("""COMPUTED_VALUE"""),"Makeshift Shield")</f>
        <v>Makeshift Shield</v>
      </c>
      <c r="E305" s="47" t="str">
        <f ca="1">IFERROR(__xludf.DUMMYFUNCTION("""COMPUTED_VALUE"""),"Handmade Sword")</f>
        <v>Handmade Sword</v>
      </c>
      <c r="F305" s="47"/>
      <c r="G305" s="47"/>
      <c r="H305" s="47"/>
      <c r="I305" s="47"/>
      <c r="J305" s="47"/>
      <c r="K305" s="47"/>
      <c r="L305" s="47"/>
      <c r="M305" s="47"/>
      <c r="N305" s="47"/>
      <c r="O305" s="47"/>
      <c r="P305" s="47"/>
      <c r="Q305" s="47"/>
      <c r="R305" s="47"/>
      <c r="S305" s="47"/>
      <c r="T305" s="47"/>
      <c r="U305" s="47"/>
      <c r="V305" s="47"/>
      <c r="W305" s="47"/>
      <c r="X305" s="47"/>
      <c r="Y305" s="47"/>
      <c r="Z305" s="47"/>
      <c r="AA305" s="47"/>
      <c r="AB305" s="47"/>
      <c r="AC305" s="47"/>
      <c r="AD305" s="47"/>
      <c r="AE305" s="47"/>
      <c r="AF305" s="47"/>
      <c r="AG305" s="47"/>
      <c r="AH305" s="47"/>
      <c r="AI305" s="47"/>
      <c r="AJ305" s="47"/>
      <c r="AK305" s="47"/>
      <c r="AL305" s="47"/>
      <c r="AM305" s="47"/>
      <c r="AN305" s="47"/>
      <c r="AO305" s="47"/>
      <c r="AP305" s="47"/>
      <c r="AQ305" s="47"/>
      <c r="AR305" s="47"/>
      <c r="AS305" s="47"/>
      <c r="AT305" s="47"/>
      <c r="AU305" s="47"/>
      <c r="AV305" s="47"/>
      <c r="AW305" s="47"/>
      <c r="AX305" s="47"/>
      <c r="AY305" s="47"/>
      <c r="AZ305" s="47"/>
      <c r="BA305" s="47"/>
      <c r="BB305" s="47"/>
      <c r="BC305" s="47"/>
      <c r="BD305" s="47"/>
      <c r="BE305" s="47"/>
      <c r="BF305" s="47"/>
      <c r="BG305" s="47"/>
      <c r="BH305" s="47"/>
      <c r="BI305" s="47"/>
      <c r="BJ305" s="47"/>
      <c r="BK305" s="47"/>
      <c r="BL305" s="47"/>
      <c r="BM305" s="47"/>
      <c r="BN305" s="47"/>
      <c r="BO305" s="47"/>
      <c r="BP305" s="47"/>
      <c r="BQ305" s="47"/>
      <c r="BR305" s="47"/>
      <c r="BS305" s="47"/>
      <c r="BT305" s="47"/>
      <c r="BU305" s="47"/>
      <c r="BV305" s="47"/>
      <c r="BW305" s="47"/>
      <c r="BX305" s="47"/>
      <c r="BY305" s="47"/>
      <c r="BZ305" s="47"/>
    </row>
    <row r="306" spans="1:78" ht="13">
      <c r="A306" s="152" t="str">
        <f ca="1">IFERROR(__xludf.DUMMYFUNCTION("""COMPUTED_VALUE"""),"Meteor Shower Scroll")</f>
        <v>Meteor Shower Scroll</v>
      </c>
      <c r="B306" s="47" t="str">
        <f ca="1">IFERROR(__xludf.DUMMYFUNCTION("TRANSPOSE(unique(filter(Recipes!A$2:A2490,(Recipes!L$2:L2490=A306)+(Recipes!O$2:O2490=A306)+(Recipes!R$2:R2490=A306)+(Recipes!U$2:U2490=A306)+(Recipes!X$2:X2490=A306))))"),"Meteor Shower Skillbook")</f>
        <v>Meteor Shower Skillbook</v>
      </c>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c r="AA306" s="47"/>
      <c r="AB306" s="47"/>
      <c r="AC306" s="47"/>
      <c r="AD306" s="47"/>
      <c r="AE306" s="47"/>
      <c r="AF306" s="47"/>
      <c r="AG306" s="47"/>
      <c r="AH306" s="47"/>
      <c r="AI306" s="47"/>
      <c r="AJ306" s="47"/>
      <c r="AK306" s="47"/>
      <c r="AL306" s="47"/>
      <c r="AM306" s="47"/>
      <c r="AN306" s="47"/>
      <c r="AO306" s="47"/>
      <c r="AP306" s="47"/>
      <c r="AQ306" s="47"/>
      <c r="AR306" s="47"/>
      <c r="AS306" s="47"/>
      <c r="AT306" s="47"/>
      <c r="AU306" s="47"/>
      <c r="AV306" s="47"/>
      <c r="AW306" s="47"/>
      <c r="AX306" s="47"/>
      <c r="AY306" s="47"/>
      <c r="AZ306" s="47"/>
      <c r="BA306" s="47"/>
      <c r="BB306" s="47"/>
      <c r="BC306" s="47"/>
      <c r="BD306" s="47"/>
      <c r="BE306" s="47"/>
      <c r="BF306" s="47"/>
      <c r="BG306" s="47"/>
      <c r="BH306" s="47"/>
      <c r="BI306" s="47"/>
      <c r="BJ306" s="47"/>
      <c r="BK306" s="47"/>
      <c r="BL306" s="47"/>
      <c r="BM306" s="47"/>
      <c r="BN306" s="47"/>
      <c r="BO306" s="47"/>
      <c r="BP306" s="47"/>
      <c r="BQ306" s="47"/>
      <c r="BR306" s="47"/>
      <c r="BS306" s="47"/>
      <c r="BT306" s="47"/>
      <c r="BU306" s="47"/>
      <c r="BV306" s="47"/>
      <c r="BW306" s="47"/>
      <c r="BX306" s="47"/>
      <c r="BY306" s="47"/>
      <c r="BZ306" s="47"/>
    </row>
    <row r="307" spans="1:78" ht="13">
      <c r="A307" s="152" t="str">
        <f ca="1">IFERROR(__xludf.DUMMYFUNCTION("""COMPUTED_VALUE"""),"Milk")</f>
        <v>Milk</v>
      </c>
      <c r="B307" s="47" t="str">
        <f ca="1">IFERROR(__xludf.DUMMYFUNCTION("TRANSPOSE(unique(filter(Recipes!A$2:A2490,(Recipes!L$2:L2490=A307)+(Recipes!O$2:O2490=A307)+(Recipes!R$2:R2490=A307)+(Recipes!U$2:U2490=A307)+(Recipes!X$2:X2490=A307))))"),"Milk and Honey")</f>
        <v>Milk and Honey</v>
      </c>
      <c r="C307" s="47" t="str">
        <f ca="1">IFERROR(__xludf.DUMMYFUNCTION("""COMPUTED_VALUE"""),"Mashed Potatoes")</f>
        <v>Mashed Potatoes</v>
      </c>
      <c r="D307" s="47" t="str">
        <f ca="1">IFERROR(__xludf.DUMMYFUNCTION("""COMPUTED_VALUE"""),"Porridge")</f>
        <v>Porridge</v>
      </c>
      <c r="E307" s="47" t="str">
        <f ca="1">IFERROR(__xludf.DUMMYFUNCTION("""COMPUTED_VALUE"""),"Potato Porridge")</f>
        <v>Potato Porridge</v>
      </c>
      <c r="F307" s="47" t="str">
        <f ca="1">IFERROR(__xludf.DUMMYFUNCTION("""COMPUTED_VALUE"""),"Dough")</f>
        <v>Dough</v>
      </c>
      <c r="G307" s="47"/>
      <c r="H307" s="47"/>
      <c r="I307" s="47"/>
      <c r="J307" s="47"/>
      <c r="K307" s="47"/>
      <c r="L307" s="47"/>
      <c r="M307" s="47"/>
      <c r="N307" s="47"/>
      <c r="O307" s="47"/>
      <c r="P307" s="47"/>
      <c r="Q307" s="47"/>
      <c r="R307" s="47"/>
      <c r="S307" s="47"/>
      <c r="T307" s="47"/>
      <c r="U307" s="47"/>
      <c r="V307" s="47"/>
      <c r="W307" s="47"/>
      <c r="X307" s="47"/>
      <c r="Y307" s="47"/>
      <c r="Z307" s="47"/>
      <c r="AA307" s="47"/>
      <c r="AB307" s="47"/>
      <c r="AC307" s="47"/>
      <c r="AD307" s="47"/>
      <c r="AE307" s="47"/>
      <c r="AF307" s="47"/>
      <c r="AG307" s="47"/>
      <c r="AH307" s="47"/>
      <c r="AI307" s="47"/>
      <c r="AJ307" s="47"/>
      <c r="AK307" s="47"/>
      <c r="AL307" s="47"/>
      <c r="AM307" s="47"/>
      <c r="AN307" s="47"/>
      <c r="AO307" s="47"/>
      <c r="AP307" s="47"/>
      <c r="AQ307" s="47"/>
      <c r="AR307" s="47"/>
      <c r="AS307" s="47"/>
      <c r="AT307" s="47"/>
      <c r="AU307" s="47"/>
      <c r="AV307" s="47"/>
      <c r="AW307" s="47"/>
      <c r="AX307" s="47"/>
      <c r="AY307" s="47"/>
      <c r="AZ307" s="47"/>
      <c r="BA307" s="47"/>
      <c r="BB307" s="47"/>
      <c r="BC307" s="47"/>
      <c r="BD307" s="47"/>
      <c r="BE307" s="47"/>
      <c r="BF307" s="47"/>
      <c r="BG307" s="47"/>
      <c r="BH307" s="47"/>
      <c r="BI307" s="47"/>
      <c r="BJ307" s="47"/>
      <c r="BK307" s="47"/>
      <c r="BL307" s="47"/>
      <c r="BM307" s="47"/>
      <c r="BN307" s="47"/>
      <c r="BO307" s="47"/>
      <c r="BP307" s="47"/>
      <c r="BQ307" s="47"/>
      <c r="BR307" s="47"/>
      <c r="BS307" s="47"/>
      <c r="BT307" s="47"/>
      <c r="BU307" s="47"/>
      <c r="BV307" s="47"/>
      <c r="BW307" s="47"/>
      <c r="BX307" s="47"/>
      <c r="BY307" s="47"/>
      <c r="BZ307" s="47"/>
    </row>
    <row r="308" spans="1:78" ht="13">
      <c r="A308" s="152" t="str">
        <f ca="1">IFERROR(__xludf.DUMMYFUNCTION("""COMPUTED_VALUE"""),"Milk Churn")</f>
        <v>Milk Churn</v>
      </c>
      <c r="B308" s="47" t="str">
        <f ca="1">IFERROR(__xludf.DUMMYFUNCTION("TRANSPOSE(unique(filter(Recipes!A$2:A2490,(Recipes!L$2:L2490=A308)+(Recipes!O$2:O2490=A308)+(Recipes!R$2:R2490=A308)+(Recipes!U$2:U2490=A308)+(Recipes!X$2:X2490=A308))))"),"Milk")</f>
        <v>Milk</v>
      </c>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c r="AA308" s="47"/>
      <c r="AB308" s="47"/>
      <c r="AC308" s="47"/>
      <c r="AD308" s="47"/>
      <c r="AE308" s="47"/>
      <c r="AF308" s="47"/>
      <c r="AG308" s="47"/>
      <c r="AH308" s="47"/>
      <c r="AI308" s="47"/>
      <c r="AJ308" s="47"/>
      <c r="AK308" s="47"/>
      <c r="AL308" s="47"/>
      <c r="AM308" s="47"/>
      <c r="AN308" s="47"/>
      <c r="AO308" s="47"/>
      <c r="AP308" s="47"/>
      <c r="AQ308" s="47"/>
      <c r="AR308" s="47"/>
      <c r="AS308" s="47"/>
      <c r="AT308" s="47"/>
      <c r="AU308" s="47"/>
      <c r="AV308" s="47"/>
      <c r="AW308" s="47"/>
      <c r="AX308" s="47"/>
      <c r="AY308" s="47"/>
      <c r="AZ308" s="47"/>
      <c r="BA308" s="47"/>
      <c r="BB308" s="47"/>
      <c r="BC308" s="47"/>
      <c r="BD308" s="47"/>
      <c r="BE308" s="47"/>
      <c r="BF308" s="47"/>
      <c r="BG308" s="47"/>
      <c r="BH308" s="47"/>
      <c r="BI308" s="47"/>
      <c r="BJ308" s="47"/>
      <c r="BK308" s="47"/>
      <c r="BL308" s="47"/>
      <c r="BM308" s="47"/>
      <c r="BN308" s="47"/>
      <c r="BO308" s="47"/>
      <c r="BP308" s="47"/>
      <c r="BQ308" s="47"/>
      <c r="BR308" s="47"/>
      <c r="BS308" s="47"/>
      <c r="BT308" s="47"/>
      <c r="BU308" s="47"/>
      <c r="BV308" s="47"/>
      <c r="BW308" s="47"/>
      <c r="BX308" s="47"/>
      <c r="BY308" s="47"/>
      <c r="BZ308" s="47"/>
    </row>
    <row r="309" spans="1:78" ht="13">
      <c r="A309" s="152" t="str">
        <f ca="1">IFERROR(__xludf.DUMMYFUNCTION("""COMPUTED_VALUE"""),"Minor Healing Potion")</f>
        <v>Minor Healing Potion</v>
      </c>
      <c r="B309" s="47" t="str">
        <f ca="1">IFERROR(__xludf.DUMMYFUNCTION("TRANSPOSE(unique(filter(Recipes!A$2:A2490,(Recipes!L$2:L2490=A309)+(Recipes!O$2:O2490=A309)+(Recipes!R$2:R2490=A309)+(Recipes!U$2:U2490=A309)+(Recipes!X$2:X2490=A309))))"),"Medium Healing Potion")</f>
        <v>Medium Healing Potion</v>
      </c>
      <c r="C309" s="47" t="str">
        <f ca="1">IFERROR(__xludf.DUMMYFUNCTION("""COMPUTED_VALUE"""),"Small Poison Bottle")</f>
        <v>Small Poison Bottle</v>
      </c>
      <c r="D309" s="47"/>
      <c r="E309" s="47"/>
      <c r="F309" s="47"/>
      <c r="G309" s="47"/>
      <c r="H309" s="47"/>
      <c r="I309" s="47"/>
      <c r="J309" s="47"/>
      <c r="K309" s="47"/>
      <c r="L309" s="47"/>
      <c r="M309" s="47"/>
      <c r="N309" s="47"/>
      <c r="O309" s="47"/>
      <c r="P309" s="47"/>
      <c r="Q309" s="47"/>
      <c r="R309" s="47"/>
      <c r="S309" s="47"/>
      <c r="T309" s="47"/>
      <c r="U309" s="47"/>
      <c r="V309" s="47"/>
      <c r="W309" s="47"/>
      <c r="X309" s="47"/>
      <c r="Y309" s="47"/>
      <c r="Z309" s="47"/>
      <c r="AA309" s="47"/>
      <c r="AB309" s="47"/>
      <c r="AC309" s="47"/>
      <c r="AD309" s="47"/>
      <c r="AE309" s="47"/>
      <c r="AF309" s="47"/>
      <c r="AG309" s="47"/>
      <c r="AH309" s="47"/>
      <c r="AI309" s="47"/>
      <c r="AJ309" s="47"/>
      <c r="AK309" s="47"/>
      <c r="AL309" s="47"/>
      <c r="AM309" s="47"/>
      <c r="AN309" s="47"/>
      <c r="AO309" s="47"/>
      <c r="AP309" s="47"/>
      <c r="AQ309" s="47"/>
      <c r="AR309" s="47"/>
      <c r="AS309" s="47"/>
      <c r="AT309" s="47"/>
      <c r="AU309" s="47"/>
      <c r="AV309" s="47"/>
      <c r="AW309" s="47"/>
      <c r="AX309" s="47"/>
      <c r="AY309" s="47"/>
      <c r="AZ309" s="47"/>
      <c r="BA309" s="47"/>
      <c r="BB309" s="47"/>
      <c r="BC309" s="47"/>
      <c r="BD309" s="47"/>
      <c r="BE309" s="47"/>
      <c r="BF309" s="47"/>
      <c r="BG309" s="47"/>
      <c r="BH309" s="47"/>
      <c r="BI309" s="47"/>
      <c r="BJ309" s="47"/>
      <c r="BK309" s="47"/>
      <c r="BL309" s="47"/>
      <c r="BM309" s="47"/>
      <c r="BN309" s="47"/>
      <c r="BO309" s="47"/>
      <c r="BP309" s="47"/>
      <c r="BQ309" s="47"/>
      <c r="BR309" s="47"/>
      <c r="BS309" s="47"/>
      <c r="BT309" s="47"/>
      <c r="BU309" s="47"/>
      <c r="BV309" s="47"/>
      <c r="BW309" s="47"/>
      <c r="BX309" s="47"/>
      <c r="BY309" s="47"/>
      <c r="BZ309" s="47"/>
    </row>
    <row r="310" spans="1:78" ht="13">
      <c r="A310" s="152" t="str">
        <f ca="1">IFERROR(__xludf.DUMMYFUNCTION("""COMPUTED_VALUE"""),"Minor Resist All Potion")</f>
        <v>Minor Resist All Potion</v>
      </c>
      <c r="B310" s="47" t="str">
        <f ca="1">IFERROR(__xludf.DUMMYFUNCTION("TRANSPOSE(unique(filter(Recipes!A$2:A2490,(Recipes!L$2:L2490=A310)+(Recipes!O$2:O2490=A310)+(Recipes!R$2:R2490=A310)+(Recipes!U$2:U2490=A310)+(Recipes!X$2:X2490=A310))))"),"Medium Resist All Potion")</f>
        <v>Medium Resist All Potion</v>
      </c>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c r="AA310" s="47"/>
      <c r="AB310" s="47"/>
      <c r="AC310" s="47"/>
      <c r="AD310" s="47"/>
      <c r="AE310" s="47"/>
      <c r="AF310" s="47"/>
      <c r="AG310" s="47"/>
      <c r="AH310" s="47"/>
      <c r="AI310" s="47"/>
      <c r="AJ310" s="47"/>
      <c r="AK310" s="47"/>
      <c r="AL310" s="47"/>
      <c r="AM310" s="47"/>
      <c r="AN310" s="47"/>
      <c r="AO310" s="47"/>
      <c r="AP310" s="47"/>
      <c r="AQ310" s="47"/>
      <c r="AR310" s="47"/>
      <c r="AS310" s="47"/>
      <c r="AT310" s="47"/>
      <c r="AU310" s="47"/>
      <c r="AV310" s="47"/>
      <c r="AW310" s="47"/>
      <c r="AX310" s="47"/>
      <c r="AY310" s="47"/>
      <c r="AZ310" s="47"/>
      <c r="BA310" s="47"/>
      <c r="BB310" s="47"/>
      <c r="BC310" s="47"/>
      <c r="BD310" s="47"/>
      <c r="BE310" s="47"/>
      <c r="BF310" s="47"/>
      <c r="BG310" s="47"/>
      <c r="BH310" s="47"/>
      <c r="BI310" s="47"/>
      <c r="BJ310" s="47"/>
      <c r="BK310" s="47"/>
      <c r="BL310" s="47"/>
      <c r="BM310" s="47"/>
      <c r="BN310" s="47"/>
      <c r="BO310" s="47"/>
      <c r="BP310" s="47"/>
      <c r="BQ310" s="47"/>
      <c r="BR310" s="47"/>
      <c r="BS310" s="47"/>
      <c r="BT310" s="47"/>
      <c r="BU310" s="47"/>
      <c r="BV310" s="47"/>
      <c r="BW310" s="47"/>
      <c r="BX310" s="47"/>
      <c r="BY310" s="47"/>
      <c r="BZ310" s="47"/>
    </row>
    <row r="311" spans="1:78" ht="13">
      <c r="A311" s="152" t="str">
        <f ca="1">IFERROR(__xludf.DUMMYFUNCTION("""COMPUTED_VALUE"""),"Mortar and Pestle")</f>
        <v>Mortar and Pestle</v>
      </c>
      <c r="B311" s="47" t="str">
        <f ca="1">IFERROR(__xludf.DUMMYFUNCTION("TRANSPOSE(unique(filter(Recipes!A$2:A2490,(Recipes!L$2:L2490=A311)+(Recipes!O$2:O2490=A311)+(Recipes!R$2:R2490=A311)+(Recipes!U$2:U2490=A311)+(Recipes!X$2:X2490=A311))))"),"Flour")</f>
        <v>Flour</v>
      </c>
      <c r="C311" s="47" t="str">
        <f ca="1">IFERROR(__xludf.DUMMYFUNCTION("""COMPUTED_VALUE"""),"Bone Dust")</f>
        <v>Bone Dust</v>
      </c>
      <c r="D311" s="47" t="str">
        <f ca="1">IFERROR(__xludf.DUMMYFUNCTION("""COMPUTED_VALUE"""),"Pouch of Superior Stardust")</f>
        <v>Pouch of Superior Stardust</v>
      </c>
      <c r="E311" s="47" t="str">
        <f ca="1">IFERROR(__xludf.DUMMYFUNCTION("""COMPUTED_VALUE"""),"Stardust")</f>
        <v>Stardust</v>
      </c>
      <c r="F311" s="47"/>
      <c r="G311" s="47"/>
      <c r="H311" s="47"/>
      <c r="I311" s="47"/>
      <c r="J311" s="47"/>
      <c r="K311" s="47"/>
      <c r="L311" s="47"/>
      <c r="M311" s="47"/>
      <c r="N311" s="47"/>
      <c r="O311" s="47"/>
      <c r="P311" s="47"/>
      <c r="Q311" s="47"/>
      <c r="R311" s="47"/>
      <c r="S311" s="47"/>
      <c r="T311" s="47"/>
      <c r="U311" s="47"/>
      <c r="V311" s="47"/>
      <c r="W311" s="47"/>
      <c r="X311" s="47"/>
      <c r="Y311" s="47"/>
      <c r="Z311" s="47"/>
      <c r="AA311" s="47"/>
      <c r="AB311" s="47"/>
      <c r="AC311" s="47"/>
      <c r="AD311" s="47"/>
      <c r="AE311" s="47"/>
      <c r="AF311" s="47"/>
      <c r="AG311" s="47"/>
      <c r="AH311" s="47"/>
      <c r="AI311" s="47"/>
      <c r="AJ311" s="47"/>
      <c r="AK311" s="47"/>
      <c r="AL311" s="47"/>
      <c r="AM311" s="47"/>
      <c r="AN311" s="47"/>
      <c r="AO311" s="47"/>
      <c r="AP311" s="47"/>
      <c r="AQ311" s="47"/>
      <c r="AR311" s="47"/>
      <c r="AS311" s="47"/>
      <c r="AT311" s="47"/>
      <c r="AU311" s="47"/>
      <c r="AV311" s="47"/>
      <c r="AW311" s="47"/>
      <c r="AX311" s="47"/>
      <c r="AY311" s="47"/>
      <c r="AZ311" s="47"/>
      <c r="BA311" s="47"/>
      <c r="BB311" s="47"/>
      <c r="BC311" s="47"/>
      <c r="BD311" s="47"/>
      <c r="BE311" s="47"/>
      <c r="BF311" s="47"/>
      <c r="BG311" s="47"/>
      <c r="BH311" s="47"/>
      <c r="BI311" s="47"/>
      <c r="BJ311" s="47"/>
      <c r="BK311" s="47"/>
      <c r="BL311" s="47"/>
      <c r="BM311" s="47"/>
      <c r="BN311" s="47"/>
      <c r="BO311" s="47"/>
      <c r="BP311" s="47"/>
      <c r="BQ311" s="47"/>
      <c r="BR311" s="47"/>
      <c r="BS311" s="47"/>
      <c r="BT311" s="47"/>
      <c r="BU311" s="47"/>
      <c r="BV311" s="47"/>
      <c r="BW311" s="47"/>
      <c r="BX311" s="47"/>
      <c r="BY311" s="47"/>
      <c r="BZ311" s="47"/>
    </row>
    <row r="312" spans="1:78" ht="13">
      <c r="A312" s="152" t="str">
        <f ca="1">IFERROR(__xludf.DUMMYFUNCTION("""COMPUTED_VALUE"""),"Mosquito Swarm Scroll")</f>
        <v>Mosquito Swarm Scroll</v>
      </c>
      <c r="B312" s="47" t="str">
        <f ca="1">IFERROR(__xludf.DUMMYFUNCTION("TRANSPOSE(unique(filter(Recipes!A$2:A2490,(Recipes!L$2:L2490=A312)+(Recipes!O$2:O2490=A312)+(Recipes!R$2:R2490=A312)+(Recipes!U$2:U2490=A312)+(Recipes!X$2:X2490=A312))))"),"Mosquito Swarm Skillbook")</f>
        <v>Mosquito Swarm Skillbook</v>
      </c>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c r="AA312" s="47"/>
      <c r="AB312" s="47"/>
      <c r="AC312" s="47"/>
      <c r="AD312" s="47"/>
      <c r="AE312" s="47"/>
      <c r="AF312" s="47"/>
      <c r="AG312" s="47"/>
      <c r="AH312" s="47"/>
      <c r="AI312" s="47"/>
      <c r="AJ312" s="47"/>
      <c r="AK312" s="47"/>
      <c r="AL312" s="47"/>
      <c r="AM312" s="47"/>
      <c r="AN312" s="47"/>
      <c r="AO312" s="47"/>
      <c r="AP312" s="47"/>
      <c r="AQ312" s="47"/>
      <c r="AR312" s="47"/>
      <c r="AS312" s="47"/>
      <c r="AT312" s="47"/>
      <c r="AU312" s="47"/>
      <c r="AV312" s="47"/>
      <c r="AW312" s="47"/>
      <c r="AX312" s="47"/>
      <c r="AY312" s="47"/>
      <c r="AZ312" s="47"/>
      <c r="BA312" s="47"/>
      <c r="BB312" s="47"/>
      <c r="BC312" s="47"/>
      <c r="BD312" s="47"/>
      <c r="BE312" s="47"/>
      <c r="BF312" s="47"/>
      <c r="BG312" s="47"/>
      <c r="BH312" s="47"/>
      <c r="BI312" s="47"/>
      <c r="BJ312" s="47"/>
      <c r="BK312" s="47"/>
      <c r="BL312" s="47"/>
      <c r="BM312" s="47"/>
      <c r="BN312" s="47"/>
      <c r="BO312" s="47"/>
      <c r="BP312" s="47"/>
      <c r="BQ312" s="47"/>
      <c r="BR312" s="47"/>
      <c r="BS312" s="47"/>
      <c r="BT312" s="47"/>
      <c r="BU312" s="47"/>
      <c r="BV312" s="47"/>
      <c r="BW312" s="47"/>
      <c r="BX312" s="47"/>
      <c r="BY312" s="47"/>
      <c r="BZ312" s="47"/>
    </row>
    <row r="313" spans="1:78" ht="13">
      <c r="A313" s="152" t="str">
        <f ca="1">IFERROR(__xludf.DUMMYFUNCTION("""COMPUTED_VALUE"""),"Mug of Water")</f>
        <v>Mug of Water</v>
      </c>
      <c r="B313" s="47" t="str">
        <f ca="1">IFERROR(__xludf.DUMMYFUNCTION("TRANSPOSE(unique(filter(Recipes!A$2:A2490,(Recipes!L$2:L2490=A313)+(Recipes!O$2:O2490=A313)+(Recipes!R$2:R2490=A313)+(Recipes!U$2:U2490=A313)+(Recipes!X$2:X2490=A313))))"),"Mug of Tea")</f>
        <v>Mug of Tea</v>
      </c>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c r="AA313" s="47"/>
      <c r="AB313" s="47"/>
      <c r="AC313" s="47"/>
      <c r="AD313" s="47"/>
      <c r="AE313" s="47"/>
      <c r="AF313" s="47"/>
      <c r="AG313" s="47"/>
      <c r="AH313" s="47"/>
      <c r="AI313" s="47"/>
      <c r="AJ313" s="47"/>
      <c r="AK313" s="47"/>
      <c r="AL313" s="47"/>
      <c r="AM313" s="47"/>
      <c r="AN313" s="47"/>
      <c r="AO313" s="47"/>
      <c r="AP313" s="47"/>
      <c r="AQ313" s="47"/>
      <c r="AR313" s="47"/>
      <c r="AS313" s="47"/>
      <c r="AT313" s="47"/>
      <c r="AU313" s="47"/>
      <c r="AV313" s="47"/>
      <c r="AW313" s="47"/>
      <c r="AX313" s="47"/>
      <c r="AY313" s="47"/>
      <c r="AZ313" s="47"/>
      <c r="BA313" s="47"/>
      <c r="BB313" s="47"/>
      <c r="BC313" s="47"/>
      <c r="BD313" s="47"/>
      <c r="BE313" s="47"/>
      <c r="BF313" s="47"/>
      <c r="BG313" s="47"/>
      <c r="BH313" s="47"/>
      <c r="BI313" s="47"/>
      <c r="BJ313" s="47"/>
      <c r="BK313" s="47"/>
      <c r="BL313" s="47"/>
      <c r="BM313" s="47"/>
      <c r="BN313" s="47"/>
      <c r="BO313" s="47"/>
      <c r="BP313" s="47"/>
      <c r="BQ313" s="47"/>
      <c r="BR313" s="47"/>
      <c r="BS313" s="47"/>
      <c r="BT313" s="47"/>
      <c r="BU313" s="47"/>
      <c r="BV313" s="47"/>
      <c r="BW313" s="47"/>
      <c r="BX313" s="47"/>
      <c r="BY313" s="47"/>
      <c r="BZ313" s="47"/>
    </row>
    <row r="314" spans="1:78" ht="13">
      <c r="A314" s="152" t="str">
        <f ca="1">IFERROR(__xludf.DUMMYFUNCTION("""COMPUTED_VALUE"""),"Mystical Rune Frame")</f>
        <v>Mystical Rune Frame</v>
      </c>
      <c r="B314" s="47" t="str">
        <f ca="1">IFERROR(__xludf.DUMMYFUNCTION("TRANSPOSE(unique(filter(Recipes!A$2:A2490,(Recipes!L$2:L2490=A314)+(Recipes!O$2:O2490=A314)+(Recipes!R$2:R2490=A314)+(Recipes!U$2:U2490=A314)+(Recipes!X$2:X2490=A314))))"),"Mystical Giant Flame Rune")</f>
        <v>Mystical Giant Flame Rune</v>
      </c>
      <c r="C314" s="47" t="str">
        <f ca="1">IFERROR(__xludf.DUMMYFUNCTION("""COMPUTED_VALUE"""),"Mystical Large Flame Rune")</f>
        <v>Mystical Large Flame Rune</v>
      </c>
      <c r="D314" s="47" t="str">
        <f ca="1">IFERROR(__xludf.DUMMYFUNCTION("""COMPUTED_VALUE"""),"Mystical Medium Flame Rune")</f>
        <v>Mystical Medium Flame Rune</v>
      </c>
      <c r="E314" s="47" t="str">
        <f ca="1">IFERROR(__xludf.DUMMYFUNCTION("""COMPUTED_VALUE"""),"Mystical Small Flame Rune")</f>
        <v>Mystical Small Flame Rune</v>
      </c>
      <c r="F314" s="47" t="str">
        <f ca="1">IFERROR(__xludf.DUMMYFUNCTION("""COMPUTED_VALUE"""),"Mystical Giant Frost Rune")</f>
        <v>Mystical Giant Frost Rune</v>
      </c>
      <c r="G314" s="47" t="str">
        <f ca="1">IFERROR(__xludf.DUMMYFUNCTION("""COMPUTED_VALUE"""),"Mystical Large Frost Rune")</f>
        <v>Mystical Large Frost Rune</v>
      </c>
      <c r="H314" s="47" t="str">
        <f ca="1">IFERROR(__xludf.DUMMYFUNCTION("""COMPUTED_VALUE"""),"Mystical Medium Frost Rune")</f>
        <v>Mystical Medium Frost Rune</v>
      </c>
      <c r="I314" s="47" t="str">
        <f ca="1">IFERROR(__xludf.DUMMYFUNCTION("""COMPUTED_VALUE"""),"Mystical Small Frost Rune")</f>
        <v>Mystical Small Frost Rune</v>
      </c>
      <c r="J314" s="47" t="str">
        <f ca="1">IFERROR(__xludf.DUMMYFUNCTION("""COMPUTED_VALUE"""),"Mystical Giant Masterwork Rune")</f>
        <v>Mystical Giant Masterwork Rune</v>
      </c>
      <c r="K314" s="47" t="str">
        <f ca="1">IFERROR(__xludf.DUMMYFUNCTION("""COMPUTED_VALUE"""),"Mystical Large Masterwork Rune")</f>
        <v>Mystical Large Masterwork Rune</v>
      </c>
      <c r="L314" s="47" t="str">
        <f ca="1">IFERROR(__xludf.DUMMYFUNCTION("""COMPUTED_VALUE"""),"Mystical Medium Masterwork Rune")</f>
        <v>Mystical Medium Masterwork Rune</v>
      </c>
      <c r="M314" s="47" t="str">
        <f ca="1">IFERROR(__xludf.DUMMYFUNCTION("""COMPUTED_VALUE"""),"Mystical Small Masterwork Rune")</f>
        <v>Mystical Small Masterwork Rune</v>
      </c>
      <c r="N314" s="47" t="str">
        <f ca="1">IFERROR(__xludf.DUMMYFUNCTION("""COMPUTED_VALUE"""),"Mystical Giant Rock Rune")</f>
        <v>Mystical Giant Rock Rune</v>
      </c>
      <c r="O314" s="47" t="str">
        <f ca="1">IFERROR(__xludf.DUMMYFUNCTION("""COMPUTED_VALUE"""),"Mystical Large Rock Rune")</f>
        <v>Mystical Large Rock Rune</v>
      </c>
      <c r="P314" s="47" t="str">
        <f ca="1">IFERROR(__xludf.DUMMYFUNCTION("""COMPUTED_VALUE"""),"Mystical Medium Rock Rune")</f>
        <v>Mystical Medium Rock Rune</v>
      </c>
      <c r="Q314" s="47" t="str">
        <f ca="1">IFERROR(__xludf.DUMMYFUNCTION("""COMPUTED_VALUE"""),"Mystical Small Rock Rune")</f>
        <v>Mystical Small Rock Rune</v>
      </c>
      <c r="R314" s="47" t="str">
        <f ca="1">IFERROR(__xludf.DUMMYFUNCTION("""COMPUTED_VALUE"""),"Mystical Giant Thunder Rune")</f>
        <v>Mystical Giant Thunder Rune</v>
      </c>
      <c r="S314" s="47" t="str">
        <f ca="1">IFERROR(__xludf.DUMMYFUNCTION("""COMPUTED_VALUE"""),"Mystical Large Thunder Rune")</f>
        <v>Mystical Large Thunder Rune</v>
      </c>
      <c r="T314" s="47" t="str">
        <f ca="1">IFERROR(__xludf.DUMMYFUNCTION("""COMPUTED_VALUE"""),"Mystical Medium Thunder Rune")</f>
        <v>Mystical Medium Thunder Rune</v>
      </c>
      <c r="U314" s="47" t="str">
        <f ca="1">IFERROR(__xludf.DUMMYFUNCTION("""COMPUTED_VALUE"""),"Mystical Small Thunder Rune")</f>
        <v>Mystical Small Thunder Rune</v>
      </c>
      <c r="V314" s="47" t="str">
        <f ca="1">IFERROR(__xludf.DUMMYFUNCTION("""COMPUTED_VALUE"""),"Mystical Giant Venom Rune")</f>
        <v>Mystical Giant Venom Rune</v>
      </c>
      <c r="W314" s="47" t="str">
        <f ca="1">IFERROR(__xludf.DUMMYFUNCTION("""COMPUTED_VALUE"""),"Mystical Large Venom Rune")</f>
        <v>Mystical Large Venom Rune</v>
      </c>
      <c r="X314" s="47" t="str">
        <f ca="1">IFERROR(__xludf.DUMMYFUNCTION("""COMPUTED_VALUE"""),"Mystical Medium Venom Rune")</f>
        <v>Mystical Medium Venom Rune</v>
      </c>
      <c r="Y314" s="47" t="str">
        <f ca="1">IFERROR(__xludf.DUMMYFUNCTION("""COMPUTED_VALUE"""),"Mystical Small Venom Rune")</f>
        <v>Mystical Small Venom Rune</v>
      </c>
      <c r="Z314" s="47"/>
      <c r="AA314" s="47"/>
      <c r="AB314" s="47"/>
      <c r="AC314" s="47"/>
      <c r="AD314" s="47"/>
      <c r="AE314" s="47"/>
      <c r="AF314" s="47"/>
      <c r="AG314" s="47"/>
      <c r="AH314" s="47"/>
      <c r="AI314" s="47"/>
      <c r="AJ314" s="47"/>
      <c r="AK314" s="47"/>
      <c r="AL314" s="47"/>
      <c r="AM314" s="47"/>
      <c r="AN314" s="47"/>
      <c r="AO314" s="47"/>
      <c r="AP314" s="47"/>
      <c r="AQ314" s="47"/>
      <c r="AR314" s="47"/>
      <c r="AS314" s="47"/>
      <c r="AT314" s="47"/>
      <c r="AU314" s="47"/>
      <c r="AV314" s="47"/>
      <c r="AW314" s="47"/>
      <c r="AX314" s="47"/>
      <c r="AY314" s="47"/>
      <c r="AZ314" s="47"/>
      <c r="BA314" s="47"/>
      <c r="BB314" s="47"/>
      <c r="BC314" s="47"/>
      <c r="BD314" s="47"/>
      <c r="BE314" s="47"/>
      <c r="BF314" s="47"/>
      <c r="BG314" s="47"/>
      <c r="BH314" s="47"/>
      <c r="BI314" s="47"/>
      <c r="BJ314" s="47"/>
      <c r="BK314" s="47"/>
      <c r="BL314" s="47"/>
      <c r="BM314" s="47"/>
      <c r="BN314" s="47"/>
      <c r="BO314" s="47"/>
      <c r="BP314" s="47"/>
      <c r="BQ314" s="47"/>
      <c r="BR314" s="47"/>
      <c r="BS314" s="47"/>
      <c r="BT314" s="47"/>
      <c r="BU314" s="47"/>
      <c r="BV314" s="47"/>
      <c r="BW314" s="47"/>
      <c r="BX314" s="47"/>
      <c r="BY314" s="47"/>
      <c r="BZ314" s="47"/>
    </row>
    <row r="315" spans="1:78" ht="13">
      <c r="A315" s="152" t="str">
        <f ca="1">IFERROR(__xludf.DUMMYFUNCTION("""COMPUTED_VALUE"""),"Nails")</f>
        <v>Nails</v>
      </c>
      <c r="B315" s="47" t="str">
        <f ca="1">IFERROR(__xludf.DUMMYFUNCTION("TRANSPOSE(unique(filter(Recipes!A$2:A2490,(Recipes!L$2:L2490=A315)+(Recipes!O$2:O2490=A315)+(Recipes!R$2:R2490=A315)+(Recipes!U$2:U2490=A315)+(Recipes!X$2:X2490=A315))))"),"Slipping Immunity")</f>
        <v>Slipping Immunity</v>
      </c>
      <c r="C315" s="47" t="str">
        <f ca="1">IFERROR(__xludf.DUMMYFUNCTION("""COMPUTED_VALUE"""),"Nailbomb Grenade")</f>
        <v>Nailbomb Grenade</v>
      </c>
      <c r="D315" s="47" t="str">
        <f ca="1">IFERROR(__xludf.DUMMYFUNCTION("""COMPUTED_VALUE"""),"Laser Ray Scroll")</f>
        <v>Laser Ray Scroll</v>
      </c>
      <c r="E315" s="47" t="str">
        <f ca="1">IFERROR(__xludf.DUMMYFUNCTION("""COMPUTED_VALUE"""),"Lockpick")</f>
        <v>Lockpick</v>
      </c>
      <c r="F315" s="47"/>
      <c r="G315" s="47"/>
      <c r="H315" s="47"/>
      <c r="I315" s="47"/>
      <c r="J315" s="47"/>
      <c r="K315" s="47"/>
      <c r="L315" s="47"/>
      <c r="M315" s="47"/>
      <c r="N315" s="47"/>
      <c r="O315" s="47"/>
      <c r="P315" s="47"/>
      <c r="Q315" s="47"/>
      <c r="R315" s="47"/>
      <c r="S315" s="47"/>
      <c r="T315" s="47"/>
      <c r="U315" s="47"/>
      <c r="V315" s="47"/>
      <c r="W315" s="47"/>
      <c r="X315" s="47"/>
      <c r="Y315" s="47"/>
      <c r="Z315" s="47"/>
      <c r="AA315" s="47"/>
      <c r="AB315" s="47"/>
      <c r="AC315" s="47"/>
      <c r="AD315" s="47"/>
      <c r="AE315" s="47"/>
      <c r="AF315" s="47"/>
      <c r="AG315" s="47"/>
      <c r="AH315" s="47"/>
      <c r="AI315" s="47"/>
      <c r="AJ315" s="47"/>
      <c r="AK315" s="47"/>
      <c r="AL315" s="47"/>
      <c r="AM315" s="47"/>
      <c r="AN315" s="47"/>
      <c r="AO315" s="47"/>
      <c r="AP315" s="47"/>
      <c r="AQ315" s="47"/>
      <c r="AR315" s="47"/>
      <c r="AS315" s="47"/>
      <c r="AT315" s="47"/>
      <c r="AU315" s="47"/>
      <c r="AV315" s="47"/>
      <c r="AW315" s="47"/>
      <c r="AX315" s="47"/>
      <c r="AY315" s="47"/>
      <c r="AZ315" s="47"/>
      <c r="BA315" s="47"/>
      <c r="BB315" s="47"/>
      <c r="BC315" s="47"/>
      <c r="BD315" s="47"/>
      <c r="BE315" s="47"/>
      <c r="BF315" s="47"/>
      <c r="BG315" s="47"/>
      <c r="BH315" s="47"/>
      <c r="BI315" s="47"/>
      <c r="BJ315" s="47"/>
      <c r="BK315" s="47"/>
      <c r="BL315" s="47"/>
      <c r="BM315" s="47"/>
      <c r="BN315" s="47"/>
      <c r="BO315" s="47"/>
      <c r="BP315" s="47"/>
      <c r="BQ315" s="47"/>
      <c r="BR315" s="47"/>
      <c r="BS315" s="47"/>
      <c r="BT315" s="47"/>
      <c r="BU315" s="47"/>
      <c r="BV315" s="47"/>
      <c r="BW315" s="47"/>
      <c r="BX315" s="47"/>
      <c r="BY315" s="47"/>
      <c r="BZ315" s="47"/>
    </row>
    <row r="316" spans="1:78" ht="13">
      <c r="A316" s="152" t="str">
        <f ca="1">IFERROR(__xludf.DUMMYFUNCTION("""COMPUTED_VALUE"""),"Needle")</f>
        <v>Needle</v>
      </c>
      <c r="B316" s="47" t="str">
        <f ca="1">IFERROR(__xludf.DUMMYFUNCTION("TRANSPOSE(unique(filter(Recipes!A$2:A2490,(Recipes!L$2:L2490=A316)+(Recipes!O$2:O2490=A316)+(Recipes!R$2:R2490=A316)+(Recipes!U$2:U2490=A316)+(Recipes!X$2:X2490=A316))))"),"Flaming Crescendo Scroll")</f>
        <v>Flaming Crescendo Scroll</v>
      </c>
      <c r="C316" s="47" t="str">
        <f ca="1">IFERROR(__xludf.DUMMYFUNCTION("""COMPUTED_VALUE"""),"Needle and Thread")</f>
        <v>Needle and Thread</v>
      </c>
      <c r="D316" s="47" t="str">
        <f ca="1">IFERROR(__xludf.DUMMYFUNCTION("""COMPUTED_VALUE"""),"Lockpick")</f>
        <v>Lockpick</v>
      </c>
      <c r="E316" s="47"/>
      <c r="F316" s="47"/>
      <c r="G316" s="47"/>
      <c r="H316" s="47"/>
      <c r="I316" s="47"/>
      <c r="J316" s="47"/>
      <c r="K316" s="47"/>
      <c r="L316" s="47"/>
      <c r="M316" s="47"/>
      <c r="N316" s="47"/>
      <c r="O316" s="47"/>
      <c r="P316" s="47"/>
      <c r="Q316" s="47"/>
      <c r="R316" s="47"/>
      <c r="S316" s="47"/>
      <c r="T316" s="47"/>
      <c r="U316" s="47"/>
      <c r="V316" s="47"/>
      <c r="W316" s="47"/>
      <c r="X316" s="47"/>
      <c r="Y316" s="47"/>
      <c r="Z316" s="47"/>
      <c r="AA316" s="47"/>
      <c r="AB316" s="47"/>
      <c r="AC316" s="47"/>
      <c r="AD316" s="47"/>
      <c r="AE316" s="47"/>
      <c r="AF316" s="47"/>
      <c r="AG316" s="47"/>
      <c r="AH316" s="47"/>
      <c r="AI316" s="47"/>
      <c r="AJ316" s="47"/>
      <c r="AK316" s="47"/>
      <c r="AL316" s="47"/>
      <c r="AM316" s="47"/>
      <c r="AN316" s="47"/>
      <c r="AO316" s="47"/>
      <c r="AP316" s="47"/>
      <c r="AQ316" s="47"/>
      <c r="AR316" s="47"/>
      <c r="AS316" s="47"/>
      <c r="AT316" s="47"/>
      <c r="AU316" s="47"/>
      <c r="AV316" s="47"/>
      <c r="AW316" s="47"/>
      <c r="AX316" s="47"/>
      <c r="AY316" s="47"/>
      <c r="AZ316" s="47"/>
      <c r="BA316" s="47"/>
      <c r="BB316" s="47"/>
      <c r="BC316" s="47"/>
      <c r="BD316" s="47"/>
      <c r="BE316" s="47"/>
      <c r="BF316" s="47"/>
      <c r="BG316" s="47"/>
      <c r="BH316" s="47"/>
      <c r="BI316" s="47"/>
      <c r="BJ316" s="47"/>
      <c r="BK316" s="47"/>
      <c r="BL316" s="47"/>
      <c r="BM316" s="47"/>
      <c r="BN316" s="47"/>
      <c r="BO316" s="47"/>
      <c r="BP316" s="47"/>
      <c r="BQ316" s="47"/>
      <c r="BR316" s="47"/>
      <c r="BS316" s="47"/>
      <c r="BT316" s="47"/>
      <c r="BU316" s="47"/>
      <c r="BV316" s="47"/>
      <c r="BW316" s="47"/>
      <c r="BX316" s="47"/>
      <c r="BY316" s="47"/>
      <c r="BZ316" s="47"/>
    </row>
    <row r="317" spans="1:78" ht="13">
      <c r="A317" s="152" t="str">
        <f ca="1">IFERROR(__xludf.DUMMYFUNCTION("""COMPUTED_VALUE"""),"Needle and Thread")</f>
        <v>Needle and Thread</v>
      </c>
      <c r="B317" s="47" t="str">
        <f ca="1">IFERROR(__xludf.DUMMYFUNCTION("TRANSPOSE(unique(filter(Recipes!A$2:A2490,(Recipes!L$2:L2490=A317)+(Recipes!O$2:O2490=A317)+(Recipes!R$2:R2490=A317)+(Recipes!U$2:U2490=A317)+(Recipes!X$2:X2490=A317))))"),"Handmade Cloth Shirt")</f>
        <v>Handmade Cloth Shirt</v>
      </c>
      <c r="C317" s="47" t="str">
        <f ca="1">IFERROR(__xludf.DUMMYFUNCTION("""COMPUTED_VALUE"""),"Handmade Leather Armour")</f>
        <v>Handmade Leather Armour</v>
      </c>
      <c r="D317" s="47" t="str">
        <f ca="1">IFERROR(__xludf.DUMMYFUNCTION("""COMPUTED_VALUE"""),"Handmade Mage Armour")</f>
        <v>Handmade Mage Armour</v>
      </c>
      <c r="E317" s="47" t="str">
        <f ca="1">IFERROR(__xludf.DUMMYFUNCTION("""COMPUTED_VALUE"""),"Handmade Mail Armour")</f>
        <v>Handmade Mail Armour</v>
      </c>
      <c r="F317" s="47"/>
      <c r="G317" s="47"/>
      <c r="H317" s="47"/>
      <c r="I317" s="47"/>
      <c r="J317" s="47"/>
      <c r="K317" s="47"/>
      <c r="L317" s="47"/>
      <c r="M317" s="47"/>
      <c r="N317" s="47"/>
      <c r="O317" s="47"/>
      <c r="P317" s="47"/>
      <c r="Q317" s="47"/>
      <c r="R317" s="47"/>
      <c r="S317" s="47"/>
      <c r="T317" s="47"/>
      <c r="U317" s="47"/>
      <c r="V317" s="47"/>
      <c r="W317" s="47"/>
      <c r="X317" s="47"/>
      <c r="Y317" s="47"/>
      <c r="Z317" s="47"/>
      <c r="AA317" s="47"/>
      <c r="AB317" s="47"/>
      <c r="AC317" s="47"/>
      <c r="AD317" s="47"/>
      <c r="AE317" s="47"/>
      <c r="AF317" s="47"/>
      <c r="AG317" s="47"/>
      <c r="AH317" s="47"/>
      <c r="AI317" s="47"/>
      <c r="AJ317" s="47"/>
      <c r="AK317" s="47"/>
      <c r="AL317" s="47"/>
      <c r="AM317" s="47"/>
      <c r="AN317" s="47"/>
      <c r="AO317" s="47"/>
      <c r="AP317" s="47"/>
      <c r="AQ317" s="47"/>
      <c r="AR317" s="47"/>
      <c r="AS317" s="47"/>
      <c r="AT317" s="47"/>
      <c r="AU317" s="47"/>
      <c r="AV317" s="47"/>
      <c r="AW317" s="47"/>
      <c r="AX317" s="47"/>
      <c r="AY317" s="47"/>
      <c r="AZ317" s="47"/>
      <c r="BA317" s="47"/>
      <c r="BB317" s="47"/>
      <c r="BC317" s="47"/>
      <c r="BD317" s="47"/>
      <c r="BE317" s="47"/>
      <c r="BF317" s="47"/>
      <c r="BG317" s="47"/>
      <c r="BH317" s="47"/>
      <c r="BI317" s="47"/>
      <c r="BJ317" s="47"/>
      <c r="BK317" s="47"/>
      <c r="BL317" s="47"/>
      <c r="BM317" s="47"/>
      <c r="BN317" s="47"/>
      <c r="BO317" s="47"/>
      <c r="BP317" s="47"/>
      <c r="BQ317" s="47"/>
      <c r="BR317" s="47"/>
      <c r="BS317" s="47"/>
      <c r="BT317" s="47"/>
      <c r="BU317" s="47"/>
      <c r="BV317" s="47"/>
      <c r="BW317" s="47"/>
      <c r="BX317" s="47"/>
      <c r="BY317" s="47"/>
      <c r="BZ317" s="47"/>
    </row>
    <row r="318" spans="1:78" ht="13">
      <c r="A318" s="152" t="str">
        <f ca="1">IFERROR(__xludf.DUMMYFUNCTION("""COMPUTED_VALUE"""),"Netherswap Scroll")</f>
        <v>Netherswap Scroll</v>
      </c>
      <c r="B318" s="47" t="str">
        <f ca="1">IFERROR(__xludf.DUMMYFUNCTION("TRANSPOSE(unique(filter(Recipes!A$2:A2490,(Recipes!L$2:L2490=A318)+(Recipes!O$2:O2490=A318)+(Recipes!R$2:R2490=A318)+(Recipes!U$2:U2490=A318)+(Recipes!X$2:X2490=A318))))"),"Netherswap Skillbook")</f>
        <v>Netherswap Skillbook</v>
      </c>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c r="AA318" s="47"/>
      <c r="AB318" s="47"/>
      <c r="AC318" s="47"/>
      <c r="AD318" s="47"/>
      <c r="AE318" s="47"/>
      <c r="AF318" s="47"/>
      <c r="AG318" s="47"/>
      <c r="AH318" s="47"/>
      <c r="AI318" s="47"/>
      <c r="AJ318" s="47"/>
      <c r="AK318" s="47"/>
      <c r="AL318" s="47"/>
      <c r="AM318" s="47"/>
      <c r="AN318" s="47"/>
      <c r="AO318" s="47"/>
      <c r="AP318" s="47"/>
      <c r="AQ318" s="47"/>
      <c r="AR318" s="47"/>
      <c r="AS318" s="47"/>
      <c r="AT318" s="47"/>
      <c r="AU318" s="47"/>
      <c r="AV318" s="47"/>
      <c r="AW318" s="47"/>
      <c r="AX318" s="47"/>
      <c r="AY318" s="47"/>
      <c r="AZ318" s="47"/>
      <c r="BA318" s="47"/>
      <c r="BB318" s="47"/>
      <c r="BC318" s="47"/>
      <c r="BD318" s="47"/>
      <c r="BE318" s="47"/>
      <c r="BF318" s="47"/>
      <c r="BG318" s="47"/>
      <c r="BH318" s="47"/>
      <c r="BI318" s="47"/>
      <c r="BJ318" s="47"/>
      <c r="BK318" s="47"/>
      <c r="BL318" s="47"/>
      <c r="BM318" s="47"/>
      <c r="BN318" s="47"/>
      <c r="BO318" s="47"/>
      <c r="BP318" s="47"/>
      <c r="BQ318" s="47"/>
      <c r="BR318" s="47"/>
      <c r="BS318" s="47"/>
      <c r="BT318" s="47"/>
      <c r="BU318" s="47"/>
      <c r="BV318" s="47"/>
      <c r="BW318" s="47"/>
      <c r="BX318" s="47"/>
      <c r="BY318" s="47"/>
      <c r="BZ318" s="47"/>
    </row>
    <row r="319" spans="1:78" ht="13">
      <c r="A319" s="152" t="str">
        <f ca="1">IFERROR(__xludf.DUMMYFUNCTION("""COMPUTED_VALUE"""),"Oil")</f>
        <v>Oil</v>
      </c>
      <c r="B319" s="47" t="str">
        <f ca="1">IFERROR(__xludf.DUMMYFUNCTION("TRANSPOSE(unique(filter(Recipes!A$2:A2490,(Recipes!L$2:L2490=A319)+(Recipes!O$2:O2490=A319)+(Recipes!R$2:R2490=A319)+(Recipes!U$2:U2490=A319)+(Recipes!X$2:X2490=A319))))"),"Slowdown Arrow")</f>
        <v>Slowdown Arrow</v>
      </c>
      <c r="C319" s="47" t="str">
        <f ca="1">IFERROR(__xludf.DUMMYFUNCTION("""COMPUTED_VALUE"""),"Explosive Arrowhead")</f>
        <v>Explosive Arrowhead</v>
      </c>
      <c r="D319" s="47" t="str">
        <f ca="1">IFERROR(__xludf.DUMMYFUNCTION("""COMPUTED_VALUE"""),"Slowdown Arrowhead")</f>
        <v>Slowdown Arrowhead</v>
      </c>
      <c r="E319" s="47" t="str">
        <f ca="1">IFERROR(__xludf.DUMMYFUNCTION("""COMPUTED_VALUE"""),"Oil Flask")</f>
        <v>Oil Flask</v>
      </c>
      <c r="F319" s="47" t="str">
        <f ca="1">IFERROR(__xludf.DUMMYFUNCTION("""COMPUTED_VALUE"""),"Bottle Filled With Oil")</f>
        <v>Bottle Filled With Oil</v>
      </c>
      <c r="G319" s="47" t="str">
        <f ca="1">IFERROR(__xludf.DUMMYFUNCTION("""COMPUTED_VALUE"""),"Summon Oily Blob Scroll")</f>
        <v>Summon Oily Blob Scroll</v>
      </c>
      <c r="H319" s="47" t="str">
        <f ca="1">IFERROR(__xludf.DUMMYFUNCTION("""COMPUTED_VALUE"""),"Small Flame Rune")</f>
        <v>Small Flame Rune</v>
      </c>
      <c r="I319" s="47"/>
      <c r="J319" s="47"/>
      <c r="K319" s="47"/>
      <c r="L319" s="47"/>
      <c r="M319" s="47"/>
      <c r="N319" s="47"/>
      <c r="O319" s="47"/>
      <c r="P319" s="47"/>
      <c r="Q319" s="47"/>
      <c r="R319" s="47"/>
      <c r="S319" s="47"/>
      <c r="T319" s="47"/>
      <c r="U319" s="47"/>
      <c r="V319" s="47"/>
      <c r="W319" s="47"/>
      <c r="X319" s="47"/>
      <c r="Y319" s="47"/>
      <c r="Z319" s="47"/>
      <c r="AA319" s="47"/>
      <c r="AB319" s="47"/>
      <c r="AC319" s="47"/>
      <c r="AD319" s="47"/>
      <c r="AE319" s="47"/>
      <c r="AF319" s="47"/>
      <c r="AG319" s="47"/>
      <c r="AH319" s="47"/>
      <c r="AI319" s="47"/>
      <c r="AJ319" s="47"/>
      <c r="AK319" s="47"/>
      <c r="AL319" s="47"/>
      <c r="AM319" s="47"/>
      <c r="AN319" s="47"/>
      <c r="AO319" s="47"/>
      <c r="AP319" s="47"/>
      <c r="AQ319" s="47"/>
      <c r="AR319" s="47"/>
      <c r="AS319" s="47"/>
      <c r="AT319" s="47"/>
      <c r="AU319" s="47"/>
      <c r="AV319" s="47"/>
      <c r="AW319" s="47"/>
      <c r="AX319" s="47"/>
      <c r="AY319" s="47"/>
      <c r="AZ319" s="47"/>
      <c r="BA319" s="47"/>
      <c r="BB319" s="47"/>
      <c r="BC319" s="47"/>
      <c r="BD319" s="47"/>
      <c r="BE319" s="47"/>
      <c r="BF319" s="47"/>
      <c r="BG319" s="47"/>
      <c r="BH319" s="47"/>
      <c r="BI319" s="47"/>
      <c r="BJ319" s="47"/>
      <c r="BK319" s="47"/>
      <c r="BL319" s="47"/>
      <c r="BM319" s="47"/>
      <c r="BN319" s="47"/>
      <c r="BO319" s="47"/>
      <c r="BP319" s="47"/>
      <c r="BQ319" s="47"/>
      <c r="BR319" s="47"/>
      <c r="BS319" s="47"/>
      <c r="BT319" s="47"/>
      <c r="BU319" s="47"/>
      <c r="BV319" s="47"/>
      <c r="BW319" s="47"/>
      <c r="BX319" s="47"/>
      <c r="BY319" s="47"/>
      <c r="BZ319" s="47"/>
    </row>
    <row r="320" spans="1:78" ht="13">
      <c r="A320" s="152" t="str">
        <f ca="1">IFERROR(__xludf.DUMMYFUNCTION("""COMPUTED_VALUE"""),"Oil Flask")</f>
        <v>Oil Flask</v>
      </c>
      <c r="B320" s="47" t="str">
        <f ca="1">IFERROR(__xludf.DUMMYFUNCTION("TRANSPOSE(unique(filter(Recipes!A$2:A2490,(Recipes!L$2:L2490=A320)+(Recipes!O$2:O2490=A320)+(Recipes!R$2:R2490=A320)+(Recipes!U$2:U2490=A320)+(Recipes!X$2:X2490=A320))))"),"Blessed Oil Flask")</f>
        <v>Blessed Oil Flask</v>
      </c>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c r="AA320" s="47"/>
      <c r="AB320" s="47"/>
      <c r="AC320" s="47"/>
      <c r="AD320" s="47"/>
      <c r="AE320" s="47"/>
      <c r="AF320" s="47"/>
      <c r="AG320" s="47"/>
      <c r="AH320" s="47"/>
      <c r="AI320" s="47"/>
      <c r="AJ320" s="47"/>
      <c r="AK320" s="47"/>
      <c r="AL320" s="47"/>
      <c r="AM320" s="47"/>
      <c r="AN320" s="47"/>
      <c r="AO320" s="47"/>
      <c r="AP320" s="47"/>
      <c r="AQ320" s="47"/>
      <c r="AR320" s="47"/>
      <c r="AS320" s="47"/>
      <c r="AT320" s="47"/>
      <c r="AU320" s="47"/>
      <c r="AV320" s="47"/>
      <c r="AW320" s="47"/>
      <c r="AX320" s="47"/>
      <c r="AY320" s="47"/>
      <c r="AZ320" s="47"/>
      <c r="BA320" s="47"/>
      <c r="BB320" s="47"/>
      <c r="BC320" s="47"/>
      <c r="BD320" s="47"/>
      <c r="BE320" s="47"/>
      <c r="BF320" s="47"/>
      <c r="BG320" s="47"/>
      <c r="BH320" s="47"/>
      <c r="BI320" s="47"/>
      <c r="BJ320" s="47"/>
      <c r="BK320" s="47"/>
      <c r="BL320" s="47"/>
      <c r="BM320" s="47"/>
      <c r="BN320" s="47"/>
      <c r="BO320" s="47"/>
      <c r="BP320" s="47"/>
      <c r="BQ320" s="47"/>
      <c r="BR320" s="47"/>
      <c r="BS320" s="47"/>
      <c r="BT320" s="47"/>
      <c r="BU320" s="47"/>
      <c r="BV320" s="47"/>
      <c r="BW320" s="47"/>
      <c r="BX320" s="47"/>
      <c r="BY320" s="47"/>
      <c r="BZ320" s="47"/>
    </row>
    <row r="321" spans="1:78" ht="13">
      <c r="A321" s="152" t="str">
        <f ca="1">IFERROR(__xludf.DUMMYFUNCTION("""COMPUTED_VALUE"""),"Oil Pump")</f>
        <v>Oil Pump</v>
      </c>
      <c r="B321" s="47" t="str">
        <f ca="1">IFERROR(__xludf.DUMMYFUNCTION("TRANSPOSE(unique(filter(Recipes!A$2:A2490,(Recipes!L$2:L2490=A321)+(Recipes!O$2:O2490=A321)+(Recipes!R$2:R2490=A321)+(Recipes!U$2:U2490=A321)+(Recipes!X$2:X2490=A321))))"),"Oil Barrel")</f>
        <v>Oil Barrel</v>
      </c>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c r="AA321" s="47"/>
      <c r="AB321" s="47"/>
      <c r="AC321" s="47"/>
      <c r="AD321" s="47"/>
      <c r="AE321" s="47"/>
      <c r="AF321" s="47"/>
      <c r="AG321" s="47"/>
      <c r="AH321" s="47"/>
      <c r="AI321" s="47"/>
      <c r="AJ321" s="47"/>
      <c r="AK321" s="47"/>
      <c r="AL321" s="47"/>
      <c r="AM321" s="47"/>
      <c r="AN321" s="47"/>
      <c r="AO321" s="47"/>
      <c r="AP321" s="47"/>
      <c r="AQ321" s="47"/>
      <c r="AR321" s="47"/>
      <c r="AS321" s="47"/>
      <c r="AT321" s="47"/>
      <c r="AU321" s="47"/>
      <c r="AV321" s="47"/>
      <c r="AW321" s="47"/>
      <c r="AX321" s="47"/>
      <c r="AY321" s="47"/>
      <c r="AZ321" s="47"/>
      <c r="BA321" s="47"/>
      <c r="BB321" s="47"/>
      <c r="BC321" s="47"/>
      <c r="BD321" s="47"/>
      <c r="BE321" s="47"/>
      <c r="BF321" s="47"/>
      <c r="BG321" s="47"/>
      <c r="BH321" s="47"/>
      <c r="BI321" s="47"/>
      <c r="BJ321" s="47"/>
      <c r="BK321" s="47"/>
      <c r="BL321" s="47"/>
      <c r="BM321" s="47"/>
      <c r="BN321" s="47"/>
      <c r="BO321" s="47"/>
      <c r="BP321" s="47"/>
      <c r="BQ321" s="47"/>
      <c r="BR321" s="47"/>
      <c r="BS321" s="47"/>
      <c r="BT321" s="47"/>
      <c r="BU321" s="47"/>
      <c r="BV321" s="47"/>
      <c r="BW321" s="47"/>
      <c r="BX321" s="47"/>
      <c r="BY321" s="47"/>
      <c r="BZ321" s="47"/>
    </row>
    <row r="322" spans="1:78" ht="13">
      <c r="A322" s="152" t="str">
        <f ca="1">IFERROR(__xludf.DUMMYFUNCTION("""COMPUTED_VALUE"""),"Ooze Barrel")</f>
        <v>Ooze Barrel</v>
      </c>
      <c r="B322" s="47" t="str">
        <f ca="1">IFERROR(__xludf.DUMMYFUNCTION("TRANSPOSE(unique(filter(Recipes!A$2:A2490,(Recipes!L$2:L2490=A322)+(Recipes!O$2:O2490=A322)+(Recipes!R$2:R2490=A322)+(Recipes!U$2:U2490=A322)+(Recipes!X$2:X2490=A322))))"),"Small Poison Bottle")</f>
        <v>Small Poison Bottle</v>
      </c>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c r="AA322" s="47"/>
      <c r="AB322" s="47"/>
      <c r="AC322" s="47"/>
      <c r="AD322" s="47"/>
      <c r="AE322" s="47"/>
      <c r="AF322" s="47"/>
      <c r="AG322" s="47"/>
      <c r="AH322" s="47"/>
      <c r="AI322" s="47"/>
      <c r="AJ322" s="47"/>
      <c r="AK322" s="47"/>
      <c r="AL322" s="47"/>
      <c r="AM322" s="47"/>
      <c r="AN322" s="47"/>
      <c r="AO322" s="47"/>
      <c r="AP322" s="47"/>
      <c r="AQ322" s="47"/>
      <c r="AR322" s="47"/>
      <c r="AS322" s="47"/>
      <c r="AT322" s="47"/>
      <c r="AU322" s="47"/>
      <c r="AV322" s="47"/>
      <c r="AW322" s="47"/>
      <c r="AX322" s="47"/>
      <c r="AY322" s="47"/>
      <c r="AZ322" s="47"/>
      <c r="BA322" s="47"/>
      <c r="BB322" s="47"/>
      <c r="BC322" s="47"/>
      <c r="BD322" s="47"/>
      <c r="BE322" s="47"/>
      <c r="BF322" s="47"/>
      <c r="BG322" s="47"/>
      <c r="BH322" s="47"/>
      <c r="BI322" s="47"/>
      <c r="BJ322" s="47"/>
      <c r="BK322" s="47"/>
      <c r="BL322" s="47"/>
      <c r="BM322" s="47"/>
      <c r="BN322" s="47"/>
      <c r="BO322" s="47"/>
      <c r="BP322" s="47"/>
      <c r="BQ322" s="47"/>
      <c r="BR322" s="47"/>
      <c r="BS322" s="47"/>
      <c r="BT322" s="47"/>
      <c r="BU322" s="47"/>
      <c r="BV322" s="47"/>
      <c r="BW322" s="47"/>
      <c r="BX322" s="47"/>
      <c r="BY322" s="47"/>
      <c r="BZ322" s="47"/>
    </row>
    <row r="323" spans="1:78" ht="13">
      <c r="A323" s="152" t="str">
        <f ca="1">IFERROR(__xludf.DUMMYFUNCTION("""COMPUTED_VALUE"""),"Orange")</f>
        <v>Orange</v>
      </c>
      <c r="B323" s="47" t="str">
        <f ca="1">IFERROR(__xludf.DUMMYFUNCTION("TRANSPOSE(unique(filter(Recipes!A$2:A2490,(Recipes!L$2:L2490=A323)+(Recipes!O$2:O2490=A323)+(Recipes!R$2:R2490=A323)+(Recipes!U$2:U2490=A323)+(Recipes!X$2:X2490=A323))))"),"Orange Juice")</f>
        <v>Orange Juice</v>
      </c>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c r="AA323" s="47"/>
      <c r="AB323" s="47"/>
      <c r="AC323" s="47"/>
      <c r="AD323" s="47"/>
      <c r="AE323" s="47"/>
      <c r="AF323" s="47"/>
      <c r="AG323" s="47"/>
      <c r="AH323" s="47"/>
      <c r="AI323" s="47"/>
      <c r="AJ323" s="47"/>
      <c r="AK323" s="47"/>
      <c r="AL323" s="47"/>
      <c r="AM323" s="47"/>
      <c r="AN323" s="47"/>
      <c r="AO323" s="47"/>
      <c r="AP323" s="47"/>
      <c r="AQ323" s="47"/>
      <c r="AR323" s="47"/>
      <c r="AS323" s="47"/>
      <c r="AT323" s="47"/>
      <c r="AU323" s="47"/>
      <c r="AV323" s="47"/>
      <c r="AW323" s="47"/>
      <c r="AX323" s="47"/>
      <c r="AY323" s="47"/>
      <c r="AZ323" s="47"/>
      <c r="BA323" s="47"/>
      <c r="BB323" s="47"/>
      <c r="BC323" s="47"/>
      <c r="BD323" s="47"/>
      <c r="BE323" s="47"/>
      <c r="BF323" s="47"/>
      <c r="BG323" s="47"/>
      <c r="BH323" s="47"/>
      <c r="BI323" s="47"/>
      <c r="BJ323" s="47"/>
      <c r="BK323" s="47"/>
      <c r="BL323" s="47"/>
      <c r="BM323" s="47"/>
      <c r="BN323" s="47"/>
      <c r="BO323" s="47"/>
      <c r="BP323" s="47"/>
      <c r="BQ323" s="47"/>
      <c r="BR323" s="47"/>
      <c r="BS323" s="47"/>
      <c r="BT323" s="47"/>
      <c r="BU323" s="47"/>
      <c r="BV323" s="47"/>
      <c r="BW323" s="47"/>
      <c r="BX323" s="47"/>
      <c r="BY323" s="47"/>
      <c r="BZ323" s="47"/>
    </row>
    <row r="324" spans="1:78" ht="13">
      <c r="A324" s="152" t="str">
        <f ca="1">IFERROR(__xludf.DUMMYFUNCTION("""COMPUTED_VALUE"""),"Panties")</f>
        <v>Panties</v>
      </c>
      <c r="B324" s="47" t="str">
        <f ca="1">IFERROR(__xludf.DUMMYFUNCTION("TRANSPOSE(unique(filter(Recipes!A$2:A2490,(Recipes!L$2:L2490=A324)+(Recipes!O$2:O2490=A324)+(Recipes!R$2:R2490=A324)+(Recipes!U$2:U2490=A324)+(Recipes!X$2:X2490=A324))))"),"Favourable Wind Scroll")</f>
        <v>Favourable Wind Scroll</v>
      </c>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c r="AA324" s="47"/>
      <c r="AB324" s="47"/>
      <c r="AC324" s="47"/>
      <c r="AD324" s="47"/>
      <c r="AE324" s="47"/>
      <c r="AF324" s="47"/>
      <c r="AG324" s="47"/>
      <c r="AH324" s="47"/>
      <c r="AI324" s="47"/>
      <c r="AJ324" s="47"/>
      <c r="AK324" s="47"/>
      <c r="AL324" s="47"/>
      <c r="AM324" s="47"/>
      <c r="AN324" s="47"/>
      <c r="AO324" s="47"/>
      <c r="AP324" s="47"/>
      <c r="AQ324" s="47"/>
      <c r="AR324" s="47"/>
      <c r="AS324" s="47"/>
      <c r="AT324" s="47"/>
      <c r="AU324" s="47"/>
      <c r="AV324" s="47"/>
      <c r="AW324" s="47"/>
      <c r="AX324" s="47"/>
      <c r="AY324" s="47"/>
      <c r="AZ324" s="47"/>
      <c r="BA324" s="47"/>
      <c r="BB324" s="47"/>
      <c r="BC324" s="47"/>
      <c r="BD324" s="47"/>
      <c r="BE324" s="47"/>
      <c r="BF324" s="47"/>
      <c r="BG324" s="47"/>
      <c r="BH324" s="47"/>
      <c r="BI324" s="47"/>
      <c r="BJ324" s="47"/>
      <c r="BK324" s="47"/>
      <c r="BL324" s="47"/>
      <c r="BM324" s="47"/>
      <c r="BN324" s="47"/>
      <c r="BO324" s="47"/>
      <c r="BP324" s="47"/>
      <c r="BQ324" s="47"/>
      <c r="BR324" s="47"/>
      <c r="BS324" s="47"/>
      <c r="BT324" s="47"/>
      <c r="BU324" s="47"/>
      <c r="BV324" s="47"/>
      <c r="BW324" s="47"/>
      <c r="BX324" s="47"/>
      <c r="BY324" s="47"/>
      <c r="BZ324" s="47"/>
    </row>
    <row r="325" spans="1:78" ht="13">
      <c r="A325" s="152" t="str">
        <f ca="1">IFERROR(__xludf.DUMMYFUNCTION("""COMPUTED_VALUE"""),"Pants")</f>
        <v>Pants</v>
      </c>
      <c r="B325" s="47" t="str">
        <f ca="1">IFERROR(__xludf.DUMMYFUNCTION("TRANSPOSE(unique(filter(Recipes!A$2:A2490,(Recipes!L$2:L2490=A325)+(Recipes!O$2:O2490=A325)+(Recipes!R$2:R2490=A325)+(Recipes!U$2:U2490=A325)+(Recipes!X$2:X2490=A325))))"),"Boost Legs")</f>
        <v>Boost Legs</v>
      </c>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c r="AA325" s="47"/>
      <c r="AB325" s="47"/>
      <c r="AC325" s="47"/>
      <c r="AD325" s="47"/>
      <c r="AE325" s="47"/>
      <c r="AF325" s="47"/>
      <c r="AG325" s="47"/>
      <c r="AH325" s="47"/>
      <c r="AI325" s="47"/>
      <c r="AJ325" s="47"/>
      <c r="AK325" s="47"/>
      <c r="AL325" s="47"/>
      <c r="AM325" s="47"/>
      <c r="AN325" s="47"/>
      <c r="AO325" s="47"/>
      <c r="AP325" s="47"/>
      <c r="AQ325" s="47"/>
      <c r="AR325" s="47"/>
      <c r="AS325" s="47"/>
      <c r="AT325" s="47"/>
      <c r="AU325" s="47"/>
      <c r="AV325" s="47"/>
      <c r="AW325" s="47"/>
      <c r="AX325" s="47"/>
      <c r="AY325" s="47"/>
      <c r="AZ325" s="47"/>
      <c r="BA325" s="47"/>
      <c r="BB325" s="47"/>
      <c r="BC325" s="47"/>
      <c r="BD325" s="47"/>
      <c r="BE325" s="47"/>
      <c r="BF325" s="47"/>
      <c r="BG325" s="47"/>
      <c r="BH325" s="47"/>
      <c r="BI325" s="47"/>
      <c r="BJ325" s="47"/>
      <c r="BK325" s="47"/>
      <c r="BL325" s="47"/>
      <c r="BM325" s="47"/>
      <c r="BN325" s="47"/>
      <c r="BO325" s="47"/>
      <c r="BP325" s="47"/>
      <c r="BQ325" s="47"/>
      <c r="BR325" s="47"/>
      <c r="BS325" s="47"/>
      <c r="BT325" s="47"/>
      <c r="BU325" s="47"/>
      <c r="BV325" s="47"/>
      <c r="BW325" s="47"/>
      <c r="BX325" s="47"/>
      <c r="BY325" s="47"/>
      <c r="BZ325" s="47"/>
    </row>
    <row r="326" spans="1:78" ht="13">
      <c r="A326" s="152" t="str">
        <f ca="1">IFERROR(__xludf.DUMMYFUNCTION("""COMPUTED_VALUE"""),"Peace of Mind Scroll")</f>
        <v>Peace of Mind Scroll</v>
      </c>
      <c r="B326" s="47" t="str">
        <f ca="1">IFERROR(__xludf.DUMMYFUNCTION("TRANSPOSE(unique(filter(Recipes!A$2:A2490,(Recipes!L$2:L2490=A326)+(Recipes!O$2:O2490=A326)+(Recipes!R$2:R2490=A326)+(Recipes!U$2:U2490=A326)+(Recipes!X$2:X2490=A326))))"),"Peace of Mind Skillbook")</f>
        <v>Peace of Mind Skillbook</v>
      </c>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c r="AA326" s="47"/>
      <c r="AB326" s="47"/>
      <c r="AC326" s="47"/>
      <c r="AD326" s="47"/>
      <c r="AE326" s="47"/>
      <c r="AF326" s="47"/>
      <c r="AG326" s="47"/>
      <c r="AH326" s="47"/>
      <c r="AI326" s="47"/>
      <c r="AJ326" s="47"/>
      <c r="AK326" s="47"/>
      <c r="AL326" s="47"/>
      <c r="AM326" s="47"/>
      <c r="AN326" s="47"/>
      <c r="AO326" s="47"/>
      <c r="AP326" s="47"/>
      <c r="AQ326" s="47"/>
      <c r="AR326" s="47"/>
      <c r="AS326" s="47"/>
      <c r="AT326" s="47"/>
      <c r="AU326" s="47"/>
      <c r="AV326" s="47"/>
      <c r="AW326" s="47"/>
      <c r="AX326" s="47"/>
      <c r="AY326" s="47"/>
      <c r="AZ326" s="47"/>
      <c r="BA326" s="47"/>
      <c r="BB326" s="47"/>
      <c r="BC326" s="47"/>
      <c r="BD326" s="47"/>
      <c r="BE326" s="47"/>
      <c r="BF326" s="47"/>
      <c r="BG326" s="47"/>
      <c r="BH326" s="47"/>
      <c r="BI326" s="47"/>
      <c r="BJ326" s="47"/>
      <c r="BK326" s="47"/>
      <c r="BL326" s="47"/>
      <c r="BM326" s="47"/>
      <c r="BN326" s="47"/>
      <c r="BO326" s="47"/>
      <c r="BP326" s="47"/>
      <c r="BQ326" s="47"/>
      <c r="BR326" s="47"/>
      <c r="BS326" s="47"/>
      <c r="BT326" s="47"/>
      <c r="BU326" s="47"/>
      <c r="BV326" s="47"/>
      <c r="BW326" s="47"/>
      <c r="BX326" s="47"/>
      <c r="BY326" s="47"/>
      <c r="BZ326" s="47"/>
    </row>
    <row r="327" spans="1:78" ht="13">
      <c r="A327" s="152" t="str">
        <f ca="1">IFERROR(__xludf.DUMMYFUNCTION("""COMPUTED_VALUE"""),"Penny Bun Mushroom")</f>
        <v>Penny Bun Mushroom</v>
      </c>
      <c r="B327" s="47" t="str">
        <f ca="1">IFERROR(__xludf.DUMMYFUNCTION("TRANSPOSE(unique(filter(Recipes!A$2:A2490,(Recipes!L$2:L2490=A327)+(Recipes!O$2:O2490=A327)+(Recipes!R$2:R2490=A327)+(Recipes!U$2:U2490=A327)+(Recipes!X$2:X2490=A327))))"),"Blood Sucker Scroll")</f>
        <v>Blood Sucker Scroll</v>
      </c>
      <c r="C327" s="47" t="str">
        <f ca="1">IFERROR(__xludf.DUMMYFUNCTION("""COMPUTED_VALUE"""),"Restoration Scroll")</f>
        <v>Restoration Scroll</v>
      </c>
      <c r="D327" s="47" t="str">
        <f ca="1">IFERROR(__xludf.DUMMYFUNCTION("""COMPUTED_VALUE"""),"Minor Healing Potion")</f>
        <v>Minor Healing Potion</v>
      </c>
      <c r="E327" s="47"/>
      <c r="F327" s="47"/>
      <c r="G327" s="47"/>
      <c r="H327" s="47"/>
      <c r="I327" s="47"/>
      <c r="J327" s="47"/>
      <c r="K327" s="47"/>
      <c r="L327" s="47"/>
      <c r="M327" s="47"/>
      <c r="N327" s="47"/>
      <c r="O327" s="47"/>
      <c r="P327" s="47"/>
      <c r="Q327" s="47"/>
      <c r="R327" s="47"/>
      <c r="S327" s="47"/>
      <c r="T327" s="47"/>
      <c r="U327" s="47"/>
      <c r="V327" s="47"/>
      <c r="W327" s="47"/>
      <c r="X327" s="47"/>
      <c r="Y327" s="47"/>
      <c r="Z327" s="47"/>
      <c r="AA327" s="47"/>
      <c r="AB327" s="47"/>
      <c r="AC327" s="47"/>
      <c r="AD327" s="47"/>
      <c r="AE327" s="47"/>
      <c r="AF327" s="47"/>
      <c r="AG327" s="47"/>
      <c r="AH327" s="47"/>
      <c r="AI327" s="47"/>
      <c r="AJ327" s="47"/>
      <c r="AK327" s="47"/>
      <c r="AL327" s="47"/>
      <c r="AM327" s="47"/>
      <c r="AN327" s="47"/>
      <c r="AO327" s="47"/>
      <c r="AP327" s="47"/>
      <c r="AQ327" s="47"/>
      <c r="AR327" s="47"/>
      <c r="AS327" s="47"/>
      <c r="AT327" s="47"/>
      <c r="AU327" s="47"/>
      <c r="AV327" s="47"/>
      <c r="AW327" s="47"/>
      <c r="AX327" s="47"/>
      <c r="AY327" s="47"/>
      <c r="AZ327" s="47"/>
      <c r="BA327" s="47"/>
      <c r="BB327" s="47"/>
      <c r="BC327" s="47"/>
      <c r="BD327" s="47"/>
      <c r="BE327" s="47"/>
      <c r="BF327" s="47"/>
      <c r="BG327" s="47"/>
      <c r="BH327" s="47"/>
      <c r="BI327" s="47"/>
      <c r="BJ327" s="47"/>
      <c r="BK327" s="47"/>
      <c r="BL327" s="47"/>
      <c r="BM327" s="47"/>
      <c r="BN327" s="47"/>
      <c r="BO327" s="47"/>
      <c r="BP327" s="47"/>
      <c r="BQ327" s="47"/>
      <c r="BR327" s="47"/>
      <c r="BS327" s="47"/>
      <c r="BT327" s="47"/>
      <c r="BU327" s="47"/>
      <c r="BV327" s="47"/>
      <c r="BW327" s="47"/>
      <c r="BX327" s="47"/>
      <c r="BY327" s="47"/>
      <c r="BZ327" s="47"/>
    </row>
    <row r="328" spans="1:78" ht="13">
      <c r="A328" s="152" t="str">
        <f ca="1">IFERROR(__xludf.DUMMYFUNCTION("""COMPUTED_VALUE"""),"Pepper")</f>
        <v>Pepper</v>
      </c>
      <c r="B328" s="47" t="str">
        <f ca="1">IFERROR(__xludf.DUMMYFUNCTION("TRANSPOSE(unique(filter(Recipes!A$2:A2490,(Recipes!L$2:L2490=A328)+(Recipes!O$2:O2490=A328)+(Recipes!R$2:R2490=A328)+(Recipes!U$2:U2490=A328)+(Recipes!X$2:X2490=A328))))"),"Dimensional Bolt Scroll")</f>
        <v>Dimensional Bolt Scroll</v>
      </c>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c r="AA328" s="47"/>
      <c r="AB328" s="47"/>
      <c r="AC328" s="47"/>
      <c r="AD328" s="47"/>
      <c r="AE328" s="47"/>
      <c r="AF328" s="47"/>
      <c r="AG328" s="47"/>
      <c r="AH328" s="47"/>
      <c r="AI328" s="47"/>
      <c r="AJ328" s="47"/>
      <c r="AK328" s="47"/>
      <c r="AL328" s="47"/>
      <c r="AM328" s="47"/>
      <c r="AN328" s="47"/>
      <c r="AO328" s="47"/>
      <c r="AP328" s="47"/>
      <c r="AQ328" s="47"/>
      <c r="AR328" s="47"/>
      <c r="AS328" s="47"/>
      <c r="AT328" s="47"/>
      <c r="AU328" s="47"/>
      <c r="AV328" s="47"/>
      <c r="AW328" s="47"/>
      <c r="AX328" s="47"/>
      <c r="AY328" s="47"/>
      <c r="AZ328" s="47"/>
      <c r="BA328" s="47"/>
      <c r="BB328" s="47"/>
      <c r="BC328" s="47"/>
      <c r="BD328" s="47"/>
      <c r="BE328" s="47"/>
      <c r="BF328" s="47"/>
      <c r="BG328" s="47"/>
      <c r="BH328" s="47"/>
      <c r="BI328" s="47"/>
      <c r="BJ328" s="47"/>
      <c r="BK328" s="47"/>
      <c r="BL328" s="47"/>
      <c r="BM328" s="47"/>
      <c r="BN328" s="47"/>
      <c r="BO328" s="47"/>
      <c r="BP328" s="47"/>
      <c r="BQ328" s="47"/>
      <c r="BR328" s="47"/>
      <c r="BS328" s="47"/>
      <c r="BT328" s="47"/>
      <c r="BU328" s="47"/>
      <c r="BV328" s="47"/>
      <c r="BW328" s="47"/>
      <c r="BX328" s="47"/>
      <c r="BY328" s="47"/>
      <c r="BZ328" s="47"/>
    </row>
    <row r="329" spans="1:78" ht="13">
      <c r="A329" s="152" t="str">
        <f ca="1">IFERROR(__xludf.DUMMYFUNCTION("""COMPUTED_VALUE"""),"Physical Armor Potion")</f>
        <v>Physical Armor Potion</v>
      </c>
      <c r="B329" s="47" t="str">
        <f ca="1">IFERROR(__xludf.DUMMYFUNCTION("TRANSPOSE(unique(filter(Recipes!A$2:A2490,(Recipes!L$2:L2490=A329)+(Recipes!O$2:O2490=A329)+(Recipes!R$2:R2490=A329)+(Recipes!U$2:U2490=A329)+(Recipes!X$2:X2490=A329))))"),"Medium Physical Armor Potion")</f>
        <v>Medium Physical Armor Potion</v>
      </c>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c r="AA329" s="47"/>
      <c r="AB329" s="47"/>
      <c r="AC329" s="47"/>
      <c r="AD329" s="47"/>
      <c r="AE329" s="47"/>
      <c r="AF329" s="47"/>
      <c r="AG329" s="47"/>
      <c r="AH329" s="47"/>
      <c r="AI329" s="47"/>
      <c r="AJ329" s="47"/>
      <c r="AK329" s="47"/>
      <c r="AL329" s="47"/>
      <c r="AM329" s="47"/>
      <c r="AN329" s="47"/>
      <c r="AO329" s="47"/>
      <c r="AP329" s="47"/>
      <c r="AQ329" s="47"/>
      <c r="AR329" s="47"/>
      <c r="AS329" s="47"/>
      <c r="AT329" s="47"/>
      <c r="AU329" s="47"/>
      <c r="AV329" s="47"/>
      <c r="AW329" s="47"/>
      <c r="AX329" s="47"/>
      <c r="AY329" s="47"/>
      <c r="AZ329" s="47"/>
      <c r="BA329" s="47"/>
      <c r="BB329" s="47"/>
      <c r="BC329" s="47"/>
      <c r="BD329" s="47"/>
      <c r="BE329" s="47"/>
      <c r="BF329" s="47"/>
      <c r="BG329" s="47"/>
      <c r="BH329" s="47"/>
      <c r="BI329" s="47"/>
      <c r="BJ329" s="47"/>
      <c r="BK329" s="47"/>
      <c r="BL329" s="47"/>
      <c r="BM329" s="47"/>
      <c r="BN329" s="47"/>
      <c r="BO329" s="47"/>
      <c r="BP329" s="47"/>
      <c r="BQ329" s="47"/>
      <c r="BR329" s="47"/>
      <c r="BS329" s="47"/>
      <c r="BT329" s="47"/>
      <c r="BU329" s="47"/>
      <c r="BV329" s="47"/>
      <c r="BW329" s="47"/>
      <c r="BX329" s="47"/>
      <c r="BY329" s="47"/>
      <c r="BZ329" s="47"/>
    </row>
    <row r="330" spans="1:78" ht="13">
      <c r="A330" s="152" t="str">
        <f ca="1">IFERROR(__xludf.DUMMYFUNCTION("""COMPUTED_VALUE"""),"Pilgrim Shell")</f>
        <v>Pilgrim Shell</v>
      </c>
      <c r="B330" s="47" t="str">
        <f ca="1">IFERROR(__xludf.DUMMYFUNCTION("TRANSPOSE(unique(filter(Recipes!A$2:A2490,(Recipes!L$2:L2490=A330)+(Recipes!O$2:O2490=A330)+(Recipes!R$2:R2490=A330)+(Recipes!U$2:U2490=A330)+(Recipes!X$2:X2490=A330))))"),"Equalise Scroll")</f>
        <v>Equalise Scroll</v>
      </c>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c r="AA330" s="47"/>
      <c r="AB330" s="47"/>
      <c r="AC330" s="47"/>
      <c r="AD330" s="47"/>
      <c r="AE330" s="47"/>
      <c r="AF330" s="47"/>
      <c r="AG330" s="47"/>
      <c r="AH330" s="47"/>
      <c r="AI330" s="47"/>
      <c r="AJ330" s="47"/>
      <c r="AK330" s="47"/>
      <c r="AL330" s="47"/>
      <c r="AM330" s="47"/>
      <c r="AN330" s="47"/>
      <c r="AO330" s="47"/>
      <c r="AP330" s="47"/>
      <c r="AQ330" s="47"/>
      <c r="AR330" s="47"/>
      <c r="AS330" s="47"/>
      <c r="AT330" s="47"/>
      <c r="AU330" s="47"/>
      <c r="AV330" s="47"/>
      <c r="AW330" s="47"/>
      <c r="AX330" s="47"/>
      <c r="AY330" s="47"/>
      <c r="AZ330" s="47"/>
      <c r="BA330" s="47"/>
      <c r="BB330" s="47"/>
      <c r="BC330" s="47"/>
      <c r="BD330" s="47"/>
      <c r="BE330" s="47"/>
      <c r="BF330" s="47"/>
      <c r="BG330" s="47"/>
      <c r="BH330" s="47"/>
      <c r="BI330" s="47"/>
      <c r="BJ330" s="47"/>
      <c r="BK330" s="47"/>
      <c r="BL330" s="47"/>
      <c r="BM330" s="47"/>
      <c r="BN330" s="47"/>
      <c r="BO330" s="47"/>
      <c r="BP330" s="47"/>
      <c r="BQ330" s="47"/>
      <c r="BR330" s="47"/>
      <c r="BS330" s="47"/>
      <c r="BT330" s="47"/>
      <c r="BU330" s="47"/>
      <c r="BV330" s="47"/>
      <c r="BW330" s="47"/>
      <c r="BX330" s="47"/>
      <c r="BY330" s="47"/>
      <c r="BZ330" s="47"/>
    </row>
    <row r="331" spans="1:78" ht="13">
      <c r="A331" s="152" t="str">
        <f ca="1">IFERROR(__xludf.DUMMYFUNCTION("""COMPUTED_VALUE"""),"Pillow")</f>
        <v>Pillow</v>
      </c>
      <c r="B331" s="47" t="str">
        <f ca="1">IFERROR(__xludf.DUMMYFUNCTION("TRANSPOSE(unique(filter(Recipes!A$2:A2490,(Recipes!L$2:L2490=A331)+(Recipes!O$2:O2490=A331)+(Recipes!R$2:R2490=A331)+(Recipes!U$2:U2490=A331)+(Recipes!X$2:X2490=A331))))"),"Feather")</f>
        <v>Feather</v>
      </c>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c r="AA331" s="47"/>
      <c r="AB331" s="47"/>
      <c r="AC331" s="47"/>
      <c r="AD331" s="47"/>
      <c r="AE331" s="47"/>
      <c r="AF331" s="47"/>
      <c r="AG331" s="47"/>
      <c r="AH331" s="47"/>
      <c r="AI331" s="47"/>
      <c r="AJ331" s="47"/>
      <c r="AK331" s="47"/>
      <c r="AL331" s="47"/>
      <c r="AM331" s="47"/>
      <c r="AN331" s="47"/>
      <c r="AO331" s="47"/>
      <c r="AP331" s="47"/>
      <c r="AQ331" s="47"/>
      <c r="AR331" s="47"/>
      <c r="AS331" s="47"/>
      <c r="AT331" s="47"/>
      <c r="AU331" s="47"/>
      <c r="AV331" s="47"/>
      <c r="AW331" s="47"/>
      <c r="AX331" s="47"/>
      <c r="AY331" s="47"/>
      <c r="AZ331" s="47"/>
      <c r="BA331" s="47"/>
      <c r="BB331" s="47"/>
      <c r="BC331" s="47"/>
      <c r="BD331" s="47"/>
      <c r="BE331" s="47"/>
      <c r="BF331" s="47"/>
      <c r="BG331" s="47"/>
      <c r="BH331" s="47"/>
      <c r="BI331" s="47"/>
      <c r="BJ331" s="47"/>
      <c r="BK331" s="47"/>
      <c r="BL331" s="47"/>
      <c r="BM331" s="47"/>
      <c r="BN331" s="47"/>
      <c r="BO331" s="47"/>
      <c r="BP331" s="47"/>
      <c r="BQ331" s="47"/>
      <c r="BR331" s="47"/>
      <c r="BS331" s="47"/>
      <c r="BT331" s="47"/>
      <c r="BU331" s="47"/>
      <c r="BV331" s="47"/>
      <c r="BW331" s="47"/>
      <c r="BX331" s="47"/>
      <c r="BY331" s="47"/>
      <c r="BZ331" s="47"/>
    </row>
    <row r="332" spans="1:78" ht="13">
      <c r="A332" s="152" t="str">
        <f ca="1">IFERROR(__xludf.DUMMYFUNCTION("""COMPUTED_VALUE"""),"Pixie Dust")</f>
        <v>Pixie Dust</v>
      </c>
      <c r="B332" s="47" t="str">
        <f ca="1">IFERROR(__xludf.DUMMYFUNCTION("TRANSPOSE(unique(filter(Recipes!A$2:A2490,(Recipes!L$2:L2490=A332)+(Recipes!O$2:O2490=A332)+(Recipes!R$2:R2490=A332)+(Recipes!U$2:U2490=A332)+(Recipes!X$2:X2490=A332))))"),"Handmade Mage Armour")</f>
        <v>Handmade Mage Armour</v>
      </c>
      <c r="C332" s="47" t="str">
        <f ca="1">IFERROR(__xludf.DUMMYFUNCTION("""COMPUTED_VALUE"""),"Holy Hand Grenade")</f>
        <v>Holy Hand Grenade</v>
      </c>
      <c r="D332" s="47" t="str">
        <f ca="1">IFERROR(__xludf.DUMMYFUNCTION("""COMPUTED_VALUE"""),"Love Grenade")</f>
        <v>Love Grenade</v>
      </c>
      <c r="E332" s="47" t="str">
        <f ca="1">IFERROR(__xludf.DUMMYFUNCTION("""COMPUTED_VALUE"""),"Large Flame Rune")</f>
        <v>Large Flame Rune</v>
      </c>
      <c r="F332" s="47" t="str">
        <f ca="1">IFERROR(__xludf.DUMMYFUNCTION("""COMPUTED_VALUE"""),"Medium Flame Rune")</f>
        <v>Medium Flame Rune</v>
      </c>
      <c r="G332" s="47" t="str">
        <f ca="1">IFERROR(__xludf.DUMMYFUNCTION("""COMPUTED_VALUE"""),"Small Flame Rune")</f>
        <v>Small Flame Rune</v>
      </c>
      <c r="H332" s="47" t="str">
        <f ca="1">IFERROR(__xludf.DUMMYFUNCTION("""COMPUTED_VALUE"""),"Large Frost Rune")</f>
        <v>Large Frost Rune</v>
      </c>
      <c r="I332" s="47" t="str">
        <f ca="1">IFERROR(__xludf.DUMMYFUNCTION("""COMPUTED_VALUE"""),"Medium Frost Rune")</f>
        <v>Medium Frost Rune</v>
      </c>
      <c r="J332" s="47" t="str">
        <f ca="1">IFERROR(__xludf.DUMMYFUNCTION("""COMPUTED_VALUE"""),"Small Frost Rune")</f>
        <v>Small Frost Rune</v>
      </c>
      <c r="K332" s="47" t="str">
        <f ca="1">IFERROR(__xludf.DUMMYFUNCTION("""COMPUTED_VALUE"""),"Large Masterwork Rune")</f>
        <v>Large Masterwork Rune</v>
      </c>
      <c r="L332" s="47" t="str">
        <f ca="1">IFERROR(__xludf.DUMMYFUNCTION("""COMPUTED_VALUE"""),"Medium Masterwork Rune")</f>
        <v>Medium Masterwork Rune</v>
      </c>
      <c r="M332" s="47" t="str">
        <f ca="1">IFERROR(__xludf.DUMMYFUNCTION("""COMPUTED_VALUE"""),"Small Masterwork Rune")</f>
        <v>Small Masterwork Rune</v>
      </c>
      <c r="N332" s="47" t="str">
        <f ca="1">IFERROR(__xludf.DUMMYFUNCTION("""COMPUTED_VALUE"""),"Large Rock Rune")</f>
        <v>Large Rock Rune</v>
      </c>
      <c r="O332" s="47" t="str">
        <f ca="1">IFERROR(__xludf.DUMMYFUNCTION("""COMPUTED_VALUE"""),"Medium Rock Rune")</f>
        <v>Medium Rock Rune</v>
      </c>
      <c r="P332" s="47" t="str">
        <f ca="1">IFERROR(__xludf.DUMMYFUNCTION("""COMPUTED_VALUE"""),"Small Rock Rune")</f>
        <v>Small Rock Rune</v>
      </c>
      <c r="Q332" s="47" t="str">
        <f ca="1">IFERROR(__xludf.DUMMYFUNCTION("""COMPUTED_VALUE"""),"Large Thunder Rune")</f>
        <v>Large Thunder Rune</v>
      </c>
      <c r="R332" s="47" t="str">
        <f ca="1">IFERROR(__xludf.DUMMYFUNCTION("""COMPUTED_VALUE"""),"Medium Thunder Rune")</f>
        <v>Medium Thunder Rune</v>
      </c>
      <c r="S332" s="47" t="str">
        <f ca="1">IFERROR(__xludf.DUMMYFUNCTION("""COMPUTED_VALUE"""),"Small Thunder Rune")</f>
        <v>Small Thunder Rune</v>
      </c>
      <c r="T332" s="47" t="str">
        <f ca="1">IFERROR(__xludf.DUMMYFUNCTION("""COMPUTED_VALUE"""),"Large Venom Rune")</f>
        <v>Large Venom Rune</v>
      </c>
      <c r="U332" s="47" t="str">
        <f ca="1">IFERROR(__xludf.DUMMYFUNCTION("""COMPUTED_VALUE"""),"Medium Venom Rune")</f>
        <v>Medium Venom Rune</v>
      </c>
      <c r="V332" s="47" t="str">
        <f ca="1">IFERROR(__xludf.DUMMYFUNCTION("""COMPUTED_VALUE"""),"Small Venom Rune")</f>
        <v>Small Venom Rune</v>
      </c>
      <c r="W332" s="47"/>
      <c r="X332" s="47"/>
      <c r="Y332" s="47"/>
      <c r="Z332" s="47"/>
      <c r="AA332" s="47"/>
      <c r="AB332" s="47"/>
      <c r="AC332" s="47"/>
      <c r="AD332" s="47"/>
      <c r="AE332" s="47"/>
      <c r="AF332" s="47"/>
      <c r="AG332" s="47"/>
      <c r="AH332" s="47"/>
      <c r="AI332" s="47"/>
      <c r="AJ332" s="47"/>
      <c r="AK332" s="47"/>
      <c r="AL332" s="47"/>
      <c r="AM332" s="47"/>
      <c r="AN332" s="47"/>
      <c r="AO332" s="47"/>
      <c r="AP332" s="47"/>
      <c r="AQ332" s="47"/>
      <c r="AR332" s="47"/>
      <c r="AS332" s="47"/>
      <c r="AT332" s="47"/>
      <c r="AU332" s="47"/>
      <c r="AV332" s="47"/>
      <c r="AW332" s="47"/>
      <c r="AX332" s="47"/>
      <c r="AY332" s="47"/>
      <c r="AZ332" s="47"/>
      <c r="BA332" s="47"/>
      <c r="BB332" s="47"/>
      <c r="BC332" s="47"/>
      <c r="BD332" s="47"/>
      <c r="BE332" s="47"/>
      <c r="BF332" s="47"/>
      <c r="BG332" s="47"/>
      <c r="BH332" s="47"/>
      <c r="BI332" s="47"/>
      <c r="BJ332" s="47"/>
      <c r="BK332" s="47"/>
      <c r="BL332" s="47"/>
      <c r="BM332" s="47"/>
      <c r="BN332" s="47"/>
      <c r="BO332" s="47"/>
      <c r="BP332" s="47"/>
      <c r="BQ332" s="47"/>
      <c r="BR332" s="47"/>
      <c r="BS332" s="47"/>
      <c r="BT332" s="47"/>
      <c r="BU332" s="47"/>
      <c r="BV332" s="47"/>
      <c r="BW332" s="47"/>
      <c r="BX332" s="47"/>
      <c r="BY332" s="47"/>
      <c r="BZ332" s="47"/>
    </row>
    <row r="333" spans="1:78" ht="13">
      <c r="A333" s="152" t="str">
        <f ca="1">IFERROR(__xludf.DUMMYFUNCTION("""COMPUTED_VALUE"""),"Pizza Dough")</f>
        <v>Pizza Dough</v>
      </c>
      <c r="B333" s="47" t="str">
        <f ca="1">IFERROR(__xludf.DUMMYFUNCTION("TRANSPOSE(unique(filter(Recipes!A$2:A2490,(Recipes!L$2:L2490=A333)+(Recipes!O$2:O2490=A333)+(Recipes!R$2:R2490=A333)+(Recipes!U$2:U2490=A333)+(Recipes!X$2:X2490=A333))))"),"Pizza")</f>
        <v>Pizza</v>
      </c>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c r="AA333" s="47"/>
      <c r="AB333" s="47"/>
      <c r="AC333" s="47"/>
      <c r="AD333" s="47"/>
      <c r="AE333" s="47"/>
      <c r="AF333" s="47"/>
      <c r="AG333" s="47"/>
      <c r="AH333" s="47"/>
      <c r="AI333" s="47"/>
      <c r="AJ333" s="47"/>
      <c r="AK333" s="47"/>
      <c r="AL333" s="47"/>
      <c r="AM333" s="47"/>
      <c r="AN333" s="47"/>
      <c r="AO333" s="47"/>
      <c r="AP333" s="47"/>
      <c r="AQ333" s="47"/>
      <c r="AR333" s="47"/>
      <c r="AS333" s="47"/>
      <c r="AT333" s="47"/>
      <c r="AU333" s="47"/>
      <c r="AV333" s="47"/>
      <c r="AW333" s="47"/>
      <c r="AX333" s="47"/>
      <c r="AY333" s="47"/>
      <c r="AZ333" s="47"/>
      <c r="BA333" s="47"/>
      <c r="BB333" s="47"/>
      <c r="BC333" s="47"/>
      <c r="BD333" s="47"/>
      <c r="BE333" s="47"/>
      <c r="BF333" s="47"/>
      <c r="BG333" s="47"/>
      <c r="BH333" s="47"/>
      <c r="BI333" s="47"/>
      <c r="BJ333" s="47"/>
      <c r="BK333" s="47"/>
      <c r="BL333" s="47"/>
      <c r="BM333" s="47"/>
      <c r="BN333" s="47"/>
      <c r="BO333" s="47"/>
      <c r="BP333" s="47"/>
      <c r="BQ333" s="47"/>
      <c r="BR333" s="47"/>
      <c r="BS333" s="47"/>
      <c r="BT333" s="47"/>
      <c r="BU333" s="47"/>
      <c r="BV333" s="47"/>
      <c r="BW333" s="47"/>
      <c r="BX333" s="47"/>
      <c r="BY333" s="47"/>
      <c r="BZ333" s="47"/>
    </row>
    <row r="334" spans="1:78" ht="13">
      <c r="A334" s="152" t="str">
        <f ca="1">IFERROR(__xludf.DUMMYFUNCTION("""COMPUTED_VALUE"""),"Plaice [Fish]")</f>
        <v>Plaice [Fish]</v>
      </c>
      <c r="B334" s="47" t="str">
        <f ca="1">IFERROR(__xludf.DUMMYFUNCTION("TRANSPOSE(unique(filter(Recipes!A$2:A2490,(Recipes!L$2:L2490=A334)+(Recipes!O$2:O2490=A334)+(Recipes!R$2:R2490=A334)+(Recipes!U$2:U2490=A334)+(Recipes!X$2:X2490=A334))))"),"Winter Blast Scroll")</f>
        <v>Winter Blast Scroll</v>
      </c>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c r="AA334" s="47"/>
      <c r="AB334" s="47"/>
      <c r="AC334" s="47"/>
      <c r="AD334" s="47"/>
      <c r="AE334" s="47"/>
      <c r="AF334" s="47"/>
      <c r="AG334" s="47"/>
      <c r="AH334" s="47"/>
      <c r="AI334" s="47"/>
      <c r="AJ334" s="47"/>
      <c r="AK334" s="47"/>
      <c r="AL334" s="47"/>
      <c r="AM334" s="47"/>
      <c r="AN334" s="47"/>
      <c r="AO334" s="47"/>
      <c r="AP334" s="47"/>
      <c r="AQ334" s="47"/>
      <c r="AR334" s="47"/>
      <c r="AS334" s="47"/>
      <c r="AT334" s="47"/>
      <c r="AU334" s="47"/>
      <c r="AV334" s="47"/>
      <c r="AW334" s="47"/>
      <c r="AX334" s="47"/>
      <c r="AY334" s="47"/>
      <c r="AZ334" s="47"/>
      <c r="BA334" s="47"/>
      <c r="BB334" s="47"/>
      <c r="BC334" s="47"/>
      <c r="BD334" s="47"/>
      <c r="BE334" s="47"/>
      <c r="BF334" s="47"/>
      <c r="BG334" s="47"/>
      <c r="BH334" s="47"/>
      <c r="BI334" s="47"/>
      <c r="BJ334" s="47"/>
      <c r="BK334" s="47"/>
      <c r="BL334" s="47"/>
      <c r="BM334" s="47"/>
      <c r="BN334" s="47"/>
      <c r="BO334" s="47"/>
      <c r="BP334" s="47"/>
      <c r="BQ334" s="47"/>
      <c r="BR334" s="47"/>
      <c r="BS334" s="47"/>
      <c r="BT334" s="47"/>
      <c r="BU334" s="47"/>
      <c r="BV334" s="47"/>
      <c r="BW334" s="47"/>
      <c r="BX334" s="47"/>
      <c r="BY334" s="47"/>
      <c r="BZ334" s="47"/>
    </row>
    <row r="335" spans="1:78" ht="13">
      <c r="A335" s="152" t="str">
        <f ca="1">IFERROR(__xludf.DUMMYFUNCTION("""COMPUTED_VALUE"""),"Planar Gateway Scroll")</f>
        <v>Planar Gateway Scroll</v>
      </c>
      <c r="B335" s="47" t="str">
        <f ca="1">IFERROR(__xludf.DUMMYFUNCTION("TRANSPOSE(unique(filter(Recipes!A$2:A2490,(Recipes!L$2:L2490=A335)+(Recipes!O$2:O2490=A335)+(Recipes!R$2:R2490=A335)+(Recipes!U$2:U2490=A335)+(Recipes!X$2:X2490=A335))))"),"Planar Gateway Skillbook")</f>
        <v>Planar Gateway Skillbook</v>
      </c>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c r="AA335" s="47"/>
      <c r="AB335" s="47"/>
      <c r="AC335" s="47"/>
      <c r="AD335" s="47"/>
      <c r="AE335" s="47"/>
      <c r="AF335" s="47"/>
      <c r="AG335" s="47"/>
      <c r="AH335" s="47"/>
      <c r="AI335" s="47"/>
      <c r="AJ335" s="47"/>
      <c r="AK335" s="47"/>
      <c r="AL335" s="47"/>
      <c r="AM335" s="47"/>
      <c r="AN335" s="47"/>
      <c r="AO335" s="47"/>
      <c r="AP335" s="47"/>
      <c r="AQ335" s="47"/>
      <c r="AR335" s="47"/>
      <c r="AS335" s="47"/>
      <c r="AT335" s="47"/>
      <c r="AU335" s="47"/>
      <c r="AV335" s="47"/>
      <c r="AW335" s="47"/>
      <c r="AX335" s="47"/>
      <c r="AY335" s="47"/>
      <c r="AZ335" s="47"/>
      <c r="BA335" s="47"/>
      <c r="BB335" s="47"/>
      <c r="BC335" s="47"/>
      <c r="BD335" s="47"/>
      <c r="BE335" s="47"/>
      <c r="BF335" s="47"/>
      <c r="BG335" s="47"/>
      <c r="BH335" s="47"/>
      <c r="BI335" s="47"/>
      <c r="BJ335" s="47"/>
      <c r="BK335" s="47"/>
      <c r="BL335" s="47"/>
      <c r="BM335" s="47"/>
      <c r="BN335" s="47"/>
      <c r="BO335" s="47"/>
      <c r="BP335" s="47"/>
      <c r="BQ335" s="47"/>
      <c r="BR335" s="47"/>
      <c r="BS335" s="47"/>
      <c r="BT335" s="47"/>
      <c r="BU335" s="47"/>
      <c r="BV335" s="47"/>
      <c r="BW335" s="47"/>
      <c r="BX335" s="47"/>
      <c r="BY335" s="47"/>
      <c r="BZ335" s="47"/>
    </row>
    <row r="336" spans="1:78" ht="13">
      <c r="A336" s="152" t="str">
        <f ca="1">IFERROR(__xludf.DUMMYFUNCTION("""COMPUTED_VALUE"""),"Plate Scraps")</f>
        <v>Plate Scraps</v>
      </c>
      <c r="B336" s="47" t="str">
        <f ca="1">IFERROR(__xludf.DUMMYFUNCTION("TRANSPOSE(unique(filter(Recipes!A$2:A2490,(Recipes!L$2:L2490=A336)+(Recipes!O$2:O2490=A336)+(Recipes!R$2:R2490=A336)+(Recipes!U$2:U2490=A336)+(Recipes!X$2:X2490=A336))))"),"Handmade Plate Armour")</f>
        <v>Handmade Plate Armour</v>
      </c>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c r="AA336" s="47"/>
      <c r="AB336" s="47"/>
      <c r="AC336" s="47"/>
      <c r="AD336" s="47"/>
      <c r="AE336" s="47"/>
      <c r="AF336" s="47"/>
      <c r="AG336" s="47"/>
      <c r="AH336" s="47"/>
      <c r="AI336" s="47"/>
      <c r="AJ336" s="47"/>
      <c r="AK336" s="47"/>
      <c r="AL336" s="47"/>
      <c r="AM336" s="47"/>
      <c r="AN336" s="47"/>
      <c r="AO336" s="47"/>
      <c r="AP336" s="47"/>
      <c r="AQ336" s="47"/>
      <c r="AR336" s="47"/>
      <c r="AS336" s="47"/>
      <c r="AT336" s="47"/>
      <c r="AU336" s="47"/>
      <c r="AV336" s="47"/>
      <c r="AW336" s="47"/>
      <c r="AX336" s="47"/>
      <c r="AY336" s="47"/>
      <c r="AZ336" s="47"/>
      <c r="BA336" s="47"/>
      <c r="BB336" s="47"/>
      <c r="BC336" s="47"/>
      <c r="BD336" s="47"/>
      <c r="BE336" s="47"/>
      <c r="BF336" s="47"/>
      <c r="BG336" s="47"/>
      <c r="BH336" s="47"/>
      <c r="BI336" s="47"/>
      <c r="BJ336" s="47"/>
      <c r="BK336" s="47"/>
      <c r="BL336" s="47"/>
      <c r="BM336" s="47"/>
      <c r="BN336" s="47"/>
      <c r="BO336" s="47"/>
      <c r="BP336" s="47"/>
      <c r="BQ336" s="47"/>
      <c r="BR336" s="47"/>
      <c r="BS336" s="47"/>
      <c r="BT336" s="47"/>
      <c r="BU336" s="47"/>
      <c r="BV336" s="47"/>
      <c r="BW336" s="47"/>
      <c r="BX336" s="47"/>
      <c r="BY336" s="47"/>
      <c r="BZ336" s="47"/>
    </row>
    <row r="337" spans="1:78" ht="13">
      <c r="A337" s="152" t="str">
        <f ca="1">IFERROR(__xludf.DUMMYFUNCTION("""COMPUTED_VALUE"""),"Poison")</f>
        <v>Poison</v>
      </c>
      <c r="B337" s="47" t="str">
        <f ca="1">IFERROR(__xludf.DUMMYFUNCTION("TRANSPOSE(unique(filter(Recipes!A$2:A2490,(Recipes!L$2:L2490=A337)+(Recipes!O$2:O2490=A337)+(Recipes!R$2:R2490=A337)+(Recipes!U$2:U2490=A337)+(Recipes!X$2:X2490=A337))))"),"Poisoned Arrow")</f>
        <v>Poisoned Arrow</v>
      </c>
      <c r="C337" s="47" t="str">
        <f ca="1">IFERROR(__xludf.DUMMYFUNCTION("""COMPUTED_VALUE"""),"Poisoned Arrowhead")</f>
        <v>Poisoned Arrowhead</v>
      </c>
      <c r="D337" s="47" t="str">
        <f ca="1">IFERROR(__xludf.DUMMYFUNCTION("""COMPUTED_VALUE"""),"Add Poison Damage")</f>
        <v>Add Poison Damage</v>
      </c>
      <c r="E337" s="47" t="str">
        <f ca="1">IFERROR(__xludf.DUMMYFUNCTION("""COMPUTED_VALUE"""),"Poisoned [Food]")</f>
        <v>Poisoned [Food]</v>
      </c>
      <c r="F337" s="47" t="str">
        <f ca="1">IFERROR(__xludf.DUMMYFUNCTION("""COMPUTED_VALUE"""),"Poisoned Drink")</f>
        <v>Poisoned Drink</v>
      </c>
      <c r="G337" s="47" t="str">
        <f ca="1">IFERROR(__xludf.DUMMYFUNCTION("""COMPUTED_VALUE"""),"Poison Cloud Grenade")</f>
        <v>Poison Cloud Grenade</v>
      </c>
      <c r="H337" s="47" t="str">
        <f ca="1">IFERROR(__xludf.DUMMYFUNCTION("""COMPUTED_VALUE"""),"Poison Flask")</f>
        <v>Poison Flask</v>
      </c>
      <c r="I337" s="47" t="str">
        <f ca="1">IFERROR(__xludf.DUMMYFUNCTION("""COMPUTED_VALUE"""),"Small Venom Rune")</f>
        <v>Small Venom Rune</v>
      </c>
      <c r="J337" s="47"/>
      <c r="K337" s="47"/>
      <c r="L337" s="47"/>
      <c r="M337" s="47"/>
      <c r="N337" s="47"/>
      <c r="O337" s="47"/>
      <c r="P337" s="47"/>
      <c r="Q337" s="47"/>
      <c r="R337" s="47"/>
      <c r="S337" s="47"/>
      <c r="T337" s="47"/>
      <c r="U337" s="47"/>
      <c r="V337" s="47"/>
      <c r="W337" s="47"/>
      <c r="X337" s="47"/>
      <c r="Y337" s="47"/>
      <c r="Z337" s="47"/>
      <c r="AA337" s="47"/>
      <c r="AB337" s="47"/>
      <c r="AC337" s="47"/>
      <c r="AD337" s="47"/>
      <c r="AE337" s="47"/>
      <c r="AF337" s="47"/>
      <c r="AG337" s="47"/>
      <c r="AH337" s="47"/>
      <c r="AI337" s="47"/>
      <c r="AJ337" s="47"/>
      <c r="AK337" s="47"/>
      <c r="AL337" s="47"/>
      <c r="AM337" s="47"/>
      <c r="AN337" s="47"/>
      <c r="AO337" s="47"/>
      <c r="AP337" s="47"/>
      <c r="AQ337" s="47"/>
      <c r="AR337" s="47"/>
      <c r="AS337" s="47"/>
      <c r="AT337" s="47"/>
      <c r="AU337" s="47"/>
      <c r="AV337" s="47"/>
      <c r="AW337" s="47"/>
      <c r="AX337" s="47"/>
      <c r="AY337" s="47"/>
      <c r="AZ337" s="47"/>
      <c r="BA337" s="47"/>
      <c r="BB337" s="47"/>
      <c r="BC337" s="47"/>
      <c r="BD337" s="47"/>
      <c r="BE337" s="47"/>
      <c r="BF337" s="47"/>
      <c r="BG337" s="47"/>
      <c r="BH337" s="47"/>
      <c r="BI337" s="47"/>
      <c r="BJ337" s="47"/>
      <c r="BK337" s="47"/>
      <c r="BL337" s="47"/>
      <c r="BM337" s="47"/>
      <c r="BN337" s="47"/>
      <c r="BO337" s="47"/>
      <c r="BP337" s="47"/>
      <c r="BQ337" s="47"/>
      <c r="BR337" s="47"/>
      <c r="BS337" s="47"/>
      <c r="BT337" s="47"/>
      <c r="BU337" s="47"/>
      <c r="BV337" s="47"/>
      <c r="BW337" s="47"/>
      <c r="BX337" s="47"/>
      <c r="BY337" s="47"/>
      <c r="BZ337" s="47"/>
    </row>
    <row r="338" spans="1:78" ht="13">
      <c r="A338" s="152" t="str">
        <f ca="1">IFERROR(__xludf.DUMMYFUNCTION("""COMPUTED_VALUE"""),"Poison Dart Scroll")</f>
        <v>Poison Dart Scroll</v>
      </c>
      <c r="B338" s="47" t="str">
        <f ca="1">IFERROR(__xludf.DUMMYFUNCTION("TRANSPOSE(unique(filter(Recipes!A$2:A2490,(Recipes!L$2:L2490=A338)+(Recipes!O$2:O2490=A338)+(Recipes!R$2:R2490=A338)+(Recipes!U$2:U2490=A338)+(Recipes!X$2:X2490=A338))))"),"Poison Dart Skillbook")</f>
        <v>Poison Dart Skillbook</v>
      </c>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c r="AA338" s="47"/>
      <c r="AB338" s="47"/>
      <c r="AC338" s="47"/>
      <c r="AD338" s="47"/>
      <c r="AE338" s="47"/>
      <c r="AF338" s="47"/>
      <c r="AG338" s="47"/>
      <c r="AH338" s="47"/>
      <c r="AI338" s="47"/>
      <c r="AJ338" s="47"/>
      <c r="AK338" s="47"/>
      <c r="AL338" s="47"/>
      <c r="AM338" s="47"/>
      <c r="AN338" s="47"/>
      <c r="AO338" s="47"/>
      <c r="AP338" s="47"/>
      <c r="AQ338" s="47"/>
      <c r="AR338" s="47"/>
      <c r="AS338" s="47"/>
      <c r="AT338" s="47"/>
      <c r="AU338" s="47"/>
      <c r="AV338" s="47"/>
      <c r="AW338" s="47"/>
      <c r="AX338" s="47"/>
      <c r="AY338" s="47"/>
      <c r="AZ338" s="47"/>
      <c r="BA338" s="47"/>
      <c r="BB338" s="47"/>
      <c r="BC338" s="47"/>
      <c r="BD338" s="47"/>
      <c r="BE338" s="47"/>
      <c r="BF338" s="47"/>
      <c r="BG338" s="47"/>
      <c r="BH338" s="47"/>
      <c r="BI338" s="47"/>
      <c r="BJ338" s="47"/>
      <c r="BK338" s="47"/>
      <c r="BL338" s="47"/>
      <c r="BM338" s="47"/>
      <c r="BN338" s="47"/>
      <c r="BO338" s="47"/>
      <c r="BP338" s="47"/>
      <c r="BQ338" s="47"/>
      <c r="BR338" s="47"/>
      <c r="BS338" s="47"/>
      <c r="BT338" s="47"/>
      <c r="BU338" s="47"/>
      <c r="BV338" s="47"/>
      <c r="BW338" s="47"/>
      <c r="BX338" s="47"/>
      <c r="BY338" s="47"/>
      <c r="BZ338" s="47"/>
    </row>
    <row r="339" spans="1:78" ht="13">
      <c r="A339" s="152" t="str">
        <f ca="1">IFERROR(__xludf.DUMMYFUNCTION("""COMPUTED_VALUE"""),"Poison Flask")</f>
        <v>Poison Flask</v>
      </c>
      <c r="B339" s="47" t="str">
        <f ca="1">IFERROR(__xludf.DUMMYFUNCTION("TRANSPOSE(unique(filter(Recipes!A$2:A2490,(Recipes!L$2:L2490=A339)+(Recipes!O$2:O2490=A339)+(Recipes!R$2:R2490=A339)+(Recipes!U$2:U2490=A339)+(Recipes!X$2:X2490=A339))))"),"Cursed Poison Flask")</f>
        <v>Cursed Poison Flask</v>
      </c>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c r="AA339" s="47"/>
      <c r="AB339" s="47"/>
      <c r="AC339" s="47"/>
      <c r="AD339" s="47"/>
      <c r="AE339" s="47"/>
      <c r="AF339" s="47"/>
      <c r="AG339" s="47"/>
      <c r="AH339" s="47"/>
      <c r="AI339" s="47"/>
      <c r="AJ339" s="47"/>
      <c r="AK339" s="47"/>
      <c r="AL339" s="47"/>
      <c r="AM339" s="47"/>
      <c r="AN339" s="47"/>
      <c r="AO339" s="47"/>
      <c r="AP339" s="47"/>
      <c r="AQ339" s="47"/>
      <c r="AR339" s="47"/>
      <c r="AS339" s="47"/>
      <c r="AT339" s="47"/>
      <c r="AU339" s="47"/>
      <c r="AV339" s="47"/>
      <c r="AW339" s="47"/>
      <c r="AX339" s="47"/>
      <c r="AY339" s="47"/>
      <c r="AZ339" s="47"/>
      <c r="BA339" s="47"/>
      <c r="BB339" s="47"/>
      <c r="BC339" s="47"/>
      <c r="BD339" s="47"/>
      <c r="BE339" s="47"/>
      <c r="BF339" s="47"/>
      <c r="BG339" s="47"/>
      <c r="BH339" s="47"/>
      <c r="BI339" s="47"/>
      <c r="BJ339" s="47"/>
      <c r="BK339" s="47"/>
      <c r="BL339" s="47"/>
      <c r="BM339" s="47"/>
      <c r="BN339" s="47"/>
      <c r="BO339" s="47"/>
      <c r="BP339" s="47"/>
      <c r="BQ339" s="47"/>
      <c r="BR339" s="47"/>
      <c r="BS339" s="47"/>
      <c r="BT339" s="47"/>
      <c r="BU339" s="47"/>
      <c r="BV339" s="47"/>
      <c r="BW339" s="47"/>
      <c r="BX339" s="47"/>
      <c r="BY339" s="47"/>
      <c r="BZ339" s="47"/>
    </row>
    <row r="340" spans="1:78" ht="13">
      <c r="A340" s="152" t="str">
        <f ca="1">IFERROR(__xludf.DUMMYFUNCTION("""COMPUTED_VALUE"""),"Poison Wave Scroll")</f>
        <v>Poison Wave Scroll</v>
      </c>
      <c r="B340" s="47" t="str">
        <f ca="1">IFERROR(__xludf.DUMMYFUNCTION("TRANSPOSE(unique(filter(Recipes!A$2:A2490,(Recipes!L$2:L2490=A340)+(Recipes!O$2:O2490=A340)+(Recipes!R$2:R2490=A340)+(Recipes!U$2:U2490=A340)+(Recipes!X$2:X2490=A340))))"),"Poison Wave Skillbook")</f>
        <v>Poison Wave Skillbook</v>
      </c>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c r="AA340" s="47"/>
      <c r="AB340" s="47"/>
      <c r="AC340" s="47"/>
      <c r="AD340" s="47"/>
      <c r="AE340" s="47"/>
      <c r="AF340" s="47"/>
      <c r="AG340" s="47"/>
      <c r="AH340" s="47"/>
      <c r="AI340" s="47"/>
      <c r="AJ340" s="47"/>
      <c r="AK340" s="47"/>
      <c r="AL340" s="47"/>
      <c r="AM340" s="47"/>
      <c r="AN340" s="47"/>
      <c r="AO340" s="47"/>
      <c r="AP340" s="47"/>
      <c r="AQ340" s="47"/>
      <c r="AR340" s="47"/>
      <c r="AS340" s="47"/>
      <c r="AT340" s="47"/>
      <c r="AU340" s="47"/>
      <c r="AV340" s="47"/>
      <c r="AW340" s="47"/>
      <c r="AX340" s="47"/>
      <c r="AY340" s="47"/>
      <c r="AZ340" s="47"/>
      <c r="BA340" s="47"/>
      <c r="BB340" s="47"/>
      <c r="BC340" s="47"/>
      <c r="BD340" s="47"/>
      <c r="BE340" s="47"/>
      <c r="BF340" s="47"/>
      <c r="BG340" s="47"/>
      <c r="BH340" s="47"/>
      <c r="BI340" s="47"/>
      <c r="BJ340" s="47"/>
      <c r="BK340" s="47"/>
      <c r="BL340" s="47"/>
      <c r="BM340" s="47"/>
      <c r="BN340" s="47"/>
      <c r="BO340" s="47"/>
      <c r="BP340" s="47"/>
      <c r="BQ340" s="47"/>
      <c r="BR340" s="47"/>
      <c r="BS340" s="47"/>
      <c r="BT340" s="47"/>
      <c r="BU340" s="47"/>
      <c r="BV340" s="47"/>
      <c r="BW340" s="47"/>
      <c r="BX340" s="47"/>
      <c r="BY340" s="47"/>
      <c r="BZ340" s="47"/>
    </row>
    <row r="341" spans="1:78" ht="13">
      <c r="A341" s="152" t="str">
        <f ca="1">IFERROR(__xludf.DUMMYFUNCTION("""COMPUTED_VALUE"""),"Poisoncloud Arrowhead")</f>
        <v>Poisoncloud Arrowhead</v>
      </c>
      <c r="B341" s="47" t="str">
        <f ca="1">IFERROR(__xludf.DUMMYFUNCTION("TRANSPOSE(unique(filter(Recipes!A$2:A2490,(Recipes!L$2:L2490=A341)+(Recipes!O$2:O2490=A341)+(Recipes!R$2:R2490=A341)+(Recipes!U$2:U2490=A341)+(Recipes!X$2:X2490=A341))))"),"Poisoncloud Arrow")</f>
        <v>Poisoncloud Arrow</v>
      </c>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c r="AA341" s="47"/>
      <c r="AB341" s="47"/>
      <c r="AC341" s="47"/>
      <c r="AD341" s="47"/>
      <c r="AE341" s="47"/>
      <c r="AF341" s="47"/>
      <c r="AG341" s="47"/>
      <c r="AH341" s="47"/>
      <c r="AI341" s="47"/>
      <c r="AJ341" s="47"/>
      <c r="AK341" s="47"/>
      <c r="AL341" s="47"/>
      <c r="AM341" s="47"/>
      <c r="AN341" s="47"/>
      <c r="AO341" s="47"/>
      <c r="AP341" s="47"/>
      <c r="AQ341" s="47"/>
      <c r="AR341" s="47"/>
      <c r="AS341" s="47"/>
      <c r="AT341" s="47"/>
      <c r="AU341" s="47"/>
      <c r="AV341" s="47"/>
      <c r="AW341" s="47"/>
      <c r="AX341" s="47"/>
      <c r="AY341" s="47"/>
      <c r="AZ341" s="47"/>
      <c r="BA341" s="47"/>
      <c r="BB341" s="47"/>
      <c r="BC341" s="47"/>
      <c r="BD341" s="47"/>
      <c r="BE341" s="47"/>
      <c r="BF341" s="47"/>
      <c r="BG341" s="47"/>
      <c r="BH341" s="47"/>
      <c r="BI341" s="47"/>
      <c r="BJ341" s="47"/>
      <c r="BK341" s="47"/>
      <c r="BL341" s="47"/>
      <c r="BM341" s="47"/>
      <c r="BN341" s="47"/>
      <c r="BO341" s="47"/>
      <c r="BP341" s="47"/>
      <c r="BQ341" s="47"/>
      <c r="BR341" s="47"/>
      <c r="BS341" s="47"/>
      <c r="BT341" s="47"/>
      <c r="BU341" s="47"/>
      <c r="BV341" s="47"/>
      <c r="BW341" s="47"/>
      <c r="BX341" s="47"/>
      <c r="BY341" s="47"/>
      <c r="BZ341" s="47"/>
    </row>
    <row r="342" spans="1:78" ht="13">
      <c r="A342" s="152" t="str">
        <f ca="1">IFERROR(__xludf.DUMMYFUNCTION("""COMPUTED_VALUE"""),"Poisoned Arrowhead")</f>
        <v>Poisoned Arrowhead</v>
      </c>
      <c r="B342" s="47" t="str">
        <f ca="1">IFERROR(__xludf.DUMMYFUNCTION("TRANSPOSE(unique(filter(Recipes!A$2:A2490,(Recipes!L$2:L2490=A342)+(Recipes!O$2:O2490=A342)+(Recipes!R$2:R2490=A342)+(Recipes!U$2:U2490=A342)+(Recipes!X$2:X2490=A342))))"),"Poisoned Arrow")</f>
        <v>Poisoned Arrow</v>
      </c>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c r="AC342" s="47"/>
      <c r="AD342" s="47"/>
      <c r="AE342" s="47"/>
      <c r="AF342" s="47"/>
      <c r="AG342" s="47"/>
      <c r="AH342" s="47"/>
      <c r="AI342" s="47"/>
      <c r="AJ342" s="47"/>
      <c r="AK342" s="47"/>
      <c r="AL342" s="47"/>
      <c r="AM342" s="47"/>
      <c r="AN342" s="47"/>
      <c r="AO342" s="47"/>
      <c r="AP342" s="47"/>
      <c r="AQ342" s="47"/>
      <c r="AR342" s="47"/>
      <c r="AS342" s="47"/>
      <c r="AT342" s="47"/>
      <c r="AU342" s="47"/>
      <c r="AV342" s="47"/>
      <c r="AW342" s="47"/>
      <c r="AX342" s="47"/>
      <c r="AY342" s="47"/>
      <c r="AZ342" s="47"/>
      <c r="BA342" s="47"/>
      <c r="BB342" s="47"/>
      <c r="BC342" s="47"/>
      <c r="BD342" s="47"/>
      <c r="BE342" s="47"/>
      <c r="BF342" s="47"/>
      <c r="BG342" s="47"/>
      <c r="BH342" s="47"/>
      <c r="BI342" s="47"/>
      <c r="BJ342" s="47"/>
      <c r="BK342" s="47"/>
      <c r="BL342" s="47"/>
      <c r="BM342" s="47"/>
      <c r="BN342" s="47"/>
      <c r="BO342" s="47"/>
      <c r="BP342" s="47"/>
      <c r="BQ342" s="47"/>
      <c r="BR342" s="47"/>
      <c r="BS342" s="47"/>
      <c r="BT342" s="47"/>
      <c r="BU342" s="47"/>
      <c r="BV342" s="47"/>
      <c r="BW342" s="47"/>
      <c r="BX342" s="47"/>
      <c r="BY342" s="47"/>
      <c r="BZ342" s="47"/>
    </row>
    <row r="343" spans="1:78" ht="13">
      <c r="A343" s="152" t="str">
        <f ca="1">IFERROR(__xludf.DUMMYFUNCTION("""COMPUTED_VALUE"""),"Potato")</f>
        <v>Potato</v>
      </c>
      <c r="B343" s="47" t="str">
        <f ca="1">IFERROR(__xludf.DUMMYFUNCTION("TRANSPOSE(unique(filter(Recipes!A$2:A2490,(Recipes!L$2:L2490=A343)+(Recipes!O$2:O2490=A343)+(Recipes!R$2:R2490=A343)+(Recipes!U$2:U2490=A343)+(Recipes!X$2:X2490=A343))))"),"Boiled Potato")</f>
        <v>Boiled Potato</v>
      </c>
      <c r="C343" s="47" t="str">
        <f ca="1">IFERROR(__xludf.DUMMYFUNCTION("""COMPUTED_VALUE"""),"Potato Porridge")</f>
        <v>Potato Porridge</v>
      </c>
      <c r="D343" s="47" t="str">
        <f ca="1">IFERROR(__xludf.DUMMYFUNCTION("""COMPUTED_VALUE"""),"Cold Fries")</f>
        <v>Cold Fries</v>
      </c>
      <c r="E343" s="47" t="str">
        <f ca="1">IFERROR(__xludf.DUMMYFUNCTION("""COMPUTED_VALUE"""),"Cold Mashed Potatoes")</f>
        <v>Cold Mashed Potatoes</v>
      </c>
      <c r="F343" s="47"/>
      <c r="G343" s="47"/>
      <c r="H343" s="47"/>
      <c r="I343" s="47"/>
      <c r="J343" s="47"/>
      <c r="K343" s="47"/>
      <c r="L343" s="47"/>
      <c r="M343" s="47"/>
      <c r="N343" s="47"/>
      <c r="O343" s="47"/>
      <c r="P343" s="47"/>
      <c r="Q343" s="47"/>
      <c r="R343" s="47"/>
      <c r="S343" s="47"/>
      <c r="T343" s="47"/>
      <c r="U343" s="47"/>
      <c r="V343" s="47"/>
      <c r="W343" s="47"/>
      <c r="X343" s="47"/>
      <c r="Y343" s="47"/>
      <c r="Z343" s="47"/>
      <c r="AA343" s="47"/>
      <c r="AB343" s="47"/>
      <c r="AC343" s="47"/>
      <c r="AD343" s="47"/>
      <c r="AE343" s="47"/>
      <c r="AF343" s="47"/>
      <c r="AG343" s="47"/>
      <c r="AH343" s="47"/>
      <c r="AI343" s="47"/>
      <c r="AJ343" s="47"/>
      <c r="AK343" s="47"/>
      <c r="AL343" s="47"/>
      <c r="AM343" s="47"/>
      <c r="AN343" s="47"/>
      <c r="AO343" s="47"/>
      <c r="AP343" s="47"/>
      <c r="AQ343" s="47"/>
      <c r="AR343" s="47"/>
      <c r="AS343" s="47"/>
      <c r="AT343" s="47"/>
      <c r="AU343" s="47"/>
      <c r="AV343" s="47"/>
      <c r="AW343" s="47"/>
      <c r="AX343" s="47"/>
      <c r="AY343" s="47"/>
      <c r="AZ343" s="47"/>
      <c r="BA343" s="47"/>
      <c r="BB343" s="47"/>
      <c r="BC343" s="47"/>
      <c r="BD343" s="47"/>
      <c r="BE343" s="47"/>
      <c r="BF343" s="47"/>
      <c r="BG343" s="47"/>
      <c r="BH343" s="47"/>
      <c r="BI343" s="47"/>
      <c r="BJ343" s="47"/>
      <c r="BK343" s="47"/>
      <c r="BL343" s="47"/>
      <c r="BM343" s="47"/>
      <c r="BN343" s="47"/>
      <c r="BO343" s="47"/>
      <c r="BP343" s="47"/>
      <c r="BQ343" s="47"/>
      <c r="BR343" s="47"/>
      <c r="BS343" s="47"/>
      <c r="BT343" s="47"/>
      <c r="BU343" s="47"/>
      <c r="BV343" s="47"/>
      <c r="BW343" s="47"/>
      <c r="BX343" s="47"/>
      <c r="BY343" s="47"/>
      <c r="BZ343" s="47"/>
    </row>
    <row r="344" spans="1:78" ht="13">
      <c r="A344" s="152" t="str">
        <f ca="1">IFERROR(__xludf.DUMMYFUNCTION("""COMPUTED_VALUE"""),"Pouch of Superior Pixie Dust")</f>
        <v>Pouch of Superior Pixie Dust</v>
      </c>
      <c r="B344" s="47" t="str">
        <f ca="1">IFERROR(__xludf.DUMMYFUNCTION("TRANSPOSE(unique(filter(Recipes!A$2:A2490,(Recipes!L$2:L2490=A344)+(Recipes!O$2:O2490=A344)+(Recipes!R$2:R2490=A344)+(Recipes!U$2:U2490=A344)+(Recipes!X$2:X2490=A344))))"),"Giant Flame Rune")</f>
        <v>Giant Flame Rune</v>
      </c>
      <c r="C344" s="47" t="str">
        <f ca="1">IFERROR(__xludf.DUMMYFUNCTION("""COMPUTED_VALUE"""),"Giant Frost Rune")</f>
        <v>Giant Frost Rune</v>
      </c>
      <c r="D344" s="47" t="str">
        <f ca="1">IFERROR(__xludf.DUMMYFUNCTION("""COMPUTED_VALUE"""),"Giant Masterwork Rune")</f>
        <v>Giant Masterwork Rune</v>
      </c>
      <c r="E344" s="47" t="str">
        <f ca="1">IFERROR(__xludf.DUMMYFUNCTION("""COMPUTED_VALUE"""),"Giant Rock Rune")</f>
        <v>Giant Rock Rune</v>
      </c>
      <c r="F344" s="47" t="str">
        <f ca="1">IFERROR(__xludf.DUMMYFUNCTION("""COMPUTED_VALUE"""),"Giant Thunder Rune")</f>
        <v>Giant Thunder Rune</v>
      </c>
      <c r="G344" s="47" t="str">
        <f ca="1">IFERROR(__xludf.DUMMYFUNCTION("""COMPUTED_VALUE"""),"Giant Venom Rune")</f>
        <v>Giant Venom Rune</v>
      </c>
      <c r="H344" s="47"/>
      <c r="I344" s="47"/>
      <c r="J344" s="47"/>
      <c r="K344" s="47"/>
      <c r="L344" s="47"/>
      <c r="M344" s="47"/>
      <c r="N344" s="47"/>
      <c r="O344" s="47"/>
      <c r="P344" s="47"/>
      <c r="Q344" s="47"/>
      <c r="R344" s="47"/>
      <c r="S344" s="47"/>
      <c r="T344" s="47"/>
      <c r="U344" s="47"/>
      <c r="V344" s="47"/>
      <c r="W344" s="47"/>
      <c r="X344" s="47"/>
      <c r="Y344" s="47"/>
      <c r="Z344" s="47"/>
      <c r="AA344" s="47"/>
      <c r="AB344" s="47"/>
      <c r="AC344" s="47"/>
      <c r="AD344" s="47"/>
      <c r="AE344" s="47"/>
      <c r="AF344" s="47"/>
      <c r="AG344" s="47"/>
      <c r="AH344" s="47"/>
      <c r="AI344" s="47"/>
      <c r="AJ344" s="47"/>
      <c r="AK344" s="47"/>
      <c r="AL344" s="47"/>
      <c r="AM344" s="47"/>
      <c r="AN344" s="47"/>
      <c r="AO344" s="47"/>
      <c r="AP344" s="47"/>
      <c r="AQ344" s="47"/>
      <c r="AR344" s="47"/>
      <c r="AS344" s="47"/>
      <c r="AT344" s="47"/>
      <c r="AU344" s="47"/>
      <c r="AV344" s="47"/>
      <c r="AW344" s="47"/>
      <c r="AX344" s="47"/>
      <c r="AY344" s="47"/>
      <c r="AZ344" s="47"/>
      <c r="BA344" s="47"/>
      <c r="BB344" s="47"/>
      <c r="BC344" s="47"/>
      <c r="BD344" s="47"/>
      <c r="BE344" s="47"/>
      <c r="BF344" s="47"/>
      <c r="BG344" s="47"/>
      <c r="BH344" s="47"/>
      <c r="BI344" s="47"/>
      <c r="BJ344" s="47"/>
      <c r="BK344" s="47"/>
      <c r="BL344" s="47"/>
      <c r="BM344" s="47"/>
      <c r="BN344" s="47"/>
      <c r="BO344" s="47"/>
      <c r="BP344" s="47"/>
      <c r="BQ344" s="47"/>
      <c r="BR344" s="47"/>
      <c r="BS344" s="47"/>
      <c r="BT344" s="47"/>
      <c r="BU344" s="47"/>
      <c r="BV344" s="47"/>
      <c r="BW344" s="47"/>
      <c r="BX344" s="47"/>
      <c r="BY344" s="47"/>
      <c r="BZ344" s="47"/>
    </row>
    <row r="345" spans="1:78" ht="13">
      <c r="A345" s="152" t="str">
        <f ca="1">IFERROR(__xludf.DUMMYFUNCTION("""COMPUTED_VALUE"""),"Pouch of Superior Stardust")</f>
        <v>Pouch of Superior Stardust</v>
      </c>
      <c r="B345" s="47" t="str">
        <f ca="1">IFERROR(__xludf.DUMMYFUNCTION("TRANSPOSE(unique(filter(Recipes!A$2:A2490,(Recipes!L$2:L2490=A345)+(Recipes!O$2:O2490=A345)+(Recipes!R$2:R2490=A345)+(Recipes!U$2:U2490=A345)+(Recipes!X$2:X2490=A345))))"),"Pouch of Superior Pixie Dust")</f>
        <v>Pouch of Superior Pixie Dust</v>
      </c>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c r="AA345" s="47"/>
      <c r="AB345" s="47"/>
      <c r="AC345" s="47"/>
      <c r="AD345" s="47"/>
      <c r="AE345" s="47"/>
      <c r="AF345" s="47"/>
      <c r="AG345" s="47"/>
      <c r="AH345" s="47"/>
      <c r="AI345" s="47"/>
      <c r="AJ345" s="47"/>
      <c r="AK345" s="47"/>
      <c r="AL345" s="47"/>
      <c r="AM345" s="47"/>
      <c r="AN345" s="47"/>
      <c r="AO345" s="47"/>
      <c r="AP345" s="47"/>
      <c r="AQ345" s="47"/>
      <c r="AR345" s="47"/>
      <c r="AS345" s="47"/>
      <c r="AT345" s="47"/>
      <c r="AU345" s="47"/>
      <c r="AV345" s="47"/>
      <c r="AW345" s="47"/>
      <c r="AX345" s="47"/>
      <c r="AY345" s="47"/>
      <c r="AZ345" s="47"/>
      <c r="BA345" s="47"/>
      <c r="BB345" s="47"/>
      <c r="BC345" s="47"/>
      <c r="BD345" s="47"/>
      <c r="BE345" s="47"/>
      <c r="BF345" s="47"/>
      <c r="BG345" s="47"/>
      <c r="BH345" s="47"/>
      <c r="BI345" s="47"/>
      <c r="BJ345" s="47"/>
      <c r="BK345" s="47"/>
      <c r="BL345" s="47"/>
      <c r="BM345" s="47"/>
      <c r="BN345" s="47"/>
      <c r="BO345" s="47"/>
      <c r="BP345" s="47"/>
      <c r="BQ345" s="47"/>
      <c r="BR345" s="47"/>
      <c r="BS345" s="47"/>
      <c r="BT345" s="47"/>
      <c r="BU345" s="47"/>
      <c r="BV345" s="47"/>
      <c r="BW345" s="47"/>
      <c r="BX345" s="47"/>
      <c r="BY345" s="47"/>
      <c r="BZ345" s="47"/>
    </row>
    <row r="346" spans="1:78" ht="13">
      <c r="A346" s="152" t="str">
        <f ca="1">IFERROR(__xludf.DUMMYFUNCTION("""COMPUTED_VALUE"""),"Power Infusion Scroll")</f>
        <v>Power Infusion Scroll</v>
      </c>
      <c r="B346" s="47" t="str">
        <f ca="1">IFERROR(__xludf.DUMMYFUNCTION("TRANSPOSE(unique(filter(Recipes!A$2:A2490,(Recipes!L$2:L2490=A346)+(Recipes!O$2:O2490=A346)+(Recipes!R$2:R2490=A346)+(Recipes!U$2:U2490=A346)+(Recipes!X$2:X2490=A346))))"),"Power Infusion Skillbook")</f>
        <v>Power Infusion Skillbook</v>
      </c>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c r="AA346" s="47"/>
      <c r="AB346" s="47"/>
      <c r="AC346" s="47"/>
      <c r="AD346" s="47"/>
      <c r="AE346" s="47"/>
      <c r="AF346" s="47"/>
      <c r="AG346" s="47"/>
      <c r="AH346" s="47"/>
      <c r="AI346" s="47"/>
      <c r="AJ346" s="47"/>
      <c r="AK346" s="47"/>
      <c r="AL346" s="47"/>
      <c r="AM346" s="47"/>
      <c r="AN346" s="47"/>
      <c r="AO346" s="47"/>
      <c r="AP346" s="47"/>
      <c r="AQ346" s="47"/>
      <c r="AR346" s="47"/>
      <c r="AS346" s="47"/>
      <c r="AT346" s="47"/>
      <c r="AU346" s="47"/>
      <c r="AV346" s="47"/>
      <c r="AW346" s="47"/>
      <c r="AX346" s="47"/>
      <c r="AY346" s="47"/>
      <c r="AZ346" s="47"/>
      <c r="BA346" s="47"/>
      <c r="BB346" s="47"/>
      <c r="BC346" s="47"/>
      <c r="BD346" s="47"/>
      <c r="BE346" s="47"/>
      <c r="BF346" s="47"/>
      <c r="BG346" s="47"/>
      <c r="BH346" s="47"/>
      <c r="BI346" s="47"/>
      <c r="BJ346" s="47"/>
      <c r="BK346" s="47"/>
      <c r="BL346" s="47"/>
      <c r="BM346" s="47"/>
      <c r="BN346" s="47"/>
      <c r="BO346" s="47"/>
      <c r="BP346" s="47"/>
      <c r="BQ346" s="47"/>
      <c r="BR346" s="47"/>
      <c r="BS346" s="47"/>
      <c r="BT346" s="47"/>
      <c r="BU346" s="47"/>
      <c r="BV346" s="47"/>
      <c r="BW346" s="47"/>
      <c r="BX346" s="47"/>
      <c r="BY346" s="47"/>
      <c r="BZ346" s="47"/>
    </row>
    <row r="347" spans="1:78" ht="13">
      <c r="A347" s="152" t="str">
        <f ca="1">IFERROR(__xludf.DUMMYFUNCTION("""COMPUTED_VALUE"""),"Pressure Spike Scroll")</f>
        <v>Pressure Spike Scroll</v>
      </c>
      <c r="B347" s="47" t="str">
        <f ca="1">IFERROR(__xludf.DUMMYFUNCTION("TRANSPOSE(unique(filter(Recipes!A$2:A2490,(Recipes!L$2:L2490=A347)+(Recipes!O$2:O2490=A347)+(Recipes!R$2:R2490=A347)+(Recipes!U$2:U2490=A347)+(Recipes!X$2:X2490=A347))))"),"Pressure Spike Skillbook")</f>
        <v>Pressure Spike Skillbook</v>
      </c>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c r="AA347" s="47"/>
      <c r="AB347" s="47"/>
      <c r="AC347" s="47"/>
      <c r="AD347" s="47"/>
      <c r="AE347" s="47"/>
      <c r="AF347" s="47"/>
      <c r="AG347" s="47"/>
      <c r="AH347" s="47"/>
      <c r="AI347" s="47"/>
      <c r="AJ347" s="47"/>
      <c r="AK347" s="47"/>
      <c r="AL347" s="47"/>
      <c r="AM347" s="47"/>
      <c r="AN347" s="47"/>
      <c r="AO347" s="47"/>
      <c r="AP347" s="47"/>
      <c r="AQ347" s="47"/>
      <c r="AR347" s="47"/>
      <c r="AS347" s="47"/>
      <c r="AT347" s="47"/>
      <c r="AU347" s="47"/>
      <c r="AV347" s="47"/>
      <c r="AW347" s="47"/>
      <c r="AX347" s="47"/>
      <c r="AY347" s="47"/>
      <c r="AZ347" s="47"/>
      <c r="BA347" s="47"/>
      <c r="BB347" s="47"/>
      <c r="BC347" s="47"/>
      <c r="BD347" s="47"/>
      <c r="BE347" s="47"/>
      <c r="BF347" s="47"/>
      <c r="BG347" s="47"/>
      <c r="BH347" s="47"/>
      <c r="BI347" s="47"/>
      <c r="BJ347" s="47"/>
      <c r="BK347" s="47"/>
      <c r="BL347" s="47"/>
      <c r="BM347" s="47"/>
      <c r="BN347" s="47"/>
      <c r="BO347" s="47"/>
      <c r="BP347" s="47"/>
      <c r="BQ347" s="47"/>
      <c r="BR347" s="47"/>
      <c r="BS347" s="47"/>
      <c r="BT347" s="47"/>
      <c r="BU347" s="47"/>
      <c r="BV347" s="47"/>
      <c r="BW347" s="47"/>
      <c r="BX347" s="47"/>
      <c r="BY347" s="47"/>
      <c r="BZ347" s="47"/>
    </row>
    <row r="348" spans="1:78" ht="13">
      <c r="A348" s="152" t="str">
        <f ca="1">IFERROR(__xludf.DUMMYFUNCTION("""COMPUTED_VALUE"""),"Puffball")</f>
        <v>Puffball</v>
      </c>
      <c r="B348" s="47" t="str">
        <f ca="1">IFERROR(__xludf.DUMMYFUNCTION("TRANSPOSE(unique(filter(Recipes!A$2:A2490,(Recipes!L$2:L2490=A348)+(Recipes!O$2:O2490=A348)+(Recipes!R$2:R2490=A348)+(Recipes!U$2:U2490=A348)+(Recipes!X$2:X2490=A348))))"),"Minor Wits Potion")</f>
        <v>Minor Wits Potion</v>
      </c>
      <c r="C348" s="47" t="str">
        <f ca="1">IFERROR(__xludf.DUMMYFUNCTION("""COMPUTED_VALUE"""),"Alertness Herbmix")</f>
        <v>Alertness Herbmix</v>
      </c>
      <c r="D348" s="47"/>
      <c r="E348" s="47"/>
      <c r="F348" s="47"/>
      <c r="G348" s="47"/>
      <c r="H348" s="47"/>
      <c r="I348" s="47"/>
      <c r="J348" s="47"/>
      <c r="K348" s="47"/>
      <c r="L348" s="47"/>
      <c r="M348" s="47"/>
      <c r="N348" s="47"/>
      <c r="O348" s="47"/>
      <c r="P348" s="47"/>
      <c r="Q348" s="47"/>
      <c r="R348" s="47"/>
      <c r="S348" s="47"/>
      <c r="T348" s="47"/>
      <c r="U348" s="47"/>
      <c r="V348" s="47"/>
      <c r="W348" s="47"/>
      <c r="X348" s="47"/>
      <c r="Y348" s="47"/>
      <c r="Z348" s="47"/>
      <c r="AA348" s="47"/>
      <c r="AB348" s="47"/>
      <c r="AC348" s="47"/>
      <c r="AD348" s="47"/>
      <c r="AE348" s="47"/>
      <c r="AF348" s="47"/>
      <c r="AG348" s="47"/>
      <c r="AH348" s="47"/>
      <c r="AI348" s="47"/>
      <c r="AJ348" s="47"/>
      <c r="AK348" s="47"/>
      <c r="AL348" s="47"/>
      <c r="AM348" s="47"/>
      <c r="AN348" s="47"/>
      <c r="AO348" s="47"/>
      <c r="AP348" s="47"/>
      <c r="AQ348" s="47"/>
      <c r="AR348" s="47"/>
      <c r="AS348" s="47"/>
      <c r="AT348" s="47"/>
      <c r="AU348" s="47"/>
      <c r="AV348" s="47"/>
      <c r="AW348" s="47"/>
      <c r="AX348" s="47"/>
      <c r="AY348" s="47"/>
      <c r="AZ348" s="47"/>
      <c r="BA348" s="47"/>
      <c r="BB348" s="47"/>
      <c r="BC348" s="47"/>
      <c r="BD348" s="47"/>
      <c r="BE348" s="47"/>
      <c r="BF348" s="47"/>
      <c r="BG348" s="47"/>
      <c r="BH348" s="47"/>
      <c r="BI348" s="47"/>
      <c r="BJ348" s="47"/>
      <c r="BK348" s="47"/>
      <c r="BL348" s="47"/>
      <c r="BM348" s="47"/>
      <c r="BN348" s="47"/>
      <c r="BO348" s="47"/>
      <c r="BP348" s="47"/>
      <c r="BQ348" s="47"/>
      <c r="BR348" s="47"/>
      <c r="BS348" s="47"/>
      <c r="BT348" s="47"/>
      <c r="BU348" s="47"/>
      <c r="BV348" s="47"/>
      <c r="BW348" s="47"/>
      <c r="BX348" s="47"/>
      <c r="BY348" s="47"/>
      <c r="BZ348" s="47"/>
    </row>
    <row r="349" spans="1:78" ht="13">
      <c r="A349" s="152" t="str">
        <f ca="1">IFERROR(__xludf.DUMMYFUNCTION("""COMPUTED_VALUE"""),"Pumpkin")</f>
        <v>Pumpkin</v>
      </c>
      <c r="B349" s="47" t="str">
        <f ca="1">IFERROR(__xludf.DUMMYFUNCTION("TRANSPOSE(unique(filter(Recipes!A$2:A2490,(Recipes!L$2:L2490=A349)+(Recipes!O$2:O2490=A349)+(Recipes!R$2:R2490=A349)+(Recipes!U$2:U2490=A349)+(Recipes!X$2:X2490=A349))))"),"Pumpkin Soup")</f>
        <v>Pumpkin Soup</v>
      </c>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c r="AA349" s="47"/>
      <c r="AB349" s="47"/>
      <c r="AC349" s="47"/>
      <c r="AD349" s="47"/>
      <c r="AE349" s="47"/>
      <c r="AF349" s="47"/>
      <c r="AG349" s="47"/>
      <c r="AH349" s="47"/>
      <c r="AI349" s="47"/>
      <c r="AJ349" s="47"/>
      <c r="AK349" s="47"/>
      <c r="AL349" s="47"/>
      <c r="AM349" s="47"/>
      <c r="AN349" s="47"/>
      <c r="AO349" s="47"/>
      <c r="AP349" s="47"/>
      <c r="AQ349" s="47"/>
      <c r="AR349" s="47"/>
      <c r="AS349" s="47"/>
      <c r="AT349" s="47"/>
      <c r="AU349" s="47"/>
      <c r="AV349" s="47"/>
      <c r="AW349" s="47"/>
      <c r="AX349" s="47"/>
      <c r="AY349" s="47"/>
      <c r="AZ349" s="47"/>
      <c r="BA349" s="47"/>
      <c r="BB349" s="47"/>
      <c r="BC349" s="47"/>
      <c r="BD349" s="47"/>
      <c r="BE349" s="47"/>
      <c r="BF349" s="47"/>
      <c r="BG349" s="47"/>
      <c r="BH349" s="47"/>
      <c r="BI349" s="47"/>
      <c r="BJ349" s="47"/>
      <c r="BK349" s="47"/>
      <c r="BL349" s="47"/>
      <c r="BM349" s="47"/>
      <c r="BN349" s="47"/>
      <c r="BO349" s="47"/>
      <c r="BP349" s="47"/>
      <c r="BQ349" s="47"/>
      <c r="BR349" s="47"/>
      <c r="BS349" s="47"/>
      <c r="BT349" s="47"/>
      <c r="BU349" s="47"/>
      <c r="BV349" s="47"/>
      <c r="BW349" s="47"/>
      <c r="BX349" s="47"/>
      <c r="BY349" s="47"/>
      <c r="BZ349" s="47"/>
    </row>
    <row r="350" spans="1:78" ht="13">
      <c r="A350" s="152" t="str">
        <f ca="1">IFERROR(__xludf.DUMMYFUNCTION("""COMPUTED_VALUE"""),"Pumpkin Part")</f>
        <v>Pumpkin Part</v>
      </c>
      <c r="B350" s="47" t="str">
        <f ca="1">IFERROR(__xludf.DUMMYFUNCTION("TRANSPOSE(unique(filter(Recipes!A$2:A2490,(Recipes!L$2:L2490=A350)+(Recipes!O$2:O2490=A350)+(Recipes!R$2:R2490=A350)+(Recipes!U$2:U2490=A350)+(Recipes!X$2:X2490=A350))))"),"Pumpkin Soup")</f>
        <v>Pumpkin Soup</v>
      </c>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c r="AA350" s="47"/>
      <c r="AB350" s="47"/>
      <c r="AC350" s="47"/>
      <c r="AD350" s="47"/>
      <c r="AE350" s="47"/>
      <c r="AF350" s="47"/>
      <c r="AG350" s="47"/>
      <c r="AH350" s="47"/>
      <c r="AI350" s="47"/>
      <c r="AJ350" s="47"/>
      <c r="AK350" s="47"/>
      <c r="AL350" s="47"/>
      <c r="AM350" s="47"/>
      <c r="AN350" s="47"/>
      <c r="AO350" s="47"/>
      <c r="AP350" s="47"/>
      <c r="AQ350" s="47"/>
      <c r="AR350" s="47"/>
      <c r="AS350" s="47"/>
      <c r="AT350" s="47"/>
      <c r="AU350" s="47"/>
      <c r="AV350" s="47"/>
      <c r="AW350" s="47"/>
      <c r="AX350" s="47"/>
      <c r="AY350" s="47"/>
      <c r="AZ350" s="47"/>
      <c r="BA350" s="47"/>
      <c r="BB350" s="47"/>
      <c r="BC350" s="47"/>
      <c r="BD350" s="47"/>
      <c r="BE350" s="47"/>
      <c r="BF350" s="47"/>
      <c r="BG350" s="47"/>
      <c r="BH350" s="47"/>
      <c r="BI350" s="47"/>
      <c r="BJ350" s="47"/>
      <c r="BK350" s="47"/>
      <c r="BL350" s="47"/>
      <c r="BM350" s="47"/>
      <c r="BN350" s="47"/>
      <c r="BO350" s="47"/>
      <c r="BP350" s="47"/>
      <c r="BQ350" s="47"/>
      <c r="BR350" s="47"/>
      <c r="BS350" s="47"/>
      <c r="BT350" s="47"/>
      <c r="BU350" s="47"/>
      <c r="BV350" s="47"/>
      <c r="BW350" s="47"/>
      <c r="BX350" s="47"/>
      <c r="BY350" s="47"/>
      <c r="BZ350" s="47"/>
    </row>
    <row r="351" spans="1:78" ht="13">
      <c r="A351" s="152" t="str">
        <f ca="1">IFERROR(__xludf.DUMMYFUNCTION("""COMPUTED_VALUE"""),"Pumpkin Peel")</f>
        <v>Pumpkin Peel</v>
      </c>
      <c r="B351" s="47" t="str">
        <f ca="1">IFERROR(__xludf.DUMMYFUNCTION("TRANSPOSE(unique(filter(Recipes!A$2:A2490,(Recipes!L$2:L2490=A351)+(Recipes!O$2:O2490=A351)+(Recipes!R$2:R2490=A351)+(Recipes!U$2:U2490=A351)+(Recipes!X$2:X2490=A351))))"),"Pumpkin Soup")</f>
        <v>Pumpkin Soup</v>
      </c>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c r="AA351" s="47"/>
      <c r="AB351" s="47"/>
      <c r="AC351" s="47"/>
      <c r="AD351" s="47"/>
      <c r="AE351" s="47"/>
      <c r="AF351" s="47"/>
      <c r="AG351" s="47"/>
      <c r="AH351" s="47"/>
      <c r="AI351" s="47"/>
      <c r="AJ351" s="47"/>
      <c r="AK351" s="47"/>
      <c r="AL351" s="47"/>
      <c r="AM351" s="47"/>
      <c r="AN351" s="47"/>
      <c r="AO351" s="47"/>
      <c r="AP351" s="47"/>
      <c r="AQ351" s="47"/>
      <c r="AR351" s="47"/>
      <c r="AS351" s="47"/>
      <c r="AT351" s="47"/>
      <c r="AU351" s="47"/>
      <c r="AV351" s="47"/>
      <c r="AW351" s="47"/>
      <c r="AX351" s="47"/>
      <c r="AY351" s="47"/>
      <c r="AZ351" s="47"/>
      <c r="BA351" s="47"/>
      <c r="BB351" s="47"/>
      <c r="BC351" s="47"/>
      <c r="BD351" s="47"/>
      <c r="BE351" s="47"/>
      <c r="BF351" s="47"/>
      <c r="BG351" s="47"/>
      <c r="BH351" s="47"/>
      <c r="BI351" s="47"/>
      <c r="BJ351" s="47"/>
      <c r="BK351" s="47"/>
      <c r="BL351" s="47"/>
      <c r="BM351" s="47"/>
      <c r="BN351" s="47"/>
      <c r="BO351" s="47"/>
      <c r="BP351" s="47"/>
      <c r="BQ351" s="47"/>
      <c r="BR351" s="47"/>
      <c r="BS351" s="47"/>
      <c r="BT351" s="47"/>
      <c r="BU351" s="47"/>
      <c r="BV351" s="47"/>
      <c r="BW351" s="47"/>
      <c r="BX351" s="47"/>
      <c r="BY351" s="47"/>
      <c r="BZ351" s="47"/>
    </row>
    <row r="352" spans="1:78" ht="13">
      <c r="A352" s="152" t="str">
        <f ca="1">IFERROR(__xludf.DUMMYFUNCTION("""COMPUTED_VALUE"""),"Puppet Bead")</f>
        <v>Puppet Bead</v>
      </c>
      <c r="B352" s="47" t="str">
        <f ca="1">IFERROR(__xludf.DUMMYFUNCTION("TRANSPOSE(unique(filter(Recipes!A$2:A2490,(Recipes!L$2:L2490=A352)+(Recipes!O$2:O2490=A352)+(Recipes!R$2:R2490=A352)+(Recipes!U$2:U2490=A352)+(Recipes!X$2:X2490=A352))))"),"Apotheosis Scroll")</f>
        <v>Apotheosis Scroll</v>
      </c>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c r="AA352" s="47"/>
      <c r="AB352" s="47"/>
      <c r="AC352" s="47"/>
      <c r="AD352" s="47"/>
      <c r="AE352" s="47"/>
      <c r="AF352" s="47"/>
      <c r="AG352" s="47"/>
      <c r="AH352" s="47"/>
      <c r="AI352" s="47"/>
      <c r="AJ352" s="47"/>
      <c r="AK352" s="47"/>
      <c r="AL352" s="47"/>
      <c r="AM352" s="47"/>
      <c r="AN352" s="47"/>
      <c r="AO352" s="47"/>
      <c r="AP352" s="47"/>
      <c r="AQ352" s="47"/>
      <c r="AR352" s="47"/>
      <c r="AS352" s="47"/>
      <c r="AT352" s="47"/>
      <c r="AU352" s="47"/>
      <c r="AV352" s="47"/>
      <c r="AW352" s="47"/>
      <c r="AX352" s="47"/>
      <c r="AY352" s="47"/>
      <c r="AZ352" s="47"/>
      <c r="BA352" s="47"/>
      <c r="BB352" s="47"/>
      <c r="BC352" s="47"/>
      <c r="BD352" s="47"/>
      <c r="BE352" s="47"/>
      <c r="BF352" s="47"/>
      <c r="BG352" s="47"/>
      <c r="BH352" s="47"/>
      <c r="BI352" s="47"/>
      <c r="BJ352" s="47"/>
      <c r="BK352" s="47"/>
      <c r="BL352" s="47"/>
      <c r="BM352" s="47"/>
      <c r="BN352" s="47"/>
      <c r="BO352" s="47"/>
      <c r="BP352" s="47"/>
      <c r="BQ352" s="47"/>
      <c r="BR352" s="47"/>
      <c r="BS352" s="47"/>
      <c r="BT352" s="47"/>
      <c r="BU352" s="47"/>
      <c r="BV352" s="47"/>
      <c r="BW352" s="47"/>
      <c r="BX352" s="47"/>
      <c r="BY352" s="47"/>
      <c r="BZ352" s="47"/>
    </row>
    <row r="353" spans="1:78" ht="13">
      <c r="A353" s="152" t="str">
        <f ca="1">IFERROR(__xludf.DUMMYFUNCTION("""COMPUTED_VALUE"""),"Pyroclastic Eruption Scroll")</f>
        <v>Pyroclastic Eruption Scroll</v>
      </c>
      <c r="B353" s="47" t="str">
        <f ca="1">IFERROR(__xludf.DUMMYFUNCTION("TRANSPOSE(unique(filter(Recipes!A$2:A2490,(Recipes!L$2:L2490=A353)+(Recipes!O$2:O2490=A353)+(Recipes!R$2:R2490=A353)+(Recipes!U$2:U2490=A353)+(Recipes!X$2:X2490=A353))))"),"Pyroclastic Eruption Skillbook")</f>
        <v>Pyroclastic Eruption Skillbook</v>
      </c>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c r="AA353" s="47"/>
      <c r="AB353" s="47"/>
      <c r="AC353" s="47"/>
      <c r="AD353" s="47"/>
      <c r="AE353" s="47"/>
      <c r="AF353" s="47"/>
      <c r="AG353" s="47"/>
      <c r="AH353" s="47"/>
      <c r="AI353" s="47"/>
      <c r="AJ353" s="47"/>
      <c r="AK353" s="47"/>
      <c r="AL353" s="47"/>
      <c r="AM353" s="47"/>
      <c r="AN353" s="47"/>
      <c r="AO353" s="47"/>
      <c r="AP353" s="47"/>
      <c r="AQ353" s="47"/>
      <c r="AR353" s="47"/>
      <c r="AS353" s="47"/>
      <c r="AT353" s="47"/>
      <c r="AU353" s="47"/>
      <c r="AV353" s="47"/>
      <c r="AW353" s="47"/>
      <c r="AX353" s="47"/>
      <c r="AY353" s="47"/>
      <c r="AZ353" s="47"/>
      <c r="BA353" s="47"/>
      <c r="BB353" s="47"/>
      <c r="BC353" s="47"/>
      <c r="BD353" s="47"/>
      <c r="BE353" s="47"/>
      <c r="BF353" s="47"/>
      <c r="BG353" s="47"/>
      <c r="BH353" s="47"/>
      <c r="BI353" s="47"/>
      <c r="BJ353" s="47"/>
      <c r="BK353" s="47"/>
      <c r="BL353" s="47"/>
      <c r="BM353" s="47"/>
      <c r="BN353" s="47"/>
      <c r="BO353" s="47"/>
      <c r="BP353" s="47"/>
      <c r="BQ353" s="47"/>
      <c r="BR353" s="47"/>
      <c r="BS353" s="47"/>
      <c r="BT353" s="47"/>
      <c r="BU353" s="47"/>
      <c r="BV353" s="47"/>
      <c r="BW353" s="47"/>
      <c r="BX353" s="47"/>
      <c r="BY353" s="47"/>
      <c r="BZ353" s="47"/>
    </row>
    <row r="354" spans="1:78" ht="13">
      <c r="A354" s="152" t="str">
        <f ca="1">IFERROR(__xludf.DUMMYFUNCTION("""COMPUTED_VALUE"""),"Rabbit's Paw")</f>
        <v>Rabbit's Paw</v>
      </c>
      <c r="B354" s="47" t="str">
        <f ca="1">IFERROR(__xludf.DUMMYFUNCTION("TRANSPOSE(unique(filter(Recipes!A$2:A2490,(Recipes!L$2:L2490=A354)+(Recipes!O$2:O2490=A354)+(Recipes!R$2:R2490=A354)+(Recipes!U$2:U2490=A354)+(Recipes!X$2:X2490=A354))))"),"Electric Discharge Scroll")</f>
        <v>Electric Discharge Scroll</v>
      </c>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c r="AA354" s="47"/>
      <c r="AB354" s="47"/>
      <c r="AC354" s="47"/>
      <c r="AD354" s="47"/>
      <c r="AE354" s="47"/>
      <c r="AF354" s="47"/>
      <c r="AG354" s="47"/>
      <c r="AH354" s="47"/>
      <c r="AI354" s="47"/>
      <c r="AJ354" s="47"/>
      <c r="AK354" s="47"/>
      <c r="AL354" s="47"/>
      <c r="AM354" s="47"/>
      <c r="AN354" s="47"/>
      <c r="AO354" s="47"/>
      <c r="AP354" s="47"/>
      <c r="AQ354" s="47"/>
      <c r="AR354" s="47"/>
      <c r="AS354" s="47"/>
      <c r="AT354" s="47"/>
      <c r="AU354" s="47"/>
      <c r="AV354" s="47"/>
      <c r="AW354" s="47"/>
      <c r="AX354" s="47"/>
      <c r="AY354" s="47"/>
      <c r="AZ354" s="47"/>
      <c r="BA354" s="47"/>
      <c r="BB354" s="47"/>
      <c r="BC354" s="47"/>
      <c r="BD354" s="47"/>
      <c r="BE354" s="47"/>
      <c r="BF354" s="47"/>
      <c r="BG354" s="47"/>
      <c r="BH354" s="47"/>
      <c r="BI354" s="47"/>
      <c r="BJ354" s="47"/>
      <c r="BK354" s="47"/>
      <c r="BL354" s="47"/>
      <c r="BM354" s="47"/>
      <c r="BN354" s="47"/>
      <c r="BO354" s="47"/>
      <c r="BP354" s="47"/>
      <c r="BQ354" s="47"/>
      <c r="BR354" s="47"/>
      <c r="BS354" s="47"/>
      <c r="BT354" s="47"/>
      <c r="BU354" s="47"/>
      <c r="BV354" s="47"/>
      <c r="BW354" s="47"/>
      <c r="BX354" s="47"/>
      <c r="BY354" s="47"/>
      <c r="BZ354" s="47"/>
    </row>
    <row r="355" spans="1:78" ht="13">
      <c r="A355" s="152" t="str">
        <f ca="1">IFERROR(__xludf.DUMMYFUNCTION("""COMPUTED_VALUE"""),"Rain Scroll")</f>
        <v>Rain Scroll</v>
      </c>
      <c r="B355" s="47" t="str">
        <f ca="1">IFERROR(__xludf.DUMMYFUNCTION("TRANSPOSE(unique(filter(Recipes!A$2:A2490,(Recipes!L$2:L2490=A355)+(Recipes!O$2:O2490=A355)+(Recipes!R$2:R2490=A355)+(Recipes!U$2:U2490=A355)+(Recipes!X$2:X2490=A355))))"),"Rain Skillbook")</f>
        <v>Rain Skillbook</v>
      </c>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c r="AA355" s="47"/>
      <c r="AB355" s="47"/>
      <c r="AC355" s="47"/>
      <c r="AD355" s="47"/>
      <c r="AE355" s="47"/>
      <c r="AF355" s="47"/>
      <c r="AG355" s="47"/>
      <c r="AH355" s="47"/>
      <c r="AI355" s="47"/>
      <c r="AJ355" s="47"/>
      <c r="AK355" s="47"/>
      <c r="AL355" s="47"/>
      <c r="AM355" s="47"/>
      <c r="AN355" s="47"/>
      <c r="AO355" s="47"/>
      <c r="AP355" s="47"/>
      <c r="AQ355" s="47"/>
      <c r="AR355" s="47"/>
      <c r="AS355" s="47"/>
      <c r="AT355" s="47"/>
      <c r="AU355" s="47"/>
      <c r="AV355" s="47"/>
      <c r="AW355" s="47"/>
      <c r="AX355" s="47"/>
      <c r="AY355" s="47"/>
      <c r="AZ355" s="47"/>
      <c r="BA355" s="47"/>
      <c r="BB355" s="47"/>
      <c r="BC355" s="47"/>
      <c r="BD355" s="47"/>
      <c r="BE355" s="47"/>
      <c r="BF355" s="47"/>
      <c r="BG355" s="47"/>
      <c r="BH355" s="47"/>
      <c r="BI355" s="47"/>
      <c r="BJ355" s="47"/>
      <c r="BK355" s="47"/>
      <c r="BL355" s="47"/>
      <c r="BM355" s="47"/>
      <c r="BN355" s="47"/>
      <c r="BO355" s="47"/>
      <c r="BP355" s="47"/>
      <c r="BQ355" s="47"/>
      <c r="BR355" s="47"/>
      <c r="BS355" s="47"/>
      <c r="BT355" s="47"/>
      <c r="BU355" s="47"/>
      <c r="BV355" s="47"/>
      <c r="BW355" s="47"/>
      <c r="BX355" s="47"/>
      <c r="BY355" s="47"/>
      <c r="BZ355" s="47"/>
    </row>
    <row r="356" spans="1:78" ht="13">
      <c r="A356" s="152" t="str">
        <f ca="1">IFERROR(__xludf.DUMMYFUNCTION("""COMPUTED_VALUE"""),"Raining Blood Scroll")</f>
        <v>Raining Blood Scroll</v>
      </c>
      <c r="B356" s="47" t="str">
        <f ca="1">IFERROR(__xludf.DUMMYFUNCTION("TRANSPOSE(unique(filter(Recipes!A$2:A2490,(Recipes!L$2:L2490=A356)+(Recipes!O$2:O2490=A356)+(Recipes!R$2:R2490=A356)+(Recipes!U$2:U2490=A356)+(Recipes!X$2:X2490=A356))))"),"Raining Blood Skillbook")</f>
        <v>Raining Blood Skillbook</v>
      </c>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c r="AA356" s="47"/>
      <c r="AB356" s="47"/>
      <c r="AC356" s="47"/>
      <c r="AD356" s="47"/>
      <c r="AE356" s="47"/>
      <c r="AF356" s="47"/>
      <c r="AG356" s="47"/>
      <c r="AH356" s="47"/>
      <c r="AI356" s="47"/>
      <c r="AJ356" s="47"/>
      <c r="AK356" s="47"/>
      <c r="AL356" s="47"/>
      <c r="AM356" s="47"/>
      <c r="AN356" s="47"/>
      <c r="AO356" s="47"/>
      <c r="AP356" s="47"/>
      <c r="AQ356" s="47"/>
      <c r="AR356" s="47"/>
      <c r="AS356" s="47"/>
      <c r="AT356" s="47"/>
      <c r="AU356" s="47"/>
      <c r="AV356" s="47"/>
      <c r="AW356" s="47"/>
      <c r="AX356" s="47"/>
      <c r="AY356" s="47"/>
      <c r="AZ356" s="47"/>
      <c r="BA356" s="47"/>
      <c r="BB356" s="47"/>
      <c r="BC356" s="47"/>
      <c r="BD356" s="47"/>
      <c r="BE356" s="47"/>
      <c r="BF356" s="47"/>
      <c r="BG356" s="47"/>
      <c r="BH356" s="47"/>
      <c r="BI356" s="47"/>
      <c r="BJ356" s="47"/>
      <c r="BK356" s="47"/>
      <c r="BL356" s="47"/>
      <c r="BM356" s="47"/>
      <c r="BN356" s="47"/>
      <c r="BO356" s="47"/>
      <c r="BP356" s="47"/>
      <c r="BQ356" s="47"/>
      <c r="BR356" s="47"/>
      <c r="BS356" s="47"/>
      <c r="BT356" s="47"/>
      <c r="BU356" s="47"/>
      <c r="BV356" s="47"/>
      <c r="BW356" s="47"/>
      <c r="BX356" s="47"/>
      <c r="BY356" s="47"/>
      <c r="BZ356" s="47"/>
    </row>
    <row r="357" spans="1:78" ht="13">
      <c r="A357" s="152" t="str">
        <f ca="1">IFERROR(__xludf.DUMMYFUNCTION("""COMPUTED_VALUE"""),"Raise Bloated Corpse Scroll")</f>
        <v>Raise Bloated Corpse Scroll</v>
      </c>
      <c r="B357" s="47" t="str">
        <f ca="1">IFERROR(__xludf.DUMMYFUNCTION("TRANSPOSE(unique(filter(Recipes!A$2:A2490,(Recipes!L$2:L2490=A357)+(Recipes!O$2:O2490=A357)+(Recipes!R$2:R2490=A357)+(Recipes!U$2:U2490=A357)+(Recipes!X$2:X2490=A357))))"),"Raise Bloated Corpse Skillbook")</f>
        <v>Raise Bloated Corpse Skillbook</v>
      </c>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c r="AA357" s="47"/>
      <c r="AB357" s="47"/>
      <c r="AC357" s="47"/>
      <c r="AD357" s="47"/>
      <c r="AE357" s="47"/>
      <c r="AF357" s="47"/>
      <c r="AG357" s="47"/>
      <c r="AH357" s="47"/>
      <c r="AI357" s="47"/>
      <c r="AJ357" s="47"/>
      <c r="AK357" s="47"/>
      <c r="AL357" s="47"/>
      <c r="AM357" s="47"/>
      <c r="AN357" s="47"/>
      <c r="AO357" s="47"/>
      <c r="AP357" s="47"/>
      <c r="AQ357" s="47"/>
      <c r="AR357" s="47"/>
      <c r="AS357" s="47"/>
      <c r="AT357" s="47"/>
      <c r="AU357" s="47"/>
      <c r="AV357" s="47"/>
      <c r="AW357" s="47"/>
      <c r="AX357" s="47"/>
      <c r="AY357" s="47"/>
      <c r="AZ357" s="47"/>
      <c r="BA357" s="47"/>
      <c r="BB357" s="47"/>
      <c r="BC357" s="47"/>
      <c r="BD357" s="47"/>
      <c r="BE357" s="47"/>
      <c r="BF357" s="47"/>
      <c r="BG357" s="47"/>
      <c r="BH357" s="47"/>
      <c r="BI357" s="47"/>
      <c r="BJ357" s="47"/>
      <c r="BK357" s="47"/>
      <c r="BL357" s="47"/>
      <c r="BM357" s="47"/>
      <c r="BN357" s="47"/>
      <c r="BO357" s="47"/>
      <c r="BP357" s="47"/>
      <c r="BQ357" s="47"/>
      <c r="BR357" s="47"/>
      <c r="BS357" s="47"/>
      <c r="BT357" s="47"/>
      <c r="BU357" s="47"/>
      <c r="BV357" s="47"/>
      <c r="BW357" s="47"/>
      <c r="BX357" s="47"/>
      <c r="BY357" s="47"/>
      <c r="BZ357" s="47"/>
    </row>
    <row r="358" spans="1:78" ht="13">
      <c r="A358" s="152" t="str">
        <f ca="1">IFERROR(__xludf.DUMMYFUNCTION("""COMPUTED_VALUE"""),"Raise Bone Widow Scroll")</f>
        <v>Raise Bone Widow Scroll</v>
      </c>
      <c r="B358" s="47" t="str">
        <f ca="1">IFERROR(__xludf.DUMMYFUNCTION("TRANSPOSE(unique(filter(Recipes!A$2:A2490,(Recipes!L$2:L2490=A358)+(Recipes!O$2:O2490=A358)+(Recipes!R$2:R2490=A358)+(Recipes!U$2:U2490=A358)+(Recipes!X$2:X2490=A358))))"),"Raise Bone Widow Skillbook")</f>
        <v>Raise Bone Widow Skillbook</v>
      </c>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c r="AA358" s="47"/>
      <c r="AB358" s="47"/>
      <c r="AC358" s="47"/>
      <c r="AD358" s="47"/>
      <c r="AE358" s="47"/>
      <c r="AF358" s="47"/>
      <c r="AG358" s="47"/>
      <c r="AH358" s="47"/>
      <c r="AI358" s="47"/>
      <c r="AJ358" s="47"/>
      <c r="AK358" s="47"/>
      <c r="AL358" s="47"/>
      <c r="AM358" s="47"/>
      <c r="AN358" s="47"/>
      <c r="AO358" s="47"/>
      <c r="AP358" s="47"/>
      <c r="AQ358" s="47"/>
      <c r="AR358" s="47"/>
      <c r="AS358" s="47"/>
      <c r="AT358" s="47"/>
      <c r="AU358" s="47"/>
      <c r="AV358" s="47"/>
      <c r="AW358" s="47"/>
      <c r="AX358" s="47"/>
      <c r="AY358" s="47"/>
      <c r="AZ358" s="47"/>
      <c r="BA358" s="47"/>
      <c r="BB358" s="47"/>
      <c r="BC358" s="47"/>
      <c r="BD358" s="47"/>
      <c r="BE358" s="47"/>
      <c r="BF358" s="47"/>
      <c r="BG358" s="47"/>
      <c r="BH358" s="47"/>
      <c r="BI358" s="47"/>
      <c r="BJ358" s="47"/>
      <c r="BK358" s="47"/>
      <c r="BL358" s="47"/>
      <c r="BM358" s="47"/>
      <c r="BN358" s="47"/>
      <c r="BO358" s="47"/>
      <c r="BP358" s="47"/>
      <c r="BQ358" s="47"/>
      <c r="BR358" s="47"/>
      <c r="BS358" s="47"/>
      <c r="BT358" s="47"/>
      <c r="BU358" s="47"/>
      <c r="BV358" s="47"/>
      <c r="BW358" s="47"/>
      <c r="BX358" s="47"/>
      <c r="BY358" s="47"/>
      <c r="BZ358" s="47"/>
    </row>
    <row r="359" spans="1:78" ht="13">
      <c r="A359" s="152" t="str">
        <f ca="1">IFERROR(__xludf.DUMMYFUNCTION("""COMPUTED_VALUE"""),"Rallying Cry Scroll")</f>
        <v>Rallying Cry Scroll</v>
      </c>
      <c r="B359" s="47" t="str">
        <f ca="1">IFERROR(__xludf.DUMMYFUNCTION("TRANSPOSE(unique(filter(Recipes!A$2:A2490,(Recipes!L$2:L2490=A359)+(Recipes!O$2:O2490=A359)+(Recipes!R$2:R2490=A359)+(Recipes!U$2:U2490=A359)+(Recipes!X$2:X2490=A359))))"),"Rallying Cry Skillbook")</f>
        <v>Rallying Cry Skillbook</v>
      </c>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c r="AA359" s="47"/>
      <c r="AB359" s="47"/>
      <c r="AC359" s="47"/>
      <c r="AD359" s="47"/>
      <c r="AE359" s="47"/>
      <c r="AF359" s="47"/>
      <c r="AG359" s="47"/>
      <c r="AH359" s="47"/>
      <c r="AI359" s="47"/>
      <c r="AJ359" s="47"/>
      <c r="AK359" s="47"/>
      <c r="AL359" s="47"/>
      <c r="AM359" s="47"/>
      <c r="AN359" s="47"/>
      <c r="AO359" s="47"/>
      <c r="AP359" s="47"/>
      <c r="AQ359" s="47"/>
      <c r="AR359" s="47"/>
      <c r="AS359" s="47"/>
      <c r="AT359" s="47"/>
      <c r="AU359" s="47"/>
      <c r="AV359" s="47"/>
      <c r="AW359" s="47"/>
      <c r="AX359" s="47"/>
      <c r="AY359" s="47"/>
      <c r="AZ359" s="47"/>
      <c r="BA359" s="47"/>
      <c r="BB359" s="47"/>
      <c r="BC359" s="47"/>
      <c r="BD359" s="47"/>
      <c r="BE359" s="47"/>
      <c r="BF359" s="47"/>
      <c r="BG359" s="47"/>
      <c r="BH359" s="47"/>
      <c r="BI359" s="47"/>
      <c r="BJ359" s="47"/>
      <c r="BK359" s="47"/>
      <c r="BL359" s="47"/>
      <c r="BM359" s="47"/>
      <c r="BN359" s="47"/>
      <c r="BO359" s="47"/>
      <c r="BP359" s="47"/>
      <c r="BQ359" s="47"/>
      <c r="BR359" s="47"/>
      <c r="BS359" s="47"/>
      <c r="BT359" s="47"/>
      <c r="BU359" s="47"/>
      <c r="BV359" s="47"/>
      <c r="BW359" s="47"/>
      <c r="BX359" s="47"/>
      <c r="BY359" s="47"/>
      <c r="BZ359" s="47"/>
    </row>
    <row r="360" spans="1:78" ht="13">
      <c r="A360" s="152" t="str">
        <f ca="1">IFERROR(__xludf.DUMMYFUNCTION("""COMPUTED_VALUE"""),"Rat's Tail")</f>
        <v>Rat's Tail</v>
      </c>
      <c r="B360" s="47" t="str">
        <f ca="1">IFERROR(__xludf.DUMMYFUNCTION("TRANSPOSE(unique(filter(Recipes!A$2:A2490,(Recipes!L$2:L2490=A360)+(Recipes!O$2:O2490=A360)+(Recipes!R$2:R2490=A360)+(Recipes!U$2:U2490=A360)+(Recipes!X$2:X2490=A360))))"),"Tentacle Lash Scroll")</f>
        <v>Tentacle Lash Scroll</v>
      </c>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c r="AA360" s="47"/>
      <c r="AB360" s="47"/>
      <c r="AC360" s="47"/>
      <c r="AD360" s="47"/>
      <c r="AE360" s="47"/>
      <c r="AF360" s="47"/>
      <c r="AG360" s="47"/>
      <c r="AH360" s="47"/>
      <c r="AI360" s="47"/>
      <c r="AJ360" s="47"/>
      <c r="AK360" s="47"/>
      <c r="AL360" s="47"/>
      <c r="AM360" s="47"/>
      <c r="AN360" s="47"/>
      <c r="AO360" s="47"/>
      <c r="AP360" s="47"/>
      <c r="AQ360" s="47"/>
      <c r="AR360" s="47"/>
      <c r="AS360" s="47"/>
      <c r="AT360" s="47"/>
      <c r="AU360" s="47"/>
      <c r="AV360" s="47"/>
      <c r="AW360" s="47"/>
      <c r="AX360" s="47"/>
      <c r="AY360" s="47"/>
      <c r="AZ360" s="47"/>
      <c r="BA360" s="47"/>
      <c r="BB360" s="47"/>
      <c r="BC360" s="47"/>
      <c r="BD360" s="47"/>
      <c r="BE360" s="47"/>
      <c r="BF360" s="47"/>
      <c r="BG360" s="47"/>
      <c r="BH360" s="47"/>
      <c r="BI360" s="47"/>
      <c r="BJ360" s="47"/>
      <c r="BK360" s="47"/>
      <c r="BL360" s="47"/>
      <c r="BM360" s="47"/>
      <c r="BN360" s="47"/>
      <c r="BO360" s="47"/>
      <c r="BP360" s="47"/>
      <c r="BQ360" s="47"/>
      <c r="BR360" s="47"/>
      <c r="BS360" s="47"/>
      <c r="BT360" s="47"/>
      <c r="BU360" s="47"/>
      <c r="BV360" s="47"/>
      <c r="BW360" s="47"/>
      <c r="BX360" s="47"/>
      <c r="BY360" s="47"/>
      <c r="BZ360" s="47"/>
    </row>
    <row r="361" spans="1:78" ht="13">
      <c r="A361" s="152" t="str">
        <f ca="1">IFERROR(__xludf.DUMMYFUNCTION("""COMPUTED_VALUE"""),"Raw Lumpy Giblets")</f>
        <v>Raw Lumpy Giblets</v>
      </c>
      <c r="B361" s="47" t="str">
        <f ca="1">IFERROR(__xludf.DUMMYFUNCTION("TRANSPOSE(unique(filter(Recipes!A$2:A2490,(Recipes!L$2:L2490=A361)+(Recipes!O$2:O2490=A361)+(Recipes!R$2:R2490=A361)+(Recipes!U$2:U2490=A361)+(Recipes!X$2:X2490=A361))))"),"Living on the Edge Scroll")</f>
        <v>Living on the Edge Scroll</v>
      </c>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c r="AA361" s="47"/>
      <c r="AB361" s="47"/>
      <c r="AC361" s="47"/>
      <c r="AD361" s="47"/>
      <c r="AE361" s="47"/>
      <c r="AF361" s="47"/>
      <c r="AG361" s="47"/>
      <c r="AH361" s="47"/>
      <c r="AI361" s="47"/>
      <c r="AJ361" s="47"/>
      <c r="AK361" s="47"/>
      <c r="AL361" s="47"/>
      <c r="AM361" s="47"/>
      <c r="AN361" s="47"/>
      <c r="AO361" s="47"/>
      <c r="AP361" s="47"/>
      <c r="AQ361" s="47"/>
      <c r="AR361" s="47"/>
      <c r="AS361" s="47"/>
      <c r="AT361" s="47"/>
      <c r="AU361" s="47"/>
      <c r="AV361" s="47"/>
      <c r="AW361" s="47"/>
      <c r="AX361" s="47"/>
      <c r="AY361" s="47"/>
      <c r="AZ361" s="47"/>
      <c r="BA361" s="47"/>
      <c r="BB361" s="47"/>
      <c r="BC361" s="47"/>
      <c r="BD361" s="47"/>
      <c r="BE361" s="47"/>
      <c r="BF361" s="47"/>
      <c r="BG361" s="47"/>
      <c r="BH361" s="47"/>
      <c r="BI361" s="47"/>
      <c r="BJ361" s="47"/>
      <c r="BK361" s="47"/>
      <c r="BL361" s="47"/>
      <c r="BM361" s="47"/>
      <c r="BN361" s="47"/>
      <c r="BO361" s="47"/>
      <c r="BP361" s="47"/>
      <c r="BQ361" s="47"/>
      <c r="BR361" s="47"/>
      <c r="BS361" s="47"/>
      <c r="BT361" s="47"/>
      <c r="BU361" s="47"/>
      <c r="BV361" s="47"/>
      <c r="BW361" s="47"/>
      <c r="BX361" s="47"/>
      <c r="BY361" s="47"/>
      <c r="BZ361" s="47"/>
    </row>
    <row r="362" spans="1:78" ht="13">
      <c r="A362" s="152" t="str">
        <f ca="1">IFERROR(__xludf.DUMMYFUNCTION("""COMPUTED_VALUE"""),"Raw Slice of Meat")</f>
        <v>Raw Slice of Meat</v>
      </c>
      <c r="B362" s="47" t="str">
        <f ca="1">IFERROR(__xludf.DUMMYFUNCTION("TRANSPOSE(unique(filter(Recipes!A$2:A2490,(Recipes!L$2:L2490=A362)+(Recipes!O$2:O2490=A362)+(Recipes!R$2:R2490=A362)+(Recipes!U$2:U2490=A362)+(Recipes!X$2:X2490=A362))))"),"Raise Bloated Corpse Scroll")</f>
        <v>Raise Bloated Corpse Scroll</v>
      </c>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c r="AA362" s="47"/>
      <c r="AB362" s="47"/>
      <c r="AC362" s="47"/>
      <c r="AD362" s="47"/>
      <c r="AE362" s="47"/>
      <c r="AF362" s="47"/>
      <c r="AG362" s="47"/>
      <c r="AH362" s="47"/>
      <c r="AI362" s="47"/>
      <c r="AJ362" s="47"/>
      <c r="AK362" s="47"/>
      <c r="AL362" s="47"/>
      <c r="AM362" s="47"/>
      <c r="AN362" s="47"/>
      <c r="AO362" s="47"/>
      <c r="AP362" s="47"/>
      <c r="AQ362" s="47"/>
      <c r="AR362" s="47"/>
      <c r="AS362" s="47"/>
      <c r="AT362" s="47"/>
      <c r="AU362" s="47"/>
      <c r="AV362" s="47"/>
      <c r="AW362" s="47"/>
      <c r="AX362" s="47"/>
      <c r="AY362" s="47"/>
      <c r="AZ362" s="47"/>
      <c r="BA362" s="47"/>
      <c r="BB362" s="47"/>
      <c r="BC362" s="47"/>
      <c r="BD362" s="47"/>
      <c r="BE362" s="47"/>
      <c r="BF362" s="47"/>
      <c r="BG362" s="47"/>
      <c r="BH362" s="47"/>
      <c r="BI362" s="47"/>
      <c r="BJ362" s="47"/>
      <c r="BK362" s="47"/>
      <c r="BL362" s="47"/>
      <c r="BM362" s="47"/>
      <c r="BN362" s="47"/>
      <c r="BO362" s="47"/>
      <c r="BP362" s="47"/>
      <c r="BQ362" s="47"/>
      <c r="BR362" s="47"/>
      <c r="BS362" s="47"/>
      <c r="BT362" s="47"/>
      <c r="BU362" s="47"/>
      <c r="BV362" s="47"/>
      <c r="BW362" s="47"/>
      <c r="BX362" s="47"/>
      <c r="BY362" s="47"/>
      <c r="BZ362" s="47"/>
    </row>
    <row r="363" spans="1:78" ht="13">
      <c r="A363" s="152" t="str">
        <f ca="1">IFERROR(__xludf.DUMMYFUNCTION("""COMPUTED_VALUE"""),"Reactive Armor Scroll")</f>
        <v>Reactive Armor Scroll</v>
      </c>
      <c r="B363" s="47" t="str">
        <f ca="1">IFERROR(__xludf.DUMMYFUNCTION("TRANSPOSE(unique(filter(Recipes!A$2:A2490,(Recipes!L$2:L2490=A363)+(Recipes!O$2:O2490=A363)+(Recipes!R$2:R2490=A363)+(Recipes!U$2:U2490=A363)+(Recipes!X$2:X2490=A363))))"),"Reactive Armor Skillbook")</f>
        <v>Reactive Armor Skillbook</v>
      </c>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c r="AA363" s="47"/>
      <c r="AB363" s="47"/>
      <c r="AC363" s="47"/>
      <c r="AD363" s="47"/>
      <c r="AE363" s="47"/>
      <c r="AF363" s="47"/>
      <c r="AG363" s="47"/>
      <c r="AH363" s="47"/>
      <c r="AI363" s="47"/>
      <c r="AJ363" s="47"/>
      <c r="AK363" s="47"/>
      <c r="AL363" s="47"/>
      <c r="AM363" s="47"/>
      <c r="AN363" s="47"/>
      <c r="AO363" s="47"/>
      <c r="AP363" s="47"/>
      <c r="AQ363" s="47"/>
      <c r="AR363" s="47"/>
      <c r="AS363" s="47"/>
      <c r="AT363" s="47"/>
      <c r="AU363" s="47"/>
      <c r="AV363" s="47"/>
      <c r="AW363" s="47"/>
      <c r="AX363" s="47"/>
      <c r="AY363" s="47"/>
      <c r="AZ363" s="47"/>
      <c r="BA363" s="47"/>
      <c r="BB363" s="47"/>
      <c r="BC363" s="47"/>
      <c r="BD363" s="47"/>
      <c r="BE363" s="47"/>
      <c r="BF363" s="47"/>
      <c r="BG363" s="47"/>
      <c r="BH363" s="47"/>
      <c r="BI363" s="47"/>
      <c r="BJ363" s="47"/>
      <c r="BK363" s="47"/>
      <c r="BL363" s="47"/>
      <c r="BM363" s="47"/>
      <c r="BN363" s="47"/>
      <c r="BO363" s="47"/>
      <c r="BP363" s="47"/>
      <c r="BQ363" s="47"/>
      <c r="BR363" s="47"/>
      <c r="BS363" s="47"/>
      <c r="BT363" s="47"/>
      <c r="BU363" s="47"/>
      <c r="BV363" s="47"/>
      <c r="BW363" s="47"/>
      <c r="BX363" s="47"/>
      <c r="BY363" s="47"/>
      <c r="BZ363" s="47"/>
    </row>
    <row r="364" spans="1:78" ht="13">
      <c r="A364" s="152" t="str">
        <f ca="1">IFERROR(__xludf.DUMMYFUNCTION("""COMPUTED_VALUE"""),"Red Fabric Dye")</f>
        <v>Red Fabric Dye</v>
      </c>
      <c r="B364" s="47" t="str">
        <f ca="1">IFERROR(__xludf.DUMMYFUNCTION("TRANSPOSE(unique(filter(Recipes!A$2:A2490,(Recipes!L$2:L2490=A364)+(Recipes!O$2:O2490=A364)+(Recipes!R$2:R2490=A364)+(Recipes!U$2:U2490=A364)+(Recipes!X$2:X2490=A364))))"),"Healing Potion [Poisoned]")</f>
        <v>Healing Potion [Poisoned]</v>
      </c>
      <c r="C364" s="47" t="str">
        <f ca="1">IFERROR(__xludf.DUMMYFUNCTION("""COMPUTED_VALUE"""),"Large Healing Potion [Poisoned]")</f>
        <v>Large Healing Potion [Poisoned]</v>
      </c>
      <c r="D364" s="47" t="str">
        <f ca="1">IFERROR(__xludf.DUMMYFUNCTION("""COMPUTED_VALUE"""),"Medium Healing Potion [Poisoned]")</f>
        <v>Medium Healing Potion [Poisoned]</v>
      </c>
      <c r="E364" s="47" t="str">
        <f ca="1">IFERROR(__xludf.DUMMYFUNCTION("""COMPUTED_VALUE"""),"Minor Healing Potion [Poisoned]")</f>
        <v>Minor Healing Potion [Poisoned]</v>
      </c>
      <c r="F364" s="47" t="str">
        <f ca="1">IFERROR(__xludf.DUMMYFUNCTION("""COMPUTED_VALUE"""),"Huge Healing Potion [Masked | Witch]")</f>
        <v>Huge Healing Potion [Masked | Witch]</v>
      </c>
      <c r="G364" s="47"/>
      <c r="H364" s="47"/>
      <c r="I364" s="47"/>
      <c r="J364" s="47"/>
      <c r="K364" s="47"/>
      <c r="L364" s="47"/>
      <c r="M364" s="47"/>
      <c r="N364" s="47"/>
      <c r="O364" s="47"/>
      <c r="P364" s="47"/>
      <c r="Q364" s="47"/>
      <c r="R364" s="47"/>
      <c r="S364" s="47"/>
      <c r="T364" s="47"/>
      <c r="U364" s="47"/>
      <c r="V364" s="47"/>
      <c r="W364" s="47"/>
      <c r="X364" s="47"/>
      <c r="Y364" s="47"/>
      <c r="Z364" s="47"/>
      <c r="AA364" s="47"/>
      <c r="AB364" s="47"/>
      <c r="AC364" s="47"/>
      <c r="AD364" s="47"/>
      <c r="AE364" s="47"/>
      <c r="AF364" s="47"/>
      <c r="AG364" s="47"/>
      <c r="AH364" s="47"/>
      <c r="AI364" s="47"/>
      <c r="AJ364" s="47"/>
      <c r="AK364" s="47"/>
      <c r="AL364" s="47"/>
      <c r="AM364" s="47"/>
      <c r="AN364" s="47"/>
      <c r="AO364" s="47"/>
      <c r="AP364" s="47"/>
      <c r="AQ364" s="47"/>
      <c r="AR364" s="47"/>
      <c r="AS364" s="47"/>
      <c r="AT364" s="47"/>
      <c r="AU364" s="47"/>
      <c r="AV364" s="47"/>
      <c r="AW364" s="47"/>
      <c r="AX364" s="47"/>
      <c r="AY364" s="47"/>
      <c r="AZ364" s="47"/>
      <c r="BA364" s="47"/>
      <c r="BB364" s="47"/>
      <c r="BC364" s="47"/>
      <c r="BD364" s="47"/>
      <c r="BE364" s="47"/>
      <c r="BF364" s="47"/>
      <c r="BG364" s="47"/>
      <c r="BH364" s="47"/>
      <c r="BI364" s="47"/>
      <c r="BJ364" s="47"/>
      <c r="BK364" s="47"/>
      <c r="BL364" s="47"/>
      <c r="BM364" s="47"/>
      <c r="BN364" s="47"/>
      <c r="BO364" s="47"/>
      <c r="BP364" s="47"/>
      <c r="BQ364" s="47"/>
      <c r="BR364" s="47"/>
      <c r="BS364" s="47"/>
      <c r="BT364" s="47"/>
      <c r="BU364" s="47"/>
      <c r="BV364" s="47"/>
      <c r="BW364" s="47"/>
      <c r="BX364" s="47"/>
      <c r="BY364" s="47"/>
      <c r="BZ364" s="47"/>
    </row>
    <row r="365" spans="1:78" ht="13">
      <c r="A365" s="152" t="str">
        <f ca="1">IFERROR(__xludf.DUMMYFUNCTION("""COMPUTED_VALUE"""),"Red Snapper")</f>
        <v>Red Snapper</v>
      </c>
      <c r="B365" s="47" t="str">
        <f ca="1">IFERROR(__xludf.DUMMYFUNCTION("TRANSPOSE(unique(filter(Recipes!A$2:A2490,(Recipes!L$2:L2490=A365)+(Recipes!O$2:O2490=A365)+(Recipes!R$2:R2490=A365)+(Recipes!U$2:U2490=A365)+(Recipes!X$2:X2490=A365))))"),"Soothing Cold Scroll")</f>
        <v>Soothing Cold Scroll</v>
      </c>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c r="AA365" s="47"/>
      <c r="AB365" s="47"/>
      <c r="AC365" s="47"/>
      <c r="AD365" s="47"/>
      <c r="AE365" s="47"/>
      <c r="AF365" s="47"/>
      <c r="AG365" s="47"/>
      <c r="AH365" s="47"/>
      <c r="AI365" s="47"/>
      <c r="AJ365" s="47"/>
      <c r="AK365" s="47"/>
      <c r="AL365" s="47"/>
      <c r="AM365" s="47"/>
      <c r="AN365" s="47"/>
      <c r="AO365" s="47"/>
      <c r="AP365" s="47"/>
      <c r="AQ365" s="47"/>
      <c r="AR365" s="47"/>
      <c r="AS365" s="47"/>
      <c r="AT365" s="47"/>
      <c r="AU365" s="47"/>
      <c r="AV365" s="47"/>
      <c r="AW365" s="47"/>
      <c r="AX365" s="47"/>
      <c r="AY365" s="47"/>
      <c r="AZ365" s="47"/>
      <c r="BA365" s="47"/>
      <c r="BB365" s="47"/>
      <c r="BC365" s="47"/>
      <c r="BD365" s="47"/>
      <c r="BE365" s="47"/>
      <c r="BF365" s="47"/>
      <c r="BG365" s="47"/>
      <c r="BH365" s="47"/>
      <c r="BI365" s="47"/>
      <c r="BJ365" s="47"/>
      <c r="BK365" s="47"/>
      <c r="BL365" s="47"/>
      <c r="BM365" s="47"/>
      <c r="BN365" s="47"/>
      <c r="BO365" s="47"/>
      <c r="BP365" s="47"/>
      <c r="BQ365" s="47"/>
      <c r="BR365" s="47"/>
      <c r="BS365" s="47"/>
      <c r="BT365" s="47"/>
      <c r="BU365" s="47"/>
      <c r="BV365" s="47"/>
      <c r="BW365" s="47"/>
      <c r="BX365" s="47"/>
      <c r="BY365" s="47"/>
      <c r="BZ365" s="47"/>
    </row>
    <row r="366" spans="1:78" ht="13">
      <c r="A366" s="152" t="str">
        <f ca="1">IFERROR(__xludf.DUMMYFUNCTION("""COMPUTED_VALUE"""),"Restoration Scroll")</f>
        <v>Restoration Scroll</v>
      </c>
      <c r="B366" s="47" t="str">
        <f ca="1">IFERROR(__xludf.DUMMYFUNCTION("TRANSPOSE(unique(filter(Recipes!A$2:A2490,(Recipes!L$2:L2490=A366)+(Recipes!O$2:O2490=A366)+(Recipes!R$2:R2490=A366)+(Recipes!U$2:U2490=A366)+(Recipes!X$2:X2490=A366))))"),"Restoration Skillbook")</f>
        <v>Restoration Skillbook</v>
      </c>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c r="AA366" s="47"/>
      <c r="AB366" s="47"/>
      <c r="AC366" s="47"/>
      <c r="AD366" s="47"/>
      <c r="AE366" s="47"/>
      <c r="AF366" s="47"/>
      <c r="AG366" s="47"/>
      <c r="AH366" s="47"/>
      <c r="AI366" s="47"/>
      <c r="AJ366" s="47"/>
      <c r="AK366" s="47"/>
      <c r="AL366" s="47"/>
      <c r="AM366" s="47"/>
      <c r="AN366" s="47"/>
      <c r="AO366" s="47"/>
      <c r="AP366" s="47"/>
      <c r="AQ366" s="47"/>
      <c r="AR366" s="47"/>
      <c r="AS366" s="47"/>
      <c r="AT366" s="47"/>
      <c r="AU366" s="47"/>
      <c r="AV366" s="47"/>
      <c r="AW366" s="47"/>
      <c r="AX366" s="47"/>
      <c r="AY366" s="47"/>
      <c r="AZ366" s="47"/>
      <c r="BA366" s="47"/>
      <c r="BB366" s="47"/>
      <c r="BC366" s="47"/>
      <c r="BD366" s="47"/>
      <c r="BE366" s="47"/>
      <c r="BF366" s="47"/>
      <c r="BG366" s="47"/>
      <c r="BH366" s="47"/>
      <c r="BI366" s="47"/>
      <c r="BJ366" s="47"/>
      <c r="BK366" s="47"/>
      <c r="BL366" s="47"/>
      <c r="BM366" s="47"/>
      <c r="BN366" s="47"/>
      <c r="BO366" s="47"/>
      <c r="BP366" s="47"/>
      <c r="BQ366" s="47"/>
      <c r="BR366" s="47"/>
      <c r="BS366" s="47"/>
      <c r="BT366" s="47"/>
      <c r="BU366" s="47"/>
      <c r="BV366" s="47"/>
      <c r="BW366" s="47"/>
      <c r="BX366" s="47"/>
      <c r="BY366" s="47"/>
      <c r="BZ366" s="47"/>
    </row>
    <row r="367" spans="1:78" ht="13">
      <c r="A367" s="152" t="str">
        <f ca="1">IFERROR(__xludf.DUMMYFUNCTION("""COMPUTED_VALUE"""),"Resurrection Scroll")</f>
        <v>Resurrection Scroll</v>
      </c>
      <c r="B367" s="47" t="str">
        <f ca="1">IFERROR(__xludf.DUMMYFUNCTION("TRANSPOSE(unique(filter(Recipes!A$2:A2490,(Recipes!L$2:L2490=A367)+(Recipes!O$2:O2490=A367)+(Recipes!R$2:R2490=A367)+(Recipes!U$2:U2490=A367)+(Recipes!X$2:X2490=A367))))"),"Glowing Idol of Rebirth")</f>
        <v>Glowing Idol of Rebirth</v>
      </c>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c r="AA367" s="47"/>
      <c r="AB367" s="47"/>
      <c r="AC367" s="47"/>
      <c r="AD367" s="47"/>
      <c r="AE367" s="47"/>
      <c r="AF367" s="47"/>
      <c r="AG367" s="47"/>
      <c r="AH367" s="47"/>
      <c r="AI367" s="47"/>
      <c r="AJ367" s="47"/>
      <c r="AK367" s="47"/>
      <c r="AL367" s="47"/>
      <c r="AM367" s="47"/>
      <c r="AN367" s="47"/>
      <c r="AO367" s="47"/>
      <c r="AP367" s="47"/>
      <c r="AQ367" s="47"/>
      <c r="AR367" s="47"/>
      <c r="AS367" s="47"/>
      <c r="AT367" s="47"/>
      <c r="AU367" s="47"/>
      <c r="AV367" s="47"/>
      <c r="AW367" s="47"/>
      <c r="AX367" s="47"/>
      <c r="AY367" s="47"/>
      <c r="AZ367" s="47"/>
      <c r="BA367" s="47"/>
      <c r="BB367" s="47"/>
      <c r="BC367" s="47"/>
      <c r="BD367" s="47"/>
      <c r="BE367" s="47"/>
      <c r="BF367" s="47"/>
      <c r="BG367" s="47"/>
      <c r="BH367" s="47"/>
      <c r="BI367" s="47"/>
      <c r="BJ367" s="47"/>
      <c r="BK367" s="47"/>
      <c r="BL367" s="47"/>
      <c r="BM367" s="47"/>
      <c r="BN367" s="47"/>
      <c r="BO367" s="47"/>
      <c r="BP367" s="47"/>
      <c r="BQ367" s="47"/>
      <c r="BR367" s="47"/>
      <c r="BS367" s="47"/>
      <c r="BT367" s="47"/>
      <c r="BU367" s="47"/>
      <c r="BV367" s="47"/>
      <c r="BW367" s="47"/>
      <c r="BX367" s="47"/>
      <c r="BY367" s="47"/>
      <c r="BZ367" s="47"/>
    </row>
    <row r="368" spans="1:78" ht="13">
      <c r="A368" s="152" t="str">
        <f ca="1">IFERROR(__xludf.DUMMYFUNCTION("""COMPUTED_VALUE"""),"Ring")</f>
        <v>Ring</v>
      </c>
      <c r="B368" s="47" t="str">
        <f ca="1">IFERROR(__xludf.DUMMYFUNCTION("TRANSPOSE(unique(filter(Recipes!A$2:A2490,(Recipes!L$2:L2490=A368)+(Recipes!O$2:O2490=A368)+(Recipes!R$2:R2490=A368)+(Recipes!U$2:U2490=A368)+(Recipes!X$2:X2490=A368))))"),"Boost Ring")</f>
        <v>Boost Ring</v>
      </c>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c r="AA368" s="47"/>
      <c r="AB368" s="47"/>
      <c r="AC368" s="47"/>
      <c r="AD368" s="47"/>
      <c r="AE368" s="47"/>
      <c r="AF368" s="47"/>
      <c r="AG368" s="47"/>
      <c r="AH368" s="47"/>
      <c r="AI368" s="47"/>
      <c r="AJ368" s="47"/>
      <c r="AK368" s="47"/>
      <c r="AL368" s="47"/>
      <c r="AM368" s="47"/>
      <c r="AN368" s="47"/>
      <c r="AO368" s="47"/>
      <c r="AP368" s="47"/>
      <c r="AQ368" s="47"/>
      <c r="AR368" s="47"/>
      <c r="AS368" s="47"/>
      <c r="AT368" s="47"/>
      <c r="AU368" s="47"/>
      <c r="AV368" s="47"/>
      <c r="AW368" s="47"/>
      <c r="AX368" s="47"/>
      <c r="AY368" s="47"/>
      <c r="AZ368" s="47"/>
      <c r="BA368" s="47"/>
      <c r="BB368" s="47"/>
      <c r="BC368" s="47"/>
      <c r="BD368" s="47"/>
      <c r="BE368" s="47"/>
      <c r="BF368" s="47"/>
      <c r="BG368" s="47"/>
      <c r="BH368" s="47"/>
      <c r="BI368" s="47"/>
      <c r="BJ368" s="47"/>
      <c r="BK368" s="47"/>
      <c r="BL368" s="47"/>
      <c r="BM368" s="47"/>
      <c r="BN368" s="47"/>
      <c r="BO368" s="47"/>
      <c r="BP368" s="47"/>
      <c r="BQ368" s="47"/>
      <c r="BR368" s="47"/>
      <c r="BS368" s="47"/>
      <c r="BT368" s="47"/>
      <c r="BU368" s="47"/>
      <c r="BV368" s="47"/>
      <c r="BW368" s="47"/>
      <c r="BX368" s="47"/>
      <c r="BY368" s="47"/>
      <c r="BZ368" s="47"/>
    </row>
    <row r="369" spans="1:78" ht="13">
      <c r="A369" s="152" t="str">
        <f ca="1">IFERROR(__xludf.DUMMYFUNCTION("""COMPUTED_VALUE"""),"Ritual Bowl")</f>
        <v>Ritual Bowl</v>
      </c>
      <c r="B369" s="47" t="str">
        <f ca="1">IFERROR(__xludf.DUMMYFUNCTION("TRANSPOSE(unique(filter(Recipes!A$2:A2490,(Recipes!L$2:L2490=A369)+(Recipes!O$2:O2490=A369)+(Recipes!R$2:R2490=A369)+(Recipes!U$2:U2490=A369)+(Recipes!X$2:X2490=A369))))"),"Ritual Bowl [Ready]")</f>
        <v>Ritual Bowl [Ready]</v>
      </c>
      <c r="C369" s="47" t="str">
        <f ca="1">IFERROR(__xludf.DUMMYFUNCTION("""COMPUTED_VALUE"""),"Ritual Bowl [with Blackroot]")</f>
        <v>Ritual Bowl [with Blackroot]</v>
      </c>
      <c r="D369" s="47"/>
      <c r="E369" s="47"/>
      <c r="F369" s="47"/>
      <c r="G369" s="47"/>
      <c r="H369" s="47"/>
      <c r="I369" s="47"/>
      <c r="J369" s="47"/>
      <c r="K369" s="47"/>
      <c r="L369" s="47"/>
      <c r="M369" s="47"/>
      <c r="N369" s="47"/>
      <c r="O369" s="47"/>
      <c r="P369" s="47"/>
      <c r="Q369" s="47"/>
      <c r="R369" s="47"/>
      <c r="S369" s="47"/>
      <c r="T369" s="47"/>
      <c r="U369" s="47"/>
      <c r="V369" s="47"/>
      <c r="W369" s="47"/>
      <c r="X369" s="47"/>
      <c r="Y369" s="47"/>
      <c r="Z369" s="47"/>
      <c r="AA369" s="47"/>
      <c r="AB369" s="47"/>
      <c r="AC369" s="47"/>
      <c r="AD369" s="47"/>
      <c r="AE369" s="47"/>
      <c r="AF369" s="47"/>
      <c r="AG369" s="47"/>
      <c r="AH369" s="47"/>
      <c r="AI369" s="47"/>
      <c r="AJ369" s="47"/>
      <c r="AK369" s="47"/>
      <c r="AL369" s="47"/>
      <c r="AM369" s="47"/>
      <c r="AN369" s="47"/>
      <c r="AO369" s="47"/>
      <c r="AP369" s="47"/>
      <c r="AQ369" s="47"/>
      <c r="AR369" s="47"/>
      <c r="AS369" s="47"/>
      <c r="AT369" s="47"/>
      <c r="AU369" s="47"/>
      <c r="AV369" s="47"/>
      <c r="AW369" s="47"/>
      <c r="AX369" s="47"/>
      <c r="AY369" s="47"/>
      <c r="AZ369" s="47"/>
      <c r="BA369" s="47"/>
      <c r="BB369" s="47"/>
      <c r="BC369" s="47"/>
      <c r="BD369" s="47"/>
      <c r="BE369" s="47"/>
      <c r="BF369" s="47"/>
      <c r="BG369" s="47"/>
      <c r="BH369" s="47"/>
      <c r="BI369" s="47"/>
      <c r="BJ369" s="47"/>
      <c r="BK369" s="47"/>
      <c r="BL369" s="47"/>
      <c r="BM369" s="47"/>
      <c r="BN369" s="47"/>
      <c r="BO369" s="47"/>
      <c r="BP369" s="47"/>
      <c r="BQ369" s="47"/>
      <c r="BR369" s="47"/>
      <c r="BS369" s="47"/>
      <c r="BT369" s="47"/>
      <c r="BU369" s="47"/>
      <c r="BV369" s="47"/>
      <c r="BW369" s="47"/>
      <c r="BX369" s="47"/>
      <c r="BY369" s="47"/>
      <c r="BZ369" s="47"/>
    </row>
    <row r="370" spans="1:78" ht="13">
      <c r="A370" s="152" t="str">
        <f ca="1">IFERROR(__xludf.DUMMYFUNCTION("""COMPUTED_VALUE"""),"Ritual Bowl with Blackroot")</f>
        <v>Ritual Bowl with Blackroot</v>
      </c>
      <c r="B370" s="47" t="str">
        <f ca="1">IFERROR(__xludf.DUMMYFUNCTION("TRANSPOSE(unique(filter(Recipes!A$2:A2490,(Recipes!L$2:L2490=A370)+(Recipes!O$2:O2490=A370)+(Recipes!R$2:R2490=A370)+(Recipes!U$2:U2490=A370)+(Recipes!X$2:X2490=A370))))"),"Ritual Bowl [Ready]")</f>
        <v>Ritual Bowl [Ready]</v>
      </c>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c r="AA370" s="47"/>
      <c r="AB370" s="47"/>
      <c r="AC370" s="47"/>
      <c r="AD370" s="47"/>
      <c r="AE370" s="47"/>
      <c r="AF370" s="47"/>
      <c r="AG370" s="47"/>
      <c r="AH370" s="47"/>
      <c r="AI370" s="47"/>
      <c r="AJ370" s="47"/>
      <c r="AK370" s="47"/>
      <c r="AL370" s="47"/>
      <c r="AM370" s="47"/>
      <c r="AN370" s="47"/>
      <c r="AO370" s="47"/>
      <c r="AP370" s="47"/>
      <c r="AQ370" s="47"/>
      <c r="AR370" s="47"/>
      <c r="AS370" s="47"/>
      <c r="AT370" s="47"/>
      <c r="AU370" s="47"/>
      <c r="AV370" s="47"/>
      <c r="AW370" s="47"/>
      <c r="AX370" s="47"/>
      <c r="AY370" s="47"/>
      <c r="AZ370" s="47"/>
      <c r="BA370" s="47"/>
      <c r="BB370" s="47"/>
      <c r="BC370" s="47"/>
      <c r="BD370" s="47"/>
      <c r="BE370" s="47"/>
      <c r="BF370" s="47"/>
      <c r="BG370" s="47"/>
      <c r="BH370" s="47"/>
      <c r="BI370" s="47"/>
      <c r="BJ370" s="47"/>
      <c r="BK370" s="47"/>
      <c r="BL370" s="47"/>
      <c r="BM370" s="47"/>
      <c r="BN370" s="47"/>
      <c r="BO370" s="47"/>
      <c r="BP370" s="47"/>
      <c r="BQ370" s="47"/>
      <c r="BR370" s="47"/>
      <c r="BS370" s="47"/>
      <c r="BT370" s="47"/>
      <c r="BU370" s="47"/>
      <c r="BV370" s="47"/>
      <c r="BW370" s="47"/>
      <c r="BX370" s="47"/>
      <c r="BY370" s="47"/>
      <c r="BZ370" s="47"/>
    </row>
    <row r="371" spans="1:78" ht="13">
      <c r="A371" s="152" t="str">
        <f ca="1">IFERROR(__xludf.DUMMYFUNCTION("""COMPUTED_VALUE"""),"Rope")</f>
        <v>Rope</v>
      </c>
      <c r="B371" s="47" t="str">
        <f ca="1">IFERROR(__xludf.DUMMYFUNCTION("TRANSPOSE(unique(filter(Recipes!A$2:A2490,(Recipes!L$2:L2490=A371)+(Recipes!O$2:O2490=A371)+(Recipes!R$2:R2490=A371)+(Recipes!U$2:U2490=A371)+(Recipes!X$2:X2490=A371))))"),"Fuse")</f>
        <v>Fuse</v>
      </c>
      <c r="C371" s="47" t="str">
        <f ca="1">IFERROR(__xludf.DUMMYFUNCTION("""COMPUTED_VALUE"""),"Apportation Scroll")</f>
        <v>Apportation Scroll</v>
      </c>
      <c r="D371" s="47" t="str">
        <f ca="1">IFERROR(__xludf.DUMMYFUNCTION("""COMPUTED_VALUE"""),"Backpack")</f>
        <v>Backpack</v>
      </c>
      <c r="E371" s="47" t="str">
        <f ca="1">IFERROR(__xludf.DUMMYFUNCTION("""COMPUTED_VALUE"""),"Knife on a Stick")</f>
        <v>Knife on a Stick</v>
      </c>
      <c r="F371" s="47" t="str">
        <f ca="1">IFERROR(__xludf.DUMMYFUNCTION("""COMPUTED_VALUE"""),"Primitive Harpoon")</f>
        <v>Primitive Harpoon</v>
      </c>
      <c r="G371" s="47"/>
      <c r="H371" s="47"/>
      <c r="I371" s="47"/>
      <c r="J371" s="47"/>
      <c r="K371" s="47"/>
      <c r="L371" s="47"/>
      <c r="M371" s="47"/>
      <c r="N371" s="47"/>
      <c r="O371" s="47"/>
      <c r="P371" s="47"/>
      <c r="Q371" s="47"/>
      <c r="R371" s="47"/>
      <c r="S371" s="47"/>
      <c r="T371" s="47"/>
      <c r="U371" s="47"/>
      <c r="V371" s="47"/>
      <c r="W371" s="47"/>
      <c r="X371" s="47"/>
      <c r="Y371" s="47"/>
      <c r="Z371" s="47"/>
      <c r="AA371" s="47"/>
      <c r="AB371" s="47"/>
      <c r="AC371" s="47"/>
      <c r="AD371" s="47"/>
      <c r="AE371" s="47"/>
      <c r="AF371" s="47"/>
      <c r="AG371" s="47"/>
      <c r="AH371" s="47"/>
      <c r="AI371" s="47"/>
      <c r="AJ371" s="47"/>
      <c r="AK371" s="47"/>
      <c r="AL371" s="47"/>
      <c r="AM371" s="47"/>
      <c r="AN371" s="47"/>
      <c r="AO371" s="47"/>
      <c r="AP371" s="47"/>
      <c r="AQ371" s="47"/>
      <c r="AR371" s="47"/>
      <c r="AS371" s="47"/>
      <c r="AT371" s="47"/>
      <c r="AU371" s="47"/>
      <c r="AV371" s="47"/>
      <c r="AW371" s="47"/>
      <c r="AX371" s="47"/>
      <c r="AY371" s="47"/>
      <c r="AZ371" s="47"/>
      <c r="BA371" s="47"/>
      <c r="BB371" s="47"/>
      <c r="BC371" s="47"/>
      <c r="BD371" s="47"/>
      <c r="BE371" s="47"/>
      <c r="BF371" s="47"/>
      <c r="BG371" s="47"/>
      <c r="BH371" s="47"/>
      <c r="BI371" s="47"/>
      <c r="BJ371" s="47"/>
      <c r="BK371" s="47"/>
      <c r="BL371" s="47"/>
      <c r="BM371" s="47"/>
      <c r="BN371" s="47"/>
      <c r="BO371" s="47"/>
      <c r="BP371" s="47"/>
      <c r="BQ371" s="47"/>
      <c r="BR371" s="47"/>
      <c r="BS371" s="47"/>
      <c r="BT371" s="47"/>
      <c r="BU371" s="47"/>
      <c r="BV371" s="47"/>
      <c r="BW371" s="47"/>
      <c r="BX371" s="47"/>
      <c r="BY371" s="47"/>
      <c r="BZ371" s="47"/>
    </row>
    <row r="372" spans="1:78" ht="13">
      <c r="A372" s="152" t="str">
        <f ca="1">IFERROR(__xludf.DUMMYFUNCTION("""COMPUTED_VALUE"""),"Rotten Eggs")</f>
        <v>Rotten Eggs</v>
      </c>
      <c r="B372" s="47" t="str">
        <f ca="1">IFERROR(__xludf.DUMMYFUNCTION("TRANSPOSE(unique(filter(Recipes!A$2:A2490,(Recipes!L$2:L2490=A372)+(Recipes!O$2:O2490=A372)+(Recipes!R$2:R2490=A372)+(Recipes!U$2:U2490=A372)+(Recipes!X$2:X2490=A372))))"),"Poison Cloud Grenade")</f>
        <v>Poison Cloud Grenade</v>
      </c>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c r="AA372" s="47"/>
      <c r="AB372" s="47"/>
      <c r="AC372" s="47"/>
      <c r="AD372" s="47"/>
      <c r="AE372" s="47"/>
      <c r="AF372" s="47"/>
      <c r="AG372" s="47"/>
      <c r="AH372" s="47"/>
      <c r="AI372" s="47"/>
      <c r="AJ372" s="47"/>
      <c r="AK372" s="47"/>
      <c r="AL372" s="47"/>
      <c r="AM372" s="47"/>
      <c r="AN372" s="47"/>
      <c r="AO372" s="47"/>
      <c r="AP372" s="47"/>
      <c r="AQ372" s="47"/>
      <c r="AR372" s="47"/>
      <c r="AS372" s="47"/>
      <c r="AT372" s="47"/>
      <c r="AU372" s="47"/>
      <c r="AV372" s="47"/>
      <c r="AW372" s="47"/>
      <c r="AX372" s="47"/>
      <c r="AY372" s="47"/>
      <c r="AZ372" s="47"/>
      <c r="BA372" s="47"/>
      <c r="BB372" s="47"/>
      <c r="BC372" s="47"/>
      <c r="BD372" s="47"/>
      <c r="BE372" s="47"/>
      <c r="BF372" s="47"/>
      <c r="BG372" s="47"/>
      <c r="BH372" s="47"/>
      <c r="BI372" s="47"/>
      <c r="BJ372" s="47"/>
      <c r="BK372" s="47"/>
      <c r="BL372" s="47"/>
      <c r="BM372" s="47"/>
      <c r="BN372" s="47"/>
      <c r="BO372" s="47"/>
      <c r="BP372" s="47"/>
      <c r="BQ372" s="47"/>
      <c r="BR372" s="47"/>
      <c r="BS372" s="47"/>
      <c r="BT372" s="47"/>
      <c r="BU372" s="47"/>
      <c r="BV372" s="47"/>
      <c r="BW372" s="47"/>
      <c r="BX372" s="47"/>
      <c r="BY372" s="47"/>
      <c r="BZ372" s="47"/>
    </row>
    <row r="373" spans="1:78" ht="13">
      <c r="A373" s="152" t="str">
        <f ca="1">IFERROR(__xludf.DUMMYFUNCTION("""COMPUTED_VALUE"""),"Rune Frame of Power")</f>
        <v>Rune Frame of Power</v>
      </c>
      <c r="B373" s="47" t="str">
        <f ca="1">IFERROR(__xludf.DUMMYFUNCTION("TRANSPOSE(unique(filter(Recipes!A$2:A2490,(Recipes!L$2:L2490=A373)+(Recipes!O$2:O2490=A373)+(Recipes!R$2:R2490=A373)+(Recipes!U$2:U2490=A373)+(Recipes!X$2:X2490=A373))))"),"Giant Flame Rune of Power")</f>
        <v>Giant Flame Rune of Power</v>
      </c>
      <c r="C373" s="47" t="str">
        <f ca="1">IFERROR(__xludf.DUMMYFUNCTION("""COMPUTED_VALUE"""),"Large Flame Rune of Power")</f>
        <v>Large Flame Rune of Power</v>
      </c>
      <c r="D373" s="47" t="str">
        <f ca="1">IFERROR(__xludf.DUMMYFUNCTION("""COMPUTED_VALUE"""),"Medium Flame Rune of Power")</f>
        <v>Medium Flame Rune of Power</v>
      </c>
      <c r="E373" s="47" t="str">
        <f ca="1">IFERROR(__xludf.DUMMYFUNCTION("""COMPUTED_VALUE"""),"Small Flame Rune of Power")</f>
        <v>Small Flame Rune of Power</v>
      </c>
      <c r="F373" s="47" t="str">
        <f ca="1">IFERROR(__xludf.DUMMYFUNCTION("""COMPUTED_VALUE"""),"Giant Frost Rune of Power")</f>
        <v>Giant Frost Rune of Power</v>
      </c>
      <c r="G373" s="47" t="str">
        <f ca="1">IFERROR(__xludf.DUMMYFUNCTION("""COMPUTED_VALUE"""),"Large Frost Rune of Power")</f>
        <v>Large Frost Rune of Power</v>
      </c>
      <c r="H373" s="47" t="str">
        <f ca="1">IFERROR(__xludf.DUMMYFUNCTION("""COMPUTED_VALUE"""),"Medium Frost Rune of Power")</f>
        <v>Medium Frost Rune of Power</v>
      </c>
      <c r="I373" s="47" t="str">
        <f ca="1">IFERROR(__xludf.DUMMYFUNCTION("""COMPUTED_VALUE"""),"Small Frost Rune of Power")</f>
        <v>Small Frost Rune of Power</v>
      </c>
      <c r="J373" s="47" t="str">
        <f ca="1">IFERROR(__xludf.DUMMYFUNCTION("""COMPUTED_VALUE"""),"Giant Masterwork Rune of Power")</f>
        <v>Giant Masterwork Rune of Power</v>
      </c>
      <c r="K373" s="47" t="str">
        <f ca="1">IFERROR(__xludf.DUMMYFUNCTION("""COMPUTED_VALUE"""),"Large Masterwork Rune of Power")</f>
        <v>Large Masterwork Rune of Power</v>
      </c>
      <c r="L373" s="47" t="str">
        <f ca="1">IFERROR(__xludf.DUMMYFUNCTION("""COMPUTED_VALUE"""),"Medium Masterwork Rune of Power")</f>
        <v>Medium Masterwork Rune of Power</v>
      </c>
      <c r="M373" s="47" t="str">
        <f ca="1">IFERROR(__xludf.DUMMYFUNCTION("""COMPUTED_VALUE"""),"Small Masterwork Rune of Power")</f>
        <v>Small Masterwork Rune of Power</v>
      </c>
      <c r="N373" s="47" t="str">
        <f ca="1">IFERROR(__xludf.DUMMYFUNCTION("""COMPUTED_VALUE"""),"Giant Rock Rune of Power")</f>
        <v>Giant Rock Rune of Power</v>
      </c>
      <c r="O373" s="47" t="str">
        <f ca="1">IFERROR(__xludf.DUMMYFUNCTION("""COMPUTED_VALUE"""),"Large Rock Rune of Power")</f>
        <v>Large Rock Rune of Power</v>
      </c>
      <c r="P373" s="47" t="str">
        <f ca="1">IFERROR(__xludf.DUMMYFUNCTION("""COMPUTED_VALUE"""),"Medium Rock Rune of Power")</f>
        <v>Medium Rock Rune of Power</v>
      </c>
      <c r="Q373" s="47" t="str">
        <f ca="1">IFERROR(__xludf.DUMMYFUNCTION("""COMPUTED_VALUE"""),"Small Rock Rune of Power")</f>
        <v>Small Rock Rune of Power</v>
      </c>
      <c r="R373" s="47" t="str">
        <f ca="1">IFERROR(__xludf.DUMMYFUNCTION("""COMPUTED_VALUE"""),"Giant Thunder Rune of Power")</f>
        <v>Giant Thunder Rune of Power</v>
      </c>
      <c r="S373" s="47" t="str">
        <f ca="1">IFERROR(__xludf.DUMMYFUNCTION("""COMPUTED_VALUE"""),"Large Thunder Rune of Power")</f>
        <v>Large Thunder Rune of Power</v>
      </c>
      <c r="T373" s="47" t="str">
        <f ca="1">IFERROR(__xludf.DUMMYFUNCTION("""COMPUTED_VALUE"""),"Medium Thunder Rune of Power")</f>
        <v>Medium Thunder Rune of Power</v>
      </c>
      <c r="U373" s="47" t="str">
        <f ca="1">IFERROR(__xludf.DUMMYFUNCTION("""COMPUTED_VALUE"""),"Small Thunder Rune of Power")</f>
        <v>Small Thunder Rune of Power</v>
      </c>
      <c r="V373" s="47" t="str">
        <f ca="1">IFERROR(__xludf.DUMMYFUNCTION("""COMPUTED_VALUE"""),"Giant Venom Rune of Power")</f>
        <v>Giant Venom Rune of Power</v>
      </c>
      <c r="W373" s="47" t="str">
        <f ca="1">IFERROR(__xludf.DUMMYFUNCTION("""COMPUTED_VALUE"""),"Large Venom Rune of Power")</f>
        <v>Large Venom Rune of Power</v>
      </c>
      <c r="X373" s="47" t="str">
        <f ca="1">IFERROR(__xludf.DUMMYFUNCTION("""COMPUTED_VALUE"""),"Medium Venom Rune of Power")</f>
        <v>Medium Venom Rune of Power</v>
      </c>
      <c r="Y373" s="47" t="str">
        <f ca="1">IFERROR(__xludf.DUMMYFUNCTION("""COMPUTED_VALUE"""),"Small Venom Rune of Power")</f>
        <v>Small Venom Rune of Power</v>
      </c>
      <c r="Z373" s="47"/>
      <c r="AA373" s="47"/>
      <c r="AB373" s="47"/>
      <c r="AC373" s="47"/>
      <c r="AD373" s="47"/>
      <c r="AE373" s="47"/>
      <c r="AF373" s="47"/>
      <c r="AG373" s="47"/>
      <c r="AH373" s="47"/>
      <c r="AI373" s="47"/>
      <c r="AJ373" s="47"/>
      <c r="AK373" s="47"/>
      <c r="AL373" s="47"/>
      <c r="AM373" s="47"/>
      <c r="AN373" s="47"/>
      <c r="AO373" s="47"/>
      <c r="AP373" s="47"/>
      <c r="AQ373" s="47"/>
      <c r="AR373" s="47"/>
      <c r="AS373" s="47"/>
      <c r="AT373" s="47"/>
      <c r="AU373" s="47"/>
      <c r="AV373" s="47"/>
      <c r="AW373" s="47"/>
      <c r="AX373" s="47"/>
      <c r="AY373" s="47"/>
      <c r="AZ373" s="47"/>
      <c r="BA373" s="47"/>
      <c r="BB373" s="47"/>
      <c r="BC373" s="47"/>
      <c r="BD373" s="47"/>
      <c r="BE373" s="47"/>
      <c r="BF373" s="47"/>
      <c r="BG373" s="47"/>
      <c r="BH373" s="47"/>
      <c r="BI373" s="47"/>
      <c r="BJ373" s="47"/>
      <c r="BK373" s="47"/>
      <c r="BL373" s="47"/>
      <c r="BM373" s="47"/>
      <c r="BN373" s="47"/>
      <c r="BO373" s="47"/>
      <c r="BP373" s="47"/>
      <c r="BQ373" s="47"/>
      <c r="BR373" s="47"/>
      <c r="BS373" s="47"/>
      <c r="BT373" s="47"/>
      <c r="BU373" s="47"/>
      <c r="BV373" s="47"/>
      <c r="BW373" s="47"/>
      <c r="BX373" s="47"/>
      <c r="BY373" s="47"/>
      <c r="BZ373" s="47"/>
    </row>
    <row r="374" spans="1:78" ht="13">
      <c r="A374" s="152" t="str">
        <f ca="1">IFERROR(__xludf.DUMMYFUNCTION("""COMPUTED_VALUE"""),"Sawmill")</f>
        <v>Sawmill</v>
      </c>
      <c r="B374" s="47" t="str">
        <f ca="1">IFERROR(__xludf.DUMMYFUNCTION("TRANSPOSE(unique(filter(Recipes!A$2:A2490,(Recipes!L$2:L2490=A374)+(Recipes!O$2:O2490=A374)+(Recipes!R$2:R2490=A374)+(Recipes!U$2:U2490=A374)+(Recipes!X$2:X2490=A374))))"),"Arrow Shaft")</f>
        <v>Arrow Shaft</v>
      </c>
      <c r="C374" s="47" t="str">
        <f ca="1">IFERROR(__xludf.DUMMYFUNCTION("""COMPUTED_VALUE"""),"Long Branch")</f>
        <v>Long Branch</v>
      </c>
      <c r="D374" s="47" t="str">
        <f ca="1">IFERROR(__xludf.DUMMYFUNCTION("""COMPUTED_VALUE"""),"Short Stick")</f>
        <v>Short Stick</v>
      </c>
      <c r="E374" s="47"/>
      <c r="F374" s="47"/>
      <c r="G374" s="47"/>
      <c r="H374" s="47"/>
      <c r="I374" s="47"/>
      <c r="J374" s="47"/>
      <c r="K374" s="47"/>
      <c r="L374" s="47"/>
      <c r="M374" s="47"/>
      <c r="N374" s="47"/>
      <c r="O374" s="47"/>
      <c r="P374" s="47"/>
      <c r="Q374" s="47"/>
      <c r="R374" s="47"/>
      <c r="S374" s="47"/>
      <c r="T374" s="47"/>
      <c r="U374" s="47"/>
      <c r="V374" s="47"/>
      <c r="W374" s="47"/>
      <c r="X374" s="47"/>
      <c r="Y374" s="47"/>
      <c r="Z374" s="47"/>
      <c r="AA374" s="47"/>
      <c r="AB374" s="47"/>
      <c r="AC374" s="47"/>
      <c r="AD374" s="47"/>
      <c r="AE374" s="47"/>
      <c r="AF374" s="47"/>
      <c r="AG374" s="47"/>
      <c r="AH374" s="47"/>
      <c r="AI374" s="47"/>
      <c r="AJ374" s="47"/>
      <c r="AK374" s="47"/>
      <c r="AL374" s="47"/>
      <c r="AM374" s="47"/>
      <c r="AN374" s="47"/>
      <c r="AO374" s="47"/>
      <c r="AP374" s="47"/>
      <c r="AQ374" s="47"/>
      <c r="AR374" s="47"/>
      <c r="AS374" s="47"/>
      <c r="AT374" s="47"/>
      <c r="AU374" s="47"/>
      <c r="AV374" s="47"/>
      <c r="AW374" s="47"/>
      <c r="AX374" s="47"/>
      <c r="AY374" s="47"/>
      <c r="AZ374" s="47"/>
      <c r="BA374" s="47"/>
      <c r="BB374" s="47"/>
      <c r="BC374" s="47"/>
      <c r="BD374" s="47"/>
      <c r="BE374" s="47"/>
      <c r="BF374" s="47"/>
      <c r="BG374" s="47"/>
      <c r="BH374" s="47"/>
      <c r="BI374" s="47"/>
      <c r="BJ374" s="47"/>
      <c r="BK374" s="47"/>
      <c r="BL374" s="47"/>
      <c r="BM374" s="47"/>
      <c r="BN374" s="47"/>
      <c r="BO374" s="47"/>
      <c r="BP374" s="47"/>
      <c r="BQ374" s="47"/>
      <c r="BR374" s="47"/>
      <c r="BS374" s="47"/>
      <c r="BT374" s="47"/>
      <c r="BU374" s="47"/>
      <c r="BV374" s="47"/>
      <c r="BW374" s="47"/>
      <c r="BX374" s="47"/>
      <c r="BY374" s="47"/>
      <c r="BZ374" s="47"/>
    </row>
    <row r="375" spans="1:78" ht="13">
      <c r="A375" s="152" t="str">
        <f ca="1">IFERROR(__xludf.DUMMYFUNCTION("""COMPUTED_VALUE"""),"Scale Scraps")</f>
        <v>Scale Scraps</v>
      </c>
      <c r="B375" s="47" t="str">
        <f ca="1">IFERROR(__xludf.DUMMYFUNCTION("TRANSPOSE(unique(filter(Recipes!A$2:A2490,(Recipes!L$2:L2490=A375)+(Recipes!O$2:O2490=A375)+(Recipes!R$2:R2490=A375)+(Recipes!U$2:U2490=A375)+(Recipes!X$2:X2490=A375))))"),"Handmade Scale Armour")</f>
        <v>Handmade Scale Armour</v>
      </c>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c r="AA375" s="47"/>
      <c r="AB375" s="47"/>
      <c r="AC375" s="47"/>
      <c r="AD375" s="47"/>
      <c r="AE375" s="47"/>
      <c r="AF375" s="47"/>
      <c r="AG375" s="47"/>
      <c r="AH375" s="47"/>
      <c r="AI375" s="47"/>
      <c r="AJ375" s="47"/>
      <c r="AK375" s="47"/>
      <c r="AL375" s="47"/>
      <c r="AM375" s="47"/>
      <c r="AN375" s="47"/>
      <c r="AO375" s="47"/>
      <c r="AP375" s="47"/>
      <c r="AQ375" s="47"/>
      <c r="AR375" s="47"/>
      <c r="AS375" s="47"/>
      <c r="AT375" s="47"/>
      <c r="AU375" s="47"/>
      <c r="AV375" s="47"/>
      <c r="AW375" s="47"/>
      <c r="AX375" s="47"/>
      <c r="AY375" s="47"/>
      <c r="AZ375" s="47"/>
      <c r="BA375" s="47"/>
      <c r="BB375" s="47"/>
      <c r="BC375" s="47"/>
      <c r="BD375" s="47"/>
      <c r="BE375" s="47"/>
      <c r="BF375" s="47"/>
      <c r="BG375" s="47"/>
      <c r="BH375" s="47"/>
      <c r="BI375" s="47"/>
      <c r="BJ375" s="47"/>
      <c r="BK375" s="47"/>
      <c r="BL375" s="47"/>
      <c r="BM375" s="47"/>
      <c r="BN375" s="47"/>
      <c r="BO375" s="47"/>
      <c r="BP375" s="47"/>
      <c r="BQ375" s="47"/>
      <c r="BR375" s="47"/>
      <c r="BS375" s="47"/>
      <c r="BT375" s="47"/>
      <c r="BU375" s="47"/>
      <c r="BV375" s="47"/>
      <c r="BW375" s="47"/>
      <c r="BX375" s="47"/>
      <c r="BY375" s="47"/>
      <c r="BZ375" s="47"/>
    </row>
    <row r="376" spans="1:78" ht="13">
      <c r="A376" s="152" t="str">
        <f ca="1">IFERROR(__xludf.DUMMYFUNCTION("""COMPUTED_VALUE"""),"Searing Daggers Scroll")</f>
        <v>Searing Daggers Scroll</v>
      </c>
      <c r="B376" s="47" t="str">
        <f ca="1">IFERROR(__xludf.DUMMYFUNCTION("TRANSPOSE(unique(filter(Recipes!A$2:A2490,(Recipes!L$2:L2490=A376)+(Recipes!O$2:O2490=A376)+(Recipes!R$2:R2490=A376)+(Recipes!U$2:U2490=A376)+(Recipes!X$2:X2490=A376))))"),"Searing Daggers Skillbook")</f>
        <v>Searing Daggers Skillbook</v>
      </c>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c r="AA376" s="47"/>
      <c r="AB376" s="47"/>
      <c r="AC376" s="47"/>
      <c r="AD376" s="47"/>
      <c r="AE376" s="47"/>
      <c r="AF376" s="47"/>
      <c r="AG376" s="47"/>
      <c r="AH376" s="47"/>
      <c r="AI376" s="47"/>
      <c r="AJ376" s="47"/>
      <c r="AK376" s="47"/>
      <c r="AL376" s="47"/>
      <c r="AM376" s="47"/>
      <c r="AN376" s="47"/>
      <c r="AO376" s="47"/>
      <c r="AP376" s="47"/>
      <c r="AQ376" s="47"/>
      <c r="AR376" s="47"/>
      <c r="AS376" s="47"/>
      <c r="AT376" s="47"/>
      <c r="AU376" s="47"/>
      <c r="AV376" s="47"/>
      <c r="AW376" s="47"/>
      <c r="AX376" s="47"/>
      <c r="AY376" s="47"/>
      <c r="AZ376" s="47"/>
      <c r="BA376" s="47"/>
      <c r="BB376" s="47"/>
      <c r="BC376" s="47"/>
      <c r="BD376" s="47"/>
      <c r="BE376" s="47"/>
      <c r="BF376" s="47"/>
      <c r="BG376" s="47"/>
      <c r="BH376" s="47"/>
      <c r="BI376" s="47"/>
      <c r="BJ376" s="47"/>
      <c r="BK376" s="47"/>
      <c r="BL376" s="47"/>
      <c r="BM376" s="47"/>
      <c r="BN376" s="47"/>
      <c r="BO376" s="47"/>
      <c r="BP376" s="47"/>
      <c r="BQ376" s="47"/>
      <c r="BR376" s="47"/>
      <c r="BS376" s="47"/>
      <c r="BT376" s="47"/>
      <c r="BU376" s="47"/>
      <c r="BV376" s="47"/>
      <c r="BW376" s="47"/>
      <c r="BX376" s="47"/>
      <c r="BY376" s="47"/>
      <c r="BZ376" s="47"/>
    </row>
    <row r="377" spans="1:78" ht="13">
      <c r="A377" s="152" t="str">
        <f ca="1">IFERROR(__xludf.DUMMYFUNCTION("""COMPUTED_VALUE"""),"Shackles of Pain Scroll")</f>
        <v>Shackles of Pain Scroll</v>
      </c>
      <c r="B377" s="47" t="str">
        <f ca="1">IFERROR(__xludf.DUMMYFUNCTION("TRANSPOSE(unique(filter(Recipes!A$2:A2490,(Recipes!L$2:L2490=A377)+(Recipes!O$2:O2490=A377)+(Recipes!R$2:R2490=A377)+(Recipes!U$2:U2490=A377)+(Recipes!X$2:X2490=A377))))"),"Shackles of Pain Skillbook")</f>
        <v>Shackles of Pain Skillbook</v>
      </c>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c r="AA377" s="47"/>
      <c r="AB377" s="47"/>
      <c r="AC377" s="47"/>
      <c r="AD377" s="47"/>
      <c r="AE377" s="47"/>
      <c r="AF377" s="47"/>
      <c r="AG377" s="47"/>
      <c r="AH377" s="47"/>
      <c r="AI377" s="47"/>
      <c r="AJ377" s="47"/>
      <c r="AK377" s="47"/>
      <c r="AL377" s="47"/>
      <c r="AM377" s="47"/>
      <c r="AN377" s="47"/>
      <c r="AO377" s="47"/>
      <c r="AP377" s="47"/>
      <c r="AQ377" s="47"/>
      <c r="AR377" s="47"/>
      <c r="AS377" s="47"/>
      <c r="AT377" s="47"/>
      <c r="AU377" s="47"/>
      <c r="AV377" s="47"/>
      <c r="AW377" s="47"/>
      <c r="AX377" s="47"/>
      <c r="AY377" s="47"/>
      <c r="AZ377" s="47"/>
      <c r="BA377" s="47"/>
      <c r="BB377" s="47"/>
      <c r="BC377" s="47"/>
      <c r="BD377" s="47"/>
      <c r="BE377" s="47"/>
      <c r="BF377" s="47"/>
      <c r="BG377" s="47"/>
      <c r="BH377" s="47"/>
      <c r="BI377" s="47"/>
      <c r="BJ377" s="47"/>
      <c r="BK377" s="47"/>
      <c r="BL377" s="47"/>
      <c r="BM377" s="47"/>
      <c r="BN377" s="47"/>
      <c r="BO377" s="47"/>
      <c r="BP377" s="47"/>
      <c r="BQ377" s="47"/>
      <c r="BR377" s="47"/>
      <c r="BS377" s="47"/>
      <c r="BT377" s="47"/>
      <c r="BU377" s="47"/>
      <c r="BV377" s="47"/>
      <c r="BW377" s="47"/>
      <c r="BX377" s="47"/>
      <c r="BY377" s="47"/>
      <c r="BZ377" s="47"/>
    </row>
    <row r="378" spans="1:78" ht="13">
      <c r="A378" s="152" t="str">
        <f ca="1">IFERROR(__xludf.DUMMYFUNCTION("""COMPUTED_VALUE"""),"Shadow Essence")</f>
        <v>Shadow Essence</v>
      </c>
      <c r="B378" s="47" t="str">
        <f ca="1">IFERROR(__xludf.DUMMYFUNCTION("TRANSPOSE(unique(filter(Recipes!A$2:A2490,(Recipes!L$2:L2490=A378)+(Recipes!O$2:O2490=A378)+(Recipes!R$2:R2490=A378)+(Recipes!U$2:U2490=A378)+(Recipes!X$2:X2490=A378))))"),"Blood Sucker Scroll")</f>
        <v>Blood Sucker Scroll</v>
      </c>
      <c r="C378" s="47" t="str">
        <f ca="1">IFERROR(__xludf.DUMMYFUNCTION("""COMPUTED_VALUE"""),"Decaying Touch Scroll")</f>
        <v>Decaying Touch Scroll</v>
      </c>
      <c r="D378" s="47" t="str">
        <f ca="1">IFERROR(__xludf.DUMMYFUNCTION("""COMPUTED_VALUE"""),"Infect Scroll")</f>
        <v>Infect Scroll</v>
      </c>
      <c r="E378" s="47" t="str">
        <f ca="1">IFERROR(__xludf.DUMMYFUNCTION("""COMPUTED_VALUE"""),"Raise Bloated Corpse Scroll")</f>
        <v>Raise Bloated Corpse Scroll</v>
      </c>
      <c r="F378" s="47" t="str">
        <f ca="1">IFERROR(__xludf.DUMMYFUNCTION("""COMPUTED_VALUE"""),"Shackles of Pain Scroll")</f>
        <v>Shackles of Pain Scroll</v>
      </c>
      <c r="G378" s="47"/>
      <c r="H378" s="47"/>
      <c r="I378" s="47"/>
      <c r="J378" s="47"/>
      <c r="K378" s="47"/>
      <c r="L378" s="47"/>
      <c r="M378" s="47"/>
      <c r="N378" s="47"/>
      <c r="O378" s="47"/>
      <c r="P378" s="47"/>
      <c r="Q378" s="47"/>
      <c r="R378" s="47"/>
      <c r="S378" s="47"/>
      <c r="T378" s="47"/>
      <c r="U378" s="47"/>
      <c r="V378" s="47"/>
      <c r="W378" s="47"/>
      <c r="X378" s="47"/>
      <c r="Y378" s="47"/>
      <c r="Z378" s="47"/>
      <c r="AA378" s="47"/>
      <c r="AB378" s="47"/>
      <c r="AC378" s="47"/>
      <c r="AD378" s="47"/>
      <c r="AE378" s="47"/>
      <c r="AF378" s="47"/>
      <c r="AG378" s="47"/>
      <c r="AH378" s="47"/>
      <c r="AI378" s="47"/>
      <c r="AJ378" s="47"/>
      <c r="AK378" s="47"/>
      <c r="AL378" s="47"/>
      <c r="AM378" s="47"/>
      <c r="AN378" s="47"/>
      <c r="AO378" s="47"/>
      <c r="AP378" s="47"/>
      <c r="AQ378" s="47"/>
      <c r="AR378" s="47"/>
      <c r="AS378" s="47"/>
      <c r="AT378" s="47"/>
      <c r="AU378" s="47"/>
      <c r="AV378" s="47"/>
      <c r="AW378" s="47"/>
      <c r="AX378" s="47"/>
      <c r="AY378" s="47"/>
      <c r="AZ378" s="47"/>
      <c r="BA378" s="47"/>
      <c r="BB378" s="47"/>
      <c r="BC378" s="47"/>
      <c r="BD378" s="47"/>
      <c r="BE378" s="47"/>
      <c r="BF378" s="47"/>
      <c r="BG378" s="47"/>
      <c r="BH378" s="47"/>
      <c r="BI378" s="47"/>
      <c r="BJ378" s="47"/>
      <c r="BK378" s="47"/>
      <c r="BL378" s="47"/>
      <c r="BM378" s="47"/>
      <c r="BN378" s="47"/>
      <c r="BO378" s="47"/>
      <c r="BP378" s="47"/>
      <c r="BQ378" s="47"/>
      <c r="BR378" s="47"/>
      <c r="BS378" s="47"/>
      <c r="BT378" s="47"/>
      <c r="BU378" s="47"/>
      <c r="BV378" s="47"/>
      <c r="BW378" s="47"/>
      <c r="BX378" s="47"/>
      <c r="BY378" s="47"/>
      <c r="BZ378" s="47"/>
    </row>
    <row r="379" spans="1:78" ht="13">
      <c r="A379" s="152" t="str">
        <f ca="1">IFERROR(__xludf.DUMMYFUNCTION("""COMPUTED_VALUE"""),"Shadow Infusion Scroll")</f>
        <v>Shadow Infusion Scroll</v>
      </c>
      <c r="B379" s="47" t="str">
        <f ca="1">IFERROR(__xludf.DUMMYFUNCTION("TRANSPOSE(unique(filter(Recipes!A$2:A2490,(Recipes!L$2:L2490=A379)+(Recipes!O$2:O2490=A379)+(Recipes!R$2:R2490=A379)+(Recipes!U$2:U2490=A379)+(Recipes!X$2:X2490=A379))))"),"Shadow Infusion Skillbook")</f>
        <v>Shadow Infusion Skillbook</v>
      </c>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c r="AA379" s="47"/>
      <c r="AB379" s="47"/>
      <c r="AC379" s="47"/>
      <c r="AD379" s="47"/>
      <c r="AE379" s="47"/>
      <c r="AF379" s="47"/>
      <c r="AG379" s="47"/>
      <c r="AH379" s="47"/>
      <c r="AI379" s="47"/>
      <c r="AJ379" s="47"/>
      <c r="AK379" s="47"/>
      <c r="AL379" s="47"/>
      <c r="AM379" s="47"/>
      <c r="AN379" s="47"/>
      <c r="AO379" s="47"/>
      <c r="AP379" s="47"/>
      <c r="AQ379" s="47"/>
      <c r="AR379" s="47"/>
      <c r="AS379" s="47"/>
      <c r="AT379" s="47"/>
      <c r="AU379" s="47"/>
      <c r="AV379" s="47"/>
      <c r="AW379" s="47"/>
      <c r="AX379" s="47"/>
      <c r="AY379" s="47"/>
      <c r="AZ379" s="47"/>
      <c r="BA379" s="47"/>
      <c r="BB379" s="47"/>
      <c r="BC379" s="47"/>
      <c r="BD379" s="47"/>
      <c r="BE379" s="47"/>
      <c r="BF379" s="47"/>
      <c r="BG379" s="47"/>
      <c r="BH379" s="47"/>
      <c r="BI379" s="47"/>
      <c r="BJ379" s="47"/>
      <c r="BK379" s="47"/>
      <c r="BL379" s="47"/>
      <c r="BM379" s="47"/>
      <c r="BN379" s="47"/>
      <c r="BO379" s="47"/>
      <c r="BP379" s="47"/>
      <c r="BQ379" s="47"/>
      <c r="BR379" s="47"/>
      <c r="BS379" s="47"/>
      <c r="BT379" s="47"/>
      <c r="BU379" s="47"/>
      <c r="BV379" s="47"/>
      <c r="BW379" s="47"/>
      <c r="BX379" s="47"/>
      <c r="BY379" s="47"/>
      <c r="BZ379" s="47"/>
    </row>
    <row r="380" spans="1:78" ht="13">
      <c r="A380" s="152" t="str">
        <f ca="1">IFERROR(__xludf.DUMMYFUNCTION("""COMPUTED_VALUE"""),"Sharp Claw")</f>
        <v>Sharp Claw</v>
      </c>
      <c r="B380" s="47" t="str">
        <f ca="1">IFERROR(__xludf.DUMMYFUNCTION("TRANSPOSE(unique(filter(Recipes!A$2:A2490,(Recipes!L$2:L2490=A380)+(Recipes!O$2:O2490=A380)+(Recipes!R$2:R2490=A380)+(Recipes!U$2:U2490=A380)+(Recipes!X$2:X2490=A380))))"),"Fireball Scroll")</f>
        <v>Fireball Scroll</v>
      </c>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c r="AA380" s="47"/>
      <c r="AB380" s="47"/>
      <c r="AC380" s="47"/>
      <c r="AD380" s="47"/>
      <c r="AE380" s="47"/>
      <c r="AF380" s="47"/>
      <c r="AG380" s="47"/>
      <c r="AH380" s="47"/>
      <c r="AI380" s="47"/>
      <c r="AJ380" s="47"/>
      <c r="AK380" s="47"/>
      <c r="AL380" s="47"/>
      <c r="AM380" s="47"/>
      <c r="AN380" s="47"/>
      <c r="AO380" s="47"/>
      <c r="AP380" s="47"/>
      <c r="AQ380" s="47"/>
      <c r="AR380" s="47"/>
      <c r="AS380" s="47"/>
      <c r="AT380" s="47"/>
      <c r="AU380" s="47"/>
      <c r="AV380" s="47"/>
      <c r="AW380" s="47"/>
      <c r="AX380" s="47"/>
      <c r="AY380" s="47"/>
      <c r="AZ380" s="47"/>
      <c r="BA380" s="47"/>
      <c r="BB380" s="47"/>
      <c r="BC380" s="47"/>
      <c r="BD380" s="47"/>
      <c r="BE380" s="47"/>
      <c r="BF380" s="47"/>
      <c r="BG380" s="47"/>
      <c r="BH380" s="47"/>
      <c r="BI380" s="47"/>
      <c r="BJ380" s="47"/>
      <c r="BK380" s="47"/>
      <c r="BL380" s="47"/>
      <c r="BM380" s="47"/>
      <c r="BN380" s="47"/>
      <c r="BO380" s="47"/>
      <c r="BP380" s="47"/>
      <c r="BQ380" s="47"/>
      <c r="BR380" s="47"/>
      <c r="BS380" s="47"/>
      <c r="BT380" s="47"/>
      <c r="BU380" s="47"/>
      <c r="BV380" s="47"/>
      <c r="BW380" s="47"/>
      <c r="BX380" s="47"/>
      <c r="BY380" s="47"/>
      <c r="BZ380" s="47"/>
    </row>
    <row r="381" spans="1:78" ht="13">
      <c r="A381" s="152" t="str">
        <f ca="1">IFERROR(__xludf.DUMMYFUNCTION("""COMPUTED_VALUE"""),"Sharp Piece of Metal")</f>
        <v>Sharp Piece of Metal</v>
      </c>
      <c r="B381" s="47" t="str">
        <f ca="1">IFERROR(__xludf.DUMMYFUNCTION("TRANSPOSE(unique(filter(Recipes!A$2:A2490,(Recipes!L$2:L2490=A381)+(Recipes!O$2:O2490=A381)+(Recipes!R$2:R2490=A381)+(Recipes!U$2:U2490=A381)+(Recipes!X$2:X2490=A381))))"),"Arrowhead")</f>
        <v>Arrowhead</v>
      </c>
      <c r="C381" s="47" t="str">
        <f ca="1">IFERROR(__xludf.DUMMYFUNCTION("""COMPUTED_VALUE"""),"Impalement Scroll")</f>
        <v>Impalement Scroll</v>
      </c>
      <c r="D381" s="47" t="str">
        <f ca="1">IFERROR(__xludf.DUMMYFUNCTION("""COMPUTED_VALUE"""),"Trap Disarming Kit")</f>
        <v>Trap Disarming Kit</v>
      </c>
      <c r="E381" s="47" t="str">
        <f ca="1">IFERROR(__xludf.DUMMYFUNCTION("""COMPUTED_VALUE"""),"Primitive Harpoon")</f>
        <v>Primitive Harpoon</v>
      </c>
      <c r="F381" s="47" t="str">
        <f ca="1">IFERROR(__xludf.DUMMYFUNCTION("""COMPUTED_VALUE"""),"Shiv")</f>
        <v>Shiv</v>
      </c>
      <c r="G381" s="47"/>
      <c r="H381" s="47"/>
      <c r="I381" s="47"/>
      <c r="J381" s="47"/>
      <c r="K381" s="47"/>
      <c r="L381" s="47"/>
      <c r="M381" s="47"/>
      <c r="N381" s="47"/>
      <c r="O381" s="47"/>
      <c r="P381" s="47"/>
      <c r="Q381" s="47"/>
      <c r="R381" s="47"/>
      <c r="S381" s="47"/>
      <c r="T381" s="47"/>
      <c r="U381" s="47"/>
      <c r="V381" s="47"/>
      <c r="W381" s="47"/>
      <c r="X381" s="47"/>
      <c r="Y381" s="47"/>
      <c r="Z381" s="47"/>
      <c r="AA381" s="47"/>
      <c r="AB381" s="47"/>
      <c r="AC381" s="47"/>
      <c r="AD381" s="47"/>
      <c r="AE381" s="47"/>
      <c r="AF381" s="47"/>
      <c r="AG381" s="47"/>
      <c r="AH381" s="47"/>
      <c r="AI381" s="47"/>
      <c r="AJ381" s="47"/>
      <c r="AK381" s="47"/>
      <c r="AL381" s="47"/>
      <c r="AM381" s="47"/>
      <c r="AN381" s="47"/>
      <c r="AO381" s="47"/>
      <c r="AP381" s="47"/>
      <c r="AQ381" s="47"/>
      <c r="AR381" s="47"/>
      <c r="AS381" s="47"/>
      <c r="AT381" s="47"/>
      <c r="AU381" s="47"/>
      <c r="AV381" s="47"/>
      <c r="AW381" s="47"/>
      <c r="AX381" s="47"/>
      <c r="AY381" s="47"/>
      <c r="AZ381" s="47"/>
      <c r="BA381" s="47"/>
      <c r="BB381" s="47"/>
      <c r="BC381" s="47"/>
      <c r="BD381" s="47"/>
      <c r="BE381" s="47"/>
      <c r="BF381" s="47"/>
      <c r="BG381" s="47"/>
      <c r="BH381" s="47"/>
      <c r="BI381" s="47"/>
      <c r="BJ381" s="47"/>
      <c r="BK381" s="47"/>
      <c r="BL381" s="47"/>
      <c r="BM381" s="47"/>
      <c r="BN381" s="47"/>
      <c r="BO381" s="47"/>
      <c r="BP381" s="47"/>
      <c r="BQ381" s="47"/>
      <c r="BR381" s="47"/>
      <c r="BS381" s="47"/>
      <c r="BT381" s="47"/>
      <c r="BU381" s="47"/>
      <c r="BV381" s="47"/>
      <c r="BW381" s="47"/>
      <c r="BX381" s="47"/>
      <c r="BY381" s="47"/>
      <c r="BZ381" s="47"/>
    </row>
    <row r="382" spans="1:78" ht="13">
      <c r="A382" s="152" t="str">
        <f ca="1">IFERROR(__xludf.DUMMYFUNCTION("""COMPUTED_VALUE"""),"Sharp Rock")</f>
        <v>Sharp Rock</v>
      </c>
      <c r="B382" s="47" t="str">
        <f ca="1">IFERROR(__xludf.DUMMYFUNCTION("TRANSPOSE(unique(filter(Recipes!A$2:A2490,(Recipes!L$2:L2490=A382)+(Recipes!O$2:O2490=A382)+(Recipes!R$2:R2490=A382)+(Recipes!U$2:U2490=A382)+(Recipes!X$2:X2490=A382))))"),"Arrowhead")</f>
        <v>Arrowhead</v>
      </c>
      <c r="C382" s="47" t="str">
        <f ca="1">IFERROR(__xludf.DUMMYFUNCTION("""COMPUTED_VALUE"""),"Fossil Strike Scroll")</f>
        <v>Fossil Strike Scroll</v>
      </c>
      <c r="D382" s="47" t="str">
        <f ca="1">IFERROR(__xludf.DUMMYFUNCTION("""COMPUTED_VALUE"""),"Small Rock Rune")</f>
        <v>Small Rock Rune</v>
      </c>
      <c r="E382" s="47" t="str">
        <f ca="1">IFERROR(__xludf.DUMMYFUNCTION("""COMPUTED_VALUE"""),"Makeshift Club [1H]")</f>
        <v>Makeshift Club [1H]</v>
      </c>
      <c r="F382" s="47" t="str">
        <f ca="1">IFERROR(__xludf.DUMMYFUNCTION("""COMPUTED_VALUE"""),"Sharp Stone on a Long Stick")</f>
        <v>Sharp Stone on a Long Stick</v>
      </c>
      <c r="G382" s="47" t="str">
        <f ca="1">IFERROR(__xludf.DUMMYFUNCTION("""COMPUTED_VALUE"""),"Sharp Stone on a Stick")</f>
        <v>Sharp Stone on a Stick</v>
      </c>
      <c r="H382" s="47"/>
      <c r="I382" s="47"/>
      <c r="J382" s="47"/>
      <c r="K382" s="47"/>
      <c r="L382" s="47"/>
      <c r="M382" s="47"/>
      <c r="N382" s="47"/>
      <c r="O382" s="47"/>
      <c r="P382" s="47"/>
      <c r="Q382" s="47"/>
      <c r="R382" s="47"/>
      <c r="S382" s="47"/>
      <c r="T382" s="47"/>
      <c r="U382" s="47"/>
      <c r="V382" s="47"/>
      <c r="W382" s="47"/>
      <c r="X382" s="47"/>
      <c r="Y382" s="47"/>
      <c r="Z382" s="47"/>
      <c r="AA382" s="47"/>
      <c r="AB382" s="47"/>
      <c r="AC382" s="47"/>
      <c r="AD382" s="47"/>
      <c r="AE382" s="47"/>
      <c r="AF382" s="47"/>
      <c r="AG382" s="47"/>
      <c r="AH382" s="47"/>
      <c r="AI382" s="47"/>
      <c r="AJ382" s="47"/>
      <c r="AK382" s="47"/>
      <c r="AL382" s="47"/>
      <c r="AM382" s="47"/>
      <c r="AN382" s="47"/>
      <c r="AO382" s="47"/>
      <c r="AP382" s="47"/>
      <c r="AQ382" s="47"/>
      <c r="AR382" s="47"/>
      <c r="AS382" s="47"/>
      <c r="AT382" s="47"/>
      <c r="AU382" s="47"/>
      <c r="AV382" s="47"/>
      <c r="AW382" s="47"/>
      <c r="AX382" s="47"/>
      <c r="AY382" s="47"/>
      <c r="AZ382" s="47"/>
      <c r="BA382" s="47"/>
      <c r="BB382" s="47"/>
      <c r="BC382" s="47"/>
      <c r="BD382" s="47"/>
      <c r="BE382" s="47"/>
      <c r="BF382" s="47"/>
      <c r="BG382" s="47"/>
      <c r="BH382" s="47"/>
      <c r="BI382" s="47"/>
      <c r="BJ382" s="47"/>
      <c r="BK382" s="47"/>
      <c r="BL382" s="47"/>
      <c r="BM382" s="47"/>
      <c r="BN382" s="47"/>
      <c r="BO382" s="47"/>
      <c r="BP382" s="47"/>
      <c r="BQ382" s="47"/>
      <c r="BR382" s="47"/>
      <c r="BS382" s="47"/>
      <c r="BT382" s="47"/>
      <c r="BU382" s="47"/>
      <c r="BV382" s="47"/>
      <c r="BW382" s="47"/>
      <c r="BX382" s="47"/>
      <c r="BY382" s="47"/>
      <c r="BZ382" s="47"/>
    </row>
    <row r="383" spans="1:78" ht="13">
      <c r="A383" s="152" t="str">
        <f ca="1">IFERROR(__xludf.DUMMYFUNCTION("""COMPUTED_VALUE"""),"Sharp Tooth")</f>
        <v>Sharp Tooth</v>
      </c>
      <c r="B383" s="47" t="str">
        <f ca="1">IFERROR(__xludf.DUMMYFUNCTION("TRANSPOSE(unique(filter(Recipes!A$2:A2490,(Recipes!L$2:L2490=A383)+(Recipes!O$2:O2490=A383)+(Recipes!R$2:R2490=A383)+(Recipes!U$2:U2490=A383)+(Recipes!X$2:X2490=A383))))"),"Supernova Scroll")</f>
        <v>Supernova Scroll</v>
      </c>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c r="AA383" s="47"/>
      <c r="AB383" s="47"/>
      <c r="AC383" s="47"/>
      <c r="AD383" s="47"/>
      <c r="AE383" s="47"/>
      <c r="AF383" s="47"/>
      <c r="AG383" s="47"/>
      <c r="AH383" s="47"/>
      <c r="AI383" s="47"/>
      <c r="AJ383" s="47"/>
      <c r="AK383" s="47"/>
      <c r="AL383" s="47"/>
      <c r="AM383" s="47"/>
      <c r="AN383" s="47"/>
      <c r="AO383" s="47"/>
      <c r="AP383" s="47"/>
      <c r="AQ383" s="47"/>
      <c r="AR383" s="47"/>
      <c r="AS383" s="47"/>
      <c r="AT383" s="47"/>
      <c r="AU383" s="47"/>
      <c r="AV383" s="47"/>
      <c r="AW383" s="47"/>
      <c r="AX383" s="47"/>
      <c r="AY383" s="47"/>
      <c r="AZ383" s="47"/>
      <c r="BA383" s="47"/>
      <c r="BB383" s="47"/>
      <c r="BC383" s="47"/>
      <c r="BD383" s="47"/>
      <c r="BE383" s="47"/>
      <c r="BF383" s="47"/>
      <c r="BG383" s="47"/>
      <c r="BH383" s="47"/>
      <c r="BI383" s="47"/>
      <c r="BJ383" s="47"/>
      <c r="BK383" s="47"/>
      <c r="BL383" s="47"/>
      <c r="BM383" s="47"/>
      <c r="BN383" s="47"/>
      <c r="BO383" s="47"/>
      <c r="BP383" s="47"/>
      <c r="BQ383" s="47"/>
      <c r="BR383" s="47"/>
      <c r="BS383" s="47"/>
      <c r="BT383" s="47"/>
      <c r="BU383" s="47"/>
      <c r="BV383" s="47"/>
      <c r="BW383" s="47"/>
      <c r="BX383" s="47"/>
      <c r="BY383" s="47"/>
      <c r="BZ383" s="47"/>
    </row>
    <row r="384" spans="1:78" ht="13">
      <c r="A384" s="152" t="str">
        <f ca="1">IFERROR(__xludf.DUMMYFUNCTION("""COMPUTED_VALUE"""),"Sheet of Paper")</f>
        <v>Sheet of Paper</v>
      </c>
      <c r="B384" s="47" t="str">
        <f ca="1">IFERROR(__xludf.DUMMYFUNCTION("TRANSPOSE(unique(filter(Recipes!A$2:A2490,(Recipes!L$2:L2490=A384)+(Recipes!O$2:O2490=A384)+(Recipes!R$2:R2490=A384)+(Recipes!U$2:U2490=A384)+(Recipes!X$2:X2490=A384))))"),"Acid Spores Scroll")</f>
        <v>Acid Spores Scroll</v>
      </c>
      <c r="C384" s="47" t="str">
        <f ca="1">IFERROR(__xludf.DUMMYFUNCTION("""COMPUTED_VALUE"""),"Apotheosis Scroll")</f>
        <v>Apotheosis Scroll</v>
      </c>
      <c r="D384" s="47" t="str">
        <f ca="1">IFERROR(__xludf.DUMMYFUNCTION("""COMPUTED_VALUE"""),"Apportation Scroll")</f>
        <v>Apportation Scroll</v>
      </c>
      <c r="E384" s="47" t="str">
        <f ca="1">IFERROR(__xludf.DUMMYFUNCTION("""COMPUTED_VALUE"""),"Armour of Frost Scroll")</f>
        <v>Armour of Frost Scroll</v>
      </c>
      <c r="F384" s="47" t="str">
        <f ca="1">IFERROR(__xludf.DUMMYFUNCTION("""COMPUTED_VALUE"""),"Artillery Plant Scroll")</f>
        <v>Artillery Plant Scroll</v>
      </c>
      <c r="G384" s="47" t="str">
        <f ca="1">IFERROR(__xludf.DUMMYFUNCTION("""COMPUTED_VALUE"""),"Black Shroud Scroll")</f>
        <v>Black Shroud Scroll</v>
      </c>
      <c r="H384" s="47" t="str">
        <f ca="1">IFERROR(__xludf.DUMMYFUNCTION("""COMPUTED_VALUE"""),"Blinding Radiance Scroll")</f>
        <v>Blinding Radiance Scroll</v>
      </c>
      <c r="I384" s="47" t="str">
        <f ca="1">IFERROR(__xludf.DUMMYFUNCTION("""COMPUTED_VALUE"""),"Blood Sucker Scroll")</f>
        <v>Blood Sucker Scroll</v>
      </c>
      <c r="J384" s="47" t="str">
        <f ca="1">IFERROR(__xludf.DUMMYFUNCTION("""COMPUTED_VALUE"""),"Bone Cage Scroll")</f>
        <v>Bone Cage Scroll</v>
      </c>
      <c r="K384" s="47" t="str">
        <f ca="1">IFERROR(__xludf.DUMMYFUNCTION("""COMPUTED_VALUE"""),"Bull Horns Scroll")</f>
        <v>Bull Horns Scroll</v>
      </c>
      <c r="L384" s="47" t="str">
        <f ca="1">IFERROR(__xludf.DUMMYFUNCTION("""COMPUTED_VALUE"""),"Chain Lightning Scroll")</f>
        <v>Chain Lightning Scroll</v>
      </c>
      <c r="M384" s="47" t="str">
        <f ca="1">IFERROR(__xludf.DUMMYFUNCTION("""COMPUTED_VALUE"""),"Chameleon Cloak Scroll")</f>
        <v>Chameleon Cloak Scroll</v>
      </c>
      <c r="N384" s="47" t="str">
        <f ca="1">IFERROR(__xludf.DUMMYFUNCTION("""COMPUTED_VALUE"""),"Charm Scroll")</f>
        <v>Charm Scroll</v>
      </c>
      <c r="O384" s="47" t="str">
        <f ca="1">IFERROR(__xludf.DUMMYFUNCTION("""COMPUTED_VALUE"""),"Chicken Claw Scroll")</f>
        <v>Chicken Claw Scroll</v>
      </c>
      <c r="P384" s="47" t="str">
        <f ca="1">IFERROR(__xludf.DUMMYFUNCTION("""COMPUTED_VALUE"""),"Closed Circuit Scroll")</f>
        <v>Closed Circuit Scroll</v>
      </c>
      <c r="Q384" s="47" t="str">
        <f ca="1">IFERROR(__xludf.DUMMYFUNCTION("""COMPUTED_VALUE"""),"Contamination Scroll")</f>
        <v>Contamination Scroll</v>
      </c>
      <c r="R384" s="47" t="str">
        <f ca="1">IFERROR(__xludf.DUMMYFUNCTION("""COMPUTED_VALUE"""),"Curse Scroll")</f>
        <v>Curse Scroll</v>
      </c>
      <c r="S384" s="47" t="str">
        <f ca="1">IFERROR(__xludf.DUMMYFUNCTION("""COMPUTED_VALUE"""),"Decaying Touch Scroll")</f>
        <v>Decaying Touch Scroll</v>
      </c>
      <c r="T384" s="47" t="str">
        <f ca="1">IFERROR(__xludf.DUMMYFUNCTION("""COMPUTED_VALUE"""),"Deep Freeze Scroll")</f>
        <v>Deep Freeze Scroll</v>
      </c>
      <c r="U384" s="47" t="str">
        <f ca="1">IFERROR(__xludf.DUMMYFUNCTION("""COMPUTED_VALUE"""),"Dimensional Bolt Scroll")</f>
        <v>Dimensional Bolt Scroll</v>
      </c>
      <c r="V384" s="47" t="str">
        <f ca="1">IFERROR(__xludf.DUMMYFUNCTION("""COMPUTED_VALUE"""),"Earthquake Scroll")</f>
        <v>Earthquake Scroll</v>
      </c>
      <c r="W384" s="47" t="str">
        <f ca="1">IFERROR(__xludf.DUMMYFUNCTION("""COMPUTED_VALUE"""),"Electric Discharge Scroll")</f>
        <v>Electric Discharge Scroll</v>
      </c>
      <c r="X384" s="47" t="str">
        <f ca="1">IFERROR(__xludf.DUMMYFUNCTION("""COMPUTED_VALUE"""),"Elemental Totem Scroll")</f>
        <v>Elemental Totem Scroll</v>
      </c>
      <c r="Y384" s="47" t="str">
        <f ca="1">IFERROR(__xludf.DUMMYFUNCTION("""COMPUTED_VALUE"""),"Epidemic of Fire Scroll")</f>
        <v>Epidemic of Fire Scroll</v>
      </c>
      <c r="Z384" s="47" t="str">
        <f ca="1">IFERROR(__xludf.DUMMYFUNCTION("""COMPUTED_VALUE"""),"Equalise Scroll")</f>
        <v>Equalise Scroll</v>
      </c>
      <c r="AA384" s="47" t="str">
        <f ca="1">IFERROR(__xludf.DUMMYFUNCTION("""COMPUTED_VALUE"""),"Ethereal Storm Scroll")</f>
        <v>Ethereal Storm Scroll</v>
      </c>
      <c r="AB384" s="47" t="str">
        <f ca="1">IFERROR(__xludf.DUMMYFUNCTION("""COMPUTED_VALUE"""),"Favourable Wind Scroll")</f>
        <v>Favourable Wind Scroll</v>
      </c>
      <c r="AC384" s="47" t="str">
        <f ca="1">IFERROR(__xludf.DUMMYFUNCTION("""COMPUTED_VALUE"""),"Fire Whip Scroll")</f>
        <v>Fire Whip Scroll</v>
      </c>
      <c r="AD384" s="47" t="str">
        <f ca="1">IFERROR(__xludf.DUMMYFUNCTION("""COMPUTED_VALUE"""),"Fireball Scroll")</f>
        <v>Fireball Scroll</v>
      </c>
      <c r="AE384" s="47" t="str">
        <f ca="1">IFERROR(__xludf.DUMMYFUNCTION("""COMPUTED_VALUE"""),"Firebrand Scroll")</f>
        <v>Firebrand Scroll</v>
      </c>
      <c r="AF384" s="47" t="str">
        <f ca="1">IFERROR(__xludf.DUMMYFUNCTION("""COMPUTED_VALUE"""),"Flaming Crescendo Scroll")</f>
        <v>Flaming Crescendo Scroll</v>
      </c>
      <c r="AG384" s="47" t="str">
        <f ca="1">IFERROR(__xludf.DUMMYFUNCTION("""COMPUTED_VALUE"""),"Flaming Tongues Scroll")</f>
        <v>Flaming Tongues Scroll</v>
      </c>
      <c r="AH384" s="47" t="str">
        <f ca="1">IFERROR(__xludf.DUMMYFUNCTION("""COMPUTED_VALUE"""),"Fortify Scroll")</f>
        <v>Fortify Scroll</v>
      </c>
      <c r="AI384" s="47" t="str">
        <f ca="1">IFERROR(__xludf.DUMMYFUNCTION("""COMPUTED_VALUE"""),"Fossil Strike Scroll")</f>
        <v>Fossil Strike Scroll</v>
      </c>
      <c r="AJ384" s="47" t="str">
        <f ca="1">IFERROR(__xludf.DUMMYFUNCTION("""COMPUTED_VALUE"""),"Grasp of the Starved Scroll")</f>
        <v>Grasp of the Starved Scroll</v>
      </c>
      <c r="AK384" s="47" t="str">
        <f ca="1">IFERROR(__xludf.DUMMYFUNCTION("""COMPUTED_VALUE"""),"Hail Strike Scroll")</f>
        <v>Hail Strike Scroll</v>
      </c>
      <c r="AL384" s="47" t="str">
        <f ca="1">IFERROR(__xludf.DUMMYFUNCTION("""COMPUTED_VALUE"""),"Haste Scroll")</f>
        <v>Haste Scroll</v>
      </c>
      <c r="AM384" s="47" t="str">
        <f ca="1">IFERROR(__xludf.DUMMYFUNCTION("""COMPUTED_VALUE"""),"Healing Ritual Scroll")</f>
        <v>Healing Ritual Scroll</v>
      </c>
      <c r="AN384" s="47" t="str">
        <f ca="1">IFERROR(__xludf.DUMMYFUNCTION("""COMPUTED_VALUE"""),"Heart of Steel Scroll")</f>
        <v>Heart of Steel Scroll</v>
      </c>
      <c r="AO384" s="47" t="str">
        <f ca="1">IFERROR(__xludf.DUMMYFUNCTION("""COMPUTED_VALUE"""),"Ignition Scroll")</f>
        <v>Ignition Scroll</v>
      </c>
      <c r="AP384" s="47" t="str">
        <f ca="1">IFERROR(__xludf.DUMMYFUNCTION("""COMPUTED_VALUE"""),"Impalement Scroll")</f>
        <v>Impalement Scroll</v>
      </c>
      <c r="AQ384" s="47" t="str">
        <f ca="1">IFERROR(__xludf.DUMMYFUNCTION("""COMPUTED_VALUE"""),"Infect Scroll")</f>
        <v>Infect Scroll</v>
      </c>
      <c r="AR384" s="47" t="str">
        <f ca="1">IFERROR(__xludf.DUMMYFUNCTION("""COMPUTED_VALUE"""),"Laser Ray Scroll")</f>
        <v>Laser Ray Scroll</v>
      </c>
      <c r="AS384" s="47" t="str">
        <f ca="1">IFERROR(__xludf.DUMMYFUNCTION("""COMPUTED_VALUE"""),"Living on the Edge Scroll")</f>
        <v>Living on the Edge Scroll</v>
      </c>
      <c r="AT384" s="47" t="str">
        <f ca="1">IFERROR(__xludf.DUMMYFUNCTION("""COMPUTED_VALUE"""),"Living Wall Scroll")</f>
        <v>Living Wall Scroll</v>
      </c>
      <c r="AU384" s="47" t="str">
        <f ca="1">IFERROR(__xludf.DUMMYFUNCTION("""COMPUTED_VALUE"""),"Mend Metal Scroll")</f>
        <v>Mend Metal Scroll</v>
      </c>
      <c r="AV384" s="47" t="str">
        <f ca="1">IFERROR(__xludf.DUMMYFUNCTION("""COMPUTED_VALUE"""),"Netherswap Scroll")</f>
        <v>Netherswap Scroll</v>
      </c>
      <c r="AW384" s="47" t="str">
        <f ca="1">IFERROR(__xludf.DUMMYFUNCTION("""COMPUTED_VALUE"""),"Peace of Mind Scroll")</f>
        <v>Peace of Mind Scroll</v>
      </c>
      <c r="AX384" s="47" t="str">
        <f ca="1">IFERROR(__xludf.DUMMYFUNCTION("""COMPUTED_VALUE"""),"Planar Gateway Scroll")</f>
        <v>Planar Gateway Scroll</v>
      </c>
      <c r="AY384" s="47" t="str">
        <f ca="1">IFERROR(__xludf.DUMMYFUNCTION("""COMPUTED_VALUE"""),"Poison Dart Scroll")</f>
        <v>Poison Dart Scroll</v>
      </c>
      <c r="AZ384" s="47" t="str">
        <f ca="1">IFERROR(__xludf.DUMMYFUNCTION("""COMPUTED_VALUE"""),"Poison Wave Scroll")</f>
        <v>Poison Wave Scroll</v>
      </c>
      <c r="BA384" s="47" t="str">
        <f ca="1">IFERROR(__xludf.DUMMYFUNCTION("""COMPUTED_VALUE"""),"Pressure Spike Scroll")</f>
        <v>Pressure Spike Scroll</v>
      </c>
      <c r="BB384" s="47" t="str">
        <f ca="1">IFERROR(__xludf.DUMMYFUNCTION("""COMPUTED_VALUE"""),"Pyroclastic Eruption Scroll")</f>
        <v>Pyroclastic Eruption Scroll</v>
      </c>
      <c r="BC384" s="47" t="str">
        <f ca="1">IFERROR(__xludf.DUMMYFUNCTION("""COMPUTED_VALUE"""),"Rain Scroll")</f>
        <v>Rain Scroll</v>
      </c>
      <c r="BD384" s="47" t="str">
        <f ca="1">IFERROR(__xludf.DUMMYFUNCTION("""COMPUTED_VALUE"""),"Raise Bloated Corpse Scroll")</f>
        <v>Raise Bloated Corpse Scroll</v>
      </c>
      <c r="BE384" s="47" t="str">
        <f ca="1">IFERROR(__xludf.DUMMYFUNCTION("""COMPUTED_VALUE"""),"Raise Bone Widow Scroll")</f>
        <v>Raise Bone Widow Scroll</v>
      </c>
      <c r="BF384" s="47" t="str">
        <f ca="1">IFERROR(__xludf.DUMMYFUNCTION("""COMPUTED_VALUE"""),"Rallying Cry Scroll")</f>
        <v>Rallying Cry Scroll</v>
      </c>
      <c r="BG384" s="47" t="str">
        <f ca="1">IFERROR(__xludf.DUMMYFUNCTION("""COMPUTED_VALUE"""),"Reactive Armor Scroll")</f>
        <v>Reactive Armor Scroll</v>
      </c>
      <c r="BH384" s="47" t="str">
        <f ca="1">IFERROR(__xludf.DUMMYFUNCTION("""COMPUTED_VALUE"""),"Restoration Scroll")</f>
        <v>Restoration Scroll</v>
      </c>
      <c r="BI384" s="47" t="str">
        <f ca="1">IFERROR(__xludf.DUMMYFUNCTION("""COMPUTED_VALUE"""),"Resurrection Scroll")</f>
        <v>Resurrection Scroll</v>
      </c>
      <c r="BJ384" s="47" t="str">
        <f ca="1">IFERROR(__xludf.DUMMYFUNCTION("""COMPUTED_VALUE"""),"Searing Daggers Scroll")</f>
        <v>Searing Daggers Scroll</v>
      </c>
      <c r="BK384" s="47" t="str">
        <f ca="1">IFERROR(__xludf.DUMMYFUNCTION("""COMPUTED_VALUE"""),"Shackles of Pain Scroll")</f>
        <v>Shackles of Pain Scroll</v>
      </c>
      <c r="BL384" s="47" t="str">
        <f ca="1">IFERROR(__xludf.DUMMYFUNCTION("""COMPUTED_VALUE"""),"Shocking Touch Scroll")</f>
        <v>Shocking Touch Scroll</v>
      </c>
      <c r="BM384" s="47" t="str">
        <f ca="1">IFERROR(__xludf.DUMMYFUNCTION("""COMPUTED_VALUE"""),"Silencing Stare Scroll")</f>
        <v>Silencing Stare Scroll</v>
      </c>
      <c r="BN384" s="47" t="str">
        <f ca="1">IFERROR(__xludf.DUMMYFUNCTION("""COMPUTED_VALUE"""),"Skin Graft Scroll")</f>
        <v>Skin Graft Scroll</v>
      </c>
      <c r="BO384" s="47" t="str">
        <f ca="1">IFERROR(__xludf.DUMMYFUNCTION("""COMPUTED_VALUE"""),"Soothing Cold Scroll")</f>
        <v>Soothing Cold Scroll</v>
      </c>
      <c r="BP384" s="47" t="str">
        <f ca="1">IFERROR(__xludf.DUMMYFUNCTION("""COMPUTED_VALUE"""),"Soul Mate Scroll")</f>
        <v>Soul Mate Scroll</v>
      </c>
      <c r="BQ384" s="47" t="str">
        <f ca="1">IFERROR(__xludf.DUMMYFUNCTION("""COMPUTED_VALUE"""),"Spider Legs Scroll")</f>
        <v>Spider Legs Scroll</v>
      </c>
      <c r="BR384" s="47" t="str">
        <f ca="1">IFERROR(__xludf.DUMMYFUNCTION("""COMPUTED_VALUE"""),"Spread Your Wings Scroll")</f>
        <v>Spread Your Wings Scroll</v>
      </c>
      <c r="BS384" s="47" t="str">
        <f ca="1">IFERROR(__xludf.DUMMYFUNCTION("""COMPUTED_VALUE"""),"Steam Lance Scroll")</f>
        <v>Steam Lance Scroll</v>
      </c>
      <c r="BT384" s="47" t="str">
        <f ca="1">IFERROR(__xludf.DUMMYFUNCTION("""COMPUTED_VALUE"""),"Summon Oily Blob Scroll")</f>
        <v>Summon Oily Blob Scroll</v>
      </c>
      <c r="BU384" s="47" t="str">
        <f ca="1">IFERROR(__xludf.DUMMYFUNCTION("""COMPUTED_VALUE"""),"Superconductor Scroll")</f>
        <v>Superconductor Scroll</v>
      </c>
      <c r="BV384" s="47" t="str">
        <f ca="1">IFERROR(__xludf.DUMMYFUNCTION("""COMPUTED_VALUE"""),"Supernova Scroll")</f>
        <v>Supernova Scroll</v>
      </c>
      <c r="BW384" s="47" t="str">
        <f ca="1">IFERROR(__xludf.DUMMYFUNCTION("""COMPUTED_VALUE"""),"Teleportation Scroll")</f>
        <v>Teleportation Scroll</v>
      </c>
      <c r="BX384" s="47" t="str">
        <f ca="1">IFERROR(__xludf.DUMMYFUNCTION("""COMPUTED_VALUE"""),"Tentacle Lash Scroll")</f>
        <v>Tentacle Lash Scroll</v>
      </c>
      <c r="BY384" s="47" t="str">
        <f ca="1">IFERROR(__xludf.DUMMYFUNCTION("""COMPUTED_VALUE"""),"Tornado Scroll")</f>
        <v>Tornado Scroll</v>
      </c>
      <c r="BZ384" s="47" t="str">
        <f ca="1">IFERROR(__xludf.DUMMYFUNCTION("""COMPUTED_VALUE"""),"Winter Blast Scroll")</f>
        <v>Winter Blast Scroll</v>
      </c>
    </row>
    <row r="385" spans="1:78" ht="13">
      <c r="A385" s="152" t="str">
        <f ca="1">IFERROR(__xludf.DUMMYFUNCTION("""COMPUTED_VALUE"""),"Shell")</f>
        <v>Shell</v>
      </c>
      <c r="B385" s="47" t="str">
        <f ca="1">IFERROR(__xludf.DUMMYFUNCTION("TRANSPOSE(unique(filter(Recipes!A$2:A2490,(Recipes!L$2:L2490=A385)+(Recipes!O$2:O2490=A385)+(Recipes!R$2:R2490=A385)+(Recipes!U$2:U2490=A385)+(Recipes!X$2:X2490=A385))))"),"Improvised Staff")</f>
        <v>Improvised Staff</v>
      </c>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c r="AA385" s="47"/>
      <c r="AB385" s="47"/>
      <c r="AC385" s="47"/>
      <c r="AD385" s="47"/>
      <c r="AE385" s="47"/>
      <c r="AF385" s="47"/>
      <c r="AG385" s="47"/>
      <c r="AH385" s="47"/>
      <c r="AI385" s="47"/>
      <c r="AJ385" s="47"/>
      <c r="AK385" s="47"/>
      <c r="AL385" s="47"/>
      <c r="AM385" s="47"/>
      <c r="AN385" s="47"/>
      <c r="AO385" s="47"/>
      <c r="AP385" s="47"/>
      <c r="AQ385" s="47"/>
      <c r="AR385" s="47"/>
      <c r="AS385" s="47"/>
      <c r="AT385" s="47"/>
      <c r="AU385" s="47"/>
      <c r="AV385" s="47"/>
      <c r="AW385" s="47"/>
      <c r="AX385" s="47"/>
      <c r="AY385" s="47"/>
      <c r="AZ385" s="47"/>
      <c r="BA385" s="47"/>
      <c r="BB385" s="47"/>
      <c r="BC385" s="47"/>
      <c r="BD385" s="47"/>
      <c r="BE385" s="47"/>
      <c r="BF385" s="47"/>
      <c r="BG385" s="47"/>
      <c r="BH385" s="47"/>
      <c r="BI385" s="47"/>
      <c r="BJ385" s="47"/>
      <c r="BK385" s="47"/>
      <c r="BL385" s="47"/>
      <c r="BM385" s="47"/>
      <c r="BN385" s="47"/>
      <c r="BO385" s="47"/>
      <c r="BP385" s="47"/>
      <c r="BQ385" s="47"/>
      <c r="BR385" s="47"/>
      <c r="BS385" s="47"/>
      <c r="BT385" s="47"/>
      <c r="BU385" s="47"/>
      <c r="BV385" s="47"/>
      <c r="BW385" s="47"/>
      <c r="BX385" s="47"/>
      <c r="BY385" s="47"/>
      <c r="BZ385" s="47"/>
    </row>
    <row r="386" spans="1:78" ht="13">
      <c r="A386" s="152" t="str">
        <f ca="1">IFERROR(__xludf.DUMMYFUNCTION("""COMPUTED_VALUE"""),"Shocking Arrowhead")</f>
        <v>Shocking Arrowhead</v>
      </c>
      <c r="B386" s="47" t="str">
        <f ca="1">IFERROR(__xludf.DUMMYFUNCTION("TRANSPOSE(unique(filter(Recipes!A$2:A2490,(Recipes!L$2:L2490=A386)+(Recipes!O$2:O2490=A386)+(Recipes!R$2:R2490=A386)+(Recipes!U$2:U2490=A386)+(Recipes!X$2:X2490=A386))))"),"Shocking Arrow")</f>
        <v>Shocking Arrow</v>
      </c>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c r="AA386" s="47"/>
      <c r="AB386" s="47"/>
      <c r="AC386" s="47"/>
      <c r="AD386" s="47"/>
      <c r="AE386" s="47"/>
      <c r="AF386" s="47"/>
      <c r="AG386" s="47"/>
      <c r="AH386" s="47"/>
      <c r="AI386" s="47"/>
      <c r="AJ386" s="47"/>
      <c r="AK386" s="47"/>
      <c r="AL386" s="47"/>
      <c r="AM386" s="47"/>
      <c r="AN386" s="47"/>
      <c r="AO386" s="47"/>
      <c r="AP386" s="47"/>
      <c r="AQ386" s="47"/>
      <c r="AR386" s="47"/>
      <c r="AS386" s="47"/>
      <c r="AT386" s="47"/>
      <c r="AU386" s="47"/>
      <c r="AV386" s="47"/>
      <c r="AW386" s="47"/>
      <c r="AX386" s="47"/>
      <c r="AY386" s="47"/>
      <c r="AZ386" s="47"/>
      <c r="BA386" s="47"/>
      <c r="BB386" s="47"/>
      <c r="BC386" s="47"/>
      <c r="BD386" s="47"/>
      <c r="BE386" s="47"/>
      <c r="BF386" s="47"/>
      <c r="BG386" s="47"/>
      <c r="BH386" s="47"/>
      <c r="BI386" s="47"/>
      <c r="BJ386" s="47"/>
      <c r="BK386" s="47"/>
      <c r="BL386" s="47"/>
      <c r="BM386" s="47"/>
      <c r="BN386" s="47"/>
      <c r="BO386" s="47"/>
      <c r="BP386" s="47"/>
      <c r="BQ386" s="47"/>
      <c r="BR386" s="47"/>
      <c r="BS386" s="47"/>
      <c r="BT386" s="47"/>
      <c r="BU386" s="47"/>
      <c r="BV386" s="47"/>
      <c r="BW386" s="47"/>
      <c r="BX386" s="47"/>
      <c r="BY386" s="47"/>
      <c r="BZ386" s="47"/>
    </row>
    <row r="387" spans="1:78" ht="13">
      <c r="A387" s="152" t="str">
        <f ca="1">IFERROR(__xludf.DUMMYFUNCTION("""COMPUTED_VALUE"""),"Shocking Touch Scroll")</f>
        <v>Shocking Touch Scroll</v>
      </c>
      <c r="B387" s="47" t="str">
        <f ca="1">IFERROR(__xludf.DUMMYFUNCTION("TRANSPOSE(unique(filter(Recipes!A$2:A2490,(Recipes!L$2:L2490=A387)+(Recipes!O$2:O2490=A387)+(Recipes!R$2:R2490=A387)+(Recipes!U$2:U2490=A387)+(Recipes!X$2:X2490=A387))))"),"Shocking Touch Skillbook")</f>
        <v>Shocking Touch Skillbook</v>
      </c>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c r="AC387" s="47"/>
      <c r="AD387" s="47"/>
      <c r="AE387" s="47"/>
      <c r="AF387" s="47"/>
      <c r="AG387" s="47"/>
      <c r="AH387" s="47"/>
      <c r="AI387" s="47"/>
      <c r="AJ387" s="47"/>
      <c r="AK387" s="47"/>
      <c r="AL387" s="47"/>
      <c r="AM387" s="47"/>
      <c r="AN387" s="47"/>
      <c r="AO387" s="47"/>
      <c r="AP387" s="47"/>
      <c r="AQ387" s="47"/>
      <c r="AR387" s="47"/>
      <c r="AS387" s="47"/>
      <c r="AT387" s="47"/>
      <c r="AU387" s="47"/>
      <c r="AV387" s="47"/>
      <c r="AW387" s="47"/>
      <c r="AX387" s="47"/>
      <c r="AY387" s="47"/>
      <c r="AZ387" s="47"/>
      <c r="BA387" s="47"/>
      <c r="BB387" s="47"/>
      <c r="BC387" s="47"/>
      <c r="BD387" s="47"/>
      <c r="BE387" s="47"/>
      <c r="BF387" s="47"/>
      <c r="BG387" s="47"/>
      <c r="BH387" s="47"/>
      <c r="BI387" s="47"/>
      <c r="BJ387" s="47"/>
      <c r="BK387" s="47"/>
      <c r="BL387" s="47"/>
      <c r="BM387" s="47"/>
      <c r="BN387" s="47"/>
      <c r="BO387" s="47"/>
      <c r="BP387" s="47"/>
      <c r="BQ387" s="47"/>
      <c r="BR387" s="47"/>
      <c r="BS387" s="47"/>
      <c r="BT387" s="47"/>
      <c r="BU387" s="47"/>
      <c r="BV387" s="47"/>
      <c r="BW387" s="47"/>
      <c r="BX387" s="47"/>
      <c r="BY387" s="47"/>
      <c r="BZ387" s="47"/>
    </row>
    <row r="388" spans="1:78" ht="13">
      <c r="A388" s="152" t="str">
        <f ca="1">IFERROR(__xludf.DUMMYFUNCTION("""COMPUTED_VALUE"""),"Shoes")</f>
        <v>Shoes</v>
      </c>
      <c r="B388" s="47" t="str">
        <f ca="1">IFERROR(__xludf.DUMMYFUNCTION("TRANSPOSE(unique(filter(Recipes!A$2:A2490,(Recipes!L$2:L2490=A388)+(Recipes!O$2:O2490=A388)+(Recipes!R$2:R2490=A388)+(Recipes!U$2:U2490=A388)+(Recipes!X$2:X2490=A388))))"),"Boost Boots")</f>
        <v>Boost Boots</v>
      </c>
      <c r="C388" s="47" t="str">
        <f ca="1">IFERROR(__xludf.DUMMYFUNCTION("""COMPUTED_VALUE"""),"Slipping Immunity")</f>
        <v>Slipping Immunity</v>
      </c>
      <c r="D388" s="47"/>
      <c r="E388" s="47"/>
      <c r="F388" s="47"/>
      <c r="G388" s="47"/>
      <c r="H388" s="47"/>
      <c r="I388" s="47"/>
      <c r="J388" s="47"/>
      <c r="K388" s="47"/>
      <c r="L388" s="47"/>
      <c r="M388" s="47"/>
      <c r="N388" s="47"/>
      <c r="O388" s="47"/>
      <c r="P388" s="47"/>
      <c r="Q388" s="47"/>
      <c r="R388" s="47"/>
      <c r="S388" s="47"/>
      <c r="T388" s="47"/>
      <c r="U388" s="47"/>
      <c r="V388" s="47"/>
      <c r="W388" s="47"/>
      <c r="X388" s="47"/>
      <c r="Y388" s="47"/>
      <c r="Z388" s="47"/>
      <c r="AA388" s="47"/>
      <c r="AB388" s="47"/>
      <c r="AC388" s="47"/>
      <c r="AD388" s="47"/>
      <c r="AE388" s="47"/>
      <c r="AF388" s="47"/>
      <c r="AG388" s="47"/>
      <c r="AH388" s="47"/>
      <c r="AI388" s="47"/>
      <c r="AJ388" s="47"/>
      <c r="AK388" s="47"/>
      <c r="AL388" s="47"/>
      <c r="AM388" s="47"/>
      <c r="AN388" s="47"/>
      <c r="AO388" s="47"/>
      <c r="AP388" s="47"/>
      <c r="AQ388" s="47"/>
      <c r="AR388" s="47"/>
      <c r="AS388" s="47"/>
      <c r="AT388" s="47"/>
      <c r="AU388" s="47"/>
      <c r="AV388" s="47"/>
      <c r="AW388" s="47"/>
      <c r="AX388" s="47"/>
      <c r="AY388" s="47"/>
      <c r="AZ388" s="47"/>
      <c r="BA388" s="47"/>
      <c r="BB388" s="47"/>
      <c r="BC388" s="47"/>
      <c r="BD388" s="47"/>
      <c r="BE388" s="47"/>
      <c r="BF388" s="47"/>
      <c r="BG388" s="47"/>
      <c r="BH388" s="47"/>
      <c r="BI388" s="47"/>
      <c r="BJ388" s="47"/>
      <c r="BK388" s="47"/>
      <c r="BL388" s="47"/>
      <c r="BM388" s="47"/>
      <c r="BN388" s="47"/>
      <c r="BO388" s="47"/>
      <c r="BP388" s="47"/>
      <c r="BQ388" s="47"/>
      <c r="BR388" s="47"/>
      <c r="BS388" s="47"/>
      <c r="BT388" s="47"/>
      <c r="BU388" s="47"/>
      <c r="BV388" s="47"/>
      <c r="BW388" s="47"/>
      <c r="BX388" s="47"/>
      <c r="BY388" s="47"/>
      <c r="BZ388" s="47"/>
    </row>
    <row r="389" spans="1:78" ht="13">
      <c r="A389" s="152" t="str">
        <f ca="1">IFERROR(__xludf.DUMMYFUNCTION("""COMPUTED_VALUE"""),"Short Stick")</f>
        <v>Short Stick</v>
      </c>
      <c r="B389" s="47" t="str">
        <f ca="1">IFERROR(__xludf.DUMMYFUNCTION("TRANSPOSE(unique(filter(Recipes!A$2:A2490,(Recipes!L$2:L2490=A389)+(Recipes!O$2:O2490=A389)+(Recipes!R$2:R2490=A389)+(Recipes!U$2:U2490=A389)+(Recipes!X$2:X2490=A389))))"),"Arrow Shaft")</f>
        <v>Arrow Shaft</v>
      </c>
      <c r="C389" s="47" t="str">
        <f ca="1">IFERROR(__xludf.DUMMYFUNCTION("""COMPUTED_VALUE"""),"Knife on a Stick")</f>
        <v>Knife on a Stick</v>
      </c>
      <c r="D389" s="47" t="str">
        <f ca="1">IFERROR(__xludf.DUMMYFUNCTION("""COMPUTED_VALUE"""),"Makeshift Wand")</f>
        <v>Makeshift Wand</v>
      </c>
      <c r="E389" s="47" t="str">
        <f ca="1">IFERROR(__xludf.DUMMYFUNCTION("""COMPUTED_VALUE"""),"Sharp Stone on a Stick")</f>
        <v>Sharp Stone on a Stick</v>
      </c>
      <c r="F389" s="47" t="str">
        <f ca="1">IFERROR(__xludf.DUMMYFUNCTION("""COMPUTED_VALUE"""),"Toy Crossbow")</f>
        <v>Toy Crossbow</v>
      </c>
      <c r="G389" s="47" t="str">
        <f ca="1">IFERROR(__xludf.DUMMYFUNCTION("""COMPUTED_VALUE"""),"Twig with a String")</f>
        <v>Twig with a String</v>
      </c>
      <c r="H389" s="47"/>
      <c r="I389" s="47"/>
      <c r="J389" s="47"/>
      <c r="K389" s="47"/>
      <c r="L389" s="47"/>
      <c r="M389" s="47"/>
      <c r="N389" s="47"/>
      <c r="O389" s="47"/>
      <c r="P389" s="47"/>
      <c r="Q389" s="47"/>
      <c r="R389" s="47"/>
      <c r="S389" s="47"/>
      <c r="T389" s="47"/>
      <c r="U389" s="47"/>
      <c r="V389" s="47"/>
      <c r="W389" s="47"/>
      <c r="X389" s="47"/>
      <c r="Y389" s="47"/>
      <c r="Z389" s="47"/>
      <c r="AA389" s="47"/>
      <c r="AB389" s="47"/>
      <c r="AC389" s="47"/>
      <c r="AD389" s="47"/>
      <c r="AE389" s="47"/>
      <c r="AF389" s="47"/>
      <c r="AG389" s="47"/>
      <c r="AH389" s="47"/>
      <c r="AI389" s="47"/>
      <c r="AJ389" s="47"/>
      <c r="AK389" s="47"/>
      <c r="AL389" s="47"/>
      <c r="AM389" s="47"/>
      <c r="AN389" s="47"/>
      <c r="AO389" s="47"/>
      <c r="AP389" s="47"/>
      <c r="AQ389" s="47"/>
      <c r="AR389" s="47"/>
      <c r="AS389" s="47"/>
      <c r="AT389" s="47"/>
      <c r="AU389" s="47"/>
      <c r="AV389" s="47"/>
      <c r="AW389" s="47"/>
      <c r="AX389" s="47"/>
      <c r="AY389" s="47"/>
      <c r="AZ389" s="47"/>
      <c r="BA389" s="47"/>
      <c r="BB389" s="47"/>
      <c r="BC389" s="47"/>
      <c r="BD389" s="47"/>
      <c r="BE389" s="47"/>
      <c r="BF389" s="47"/>
      <c r="BG389" s="47"/>
      <c r="BH389" s="47"/>
      <c r="BI389" s="47"/>
      <c r="BJ389" s="47"/>
      <c r="BK389" s="47"/>
      <c r="BL389" s="47"/>
      <c r="BM389" s="47"/>
      <c r="BN389" s="47"/>
      <c r="BO389" s="47"/>
      <c r="BP389" s="47"/>
      <c r="BQ389" s="47"/>
      <c r="BR389" s="47"/>
      <c r="BS389" s="47"/>
      <c r="BT389" s="47"/>
      <c r="BU389" s="47"/>
      <c r="BV389" s="47"/>
      <c r="BW389" s="47"/>
      <c r="BX389" s="47"/>
      <c r="BY389" s="47"/>
      <c r="BZ389" s="47"/>
    </row>
    <row r="390" spans="1:78" ht="13">
      <c r="A390" s="152" t="str">
        <f ca="1">IFERROR(__xludf.DUMMYFUNCTION("""COMPUTED_VALUE"""),"Silencing Stare Scroll")</f>
        <v>Silencing Stare Scroll</v>
      </c>
      <c r="B390" s="47" t="str">
        <f ca="1">IFERROR(__xludf.DUMMYFUNCTION("TRANSPOSE(unique(filter(Recipes!A$2:A2490,(Recipes!L$2:L2490=A390)+(Recipes!O$2:O2490=A390)+(Recipes!R$2:R2490=A390)+(Recipes!U$2:U2490=A390)+(Recipes!X$2:X2490=A390))))"),"Silencing Stare Skillbook")</f>
        <v>Silencing Stare Skillbook</v>
      </c>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c r="AA390" s="47"/>
      <c r="AB390" s="47"/>
      <c r="AC390" s="47"/>
      <c r="AD390" s="47"/>
      <c r="AE390" s="47"/>
      <c r="AF390" s="47"/>
      <c r="AG390" s="47"/>
      <c r="AH390" s="47"/>
      <c r="AI390" s="47"/>
      <c r="AJ390" s="47"/>
      <c r="AK390" s="47"/>
      <c r="AL390" s="47"/>
      <c r="AM390" s="47"/>
      <c r="AN390" s="47"/>
      <c r="AO390" s="47"/>
      <c r="AP390" s="47"/>
      <c r="AQ390" s="47"/>
      <c r="AR390" s="47"/>
      <c r="AS390" s="47"/>
      <c r="AT390" s="47"/>
      <c r="AU390" s="47"/>
      <c r="AV390" s="47"/>
      <c r="AW390" s="47"/>
      <c r="AX390" s="47"/>
      <c r="AY390" s="47"/>
      <c r="AZ390" s="47"/>
      <c r="BA390" s="47"/>
      <c r="BB390" s="47"/>
      <c r="BC390" s="47"/>
      <c r="BD390" s="47"/>
      <c r="BE390" s="47"/>
      <c r="BF390" s="47"/>
      <c r="BG390" s="47"/>
      <c r="BH390" s="47"/>
      <c r="BI390" s="47"/>
      <c r="BJ390" s="47"/>
      <c r="BK390" s="47"/>
      <c r="BL390" s="47"/>
      <c r="BM390" s="47"/>
      <c r="BN390" s="47"/>
      <c r="BO390" s="47"/>
      <c r="BP390" s="47"/>
      <c r="BQ390" s="47"/>
      <c r="BR390" s="47"/>
      <c r="BS390" s="47"/>
      <c r="BT390" s="47"/>
      <c r="BU390" s="47"/>
      <c r="BV390" s="47"/>
      <c r="BW390" s="47"/>
      <c r="BX390" s="47"/>
      <c r="BY390" s="47"/>
      <c r="BZ390" s="47"/>
    </row>
    <row r="391" spans="1:78" ht="13">
      <c r="A391" s="152" t="str">
        <f ca="1">IFERROR(__xludf.DUMMYFUNCTION("""COMPUTED_VALUE"""),"Silver Bar")</f>
        <v>Silver Bar</v>
      </c>
      <c r="B391" s="47" t="str">
        <f ca="1">IFERROR(__xludf.DUMMYFUNCTION("TRANSPOSE(unique(filter(Recipes!A$2:A2490,(Recipes!L$2:L2490=A391)+(Recipes!O$2:O2490=A391)+(Recipes!R$2:R2490=A391)+(Recipes!U$2:U2490=A391)+(Recipes!X$2:X2490=A391))))"),"Silver Lever Shaft")</f>
        <v>Silver Lever Shaft</v>
      </c>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c r="AA391" s="47"/>
      <c r="AB391" s="47"/>
      <c r="AC391" s="47"/>
      <c r="AD391" s="47"/>
      <c r="AE391" s="47"/>
      <c r="AF391" s="47"/>
      <c r="AG391" s="47"/>
      <c r="AH391" s="47"/>
      <c r="AI391" s="47"/>
      <c r="AJ391" s="47"/>
      <c r="AK391" s="47"/>
      <c r="AL391" s="47"/>
      <c r="AM391" s="47"/>
      <c r="AN391" s="47"/>
      <c r="AO391" s="47"/>
      <c r="AP391" s="47"/>
      <c r="AQ391" s="47"/>
      <c r="AR391" s="47"/>
      <c r="AS391" s="47"/>
      <c r="AT391" s="47"/>
      <c r="AU391" s="47"/>
      <c r="AV391" s="47"/>
      <c r="AW391" s="47"/>
      <c r="AX391" s="47"/>
      <c r="AY391" s="47"/>
      <c r="AZ391" s="47"/>
      <c r="BA391" s="47"/>
      <c r="BB391" s="47"/>
      <c r="BC391" s="47"/>
      <c r="BD391" s="47"/>
      <c r="BE391" s="47"/>
      <c r="BF391" s="47"/>
      <c r="BG391" s="47"/>
      <c r="BH391" s="47"/>
      <c r="BI391" s="47"/>
      <c r="BJ391" s="47"/>
      <c r="BK391" s="47"/>
      <c r="BL391" s="47"/>
      <c r="BM391" s="47"/>
      <c r="BN391" s="47"/>
      <c r="BO391" s="47"/>
      <c r="BP391" s="47"/>
      <c r="BQ391" s="47"/>
      <c r="BR391" s="47"/>
      <c r="BS391" s="47"/>
      <c r="BT391" s="47"/>
      <c r="BU391" s="47"/>
      <c r="BV391" s="47"/>
      <c r="BW391" s="47"/>
      <c r="BX391" s="47"/>
      <c r="BY391" s="47"/>
      <c r="BZ391" s="47"/>
    </row>
    <row r="392" spans="1:78" ht="13">
      <c r="A392" s="152" t="str">
        <f ca="1">IFERROR(__xludf.DUMMYFUNCTION("""COMPUTED_VALUE"""),"Silver Cup")</f>
        <v>Silver Cup</v>
      </c>
      <c r="B392" s="47" t="str">
        <f ca="1">IFERROR(__xludf.DUMMYFUNCTION("TRANSPOSE(unique(filter(Recipes!A$2:A2490,(Recipes!L$2:L2490=A392)+(Recipes!O$2:O2490=A392)+(Recipes!R$2:R2490=A392)+(Recipes!U$2:U2490=A392)+(Recipes!X$2:X2490=A392))))"),"Silver Lever Shaft")</f>
        <v>Silver Lever Shaft</v>
      </c>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c r="AA392" s="47"/>
      <c r="AB392" s="47"/>
      <c r="AC392" s="47"/>
      <c r="AD392" s="47"/>
      <c r="AE392" s="47"/>
      <c r="AF392" s="47"/>
      <c r="AG392" s="47"/>
      <c r="AH392" s="47"/>
      <c r="AI392" s="47"/>
      <c r="AJ392" s="47"/>
      <c r="AK392" s="47"/>
      <c r="AL392" s="47"/>
      <c r="AM392" s="47"/>
      <c r="AN392" s="47"/>
      <c r="AO392" s="47"/>
      <c r="AP392" s="47"/>
      <c r="AQ392" s="47"/>
      <c r="AR392" s="47"/>
      <c r="AS392" s="47"/>
      <c r="AT392" s="47"/>
      <c r="AU392" s="47"/>
      <c r="AV392" s="47"/>
      <c r="AW392" s="47"/>
      <c r="AX392" s="47"/>
      <c r="AY392" s="47"/>
      <c r="AZ392" s="47"/>
      <c r="BA392" s="47"/>
      <c r="BB392" s="47"/>
      <c r="BC392" s="47"/>
      <c r="BD392" s="47"/>
      <c r="BE392" s="47"/>
      <c r="BF392" s="47"/>
      <c r="BG392" s="47"/>
      <c r="BH392" s="47"/>
      <c r="BI392" s="47"/>
      <c r="BJ392" s="47"/>
      <c r="BK392" s="47"/>
      <c r="BL392" s="47"/>
      <c r="BM392" s="47"/>
      <c r="BN392" s="47"/>
      <c r="BO392" s="47"/>
      <c r="BP392" s="47"/>
      <c r="BQ392" s="47"/>
      <c r="BR392" s="47"/>
      <c r="BS392" s="47"/>
      <c r="BT392" s="47"/>
      <c r="BU392" s="47"/>
      <c r="BV392" s="47"/>
      <c r="BW392" s="47"/>
      <c r="BX392" s="47"/>
      <c r="BY392" s="47"/>
      <c r="BZ392" s="47"/>
    </row>
    <row r="393" spans="1:78" ht="13">
      <c r="A393" s="152" t="str">
        <f ca="1">IFERROR(__xludf.DUMMYFUNCTION("""COMPUTED_VALUE"""),"Silver Glass")</f>
        <v>Silver Glass</v>
      </c>
      <c r="B393" s="47" t="str">
        <f ca="1">IFERROR(__xludf.DUMMYFUNCTION("TRANSPOSE(unique(filter(Recipes!A$2:A2490,(Recipes!L$2:L2490=A393)+(Recipes!O$2:O2490=A393)+(Recipes!R$2:R2490=A393)+(Recipes!U$2:U2490=A393)+(Recipes!X$2:X2490=A393))))"),"Silver Lever Shaft")</f>
        <v>Silver Lever Shaft</v>
      </c>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c r="AA393" s="47"/>
      <c r="AB393" s="47"/>
      <c r="AC393" s="47"/>
      <c r="AD393" s="47"/>
      <c r="AE393" s="47"/>
      <c r="AF393" s="47"/>
      <c r="AG393" s="47"/>
      <c r="AH393" s="47"/>
      <c r="AI393" s="47"/>
      <c r="AJ393" s="47"/>
      <c r="AK393" s="47"/>
      <c r="AL393" s="47"/>
      <c r="AM393" s="47"/>
      <c r="AN393" s="47"/>
      <c r="AO393" s="47"/>
      <c r="AP393" s="47"/>
      <c r="AQ393" s="47"/>
      <c r="AR393" s="47"/>
      <c r="AS393" s="47"/>
      <c r="AT393" s="47"/>
      <c r="AU393" s="47"/>
      <c r="AV393" s="47"/>
      <c r="AW393" s="47"/>
      <c r="AX393" s="47"/>
      <c r="AY393" s="47"/>
      <c r="AZ393" s="47"/>
      <c r="BA393" s="47"/>
      <c r="BB393" s="47"/>
      <c r="BC393" s="47"/>
      <c r="BD393" s="47"/>
      <c r="BE393" s="47"/>
      <c r="BF393" s="47"/>
      <c r="BG393" s="47"/>
      <c r="BH393" s="47"/>
      <c r="BI393" s="47"/>
      <c r="BJ393" s="47"/>
      <c r="BK393" s="47"/>
      <c r="BL393" s="47"/>
      <c r="BM393" s="47"/>
      <c r="BN393" s="47"/>
      <c r="BO393" s="47"/>
      <c r="BP393" s="47"/>
      <c r="BQ393" s="47"/>
      <c r="BR393" s="47"/>
      <c r="BS393" s="47"/>
      <c r="BT393" s="47"/>
      <c r="BU393" s="47"/>
      <c r="BV393" s="47"/>
      <c r="BW393" s="47"/>
      <c r="BX393" s="47"/>
      <c r="BY393" s="47"/>
      <c r="BZ393" s="47"/>
    </row>
    <row r="394" spans="1:78" ht="13">
      <c r="A394" s="152" t="str">
        <f ca="1">IFERROR(__xludf.DUMMYFUNCTION("""COMPUTED_VALUE"""),"Silver Lever Shaft")</f>
        <v>Silver Lever Shaft</v>
      </c>
      <c r="B394" s="47" t="str">
        <f ca="1">IFERROR(__xludf.DUMMYFUNCTION("TRANSPOSE(unique(filter(Recipes!A$2:A2490,(Recipes!L$2:L2490=A394)+(Recipes!O$2:O2490=A394)+(Recipes!R$2:R2490=A394)+(Recipes!U$2:U2490=A394)+(Recipes!X$2:X2490=A394))))"),"[world object]")</f>
        <v>[world object]</v>
      </c>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c r="AA394" s="47"/>
      <c r="AB394" s="47"/>
      <c r="AC394" s="47"/>
      <c r="AD394" s="47"/>
      <c r="AE394" s="47"/>
      <c r="AF394" s="47"/>
      <c r="AG394" s="47"/>
      <c r="AH394" s="47"/>
      <c r="AI394" s="47"/>
      <c r="AJ394" s="47"/>
      <c r="AK394" s="47"/>
      <c r="AL394" s="47"/>
      <c r="AM394" s="47"/>
      <c r="AN394" s="47"/>
      <c r="AO394" s="47"/>
      <c r="AP394" s="47"/>
      <c r="AQ394" s="47"/>
      <c r="AR394" s="47"/>
      <c r="AS394" s="47"/>
      <c r="AT394" s="47"/>
      <c r="AU394" s="47"/>
      <c r="AV394" s="47"/>
      <c r="AW394" s="47"/>
      <c r="AX394" s="47"/>
      <c r="AY394" s="47"/>
      <c r="AZ394" s="47"/>
      <c r="BA394" s="47"/>
      <c r="BB394" s="47"/>
      <c r="BC394" s="47"/>
      <c r="BD394" s="47"/>
      <c r="BE394" s="47"/>
      <c r="BF394" s="47"/>
      <c r="BG394" s="47"/>
      <c r="BH394" s="47"/>
      <c r="BI394" s="47"/>
      <c r="BJ394" s="47"/>
      <c r="BK394" s="47"/>
      <c r="BL394" s="47"/>
      <c r="BM394" s="47"/>
      <c r="BN394" s="47"/>
      <c r="BO394" s="47"/>
      <c r="BP394" s="47"/>
      <c r="BQ394" s="47"/>
      <c r="BR394" s="47"/>
      <c r="BS394" s="47"/>
      <c r="BT394" s="47"/>
      <c r="BU394" s="47"/>
      <c r="BV394" s="47"/>
      <c r="BW394" s="47"/>
      <c r="BX394" s="47"/>
      <c r="BY394" s="47"/>
      <c r="BZ394" s="47"/>
    </row>
    <row r="395" spans="1:78" ht="13">
      <c r="A395" s="152" t="str">
        <f ca="1">IFERROR(__xludf.DUMMYFUNCTION("""COMPUTED_VALUE"""),"Silver Ore")</f>
        <v>Silver Ore</v>
      </c>
      <c r="B395" s="47" t="str">
        <f ca="1">IFERROR(__xludf.DUMMYFUNCTION("TRANSPOSE(unique(filter(Recipes!A$2:A2490,(Recipes!L$2:L2490=A395)+(Recipes!O$2:O2490=A395)+(Recipes!R$2:R2490=A395)+(Recipes!U$2:U2490=A395)+(Recipes!X$2:X2490=A395))))"),"Silver Lever Shaft")</f>
        <v>Silver Lever Shaft</v>
      </c>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c r="AA395" s="47"/>
      <c r="AB395" s="47"/>
      <c r="AC395" s="47"/>
      <c r="AD395" s="47"/>
      <c r="AE395" s="47"/>
      <c r="AF395" s="47"/>
      <c r="AG395" s="47"/>
      <c r="AH395" s="47"/>
      <c r="AI395" s="47"/>
      <c r="AJ395" s="47"/>
      <c r="AK395" s="47"/>
      <c r="AL395" s="47"/>
      <c r="AM395" s="47"/>
      <c r="AN395" s="47"/>
      <c r="AO395" s="47"/>
      <c r="AP395" s="47"/>
      <c r="AQ395" s="47"/>
      <c r="AR395" s="47"/>
      <c r="AS395" s="47"/>
      <c r="AT395" s="47"/>
      <c r="AU395" s="47"/>
      <c r="AV395" s="47"/>
      <c r="AW395" s="47"/>
      <c r="AX395" s="47"/>
      <c r="AY395" s="47"/>
      <c r="AZ395" s="47"/>
      <c r="BA395" s="47"/>
      <c r="BB395" s="47"/>
      <c r="BC395" s="47"/>
      <c r="BD395" s="47"/>
      <c r="BE395" s="47"/>
      <c r="BF395" s="47"/>
      <c r="BG395" s="47"/>
      <c r="BH395" s="47"/>
      <c r="BI395" s="47"/>
      <c r="BJ395" s="47"/>
      <c r="BK395" s="47"/>
      <c r="BL395" s="47"/>
      <c r="BM395" s="47"/>
      <c r="BN395" s="47"/>
      <c r="BO395" s="47"/>
      <c r="BP395" s="47"/>
      <c r="BQ395" s="47"/>
      <c r="BR395" s="47"/>
      <c r="BS395" s="47"/>
      <c r="BT395" s="47"/>
      <c r="BU395" s="47"/>
      <c r="BV395" s="47"/>
      <c r="BW395" s="47"/>
      <c r="BX395" s="47"/>
      <c r="BY395" s="47"/>
      <c r="BZ395" s="47"/>
    </row>
    <row r="396" spans="1:78" ht="13">
      <c r="A396" s="152" t="str">
        <f ca="1">IFERROR(__xludf.DUMMYFUNCTION("""COMPUTED_VALUE"""),"Sinew")</f>
        <v>Sinew</v>
      </c>
      <c r="B396" s="47" t="str">
        <f ca="1">IFERROR(__xludf.DUMMYFUNCTION("TRANSPOSE(unique(filter(Recipes!A$2:A2490,(Recipes!L$2:L2490=A396)+(Recipes!O$2:O2490=A396)+(Recipes!R$2:R2490=A396)+(Recipes!U$2:U2490=A396)+(Recipes!X$2:X2490=A396))))"),"Spread Your Wings Scroll")</f>
        <v>Spread Your Wings Scroll</v>
      </c>
      <c r="C396" s="47" t="str">
        <f ca="1">IFERROR(__xludf.DUMMYFUNCTION("""COMPUTED_VALUE"""),"Bow String")</f>
        <v>Bow String</v>
      </c>
      <c r="D396" s="47"/>
      <c r="E396" s="47"/>
      <c r="F396" s="47"/>
      <c r="G396" s="47"/>
      <c r="H396" s="47"/>
      <c r="I396" s="47"/>
      <c r="J396" s="47"/>
      <c r="K396" s="47"/>
      <c r="L396" s="47"/>
      <c r="M396" s="47"/>
      <c r="N396" s="47"/>
      <c r="O396" s="47"/>
      <c r="P396" s="47"/>
      <c r="Q396" s="47"/>
      <c r="R396" s="47"/>
      <c r="S396" s="47"/>
      <c r="T396" s="47"/>
      <c r="U396" s="47"/>
      <c r="V396" s="47"/>
      <c r="W396" s="47"/>
      <c r="X396" s="47"/>
      <c r="Y396" s="47"/>
      <c r="Z396" s="47"/>
      <c r="AA396" s="47"/>
      <c r="AB396" s="47"/>
      <c r="AC396" s="47"/>
      <c r="AD396" s="47"/>
      <c r="AE396" s="47"/>
      <c r="AF396" s="47"/>
      <c r="AG396" s="47"/>
      <c r="AH396" s="47"/>
      <c r="AI396" s="47"/>
      <c r="AJ396" s="47"/>
      <c r="AK396" s="47"/>
      <c r="AL396" s="47"/>
      <c r="AM396" s="47"/>
      <c r="AN396" s="47"/>
      <c r="AO396" s="47"/>
      <c r="AP396" s="47"/>
      <c r="AQ396" s="47"/>
      <c r="AR396" s="47"/>
      <c r="AS396" s="47"/>
      <c r="AT396" s="47"/>
      <c r="AU396" s="47"/>
      <c r="AV396" s="47"/>
      <c r="AW396" s="47"/>
      <c r="AX396" s="47"/>
      <c r="AY396" s="47"/>
      <c r="AZ396" s="47"/>
      <c r="BA396" s="47"/>
      <c r="BB396" s="47"/>
      <c r="BC396" s="47"/>
      <c r="BD396" s="47"/>
      <c r="BE396" s="47"/>
      <c r="BF396" s="47"/>
      <c r="BG396" s="47"/>
      <c r="BH396" s="47"/>
      <c r="BI396" s="47"/>
      <c r="BJ396" s="47"/>
      <c r="BK396" s="47"/>
      <c r="BL396" s="47"/>
      <c r="BM396" s="47"/>
      <c r="BN396" s="47"/>
      <c r="BO396" s="47"/>
      <c r="BP396" s="47"/>
      <c r="BQ396" s="47"/>
      <c r="BR396" s="47"/>
      <c r="BS396" s="47"/>
      <c r="BT396" s="47"/>
      <c r="BU396" s="47"/>
      <c r="BV396" s="47"/>
      <c r="BW396" s="47"/>
      <c r="BX396" s="47"/>
      <c r="BY396" s="47"/>
      <c r="BZ396" s="47"/>
    </row>
    <row r="397" spans="1:78" ht="13">
      <c r="A397" s="152" t="str">
        <f ca="1">IFERROR(__xludf.DUMMYFUNCTION("""COMPUTED_VALUE"""),"Siphon Poison Scroll")</f>
        <v>Siphon Poison Scroll</v>
      </c>
      <c r="B397" s="47" t="str">
        <f ca="1">IFERROR(__xludf.DUMMYFUNCTION("TRANSPOSE(unique(filter(Recipes!A$2:A2490,(Recipes!L$2:L2490=A397)+(Recipes!O$2:O2490=A397)+(Recipes!R$2:R2490=A397)+(Recipes!U$2:U2490=A397)+(Recipes!X$2:X2490=A397))))"),"Siphon Poison Skillbook")</f>
        <v>Siphon Poison Skillbook</v>
      </c>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c r="AA397" s="47"/>
      <c r="AB397" s="47"/>
      <c r="AC397" s="47"/>
      <c r="AD397" s="47"/>
      <c r="AE397" s="47"/>
      <c r="AF397" s="47"/>
      <c r="AG397" s="47"/>
      <c r="AH397" s="47"/>
      <c r="AI397" s="47"/>
      <c r="AJ397" s="47"/>
      <c r="AK397" s="47"/>
      <c r="AL397" s="47"/>
      <c r="AM397" s="47"/>
      <c r="AN397" s="47"/>
      <c r="AO397" s="47"/>
      <c r="AP397" s="47"/>
      <c r="AQ397" s="47"/>
      <c r="AR397" s="47"/>
      <c r="AS397" s="47"/>
      <c r="AT397" s="47"/>
      <c r="AU397" s="47"/>
      <c r="AV397" s="47"/>
      <c r="AW397" s="47"/>
      <c r="AX397" s="47"/>
      <c r="AY397" s="47"/>
      <c r="AZ397" s="47"/>
      <c r="BA397" s="47"/>
      <c r="BB397" s="47"/>
      <c r="BC397" s="47"/>
      <c r="BD397" s="47"/>
      <c r="BE397" s="47"/>
      <c r="BF397" s="47"/>
      <c r="BG397" s="47"/>
      <c r="BH397" s="47"/>
      <c r="BI397" s="47"/>
      <c r="BJ397" s="47"/>
      <c r="BK397" s="47"/>
      <c r="BL397" s="47"/>
      <c r="BM397" s="47"/>
      <c r="BN397" s="47"/>
      <c r="BO397" s="47"/>
      <c r="BP397" s="47"/>
      <c r="BQ397" s="47"/>
      <c r="BR397" s="47"/>
      <c r="BS397" s="47"/>
      <c r="BT397" s="47"/>
      <c r="BU397" s="47"/>
      <c r="BV397" s="47"/>
      <c r="BW397" s="47"/>
      <c r="BX397" s="47"/>
      <c r="BY397" s="47"/>
      <c r="BZ397" s="47"/>
    </row>
    <row r="398" spans="1:78" ht="13">
      <c r="A398" s="152" t="str">
        <f ca="1">IFERROR(__xludf.DUMMYFUNCTION("""COMPUTED_VALUE"""),"Skin Graft Scroll")</f>
        <v>Skin Graft Scroll</v>
      </c>
      <c r="B398" s="47" t="str">
        <f ca="1">IFERROR(__xludf.DUMMYFUNCTION("TRANSPOSE(unique(filter(Recipes!A$2:A2490,(Recipes!L$2:L2490=A398)+(Recipes!O$2:O2490=A398)+(Recipes!R$2:R2490=A398)+(Recipes!U$2:U2490=A398)+(Recipes!X$2:X2490=A398))))"),"Skin Graft Skillbook")</f>
        <v>Skin Graft Skillbook</v>
      </c>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c r="AA398" s="47"/>
      <c r="AB398" s="47"/>
      <c r="AC398" s="47"/>
      <c r="AD398" s="47"/>
      <c r="AE398" s="47"/>
      <c r="AF398" s="47"/>
      <c r="AG398" s="47"/>
      <c r="AH398" s="47"/>
      <c r="AI398" s="47"/>
      <c r="AJ398" s="47"/>
      <c r="AK398" s="47"/>
      <c r="AL398" s="47"/>
      <c r="AM398" s="47"/>
      <c r="AN398" s="47"/>
      <c r="AO398" s="47"/>
      <c r="AP398" s="47"/>
      <c r="AQ398" s="47"/>
      <c r="AR398" s="47"/>
      <c r="AS398" s="47"/>
      <c r="AT398" s="47"/>
      <c r="AU398" s="47"/>
      <c r="AV398" s="47"/>
      <c r="AW398" s="47"/>
      <c r="AX398" s="47"/>
      <c r="AY398" s="47"/>
      <c r="AZ398" s="47"/>
      <c r="BA398" s="47"/>
      <c r="BB398" s="47"/>
      <c r="BC398" s="47"/>
      <c r="BD398" s="47"/>
      <c r="BE398" s="47"/>
      <c r="BF398" s="47"/>
      <c r="BG398" s="47"/>
      <c r="BH398" s="47"/>
      <c r="BI398" s="47"/>
      <c r="BJ398" s="47"/>
      <c r="BK398" s="47"/>
      <c r="BL398" s="47"/>
      <c r="BM398" s="47"/>
      <c r="BN398" s="47"/>
      <c r="BO398" s="47"/>
      <c r="BP398" s="47"/>
      <c r="BQ398" s="47"/>
      <c r="BR398" s="47"/>
      <c r="BS398" s="47"/>
      <c r="BT398" s="47"/>
      <c r="BU398" s="47"/>
      <c r="BV398" s="47"/>
      <c r="BW398" s="47"/>
      <c r="BX398" s="47"/>
      <c r="BY398" s="47"/>
      <c r="BZ398" s="47"/>
    </row>
    <row r="399" spans="1:78" ht="13">
      <c r="A399" s="152" t="str">
        <f ca="1">IFERROR(__xludf.DUMMYFUNCTION("""COMPUTED_VALUE"""),"Skull")</f>
        <v>Skull</v>
      </c>
      <c r="B399" s="47" t="str">
        <f ca="1">IFERROR(__xludf.DUMMYFUNCTION("TRANSPOSE(unique(filter(Recipes!A$2:A2490,(Recipes!L$2:L2490=A399)+(Recipes!O$2:O2490=A399)+(Recipes!R$2:R2490=A399)+(Recipes!U$2:U2490=A399)+(Recipes!X$2:X2490=A399))))"),"Makeshift Wand")</f>
        <v>Makeshift Wand</v>
      </c>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c r="AA399" s="47"/>
      <c r="AB399" s="47"/>
      <c r="AC399" s="47"/>
      <c r="AD399" s="47"/>
      <c r="AE399" s="47"/>
      <c r="AF399" s="47"/>
      <c r="AG399" s="47"/>
      <c r="AH399" s="47"/>
      <c r="AI399" s="47"/>
      <c r="AJ399" s="47"/>
      <c r="AK399" s="47"/>
      <c r="AL399" s="47"/>
      <c r="AM399" s="47"/>
      <c r="AN399" s="47"/>
      <c r="AO399" s="47"/>
      <c r="AP399" s="47"/>
      <c r="AQ399" s="47"/>
      <c r="AR399" s="47"/>
      <c r="AS399" s="47"/>
      <c r="AT399" s="47"/>
      <c r="AU399" s="47"/>
      <c r="AV399" s="47"/>
      <c r="AW399" s="47"/>
      <c r="AX399" s="47"/>
      <c r="AY399" s="47"/>
      <c r="AZ399" s="47"/>
      <c r="BA399" s="47"/>
      <c r="BB399" s="47"/>
      <c r="BC399" s="47"/>
      <c r="BD399" s="47"/>
      <c r="BE399" s="47"/>
      <c r="BF399" s="47"/>
      <c r="BG399" s="47"/>
      <c r="BH399" s="47"/>
      <c r="BI399" s="47"/>
      <c r="BJ399" s="47"/>
      <c r="BK399" s="47"/>
      <c r="BL399" s="47"/>
      <c r="BM399" s="47"/>
      <c r="BN399" s="47"/>
      <c r="BO399" s="47"/>
      <c r="BP399" s="47"/>
      <c r="BQ399" s="47"/>
      <c r="BR399" s="47"/>
      <c r="BS399" s="47"/>
      <c r="BT399" s="47"/>
      <c r="BU399" s="47"/>
      <c r="BV399" s="47"/>
      <c r="BW399" s="47"/>
      <c r="BX399" s="47"/>
      <c r="BY399" s="47"/>
      <c r="BZ399" s="47"/>
    </row>
    <row r="400" spans="1:78" ht="13">
      <c r="A400" s="152" t="str">
        <f ca="1">IFERROR(__xludf.DUMMYFUNCTION("""COMPUTED_VALUE"""),"Skull [Human]")</f>
        <v>Skull [Human]</v>
      </c>
      <c r="B400" s="47" t="str">
        <f ca="1">IFERROR(__xludf.DUMMYFUNCTION("TRANSPOSE(unique(filter(Recipes!A$2:A2490,(Recipes!L$2:L2490=A400)+(Recipes!O$2:O2490=A400)+(Recipes!R$2:R2490=A400)+(Recipes!U$2:U2490=A400)+(Recipes!X$2:X2490=A400))))"),"Shackles of Pain Scroll")</f>
        <v>Shackles of Pain Scroll</v>
      </c>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c r="AA400" s="47"/>
      <c r="AB400" s="47"/>
      <c r="AC400" s="47"/>
      <c r="AD400" s="47"/>
      <c r="AE400" s="47"/>
      <c r="AF400" s="47"/>
      <c r="AG400" s="47"/>
      <c r="AH400" s="47"/>
      <c r="AI400" s="47"/>
      <c r="AJ400" s="47"/>
      <c r="AK400" s="47"/>
      <c r="AL400" s="47"/>
      <c r="AM400" s="47"/>
      <c r="AN400" s="47"/>
      <c r="AO400" s="47"/>
      <c r="AP400" s="47"/>
      <c r="AQ400" s="47"/>
      <c r="AR400" s="47"/>
      <c r="AS400" s="47"/>
      <c r="AT400" s="47"/>
      <c r="AU400" s="47"/>
      <c r="AV400" s="47"/>
      <c r="AW400" s="47"/>
      <c r="AX400" s="47"/>
      <c r="AY400" s="47"/>
      <c r="AZ400" s="47"/>
      <c r="BA400" s="47"/>
      <c r="BB400" s="47"/>
      <c r="BC400" s="47"/>
      <c r="BD400" s="47"/>
      <c r="BE400" s="47"/>
      <c r="BF400" s="47"/>
      <c r="BG400" s="47"/>
      <c r="BH400" s="47"/>
      <c r="BI400" s="47"/>
      <c r="BJ400" s="47"/>
      <c r="BK400" s="47"/>
      <c r="BL400" s="47"/>
      <c r="BM400" s="47"/>
      <c r="BN400" s="47"/>
      <c r="BO400" s="47"/>
      <c r="BP400" s="47"/>
      <c r="BQ400" s="47"/>
      <c r="BR400" s="47"/>
      <c r="BS400" s="47"/>
      <c r="BT400" s="47"/>
      <c r="BU400" s="47"/>
      <c r="BV400" s="47"/>
      <c r="BW400" s="47"/>
      <c r="BX400" s="47"/>
      <c r="BY400" s="47"/>
      <c r="BZ400" s="47"/>
    </row>
    <row r="401" spans="1:78" ht="13">
      <c r="A401" s="152" t="str">
        <f ca="1">IFERROR(__xludf.DUMMYFUNCTION("""COMPUTED_VALUE"""),"Slime")</f>
        <v>Slime</v>
      </c>
      <c r="B401" s="47" t="str">
        <f ca="1">IFERROR(__xludf.DUMMYFUNCTION("TRANSPOSE(unique(filter(Recipes!A$2:A2490,(Recipes!L$2:L2490=A401)+(Recipes!O$2:O2490=A401)+(Recipes!R$2:R2490=A401)+(Recipes!U$2:U2490=A401)+(Recipes!X$2:X2490=A401))))"),"Poison Wave Scroll")</f>
        <v>Poison Wave Scroll</v>
      </c>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c r="AA401" s="47"/>
      <c r="AB401" s="47"/>
      <c r="AC401" s="47"/>
      <c r="AD401" s="47"/>
      <c r="AE401" s="47"/>
      <c r="AF401" s="47"/>
      <c r="AG401" s="47"/>
      <c r="AH401" s="47"/>
      <c r="AI401" s="47"/>
      <c r="AJ401" s="47"/>
      <c r="AK401" s="47"/>
      <c r="AL401" s="47"/>
      <c r="AM401" s="47"/>
      <c r="AN401" s="47"/>
      <c r="AO401" s="47"/>
      <c r="AP401" s="47"/>
      <c r="AQ401" s="47"/>
      <c r="AR401" s="47"/>
      <c r="AS401" s="47"/>
      <c r="AT401" s="47"/>
      <c r="AU401" s="47"/>
      <c r="AV401" s="47"/>
      <c r="AW401" s="47"/>
      <c r="AX401" s="47"/>
      <c r="AY401" s="47"/>
      <c r="AZ401" s="47"/>
      <c r="BA401" s="47"/>
      <c r="BB401" s="47"/>
      <c r="BC401" s="47"/>
      <c r="BD401" s="47"/>
      <c r="BE401" s="47"/>
      <c r="BF401" s="47"/>
      <c r="BG401" s="47"/>
      <c r="BH401" s="47"/>
      <c r="BI401" s="47"/>
      <c r="BJ401" s="47"/>
      <c r="BK401" s="47"/>
      <c r="BL401" s="47"/>
      <c r="BM401" s="47"/>
      <c r="BN401" s="47"/>
      <c r="BO401" s="47"/>
      <c r="BP401" s="47"/>
      <c r="BQ401" s="47"/>
      <c r="BR401" s="47"/>
      <c r="BS401" s="47"/>
      <c r="BT401" s="47"/>
      <c r="BU401" s="47"/>
      <c r="BV401" s="47"/>
      <c r="BW401" s="47"/>
      <c r="BX401" s="47"/>
      <c r="BY401" s="47"/>
      <c r="BZ401" s="47"/>
    </row>
    <row r="402" spans="1:78" ht="13">
      <c r="A402" s="152" t="str">
        <f ca="1">IFERROR(__xludf.DUMMYFUNCTION("""COMPUTED_VALUE"""),"Slowdown Arrowhead")</f>
        <v>Slowdown Arrowhead</v>
      </c>
      <c r="B402" s="47" t="str">
        <f ca="1">IFERROR(__xludf.DUMMYFUNCTION("TRANSPOSE(unique(filter(Recipes!A$2:A2490,(Recipes!L$2:L2490=A402)+(Recipes!O$2:O2490=A402)+(Recipes!R$2:R2490=A402)+(Recipes!U$2:U2490=A402)+(Recipes!X$2:X2490=A402))))"),"Slowdown Arrow")</f>
        <v>Slowdown Arrow</v>
      </c>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c r="AA402" s="47"/>
      <c r="AB402" s="47"/>
      <c r="AC402" s="47"/>
      <c r="AD402" s="47"/>
      <c r="AE402" s="47"/>
      <c r="AF402" s="47"/>
      <c r="AG402" s="47"/>
      <c r="AH402" s="47"/>
      <c r="AI402" s="47"/>
      <c r="AJ402" s="47"/>
      <c r="AK402" s="47"/>
      <c r="AL402" s="47"/>
      <c r="AM402" s="47"/>
      <c r="AN402" s="47"/>
      <c r="AO402" s="47"/>
      <c r="AP402" s="47"/>
      <c r="AQ402" s="47"/>
      <c r="AR402" s="47"/>
      <c r="AS402" s="47"/>
      <c r="AT402" s="47"/>
      <c r="AU402" s="47"/>
      <c r="AV402" s="47"/>
      <c r="AW402" s="47"/>
      <c r="AX402" s="47"/>
      <c r="AY402" s="47"/>
      <c r="AZ402" s="47"/>
      <c r="BA402" s="47"/>
      <c r="BB402" s="47"/>
      <c r="BC402" s="47"/>
      <c r="BD402" s="47"/>
      <c r="BE402" s="47"/>
      <c r="BF402" s="47"/>
      <c r="BG402" s="47"/>
      <c r="BH402" s="47"/>
      <c r="BI402" s="47"/>
      <c r="BJ402" s="47"/>
      <c r="BK402" s="47"/>
      <c r="BL402" s="47"/>
      <c r="BM402" s="47"/>
      <c r="BN402" s="47"/>
      <c r="BO402" s="47"/>
      <c r="BP402" s="47"/>
      <c r="BQ402" s="47"/>
      <c r="BR402" s="47"/>
      <c r="BS402" s="47"/>
      <c r="BT402" s="47"/>
      <c r="BU402" s="47"/>
      <c r="BV402" s="47"/>
      <c r="BW402" s="47"/>
      <c r="BX402" s="47"/>
      <c r="BY402" s="47"/>
      <c r="BZ402" s="47"/>
    </row>
    <row r="403" spans="1:78" ht="13">
      <c r="A403" s="152" t="str">
        <f ca="1">IFERROR(__xludf.DUMMYFUNCTION("""COMPUTED_VALUE"""),"Small Air Resistance Potion")</f>
        <v>Small Air Resistance Potion</v>
      </c>
      <c r="B403" s="47" t="str">
        <f ca="1">IFERROR(__xludf.DUMMYFUNCTION("TRANSPOSE(unique(filter(Recipes!A$2:A2490,(Recipes!L$2:L2490=A403)+(Recipes!O$2:O2490=A403)+(Recipes!R$2:R2490=A403)+(Recipes!U$2:U2490=A403)+(Recipes!X$2:X2490=A403))))"),"Razze Dazzle Grenade")</f>
        <v>Razze Dazzle Grenade</v>
      </c>
      <c r="C403" s="47" t="str">
        <f ca="1">IFERROR(__xludf.DUMMYFUNCTION("""COMPUTED_VALUE"""),"Medium Air Resistance Potion")</f>
        <v>Medium Air Resistance Potion</v>
      </c>
      <c r="D403" s="47"/>
      <c r="E403" s="47"/>
      <c r="F403" s="47"/>
      <c r="G403" s="47"/>
      <c r="H403" s="47"/>
      <c r="I403" s="47"/>
      <c r="J403" s="47"/>
      <c r="K403" s="47"/>
      <c r="L403" s="47"/>
      <c r="M403" s="47"/>
      <c r="N403" s="47"/>
      <c r="O403" s="47"/>
      <c r="P403" s="47"/>
      <c r="Q403" s="47"/>
      <c r="R403" s="47"/>
      <c r="S403" s="47"/>
      <c r="T403" s="47"/>
      <c r="U403" s="47"/>
      <c r="V403" s="47"/>
      <c r="W403" s="47"/>
      <c r="X403" s="47"/>
      <c r="Y403" s="47"/>
      <c r="Z403" s="47"/>
      <c r="AA403" s="47"/>
      <c r="AB403" s="47"/>
      <c r="AC403" s="47"/>
      <c r="AD403" s="47"/>
      <c r="AE403" s="47"/>
      <c r="AF403" s="47"/>
      <c r="AG403" s="47"/>
      <c r="AH403" s="47"/>
      <c r="AI403" s="47"/>
      <c r="AJ403" s="47"/>
      <c r="AK403" s="47"/>
      <c r="AL403" s="47"/>
      <c r="AM403" s="47"/>
      <c r="AN403" s="47"/>
      <c r="AO403" s="47"/>
      <c r="AP403" s="47"/>
      <c r="AQ403" s="47"/>
      <c r="AR403" s="47"/>
      <c r="AS403" s="47"/>
      <c r="AT403" s="47"/>
      <c r="AU403" s="47"/>
      <c r="AV403" s="47"/>
      <c r="AW403" s="47"/>
      <c r="AX403" s="47"/>
      <c r="AY403" s="47"/>
      <c r="AZ403" s="47"/>
      <c r="BA403" s="47"/>
      <c r="BB403" s="47"/>
      <c r="BC403" s="47"/>
      <c r="BD403" s="47"/>
      <c r="BE403" s="47"/>
      <c r="BF403" s="47"/>
      <c r="BG403" s="47"/>
      <c r="BH403" s="47"/>
      <c r="BI403" s="47"/>
      <c r="BJ403" s="47"/>
      <c r="BK403" s="47"/>
      <c r="BL403" s="47"/>
      <c r="BM403" s="47"/>
      <c r="BN403" s="47"/>
      <c r="BO403" s="47"/>
      <c r="BP403" s="47"/>
      <c r="BQ403" s="47"/>
      <c r="BR403" s="47"/>
      <c r="BS403" s="47"/>
      <c r="BT403" s="47"/>
      <c r="BU403" s="47"/>
      <c r="BV403" s="47"/>
      <c r="BW403" s="47"/>
      <c r="BX403" s="47"/>
      <c r="BY403" s="47"/>
      <c r="BZ403" s="47"/>
    </row>
    <row r="404" spans="1:78" ht="13">
      <c r="A404" s="152" t="str">
        <f ca="1">IFERROR(__xludf.DUMMYFUNCTION("""COMPUTED_VALUE"""),"Small Flame Rune")</f>
        <v>Small Flame Rune</v>
      </c>
      <c r="B404" s="47" t="str">
        <f ca="1">IFERROR(__xludf.DUMMYFUNCTION("TRANSPOSE(unique(filter(Recipes!A$2:A2490,(Recipes!L$2:L2490=A404)+(Recipes!O$2:O2490=A404)+(Recipes!R$2:R2490=A404)+(Recipes!U$2:U2490=A404)+(Recipes!X$2:X2490=A404))))"),"Medium Flame Rune")</f>
        <v>Medium Flame Rune</v>
      </c>
      <c r="C404" s="47" t="str">
        <f ca="1">IFERROR(__xludf.DUMMYFUNCTION("""COMPUTED_VALUE"""),"Mystical Small Flame Rune")</f>
        <v>Mystical Small Flame Rune</v>
      </c>
      <c r="D404" s="47" t="str">
        <f ca="1">IFERROR(__xludf.DUMMYFUNCTION("""COMPUTED_VALUE"""),"Small Flame Rune of Power")</f>
        <v>Small Flame Rune of Power</v>
      </c>
      <c r="E404" s="47"/>
      <c r="F404" s="47"/>
      <c r="G404" s="47"/>
      <c r="H404" s="47"/>
      <c r="I404" s="47"/>
      <c r="J404" s="47"/>
      <c r="K404" s="47"/>
      <c r="L404" s="47"/>
      <c r="M404" s="47"/>
      <c r="N404" s="47"/>
      <c r="O404" s="47"/>
      <c r="P404" s="47"/>
      <c r="Q404" s="47"/>
      <c r="R404" s="47"/>
      <c r="S404" s="47"/>
      <c r="T404" s="47"/>
      <c r="U404" s="47"/>
      <c r="V404" s="47"/>
      <c r="W404" s="47"/>
      <c r="X404" s="47"/>
      <c r="Y404" s="47"/>
      <c r="Z404" s="47"/>
      <c r="AA404" s="47"/>
      <c r="AB404" s="47"/>
      <c r="AC404" s="47"/>
      <c r="AD404" s="47"/>
      <c r="AE404" s="47"/>
      <c r="AF404" s="47"/>
      <c r="AG404" s="47"/>
      <c r="AH404" s="47"/>
      <c r="AI404" s="47"/>
      <c r="AJ404" s="47"/>
      <c r="AK404" s="47"/>
      <c r="AL404" s="47"/>
      <c r="AM404" s="47"/>
      <c r="AN404" s="47"/>
      <c r="AO404" s="47"/>
      <c r="AP404" s="47"/>
      <c r="AQ404" s="47"/>
      <c r="AR404" s="47"/>
      <c r="AS404" s="47"/>
      <c r="AT404" s="47"/>
      <c r="AU404" s="47"/>
      <c r="AV404" s="47"/>
      <c r="AW404" s="47"/>
      <c r="AX404" s="47"/>
      <c r="AY404" s="47"/>
      <c r="AZ404" s="47"/>
      <c r="BA404" s="47"/>
      <c r="BB404" s="47"/>
      <c r="BC404" s="47"/>
      <c r="BD404" s="47"/>
      <c r="BE404" s="47"/>
      <c r="BF404" s="47"/>
      <c r="BG404" s="47"/>
      <c r="BH404" s="47"/>
      <c r="BI404" s="47"/>
      <c r="BJ404" s="47"/>
      <c r="BK404" s="47"/>
      <c r="BL404" s="47"/>
      <c r="BM404" s="47"/>
      <c r="BN404" s="47"/>
      <c r="BO404" s="47"/>
      <c r="BP404" s="47"/>
      <c r="BQ404" s="47"/>
      <c r="BR404" s="47"/>
      <c r="BS404" s="47"/>
      <c r="BT404" s="47"/>
      <c r="BU404" s="47"/>
      <c r="BV404" s="47"/>
      <c r="BW404" s="47"/>
      <c r="BX404" s="47"/>
      <c r="BY404" s="47"/>
      <c r="BZ404" s="47"/>
    </row>
    <row r="405" spans="1:78" ht="13">
      <c r="A405" s="152" t="str">
        <f ca="1">IFERROR(__xludf.DUMMYFUNCTION("""COMPUTED_VALUE"""),"Small Frost Rune")</f>
        <v>Small Frost Rune</v>
      </c>
      <c r="B405" s="47" t="str">
        <f ca="1">IFERROR(__xludf.DUMMYFUNCTION("TRANSPOSE(unique(filter(Recipes!A$2:A2490,(Recipes!L$2:L2490=A405)+(Recipes!O$2:O2490=A405)+(Recipes!R$2:R2490=A405)+(Recipes!U$2:U2490=A405)+(Recipes!X$2:X2490=A405))))"),"Medium Frost Rune")</f>
        <v>Medium Frost Rune</v>
      </c>
      <c r="C405" s="47" t="str">
        <f ca="1">IFERROR(__xludf.DUMMYFUNCTION("""COMPUTED_VALUE"""),"Mystical Small Frost Rune")</f>
        <v>Mystical Small Frost Rune</v>
      </c>
      <c r="D405" s="47" t="str">
        <f ca="1">IFERROR(__xludf.DUMMYFUNCTION("""COMPUTED_VALUE"""),"Small Frost Rune of Power")</f>
        <v>Small Frost Rune of Power</v>
      </c>
      <c r="E405" s="47"/>
      <c r="F405" s="47"/>
      <c r="G405" s="47"/>
      <c r="H405" s="47"/>
      <c r="I405" s="47"/>
      <c r="J405" s="47"/>
      <c r="K405" s="47"/>
      <c r="L405" s="47"/>
      <c r="M405" s="47"/>
      <c r="N405" s="47"/>
      <c r="O405" s="47"/>
      <c r="P405" s="47"/>
      <c r="Q405" s="47"/>
      <c r="R405" s="47"/>
      <c r="S405" s="47"/>
      <c r="T405" s="47"/>
      <c r="U405" s="47"/>
      <c r="V405" s="47"/>
      <c r="W405" s="47"/>
      <c r="X405" s="47"/>
      <c r="Y405" s="47"/>
      <c r="Z405" s="47"/>
      <c r="AA405" s="47"/>
      <c r="AB405" s="47"/>
      <c r="AC405" s="47"/>
      <c r="AD405" s="47"/>
      <c r="AE405" s="47"/>
      <c r="AF405" s="47"/>
      <c r="AG405" s="47"/>
      <c r="AH405" s="47"/>
      <c r="AI405" s="47"/>
      <c r="AJ405" s="47"/>
      <c r="AK405" s="47"/>
      <c r="AL405" s="47"/>
      <c r="AM405" s="47"/>
      <c r="AN405" s="47"/>
      <c r="AO405" s="47"/>
      <c r="AP405" s="47"/>
      <c r="AQ405" s="47"/>
      <c r="AR405" s="47"/>
      <c r="AS405" s="47"/>
      <c r="AT405" s="47"/>
      <c r="AU405" s="47"/>
      <c r="AV405" s="47"/>
      <c r="AW405" s="47"/>
      <c r="AX405" s="47"/>
      <c r="AY405" s="47"/>
      <c r="AZ405" s="47"/>
      <c r="BA405" s="47"/>
      <c r="BB405" s="47"/>
      <c r="BC405" s="47"/>
      <c r="BD405" s="47"/>
      <c r="BE405" s="47"/>
      <c r="BF405" s="47"/>
      <c r="BG405" s="47"/>
      <c r="BH405" s="47"/>
      <c r="BI405" s="47"/>
      <c r="BJ405" s="47"/>
      <c r="BK405" s="47"/>
      <c r="BL405" s="47"/>
      <c r="BM405" s="47"/>
      <c r="BN405" s="47"/>
      <c r="BO405" s="47"/>
      <c r="BP405" s="47"/>
      <c r="BQ405" s="47"/>
      <c r="BR405" s="47"/>
      <c r="BS405" s="47"/>
      <c r="BT405" s="47"/>
      <c r="BU405" s="47"/>
      <c r="BV405" s="47"/>
      <c r="BW405" s="47"/>
      <c r="BX405" s="47"/>
      <c r="BY405" s="47"/>
      <c r="BZ405" s="47"/>
    </row>
    <row r="406" spans="1:78" ht="13">
      <c r="A406" s="152" t="str">
        <f ca="1">IFERROR(__xludf.DUMMYFUNCTION("""COMPUTED_VALUE"""),"Small Magic Armor Potion")</f>
        <v>Small Magic Armor Potion</v>
      </c>
      <c r="B406" s="47" t="str">
        <f ca="1">IFERROR(__xludf.DUMMYFUNCTION("TRANSPOSE(unique(filter(Recipes!A$2:A2490,(Recipes!L$2:L2490=A406)+(Recipes!O$2:O2490=A406)+(Recipes!R$2:R2490=A406)+(Recipes!U$2:U2490=A406)+(Recipes!X$2:X2490=A406))))"),"Medium Magic Armor Potion")</f>
        <v>Medium Magic Armor Potion</v>
      </c>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c r="AA406" s="47"/>
      <c r="AB406" s="47"/>
      <c r="AC406" s="47"/>
      <c r="AD406" s="47"/>
      <c r="AE406" s="47"/>
      <c r="AF406" s="47"/>
      <c r="AG406" s="47"/>
      <c r="AH406" s="47"/>
      <c r="AI406" s="47"/>
      <c r="AJ406" s="47"/>
      <c r="AK406" s="47"/>
      <c r="AL406" s="47"/>
      <c r="AM406" s="47"/>
      <c r="AN406" s="47"/>
      <c r="AO406" s="47"/>
      <c r="AP406" s="47"/>
      <c r="AQ406" s="47"/>
      <c r="AR406" s="47"/>
      <c r="AS406" s="47"/>
      <c r="AT406" s="47"/>
      <c r="AU406" s="47"/>
      <c r="AV406" s="47"/>
      <c r="AW406" s="47"/>
      <c r="AX406" s="47"/>
      <c r="AY406" s="47"/>
      <c r="AZ406" s="47"/>
      <c r="BA406" s="47"/>
      <c r="BB406" s="47"/>
      <c r="BC406" s="47"/>
      <c r="BD406" s="47"/>
      <c r="BE406" s="47"/>
      <c r="BF406" s="47"/>
      <c r="BG406" s="47"/>
      <c r="BH406" s="47"/>
      <c r="BI406" s="47"/>
      <c r="BJ406" s="47"/>
      <c r="BK406" s="47"/>
      <c r="BL406" s="47"/>
      <c r="BM406" s="47"/>
      <c r="BN406" s="47"/>
      <c r="BO406" s="47"/>
      <c r="BP406" s="47"/>
      <c r="BQ406" s="47"/>
      <c r="BR406" s="47"/>
      <c r="BS406" s="47"/>
      <c r="BT406" s="47"/>
      <c r="BU406" s="47"/>
      <c r="BV406" s="47"/>
      <c r="BW406" s="47"/>
      <c r="BX406" s="47"/>
      <c r="BY406" s="47"/>
      <c r="BZ406" s="47"/>
    </row>
    <row r="407" spans="1:78" ht="13">
      <c r="A407" s="152" t="str">
        <f ca="1">IFERROR(__xludf.DUMMYFUNCTION("""COMPUTED_VALUE"""),"Small Masterwork Rune")</f>
        <v>Small Masterwork Rune</v>
      </c>
      <c r="B407" s="47" t="str">
        <f ca="1">IFERROR(__xludf.DUMMYFUNCTION("TRANSPOSE(unique(filter(Recipes!A$2:A2490,(Recipes!L$2:L2490=A407)+(Recipes!O$2:O2490=A407)+(Recipes!R$2:R2490=A407)+(Recipes!U$2:U2490=A407)+(Recipes!X$2:X2490=A407))))"),"Medium Masterwork Rune")</f>
        <v>Medium Masterwork Rune</v>
      </c>
      <c r="C407" s="47" t="str">
        <f ca="1">IFERROR(__xludf.DUMMYFUNCTION("""COMPUTED_VALUE"""),"Mystical Small Masterwork Rune")</f>
        <v>Mystical Small Masterwork Rune</v>
      </c>
      <c r="D407" s="47" t="str">
        <f ca="1">IFERROR(__xludf.DUMMYFUNCTION("""COMPUTED_VALUE"""),"Small Masterwork Rune of Power")</f>
        <v>Small Masterwork Rune of Power</v>
      </c>
      <c r="E407" s="47"/>
      <c r="F407" s="47"/>
      <c r="G407" s="47"/>
      <c r="H407" s="47"/>
      <c r="I407" s="47"/>
      <c r="J407" s="47"/>
      <c r="K407" s="47"/>
      <c r="L407" s="47"/>
      <c r="M407" s="47"/>
      <c r="N407" s="47"/>
      <c r="O407" s="47"/>
      <c r="P407" s="47"/>
      <c r="Q407" s="47"/>
      <c r="R407" s="47"/>
      <c r="S407" s="47"/>
      <c r="T407" s="47"/>
      <c r="U407" s="47"/>
      <c r="V407" s="47"/>
      <c r="W407" s="47"/>
      <c r="X407" s="47"/>
      <c r="Y407" s="47"/>
      <c r="Z407" s="47"/>
      <c r="AA407" s="47"/>
      <c r="AB407" s="47"/>
      <c r="AC407" s="47"/>
      <c r="AD407" s="47"/>
      <c r="AE407" s="47"/>
      <c r="AF407" s="47"/>
      <c r="AG407" s="47"/>
      <c r="AH407" s="47"/>
      <c r="AI407" s="47"/>
      <c r="AJ407" s="47"/>
      <c r="AK407" s="47"/>
      <c r="AL407" s="47"/>
      <c r="AM407" s="47"/>
      <c r="AN407" s="47"/>
      <c r="AO407" s="47"/>
      <c r="AP407" s="47"/>
      <c r="AQ407" s="47"/>
      <c r="AR407" s="47"/>
      <c r="AS407" s="47"/>
      <c r="AT407" s="47"/>
      <c r="AU407" s="47"/>
      <c r="AV407" s="47"/>
      <c r="AW407" s="47"/>
      <c r="AX407" s="47"/>
      <c r="AY407" s="47"/>
      <c r="AZ407" s="47"/>
      <c r="BA407" s="47"/>
      <c r="BB407" s="47"/>
      <c r="BC407" s="47"/>
      <c r="BD407" s="47"/>
      <c r="BE407" s="47"/>
      <c r="BF407" s="47"/>
      <c r="BG407" s="47"/>
      <c r="BH407" s="47"/>
      <c r="BI407" s="47"/>
      <c r="BJ407" s="47"/>
      <c r="BK407" s="47"/>
      <c r="BL407" s="47"/>
      <c r="BM407" s="47"/>
      <c r="BN407" s="47"/>
      <c r="BO407" s="47"/>
      <c r="BP407" s="47"/>
      <c r="BQ407" s="47"/>
      <c r="BR407" s="47"/>
      <c r="BS407" s="47"/>
      <c r="BT407" s="47"/>
      <c r="BU407" s="47"/>
      <c r="BV407" s="47"/>
      <c r="BW407" s="47"/>
      <c r="BX407" s="47"/>
      <c r="BY407" s="47"/>
      <c r="BZ407" s="47"/>
    </row>
    <row r="408" spans="1:78" ht="13">
      <c r="A408" s="152" t="str">
        <f ca="1">IFERROR(__xludf.DUMMYFUNCTION("""COMPUTED_VALUE"""),"Small Poison Bottle")</f>
        <v>Small Poison Bottle</v>
      </c>
      <c r="B408" s="47" t="str">
        <f ca="1">IFERROR(__xludf.DUMMYFUNCTION("TRANSPOSE(unique(filter(Recipes!A$2:A2490,(Recipes!L$2:L2490=A408)+(Recipes!O$2:O2490=A408)+(Recipes!R$2:R2490=A408)+(Recipes!U$2:U2490=A408)+(Recipes!X$2:X2490=A408))))"),"Void-Enhanced Poison")</f>
        <v>Void-Enhanced Poison</v>
      </c>
      <c r="C408" s="47" t="str">
        <f ca="1">IFERROR(__xludf.DUMMYFUNCTION("""COMPUTED_VALUE"""),"Medium Poison Bottle")</f>
        <v>Medium Poison Bottle</v>
      </c>
      <c r="D408" s="47" t="str">
        <f ca="1">IFERROR(__xludf.DUMMYFUNCTION("""COMPUTED_VALUE"""),"Minor Healing Potion [Poisoned]")</f>
        <v>Minor Healing Potion [Poisoned]</v>
      </c>
      <c r="E408" s="47"/>
      <c r="F408" s="47"/>
      <c r="G408" s="47"/>
      <c r="H408" s="47"/>
      <c r="I408" s="47"/>
      <c r="J408" s="47"/>
      <c r="K408" s="47"/>
      <c r="L408" s="47"/>
      <c r="M408" s="47"/>
      <c r="N408" s="47"/>
      <c r="O408" s="47"/>
      <c r="P408" s="47"/>
      <c r="Q408" s="47"/>
      <c r="R408" s="47"/>
      <c r="S408" s="47"/>
      <c r="T408" s="47"/>
      <c r="U408" s="47"/>
      <c r="V408" s="47"/>
      <c r="W408" s="47"/>
      <c r="X408" s="47"/>
      <c r="Y408" s="47"/>
      <c r="Z408" s="47"/>
      <c r="AA408" s="47"/>
      <c r="AB408" s="47"/>
      <c r="AC408" s="47"/>
      <c r="AD408" s="47"/>
      <c r="AE408" s="47"/>
      <c r="AF408" s="47"/>
      <c r="AG408" s="47"/>
      <c r="AH408" s="47"/>
      <c r="AI408" s="47"/>
      <c r="AJ408" s="47"/>
      <c r="AK408" s="47"/>
      <c r="AL408" s="47"/>
      <c r="AM408" s="47"/>
      <c r="AN408" s="47"/>
      <c r="AO408" s="47"/>
      <c r="AP408" s="47"/>
      <c r="AQ408" s="47"/>
      <c r="AR408" s="47"/>
      <c r="AS408" s="47"/>
      <c r="AT408" s="47"/>
      <c r="AU408" s="47"/>
      <c r="AV408" s="47"/>
      <c r="AW408" s="47"/>
      <c r="AX408" s="47"/>
      <c r="AY408" s="47"/>
      <c r="AZ408" s="47"/>
      <c r="BA408" s="47"/>
      <c r="BB408" s="47"/>
      <c r="BC408" s="47"/>
      <c r="BD408" s="47"/>
      <c r="BE408" s="47"/>
      <c r="BF408" s="47"/>
      <c r="BG408" s="47"/>
      <c r="BH408" s="47"/>
      <c r="BI408" s="47"/>
      <c r="BJ408" s="47"/>
      <c r="BK408" s="47"/>
      <c r="BL408" s="47"/>
      <c r="BM408" s="47"/>
      <c r="BN408" s="47"/>
      <c r="BO408" s="47"/>
      <c r="BP408" s="47"/>
      <c r="BQ408" s="47"/>
      <c r="BR408" s="47"/>
      <c r="BS408" s="47"/>
      <c r="BT408" s="47"/>
      <c r="BU408" s="47"/>
      <c r="BV408" s="47"/>
      <c r="BW408" s="47"/>
      <c r="BX408" s="47"/>
      <c r="BY408" s="47"/>
      <c r="BZ408" s="47"/>
    </row>
    <row r="409" spans="1:78" ht="13">
      <c r="A409" s="152" t="str">
        <f ca="1">IFERROR(__xludf.DUMMYFUNCTION("""COMPUTED_VALUE"""),"Small Rock Rune")</f>
        <v>Small Rock Rune</v>
      </c>
      <c r="B409" s="47" t="str">
        <f ca="1">IFERROR(__xludf.DUMMYFUNCTION("TRANSPOSE(unique(filter(Recipes!A$2:A2490,(Recipes!L$2:L2490=A409)+(Recipes!O$2:O2490=A409)+(Recipes!R$2:R2490=A409)+(Recipes!U$2:U2490=A409)+(Recipes!X$2:X2490=A409))))"),"Medium Rock Rune")</f>
        <v>Medium Rock Rune</v>
      </c>
      <c r="C409" s="47" t="str">
        <f ca="1">IFERROR(__xludf.DUMMYFUNCTION("""COMPUTED_VALUE"""),"Mystical Small Rock Rune")</f>
        <v>Mystical Small Rock Rune</v>
      </c>
      <c r="D409" s="47" t="str">
        <f ca="1">IFERROR(__xludf.DUMMYFUNCTION("""COMPUTED_VALUE"""),"Small Rock Rune of Power")</f>
        <v>Small Rock Rune of Power</v>
      </c>
      <c r="E409" s="47"/>
      <c r="F409" s="47"/>
      <c r="G409" s="47"/>
      <c r="H409" s="47"/>
      <c r="I409" s="47"/>
      <c r="J409" s="47"/>
      <c r="K409" s="47"/>
      <c r="L409" s="47"/>
      <c r="M409" s="47"/>
      <c r="N409" s="47"/>
      <c r="O409" s="47"/>
      <c r="P409" s="47"/>
      <c r="Q409" s="47"/>
      <c r="R409" s="47"/>
      <c r="S409" s="47"/>
      <c r="T409" s="47"/>
      <c r="U409" s="47"/>
      <c r="V409" s="47"/>
      <c r="W409" s="47"/>
      <c r="X409" s="47"/>
      <c r="Y409" s="47"/>
      <c r="Z409" s="47"/>
      <c r="AA409" s="47"/>
      <c r="AB409" s="47"/>
      <c r="AC409" s="47"/>
      <c r="AD409" s="47"/>
      <c r="AE409" s="47"/>
      <c r="AF409" s="47"/>
      <c r="AG409" s="47"/>
      <c r="AH409" s="47"/>
      <c r="AI409" s="47"/>
      <c r="AJ409" s="47"/>
      <c r="AK409" s="47"/>
      <c r="AL409" s="47"/>
      <c r="AM409" s="47"/>
      <c r="AN409" s="47"/>
      <c r="AO409" s="47"/>
      <c r="AP409" s="47"/>
      <c r="AQ409" s="47"/>
      <c r="AR409" s="47"/>
      <c r="AS409" s="47"/>
      <c r="AT409" s="47"/>
      <c r="AU409" s="47"/>
      <c r="AV409" s="47"/>
      <c r="AW409" s="47"/>
      <c r="AX409" s="47"/>
      <c r="AY409" s="47"/>
      <c r="AZ409" s="47"/>
      <c r="BA409" s="47"/>
      <c r="BB409" s="47"/>
      <c r="BC409" s="47"/>
      <c r="BD409" s="47"/>
      <c r="BE409" s="47"/>
      <c r="BF409" s="47"/>
      <c r="BG409" s="47"/>
      <c r="BH409" s="47"/>
      <c r="BI409" s="47"/>
      <c r="BJ409" s="47"/>
      <c r="BK409" s="47"/>
      <c r="BL409" s="47"/>
      <c r="BM409" s="47"/>
      <c r="BN409" s="47"/>
      <c r="BO409" s="47"/>
      <c r="BP409" s="47"/>
      <c r="BQ409" s="47"/>
      <c r="BR409" s="47"/>
      <c r="BS409" s="47"/>
      <c r="BT409" s="47"/>
      <c r="BU409" s="47"/>
      <c r="BV409" s="47"/>
      <c r="BW409" s="47"/>
      <c r="BX409" s="47"/>
      <c r="BY409" s="47"/>
      <c r="BZ409" s="47"/>
    </row>
    <row r="410" spans="1:78" ht="13">
      <c r="A410" s="152" t="str">
        <f ca="1">IFERROR(__xludf.DUMMYFUNCTION("""COMPUTED_VALUE"""),"Small Thunder Rune")</f>
        <v>Small Thunder Rune</v>
      </c>
      <c r="B410" s="47" t="str">
        <f ca="1">IFERROR(__xludf.DUMMYFUNCTION("TRANSPOSE(unique(filter(Recipes!A$2:A2490,(Recipes!L$2:L2490=A410)+(Recipes!O$2:O2490=A410)+(Recipes!R$2:R2490=A410)+(Recipes!U$2:U2490=A410)+(Recipes!X$2:X2490=A410))))"),"Medium Thunder Rune")</f>
        <v>Medium Thunder Rune</v>
      </c>
      <c r="C410" s="47" t="str">
        <f ca="1">IFERROR(__xludf.DUMMYFUNCTION("""COMPUTED_VALUE"""),"Mystical Small Thunder Rune")</f>
        <v>Mystical Small Thunder Rune</v>
      </c>
      <c r="D410" s="47" t="str">
        <f ca="1">IFERROR(__xludf.DUMMYFUNCTION("""COMPUTED_VALUE"""),"Small Thunder Rune of Power")</f>
        <v>Small Thunder Rune of Power</v>
      </c>
      <c r="E410" s="47"/>
      <c r="F410" s="47"/>
      <c r="G410" s="47"/>
      <c r="H410" s="47"/>
      <c r="I410" s="47"/>
      <c r="J410" s="47"/>
      <c r="K410" s="47"/>
      <c r="L410" s="47"/>
      <c r="M410" s="47"/>
      <c r="N410" s="47"/>
      <c r="O410" s="47"/>
      <c r="P410" s="47"/>
      <c r="Q410" s="47"/>
      <c r="R410" s="47"/>
      <c r="S410" s="47"/>
      <c r="T410" s="47"/>
      <c r="U410" s="47"/>
      <c r="V410" s="47"/>
      <c r="W410" s="47"/>
      <c r="X410" s="47"/>
      <c r="Y410" s="47"/>
      <c r="Z410" s="47"/>
      <c r="AA410" s="47"/>
      <c r="AB410" s="47"/>
      <c r="AC410" s="47"/>
      <c r="AD410" s="47"/>
      <c r="AE410" s="47"/>
      <c r="AF410" s="47"/>
      <c r="AG410" s="47"/>
      <c r="AH410" s="47"/>
      <c r="AI410" s="47"/>
      <c r="AJ410" s="47"/>
      <c r="AK410" s="47"/>
      <c r="AL410" s="47"/>
      <c r="AM410" s="47"/>
      <c r="AN410" s="47"/>
      <c r="AO410" s="47"/>
      <c r="AP410" s="47"/>
      <c r="AQ410" s="47"/>
      <c r="AR410" s="47"/>
      <c r="AS410" s="47"/>
      <c r="AT410" s="47"/>
      <c r="AU410" s="47"/>
      <c r="AV410" s="47"/>
      <c r="AW410" s="47"/>
      <c r="AX410" s="47"/>
      <c r="AY410" s="47"/>
      <c r="AZ410" s="47"/>
      <c r="BA410" s="47"/>
      <c r="BB410" s="47"/>
      <c r="BC410" s="47"/>
      <c r="BD410" s="47"/>
      <c r="BE410" s="47"/>
      <c r="BF410" s="47"/>
      <c r="BG410" s="47"/>
      <c r="BH410" s="47"/>
      <c r="BI410" s="47"/>
      <c r="BJ410" s="47"/>
      <c r="BK410" s="47"/>
      <c r="BL410" s="47"/>
      <c r="BM410" s="47"/>
      <c r="BN410" s="47"/>
      <c r="BO410" s="47"/>
      <c r="BP410" s="47"/>
      <c r="BQ410" s="47"/>
      <c r="BR410" s="47"/>
      <c r="BS410" s="47"/>
      <c r="BT410" s="47"/>
      <c r="BU410" s="47"/>
      <c r="BV410" s="47"/>
      <c r="BW410" s="47"/>
      <c r="BX410" s="47"/>
      <c r="BY410" s="47"/>
      <c r="BZ410" s="47"/>
    </row>
    <row r="411" spans="1:78" ht="13">
      <c r="A411" s="152" t="str">
        <f ca="1">IFERROR(__xludf.DUMMYFUNCTION("""COMPUTED_VALUE"""),"Small Venom Rune")</f>
        <v>Small Venom Rune</v>
      </c>
      <c r="B411" s="47" t="str">
        <f ca="1">IFERROR(__xludf.DUMMYFUNCTION("TRANSPOSE(unique(filter(Recipes!A$2:A2490,(Recipes!L$2:L2490=A411)+(Recipes!O$2:O2490=A411)+(Recipes!R$2:R2490=A411)+(Recipes!U$2:U2490=A411)+(Recipes!X$2:X2490=A411))))"),"Medium Venom Rune")</f>
        <v>Medium Venom Rune</v>
      </c>
      <c r="C411" s="47" t="str">
        <f ca="1">IFERROR(__xludf.DUMMYFUNCTION("""COMPUTED_VALUE"""),"Mystical Small Venom Rune")</f>
        <v>Mystical Small Venom Rune</v>
      </c>
      <c r="D411" s="47" t="str">
        <f ca="1">IFERROR(__xludf.DUMMYFUNCTION("""COMPUTED_VALUE"""),"Small Venom Rune of Power")</f>
        <v>Small Venom Rune of Power</v>
      </c>
      <c r="E411" s="47"/>
      <c r="F411" s="47"/>
      <c r="G411" s="47"/>
      <c r="H411" s="47"/>
      <c r="I411" s="47"/>
      <c r="J411" s="47"/>
      <c r="K411" s="47"/>
      <c r="L411" s="47"/>
      <c r="M411" s="47"/>
      <c r="N411" s="47"/>
      <c r="O411" s="47"/>
      <c r="P411" s="47"/>
      <c r="Q411" s="47"/>
      <c r="R411" s="47"/>
      <c r="S411" s="47"/>
      <c r="T411" s="47"/>
      <c r="U411" s="47"/>
      <c r="V411" s="47"/>
      <c r="W411" s="47"/>
      <c r="X411" s="47"/>
      <c r="Y411" s="47"/>
      <c r="Z411" s="47"/>
      <c r="AA411" s="47"/>
      <c r="AB411" s="47"/>
      <c r="AC411" s="47"/>
      <c r="AD411" s="47"/>
      <c r="AE411" s="47"/>
      <c r="AF411" s="47"/>
      <c r="AG411" s="47"/>
      <c r="AH411" s="47"/>
      <c r="AI411" s="47"/>
      <c r="AJ411" s="47"/>
      <c r="AK411" s="47"/>
      <c r="AL411" s="47"/>
      <c r="AM411" s="47"/>
      <c r="AN411" s="47"/>
      <c r="AO411" s="47"/>
      <c r="AP411" s="47"/>
      <c r="AQ411" s="47"/>
      <c r="AR411" s="47"/>
      <c r="AS411" s="47"/>
      <c r="AT411" s="47"/>
      <c r="AU411" s="47"/>
      <c r="AV411" s="47"/>
      <c r="AW411" s="47"/>
      <c r="AX411" s="47"/>
      <c r="AY411" s="47"/>
      <c r="AZ411" s="47"/>
      <c r="BA411" s="47"/>
      <c r="BB411" s="47"/>
      <c r="BC411" s="47"/>
      <c r="BD411" s="47"/>
      <c r="BE411" s="47"/>
      <c r="BF411" s="47"/>
      <c r="BG411" s="47"/>
      <c r="BH411" s="47"/>
      <c r="BI411" s="47"/>
      <c r="BJ411" s="47"/>
      <c r="BK411" s="47"/>
      <c r="BL411" s="47"/>
      <c r="BM411" s="47"/>
      <c r="BN411" s="47"/>
      <c r="BO411" s="47"/>
      <c r="BP411" s="47"/>
      <c r="BQ411" s="47"/>
      <c r="BR411" s="47"/>
      <c r="BS411" s="47"/>
      <c r="BT411" s="47"/>
      <c r="BU411" s="47"/>
      <c r="BV411" s="47"/>
      <c r="BW411" s="47"/>
      <c r="BX411" s="47"/>
      <c r="BY411" s="47"/>
      <c r="BZ411" s="47"/>
    </row>
    <row r="412" spans="1:78" ht="13">
      <c r="A412" s="152" t="str">
        <f ca="1">IFERROR(__xludf.DUMMYFUNCTION("""COMPUTED_VALUE"""),"Smokescreen Arrowhead")</f>
        <v>Smokescreen Arrowhead</v>
      </c>
      <c r="B412" s="47" t="str">
        <f ca="1">IFERROR(__xludf.DUMMYFUNCTION("TRANSPOSE(unique(filter(Recipes!A$2:A2490,(Recipes!L$2:L2490=A412)+(Recipes!O$2:O2490=A412)+(Recipes!R$2:R2490=A412)+(Recipes!U$2:U2490=A412)+(Recipes!X$2:X2490=A412))))"),"Smokescreen Arrow")</f>
        <v>Smokescreen Arrow</v>
      </c>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c r="AA412" s="47"/>
      <c r="AB412" s="47"/>
      <c r="AC412" s="47"/>
      <c r="AD412" s="47"/>
      <c r="AE412" s="47"/>
      <c r="AF412" s="47"/>
      <c r="AG412" s="47"/>
      <c r="AH412" s="47"/>
      <c r="AI412" s="47"/>
      <c r="AJ412" s="47"/>
      <c r="AK412" s="47"/>
      <c r="AL412" s="47"/>
      <c r="AM412" s="47"/>
      <c r="AN412" s="47"/>
      <c r="AO412" s="47"/>
      <c r="AP412" s="47"/>
      <c r="AQ412" s="47"/>
      <c r="AR412" s="47"/>
      <c r="AS412" s="47"/>
      <c r="AT412" s="47"/>
      <c r="AU412" s="47"/>
      <c r="AV412" s="47"/>
      <c r="AW412" s="47"/>
      <c r="AX412" s="47"/>
      <c r="AY412" s="47"/>
      <c r="AZ412" s="47"/>
      <c r="BA412" s="47"/>
      <c r="BB412" s="47"/>
      <c r="BC412" s="47"/>
      <c r="BD412" s="47"/>
      <c r="BE412" s="47"/>
      <c r="BF412" s="47"/>
      <c r="BG412" s="47"/>
      <c r="BH412" s="47"/>
      <c r="BI412" s="47"/>
      <c r="BJ412" s="47"/>
      <c r="BK412" s="47"/>
      <c r="BL412" s="47"/>
      <c r="BM412" s="47"/>
      <c r="BN412" s="47"/>
      <c r="BO412" s="47"/>
      <c r="BP412" s="47"/>
      <c r="BQ412" s="47"/>
      <c r="BR412" s="47"/>
      <c r="BS412" s="47"/>
      <c r="BT412" s="47"/>
      <c r="BU412" s="47"/>
      <c r="BV412" s="47"/>
      <c r="BW412" s="47"/>
      <c r="BX412" s="47"/>
      <c r="BY412" s="47"/>
      <c r="BZ412" s="47"/>
    </row>
    <row r="413" spans="1:78" ht="13">
      <c r="A413" s="152" t="str">
        <f ca="1">IFERROR(__xludf.DUMMYFUNCTION("""COMPUTED_VALUE"""),"Soap")</f>
        <v>Soap</v>
      </c>
      <c r="B413" s="47" t="str">
        <f ca="1">IFERROR(__xludf.DUMMYFUNCTION("TRANSPOSE(unique(filter(Recipes!A$2:A2490,(Recipes!L$2:L2490=A413)+(Recipes!O$2:O2490=A413)+(Recipes!R$2:R2490=A413)+(Recipes!U$2:U2490=A413)+(Recipes!X$2:X2490=A413))))"),"Lockpick")</f>
        <v>Lockpick</v>
      </c>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c r="AA413" s="47"/>
      <c r="AB413" s="47"/>
      <c r="AC413" s="47"/>
      <c r="AD413" s="47"/>
      <c r="AE413" s="47"/>
      <c r="AF413" s="47"/>
      <c r="AG413" s="47"/>
      <c r="AH413" s="47"/>
      <c r="AI413" s="47"/>
      <c r="AJ413" s="47"/>
      <c r="AK413" s="47"/>
      <c r="AL413" s="47"/>
      <c r="AM413" s="47"/>
      <c r="AN413" s="47"/>
      <c r="AO413" s="47"/>
      <c r="AP413" s="47"/>
      <c r="AQ413" s="47"/>
      <c r="AR413" s="47"/>
      <c r="AS413" s="47"/>
      <c r="AT413" s="47"/>
      <c r="AU413" s="47"/>
      <c r="AV413" s="47"/>
      <c r="AW413" s="47"/>
      <c r="AX413" s="47"/>
      <c r="AY413" s="47"/>
      <c r="AZ413" s="47"/>
      <c r="BA413" s="47"/>
      <c r="BB413" s="47"/>
      <c r="BC413" s="47"/>
      <c r="BD413" s="47"/>
      <c r="BE413" s="47"/>
      <c r="BF413" s="47"/>
      <c r="BG413" s="47"/>
      <c r="BH413" s="47"/>
      <c r="BI413" s="47"/>
      <c r="BJ413" s="47"/>
      <c r="BK413" s="47"/>
      <c r="BL413" s="47"/>
      <c r="BM413" s="47"/>
      <c r="BN413" s="47"/>
      <c r="BO413" s="47"/>
      <c r="BP413" s="47"/>
      <c r="BQ413" s="47"/>
      <c r="BR413" s="47"/>
      <c r="BS413" s="47"/>
      <c r="BT413" s="47"/>
      <c r="BU413" s="47"/>
      <c r="BV413" s="47"/>
      <c r="BW413" s="47"/>
      <c r="BX413" s="47"/>
      <c r="BY413" s="47"/>
      <c r="BZ413" s="47"/>
    </row>
    <row r="414" spans="1:78" ht="13">
      <c r="A414" s="152" t="str">
        <f ca="1">IFERROR(__xludf.DUMMYFUNCTION("""COMPUTED_VALUE"""),"Soothing Cold Scroll")</f>
        <v>Soothing Cold Scroll</v>
      </c>
      <c r="B414" s="47" t="str">
        <f ca="1">IFERROR(__xludf.DUMMYFUNCTION("TRANSPOSE(unique(filter(Recipes!A$2:A2490,(Recipes!L$2:L2490=A414)+(Recipes!O$2:O2490=A414)+(Recipes!R$2:R2490=A414)+(Recipes!U$2:U2490=A414)+(Recipes!X$2:X2490=A414))))"),"Soothing Cold Skillbook")</f>
        <v>Soothing Cold Skillbook</v>
      </c>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c r="AA414" s="47"/>
      <c r="AB414" s="47"/>
      <c r="AC414" s="47"/>
      <c r="AD414" s="47"/>
      <c r="AE414" s="47"/>
      <c r="AF414" s="47"/>
      <c r="AG414" s="47"/>
      <c r="AH414" s="47"/>
      <c r="AI414" s="47"/>
      <c r="AJ414" s="47"/>
      <c r="AK414" s="47"/>
      <c r="AL414" s="47"/>
      <c r="AM414" s="47"/>
      <c r="AN414" s="47"/>
      <c r="AO414" s="47"/>
      <c r="AP414" s="47"/>
      <c r="AQ414" s="47"/>
      <c r="AR414" s="47"/>
      <c r="AS414" s="47"/>
      <c r="AT414" s="47"/>
      <c r="AU414" s="47"/>
      <c r="AV414" s="47"/>
      <c r="AW414" s="47"/>
      <c r="AX414" s="47"/>
      <c r="AY414" s="47"/>
      <c r="AZ414" s="47"/>
      <c r="BA414" s="47"/>
      <c r="BB414" s="47"/>
      <c r="BC414" s="47"/>
      <c r="BD414" s="47"/>
      <c r="BE414" s="47"/>
      <c r="BF414" s="47"/>
      <c r="BG414" s="47"/>
      <c r="BH414" s="47"/>
      <c r="BI414" s="47"/>
      <c r="BJ414" s="47"/>
      <c r="BK414" s="47"/>
      <c r="BL414" s="47"/>
      <c r="BM414" s="47"/>
      <c r="BN414" s="47"/>
      <c r="BO414" s="47"/>
      <c r="BP414" s="47"/>
      <c r="BQ414" s="47"/>
      <c r="BR414" s="47"/>
      <c r="BS414" s="47"/>
      <c r="BT414" s="47"/>
      <c r="BU414" s="47"/>
      <c r="BV414" s="47"/>
      <c r="BW414" s="47"/>
      <c r="BX414" s="47"/>
      <c r="BY414" s="47"/>
      <c r="BZ414" s="47"/>
    </row>
    <row r="415" spans="1:78" ht="13">
      <c r="A415" s="152" t="str">
        <f ca="1">IFERROR(__xludf.DUMMYFUNCTION("""COMPUTED_VALUE"""),"Soul Mate Scroll")</f>
        <v>Soul Mate Scroll</v>
      </c>
      <c r="B415" s="47" t="str">
        <f ca="1">IFERROR(__xludf.DUMMYFUNCTION("TRANSPOSE(unique(filter(Recipes!A$2:A2490,(Recipes!L$2:L2490=A415)+(Recipes!O$2:O2490=A415)+(Recipes!R$2:R2490=A415)+(Recipes!U$2:U2490=A415)+(Recipes!X$2:X2490=A415))))"),"Soul Mate Skillbook")</f>
        <v>Soul Mate Skillbook</v>
      </c>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c r="AA415" s="47"/>
      <c r="AB415" s="47"/>
      <c r="AC415" s="47"/>
      <c r="AD415" s="47"/>
      <c r="AE415" s="47"/>
      <c r="AF415" s="47"/>
      <c r="AG415" s="47"/>
      <c r="AH415" s="47"/>
      <c r="AI415" s="47"/>
      <c r="AJ415" s="47"/>
      <c r="AK415" s="47"/>
      <c r="AL415" s="47"/>
      <c r="AM415" s="47"/>
      <c r="AN415" s="47"/>
      <c r="AO415" s="47"/>
      <c r="AP415" s="47"/>
      <c r="AQ415" s="47"/>
      <c r="AR415" s="47"/>
      <c r="AS415" s="47"/>
      <c r="AT415" s="47"/>
      <c r="AU415" s="47"/>
      <c r="AV415" s="47"/>
      <c r="AW415" s="47"/>
      <c r="AX415" s="47"/>
      <c r="AY415" s="47"/>
      <c r="AZ415" s="47"/>
      <c r="BA415" s="47"/>
      <c r="BB415" s="47"/>
      <c r="BC415" s="47"/>
      <c r="BD415" s="47"/>
      <c r="BE415" s="47"/>
      <c r="BF415" s="47"/>
      <c r="BG415" s="47"/>
      <c r="BH415" s="47"/>
      <c r="BI415" s="47"/>
      <c r="BJ415" s="47"/>
      <c r="BK415" s="47"/>
      <c r="BL415" s="47"/>
      <c r="BM415" s="47"/>
      <c r="BN415" s="47"/>
      <c r="BO415" s="47"/>
      <c r="BP415" s="47"/>
      <c r="BQ415" s="47"/>
      <c r="BR415" s="47"/>
      <c r="BS415" s="47"/>
      <c r="BT415" s="47"/>
      <c r="BU415" s="47"/>
      <c r="BV415" s="47"/>
      <c r="BW415" s="47"/>
      <c r="BX415" s="47"/>
      <c r="BY415" s="47"/>
      <c r="BZ415" s="47"/>
    </row>
    <row r="416" spans="1:78" ht="13">
      <c r="A416" s="152" t="str">
        <f ca="1">IFERROR(__xludf.DUMMYFUNCTION("""COMPUTED_VALUE"""),"Source Orb")</f>
        <v>Source Orb</v>
      </c>
      <c r="B416" s="47" t="str">
        <f ca="1">IFERROR(__xludf.DUMMYFUNCTION("TRANSPOSE(unique(filter(Recipes!A$2:A2490,(Recipes!L$2:L2490=A416)+(Recipes!O$2:O2490=A416)+(Recipes!R$2:R2490=A416)+(Recipes!U$2:U2490=A416)+(Recipes!X$2:X2490=A416))))"),"Armour of the Eternals")</f>
        <v>Armour of the Eternals</v>
      </c>
      <c r="C416" s="47" t="str">
        <f ca="1">IFERROR(__xludf.DUMMYFUNCTION("""COMPUTED_VALUE"""),"Dwarven Mask of the Shapeshifter")</f>
        <v>Dwarven Mask of the Shapeshifter</v>
      </c>
      <c r="D416" s="47" t="str">
        <f ca="1">IFERROR(__xludf.DUMMYFUNCTION("""COMPUTED_VALUE"""),"Elven Mask of the Shapeshifter")</f>
        <v>Elven Mask of the Shapeshifter</v>
      </c>
      <c r="E416" s="47" t="str">
        <f ca="1">IFERROR(__xludf.DUMMYFUNCTION("""COMPUTED_VALUE"""),"Human Mask of the Shapeshifter")</f>
        <v>Human Mask of the Shapeshifter</v>
      </c>
      <c r="F416" s="47" t="str">
        <f ca="1">IFERROR(__xludf.DUMMYFUNCTION("""COMPUTED_VALUE"""),"Lizard Mask of the Shapeshifter")</f>
        <v>Lizard Mask of the Shapeshifter</v>
      </c>
      <c r="G416" s="47" t="str">
        <f ca="1">IFERROR(__xludf.DUMMYFUNCTION("""COMPUTED_VALUE"""),"Mask of the Shapeshifter")</f>
        <v>Mask of the Shapeshifter</v>
      </c>
      <c r="H416" s="47" t="str">
        <f ca="1">IFERROR(__xludf.DUMMYFUNCTION("""COMPUTED_VALUE"""),"Blessed Water Arrow")</f>
        <v>Blessed Water Arrow</v>
      </c>
      <c r="I416" s="47" t="str">
        <f ca="1">IFERROR(__xludf.DUMMYFUNCTION("""COMPUTED_VALUE"""),"Cursed Fire Arrow")</f>
        <v>Cursed Fire Arrow</v>
      </c>
      <c r="J416" s="47" t="str">
        <f ca="1">IFERROR(__xludf.DUMMYFUNCTION("""COMPUTED_VALUE"""),"Blessed Water Arrowhead")</f>
        <v>Blessed Water Arrowhead</v>
      </c>
      <c r="K416" s="47" t="str">
        <f ca="1">IFERROR(__xludf.DUMMYFUNCTION("""COMPUTED_VALUE"""),"Cursed Fire Arrowhead")</f>
        <v>Cursed Fire Arrowhead</v>
      </c>
      <c r="L416" s="47" t="str">
        <f ca="1">IFERROR(__xludf.DUMMYFUNCTION("""COMPUTED_VALUE"""),"Cursed Cluster Grenade")</f>
        <v>Cursed Cluster Grenade</v>
      </c>
      <c r="M416" s="47" t="str">
        <f ca="1">IFERROR(__xludf.DUMMYFUNCTION("""COMPUTED_VALUE"""),"Cursed Firestorm Grenade")</f>
        <v>Cursed Firestorm Grenade</v>
      </c>
      <c r="N416" s="47" t="str">
        <f ca="1">IFERROR(__xludf.DUMMYFUNCTION("""COMPUTED_VALUE"""),"Blessed Ice Grenade")</f>
        <v>Blessed Ice Grenade</v>
      </c>
      <c r="O416" s="47" t="str">
        <f ca="1">IFERROR(__xludf.DUMMYFUNCTION("""COMPUTED_VALUE"""),"Blessed Oil Flask")</f>
        <v>Blessed Oil Flask</v>
      </c>
      <c r="P416" s="47" t="str">
        <f ca="1">IFERROR(__xludf.DUMMYFUNCTION("""COMPUTED_VALUE"""),"Blessed Water Balloon")</f>
        <v>Blessed Water Balloon</v>
      </c>
      <c r="Q416" s="47" t="str">
        <f ca="1">IFERROR(__xludf.DUMMYFUNCTION("""COMPUTED_VALUE"""),"Cursed Poison Flask")</f>
        <v>Cursed Poison Flask</v>
      </c>
      <c r="R416" s="47" t="str">
        <f ca="1">IFERROR(__xludf.DUMMYFUNCTION("""COMPUTED_VALUE"""),"Acid Spores Scroll")</f>
        <v>Acid Spores Scroll</v>
      </c>
      <c r="S416" s="47" t="str">
        <f ca="1">IFERROR(__xludf.DUMMYFUNCTION("""COMPUTED_VALUE"""),"Apotheosis Scroll")</f>
        <v>Apotheosis Scroll</v>
      </c>
      <c r="T416" s="47" t="str">
        <f ca="1">IFERROR(__xludf.DUMMYFUNCTION("""COMPUTED_VALUE"""),"Artillery Plant Scroll")</f>
        <v>Artillery Plant Scroll</v>
      </c>
      <c r="U416" s="47" t="str">
        <f ca="1">IFERROR(__xludf.DUMMYFUNCTION("""COMPUTED_VALUE"""),"Black Shroud Scroll")</f>
        <v>Black Shroud Scroll</v>
      </c>
      <c r="V416" s="47" t="str">
        <f ca="1">IFERROR(__xludf.DUMMYFUNCTION("""COMPUTED_VALUE"""),"Chain Lightning Scroll")</f>
        <v>Chain Lightning Scroll</v>
      </c>
      <c r="W416" s="47" t="str">
        <f ca="1">IFERROR(__xludf.DUMMYFUNCTION("""COMPUTED_VALUE"""),"Closed Circuit Scroll")</f>
        <v>Closed Circuit Scroll</v>
      </c>
      <c r="X416" s="47" t="str">
        <f ca="1">IFERROR(__xludf.DUMMYFUNCTION("""COMPUTED_VALUE"""),"Epidemic of Fire Scroll")</f>
        <v>Epidemic of Fire Scroll</v>
      </c>
      <c r="Y416" s="47" t="str">
        <f ca="1">IFERROR(__xludf.DUMMYFUNCTION("""COMPUTED_VALUE"""),"Ethereal Storm Scroll")</f>
        <v>Ethereal Storm Scroll</v>
      </c>
      <c r="Z416" s="47" t="str">
        <f ca="1">IFERROR(__xludf.DUMMYFUNCTION("""COMPUTED_VALUE"""),"Grasp of the Starved Scroll")</f>
        <v>Grasp of the Starved Scroll</v>
      </c>
      <c r="AA416" s="47" t="str">
        <f ca="1">IFERROR(__xludf.DUMMYFUNCTION("""COMPUTED_VALUE"""),"Planar Gateway Scroll")</f>
        <v>Planar Gateway Scroll</v>
      </c>
      <c r="AB416" s="47" t="str">
        <f ca="1">IFERROR(__xludf.DUMMYFUNCTION("""COMPUTED_VALUE"""),"Pyroclastic Eruption Scroll")</f>
        <v>Pyroclastic Eruption Scroll</v>
      </c>
      <c r="AC416" s="47" t="str">
        <f ca="1">IFERROR(__xludf.DUMMYFUNCTION("""COMPUTED_VALUE"""),"Skin Graft Scroll")</f>
        <v>Skin Graft Scroll</v>
      </c>
      <c r="AD416" s="47" t="str">
        <f ca="1">IFERROR(__xludf.DUMMYFUNCTION("""COMPUTED_VALUE"""),"Steam Lance Scroll")</f>
        <v>Steam Lance Scroll</v>
      </c>
      <c r="AE416" s="47"/>
      <c r="AF416" s="47"/>
      <c r="AG416" s="47"/>
      <c r="AH416" s="47"/>
      <c r="AI416" s="47"/>
      <c r="AJ416" s="47"/>
      <c r="AK416" s="47"/>
      <c r="AL416" s="47"/>
      <c r="AM416" s="47"/>
      <c r="AN416" s="47"/>
      <c r="AO416" s="47"/>
      <c r="AP416" s="47"/>
      <c r="AQ416" s="47"/>
      <c r="AR416" s="47"/>
      <c r="AS416" s="47"/>
      <c r="AT416" s="47"/>
      <c r="AU416" s="47"/>
      <c r="AV416" s="47"/>
      <c r="AW416" s="47"/>
      <c r="AX416" s="47"/>
      <c r="AY416" s="47"/>
      <c r="AZ416" s="47"/>
      <c r="BA416" s="47"/>
      <c r="BB416" s="47"/>
      <c r="BC416" s="47"/>
      <c r="BD416" s="47"/>
      <c r="BE416" s="47"/>
      <c r="BF416" s="47"/>
      <c r="BG416" s="47"/>
      <c r="BH416" s="47"/>
      <c r="BI416" s="47"/>
      <c r="BJ416" s="47"/>
      <c r="BK416" s="47"/>
      <c r="BL416" s="47"/>
      <c r="BM416" s="47"/>
      <c r="BN416" s="47"/>
      <c r="BO416" s="47"/>
      <c r="BP416" s="47"/>
      <c r="BQ416" s="47"/>
      <c r="BR416" s="47"/>
      <c r="BS416" s="47"/>
      <c r="BT416" s="47"/>
      <c r="BU416" s="47"/>
      <c r="BV416" s="47"/>
      <c r="BW416" s="47"/>
      <c r="BX416" s="47"/>
      <c r="BY416" s="47"/>
      <c r="BZ416" s="47"/>
    </row>
    <row r="417" spans="1:78" ht="13">
      <c r="A417" s="152" t="str">
        <f ca="1">IFERROR(__xludf.DUMMYFUNCTION("""COMPUTED_VALUE"""),"Sovereign's Orb")</f>
        <v>Sovereign's Orb</v>
      </c>
      <c r="B417" s="47" t="str">
        <f ca="1">IFERROR(__xludf.DUMMYFUNCTION("TRANSPOSE(unique(filter(Recipes!A$2:A2490,(Recipes!L$2:L2490=A417)+(Recipes!O$2:O2490=A417)+(Recipes!R$2:R2490=A417)+(Recipes!U$2:U2490=A417)+(Recipes!X$2:X2490=A417))))"),"Holy Hand Grenade")</f>
        <v>Holy Hand Grenade</v>
      </c>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c r="AA417" s="47"/>
      <c r="AB417" s="47"/>
      <c r="AC417" s="47"/>
      <c r="AD417" s="47"/>
      <c r="AE417" s="47"/>
      <c r="AF417" s="47"/>
      <c r="AG417" s="47"/>
      <c r="AH417" s="47"/>
      <c r="AI417" s="47"/>
      <c r="AJ417" s="47"/>
      <c r="AK417" s="47"/>
      <c r="AL417" s="47"/>
      <c r="AM417" s="47"/>
      <c r="AN417" s="47"/>
      <c r="AO417" s="47"/>
      <c r="AP417" s="47"/>
      <c r="AQ417" s="47"/>
      <c r="AR417" s="47"/>
      <c r="AS417" s="47"/>
      <c r="AT417" s="47"/>
      <c r="AU417" s="47"/>
      <c r="AV417" s="47"/>
      <c r="AW417" s="47"/>
      <c r="AX417" s="47"/>
      <c r="AY417" s="47"/>
      <c r="AZ417" s="47"/>
      <c r="BA417" s="47"/>
      <c r="BB417" s="47"/>
      <c r="BC417" s="47"/>
      <c r="BD417" s="47"/>
      <c r="BE417" s="47"/>
      <c r="BF417" s="47"/>
      <c r="BG417" s="47"/>
      <c r="BH417" s="47"/>
      <c r="BI417" s="47"/>
      <c r="BJ417" s="47"/>
      <c r="BK417" s="47"/>
      <c r="BL417" s="47"/>
      <c r="BM417" s="47"/>
      <c r="BN417" s="47"/>
      <c r="BO417" s="47"/>
      <c r="BP417" s="47"/>
      <c r="BQ417" s="47"/>
      <c r="BR417" s="47"/>
      <c r="BS417" s="47"/>
      <c r="BT417" s="47"/>
      <c r="BU417" s="47"/>
      <c r="BV417" s="47"/>
      <c r="BW417" s="47"/>
      <c r="BX417" s="47"/>
      <c r="BY417" s="47"/>
      <c r="BZ417" s="47"/>
    </row>
    <row r="418" spans="1:78" ht="13">
      <c r="A418" s="152" t="str">
        <f ca="1">IFERROR(__xludf.DUMMYFUNCTION("""COMPUTED_VALUE"""),"Spider Legs Scroll")</f>
        <v>Spider Legs Scroll</v>
      </c>
      <c r="B418" s="47" t="str">
        <f ca="1">IFERROR(__xludf.DUMMYFUNCTION("TRANSPOSE(unique(filter(Recipes!A$2:A2490,(Recipes!L$2:L2490=A418)+(Recipes!O$2:O2490=A418)+(Recipes!R$2:R2490=A418)+(Recipes!U$2:U2490=A418)+(Recipes!X$2:X2490=A418))))"),"Spider Legs Skillbook")</f>
        <v>Spider Legs Skillbook</v>
      </c>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c r="AA418" s="47"/>
      <c r="AB418" s="47"/>
      <c r="AC418" s="47"/>
      <c r="AD418" s="47"/>
      <c r="AE418" s="47"/>
      <c r="AF418" s="47"/>
      <c r="AG418" s="47"/>
      <c r="AH418" s="47"/>
      <c r="AI418" s="47"/>
      <c r="AJ418" s="47"/>
      <c r="AK418" s="47"/>
      <c r="AL418" s="47"/>
      <c r="AM418" s="47"/>
      <c r="AN418" s="47"/>
      <c r="AO418" s="47"/>
      <c r="AP418" s="47"/>
      <c r="AQ418" s="47"/>
      <c r="AR418" s="47"/>
      <c r="AS418" s="47"/>
      <c r="AT418" s="47"/>
      <c r="AU418" s="47"/>
      <c r="AV418" s="47"/>
      <c r="AW418" s="47"/>
      <c r="AX418" s="47"/>
      <c r="AY418" s="47"/>
      <c r="AZ418" s="47"/>
      <c r="BA418" s="47"/>
      <c r="BB418" s="47"/>
      <c r="BC418" s="47"/>
      <c r="BD418" s="47"/>
      <c r="BE418" s="47"/>
      <c r="BF418" s="47"/>
      <c r="BG418" s="47"/>
      <c r="BH418" s="47"/>
      <c r="BI418" s="47"/>
      <c r="BJ418" s="47"/>
      <c r="BK418" s="47"/>
      <c r="BL418" s="47"/>
      <c r="BM418" s="47"/>
      <c r="BN418" s="47"/>
      <c r="BO418" s="47"/>
      <c r="BP418" s="47"/>
      <c r="BQ418" s="47"/>
      <c r="BR418" s="47"/>
      <c r="BS418" s="47"/>
      <c r="BT418" s="47"/>
      <c r="BU418" s="47"/>
      <c r="BV418" s="47"/>
      <c r="BW418" s="47"/>
      <c r="BX418" s="47"/>
      <c r="BY418" s="47"/>
      <c r="BZ418" s="47"/>
    </row>
    <row r="419" spans="1:78" ht="13">
      <c r="A419" s="152" t="str">
        <f ca="1">IFERROR(__xludf.DUMMYFUNCTION("""COMPUTED_VALUE"""),"Spontaneous Combustion Scroll")</f>
        <v>Spontaneous Combustion Scroll</v>
      </c>
      <c r="B419" s="47" t="str">
        <f ca="1">IFERROR(__xludf.DUMMYFUNCTION("TRANSPOSE(unique(filter(Recipes!A$2:A2490,(Recipes!L$2:L2490=A419)+(Recipes!O$2:O2490=A419)+(Recipes!R$2:R2490=A419)+(Recipes!U$2:U2490=A419)+(Recipes!X$2:X2490=A419))))"),"Spontaneous Combustion Skillbook")</f>
        <v>Spontaneous Combustion Skillbook</v>
      </c>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c r="AA419" s="47"/>
      <c r="AB419" s="47"/>
      <c r="AC419" s="47"/>
      <c r="AD419" s="47"/>
      <c r="AE419" s="47"/>
      <c r="AF419" s="47"/>
      <c r="AG419" s="47"/>
      <c r="AH419" s="47"/>
      <c r="AI419" s="47"/>
      <c r="AJ419" s="47"/>
      <c r="AK419" s="47"/>
      <c r="AL419" s="47"/>
      <c r="AM419" s="47"/>
      <c r="AN419" s="47"/>
      <c r="AO419" s="47"/>
      <c r="AP419" s="47"/>
      <c r="AQ419" s="47"/>
      <c r="AR419" s="47"/>
      <c r="AS419" s="47"/>
      <c r="AT419" s="47"/>
      <c r="AU419" s="47"/>
      <c r="AV419" s="47"/>
      <c r="AW419" s="47"/>
      <c r="AX419" s="47"/>
      <c r="AY419" s="47"/>
      <c r="AZ419" s="47"/>
      <c r="BA419" s="47"/>
      <c r="BB419" s="47"/>
      <c r="BC419" s="47"/>
      <c r="BD419" s="47"/>
      <c r="BE419" s="47"/>
      <c r="BF419" s="47"/>
      <c r="BG419" s="47"/>
      <c r="BH419" s="47"/>
      <c r="BI419" s="47"/>
      <c r="BJ419" s="47"/>
      <c r="BK419" s="47"/>
      <c r="BL419" s="47"/>
      <c r="BM419" s="47"/>
      <c r="BN419" s="47"/>
      <c r="BO419" s="47"/>
      <c r="BP419" s="47"/>
      <c r="BQ419" s="47"/>
      <c r="BR419" s="47"/>
      <c r="BS419" s="47"/>
      <c r="BT419" s="47"/>
      <c r="BU419" s="47"/>
      <c r="BV419" s="47"/>
      <c r="BW419" s="47"/>
      <c r="BX419" s="47"/>
      <c r="BY419" s="47"/>
      <c r="BZ419" s="47"/>
    </row>
    <row r="420" spans="1:78" ht="13">
      <c r="A420" s="152" t="str">
        <f ca="1">IFERROR(__xludf.DUMMYFUNCTION("""COMPUTED_VALUE"""),"Spread Your Wings Scroll")</f>
        <v>Spread Your Wings Scroll</v>
      </c>
      <c r="B420" s="47" t="str">
        <f ca="1">IFERROR(__xludf.DUMMYFUNCTION("TRANSPOSE(unique(filter(Recipes!A$2:A2490,(Recipes!L$2:L2490=A420)+(Recipes!O$2:O2490=A420)+(Recipes!R$2:R2490=A420)+(Recipes!U$2:U2490=A420)+(Recipes!X$2:X2490=A420))))"),"Spread Your Wings Skillbook")</f>
        <v>Spread Your Wings Skillbook</v>
      </c>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c r="AA420" s="47"/>
      <c r="AB420" s="47"/>
      <c r="AC420" s="47"/>
      <c r="AD420" s="47"/>
      <c r="AE420" s="47"/>
      <c r="AF420" s="47"/>
      <c r="AG420" s="47"/>
      <c r="AH420" s="47"/>
      <c r="AI420" s="47"/>
      <c r="AJ420" s="47"/>
      <c r="AK420" s="47"/>
      <c r="AL420" s="47"/>
      <c r="AM420" s="47"/>
      <c r="AN420" s="47"/>
      <c r="AO420" s="47"/>
      <c r="AP420" s="47"/>
      <c r="AQ420" s="47"/>
      <c r="AR420" s="47"/>
      <c r="AS420" s="47"/>
      <c r="AT420" s="47"/>
      <c r="AU420" s="47"/>
      <c r="AV420" s="47"/>
      <c r="AW420" s="47"/>
      <c r="AX420" s="47"/>
      <c r="AY420" s="47"/>
      <c r="AZ420" s="47"/>
      <c r="BA420" s="47"/>
      <c r="BB420" s="47"/>
      <c r="BC420" s="47"/>
      <c r="BD420" s="47"/>
      <c r="BE420" s="47"/>
      <c r="BF420" s="47"/>
      <c r="BG420" s="47"/>
      <c r="BH420" s="47"/>
      <c r="BI420" s="47"/>
      <c r="BJ420" s="47"/>
      <c r="BK420" s="47"/>
      <c r="BL420" s="47"/>
      <c r="BM420" s="47"/>
      <c r="BN420" s="47"/>
      <c r="BO420" s="47"/>
      <c r="BP420" s="47"/>
      <c r="BQ420" s="47"/>
      <c r="BR420" s="47"/>
      <c r="BS420" s="47"/>
      <c r="BT420" s="47"/>
      <c r="BU420" s="47"/>
      <c r="BV420" s="47"/>
      <c r="BW420" s="47"/>
      <c r="BX420" s="47"/>
      <c r="BY420" s="47"/>
      <c r="BZ420" s="47"/>
    </row>
    <row r="421" spans="1:78" ht="13">
      <c r="A421" s="152" t="str">
        <f ca="1">IFERROR(__xludf.DUMMYFUNCTION("""COMPUTED_VALUE"""),"Stardust")</f>
        <v>Stardust</v>
      </c>
      <c r="B421" s="47" t="str">
        <f ca="1">IFERROR(__xludf.DUMMYFUNCTION("TRANSPOSE(unique(filter(Recipes!A$2:A2490,(Recipes!L$2:L2490=A421)+(Recipes!O$2:O2490=A421)+(Recipes!R$2:R2490=A421)+(Recipes!U$2:U2490=A421)+(Recipes!X$2:X2490=A421))))"),"Pixie Dust")</f>
        <v>Pixie Dust</v>
      </c>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c r="AA421" s="47"/>
      <c r="AB421" s="47"/>
      <c r="AC421" s="47"/>
      <c r="AD421" s="47"/>
      <c r="AE421" s="47"/>
      <c r="AF421" s="47"/>
      <c r="AG421" s="47"/>
      <c r="AH421" s="47"/>
      <c r="AI421" s="47"/>
      <c r="AJ421" s="47"/>
      <c r="AK421" s="47"/>
      <c r="AL421" s="47"/>
      <c r="AM421" s="47"/>
      <c r="AN421" s="47"/>
      <c r="AO421" s="47"/>
      <c r="AP421" s="47"/>
      <c r="AQ421" s="47"/>
      <c r="AR421" s="47"/>
      <c r="AS421" s="47"/>
      <c r="AT421" s="47"/>
      <c r="AU421" s="47"/>
      <c r="AV421" s="47"/>
      <c r="AW421" s="47"/>
      <c r="AX421" s="47"/>
      <c r="AY421" s="47"/>
      <c r="AZ421" s="47"/>
      <c r="BA421" s="47"/>
      <c r="BB421" s="47"/>
      <c r="BC421" s="47"/>
      <c r="BD421" s="47"/>
      <c r="BE421" s="47"/>
      <c r="BF421" s="47"/>
      <c r="BG421" s="47"/>
      <c r="BH421" s="47"/>
      <c r="BI421" s="47"/>
      <c r="BJ421" s="47"/>
      <c r="BK421" s="47"/>
      <c r="BL421" s="47"/>
      <c r="BM421" s="47"/>
      <c r="BN421" s="47"/>
      <c r="BO421" s="47"/>
      <c r="BP421" s="47"/>
      <c r="BQ421" s="47"/>
      <c r="BR421" s="47"/>
      <c r="BS421" s="47"/>
      <c r="BT421" s="47"/>
      <c r="BU421" s="47"/>
      <c r="BV421" s="47"/>
      <c r="BW421" s="47"/>
      <c r="BX421" s="47"/>
      <c r="BY421" s="47"/>
      <c r="BZ421" s="47"/>
    </row>
    <row r="422" spans="1:78" ht="13">
      <c r="A422" s="152" t="str">
        <f ca="1">IFERROR(__xludf.DUMMYFUNCTION("""COMPUTED_VALUE"""),"Stardust Herb")</f>
        <v>Stardust Herb</v>
      </c>
      <c r="B422" s="47" t="str">
        <f ca="1">IFERROR(__xludf.DUMMYFUNCTION("TRANSPOSE(unique(filter(Recipes!A$2:A2490,(Recipes!L$2:L2490=A422)+(Recipes!O$2:O2490=A422)+(Recipes!R$2:R2490=A422)+(Recipes!U$2:U2490=A422)+(Recipes!X$2:X2490=A422))))"),"Mend Metal Scroll")</f>
        <v>Mend Metal Scroll</v>
      </c>
      <c r="C422" s="47" t="str">
        <f ca="1">IFERROR(__xludf.DUMMYFUNCTION("""COMPUTED_VALUE"""),"Stardust")</f>
        <v>Stardust</v>
      </c>
      <c r="D422" s="47"/>
      <c r="E422" s="47"/>
      <c r="F422" s="47"/>
      <c r="G422" s="47"/>
      <c r="H422" s="47"/>
      <c r="I422" s="47"/>
      <c r="J422" s="47"/>
      <c r="K422" s="47"/>
      <c r="L422" s="47"/>
      <c r="M422" s="47"/>
      <c r="N422" s="47"/>
      <c r="O422" s="47"/>
      <c r="P422" s="47"/>
      <c r="Q422" s="47"/>
      <c r="R422" s="47"/>
      <c r="S422" s="47"/>
      <c r="T422" s="47"/>
      <c r="U422" s="47"/>
      <c r="V422" s="47"/>
      <c r="W422" s="47"/>
      <c r="X422" s="47"/>
      <c r="Y422" s="47"/>
      <c r="Z422" s="47"/>
      <c r="AA422" s="47"/>
      <c r="AB422" s="47"/>
      <c r="AC422" s="47"/>
      <c r="AD422" s="47"/>
      <c r="AE422" s="47"/>
      <c r="AF422" s="47"/>
      <c r="AG422" s="47"/>
      <c r="AH422" s="47"/>
      <c r="AI422" s="47"/>
      <c r="AJ422" s="47"/>
      <c r="AK422" s="47"/>
      <c r="AL422" s="47"/>
      <c r="AM422" s="47"/>
      <c r="AN422" s="47"/>
      <c r="AO422" s="47"/>
      <c r="AP422" s="47"/>
      <c r="AQ422" s="47"/>
      <c r="AR422" s="47"/>
      <c r="AS422" s="47"/>
      <c r="AT422" s="47"/>
      <c r="AU422" s="47"/>
      <c r="AV422" s="47"/>
      <c r="AW422" s="47"/>
      <c r="AX422" s="47"/>
      <c r="AY422" s="47"/>
      <c r="AZ422" s="47"/>
      <c r="BA422" s="47"/>
      <c r="BB422" s="47"/>
      <c r="BC422" s="47"/>
      <c r="BD422" s="47"/>
      <c r="BE422" s="47"/>
      <c r="BF422" s="47"/>
      <c r="BG422" s="47"/>
      <c r="BH422" s="47"/>
      <c r="BI422" s="47"/>
      <c r="BJ422" s="47"/>
      <c r="BK422" s="47"/>
      <c r="BL422" s="47"/>
      <c r="BM422" s="47"/>
      <c r="BN422" s="47"/>
      <c r="BO422" s="47"/>
      <c r="BP422" s="47"/>
      <c r="BQ422" s="47"/>
      <c r="BR422" s="47"/>
      <c r="BS422" s="47"/>
      <c r="BT422" s="47"/>
      <c r="BU422" s="47"/>
      <c r="BV422" s="47"/>
      <c r="BW422" s="47"/>
      <c r="BX422" s="47"/>
      <c r="BY422" s="47"/>
      <c r="BZ422" s="47"/>
    </row>
    <row r="423" spans="1:78" ht="13">
      <c r="A423" s="152" t="str">
        <f ca="1">IFERROR(__xludf.DUMMYFUNCTION("""COMPUTED_VALUE"""),"Starfish")</f>
        <v>Starfish</v>
      </c>
      <c r="B423" s="47" t="str">
        <f ca="1">IFERROR(__xludf.DUMMYFUNCTION("TRANSPOSE(unique(filter(Recipes!A$2:A2490,(Recipes!L$2:L2490=A423)+(Recipes!O$2:O2490=A423)+(Recipes!R$2:R2490=A423)+(Recipes!U$2:U2490=A423)+(Recipes!X$2:X2490=A423))))"),"Holy Hand Grenade")</f>
        <v>Holy Hand Grenade</v>
      </c>
      <c r="C423" s="47" t="str">
        <f ca="1">IFERROR(__xludf.DUMMYFUNCTION("""COMPUTED_VALUE"""),"Healing Ritual Scroll")</f>
        <v>Healing Ritual Scroll</v>
      </c>
      <c r="D423" s="47"/>
      <c r="E423" s="47"/>
      <c r="F423" s="47"/>
      <c r="G423" s="47"/>
      <c r="H423" s="47"/>
      <c r="I423" s="47"/>
      <c r="J423" s="47"/>
      <c r="K423" s="47"/>
      <c r="L423" s="47"/>
      <c r="M423" s="47"/>
      <c r="N423" s="47"/>
      <c r="O423" s="47"/>
      <c r="P423" s="47"/>
      <c r="Q423" s="47"/>
      <c r="R423" s="47"/>
      <c r="S423" s="47"/>
      <c r="T423" s="47"/>
      <c r="U423" s="47"/>
      <c r="V423" s="47"/>
      <c r="W423" s="47"/>
      <c r="X423" s="47"/>
      <c r="Y423" s="47"/>
      <c r="Z423" s="47"/>
      <c r="AA423" s="47"/>
      <c r="AB423" s="47"/>
      <c r="AC423" s="47"/>
      <c r="AD423" s="47"/>
      <c r="AE423" s="47"/>
      <c r="AF423" s="47"/>
      <c r="AG423" s="47"/>
      <c r="AH423" s="47"/>
      <c r="AI423" s="47"/>
      <c r="AJ423" s="47"/>
      <c r="AK423" s="47"/>
      <c r="AL423" s="47"/>
      <c r="AM423" s="47"/>
      <c r="AN423" s="47"/>
      <c r="AO423" s="47"/>
      <c r="AP423" s="47"/>
      <c r="AQ423" s="47"/>
      <c r="AR423" s="47"/>
      <c r="AS423" s="47"/>
      <c r="AT423" s="47"/>
      <c r="AU423" s="47"/>
      <c r="AV423" s="47"/>
      <c r="AW423" s="47"/>
      <c r="AX423" s="47"/>
      <c r="AY423" s="47"/>
      <c r="AZ423" s="47"/>
      <c r="BA423" s="47"/>
      <c r="BB423" s="47"/>
      <c r="BC423" s="47"/>
      <c r="BD423" s="47"/>
      <c r="BE423" s="47"/>
      <c r="BF423" s="47"/>
      <c r="BG423" s="47"/>
      <c r="BH423" s="47"/>
      <c r="BI423" s="47"/>
      <c r="BJ423" s="47"/>
      <c r="BK423" s="47"/>
      <c r="BL423" s="47"/>
      <c r="BM423" s="47"/>
      <c r="BN423" s="47"/>
      <c r="BO423" s="47"/>
      <c r="BP423" s="47"/>
      <c r="BQ423" s="47"/>
      <c r="BR423" s="47"/>
      <c r="BS423" s="47"/>
      <c r="BT423" s="47"/>
      <c r="BU423" s="47"/>
      <c r="BV423" s="47"/>
      <c r="BW423" s="47"/>
      <c r="BX423" s="47"/>
      <c r="BY423" s="47"/>
      <c r="BZ423" s="47"/>
    </row>
    <row r="424" spans="1:78" ht="13">
      <c r="A424" s="152" t="str">
        <f ca="1">IFERROR(__xludf.DUMMYFUNCTION("""COMPUTED_VALUE"""),"Static Cloud Arrowhead")</f>
        <v>Static Cloud Arrowhead</v>
      </c>
      <c r="B424" s="47" t="str">
        <f ca="1">IFERROR(__xludf.DUMMYFUNCTION("TRANSPOSE(unique(filter(Recipes!A$2:A2490,(Recipes!L$2:L2490=A424)+(Recipes!O$2:O2490=A424)+(Recipes!R$2:R2490=A424)+(Recipes!U$2:U2490=A424)+(Recipes!X$2:X2490=A424))))"),"Static Cloud Arrow")</f>
        <v>Static Cloud Arrow</v>
      </c>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c r="AA424" s="47"/>
      <c r="AB424" s="47"/>
      <c r="AC424" s="47"/>
      <c r="AD424" s="47"/>
      <c r="AE424" s="47"/>
      <c r="AF424" s="47"/>
      <c r="AG424" s="47"/>
      <c r="AH424" s="47"/>
      <c r="AI424" s="47"/>
      <c r="AJ424" s="47"/>
      <c r="AK424" s="47"/>
      <c r="AL424" s="47"/>
      <c r="AM424" s="47"/>
      <c r="AN424" s="47"/>
      <c r="AO424" s="47"/>
      <c r="AP424" s="47"/>
      <c r="AQ424" s="47"/>
      <c r="AR424" s="47"/>
      <c r="AS424" s="47"/>
      <c r="AT424" s="47"/>
      <c r="AU424" s="47"/>
      <c r="AV424" s="47"/>
      <c r="AW424" s="47"/>
      <c r="AX424" s="47"/>
      <c r="AY424" s="47"/>
      <c r="AZ424" s="47"/>
      <c r="BA424" s="47"/>
      <c r="BB424" s="47"/>
      <c r="BC424" s="47"/>
      <c r="BD424" s="47"/>
      <c r="BE424" s="47"/>
      <c r="BF424" s="47"/>
      <c r="BG424" s="47"/>
      <c r="BH424" s="47"/>
      <c r="BI424" s="47"/>
      <c r="BJ424" s="47"/>
      <c r="BK424" s="47"/>
      <c r="BL424" s="47"/>
      <c r="BM424" s="47"/>
      <c r="BN424" s="47"/>
      <c r="BO424" s="47"/>
      <c r="BP424" s="47"/>
      <c r="BQ424" s="47"/>
      <c r="BR424" s="47"/>
      <c r="BS424" s="47"/>
      <c r="BT424" s="47"/>
      <c r="BU424" s="47"/>
      <c r="BV424" s="47"/>
      <c r="BW424" s="47"/>
      <c r="BX424" s="47"/>
      <c r="BY424" s="47"/>
      <c r="BZ424" s="47"/>
    </row>
    <row r="425" spans="1:78" ht="13">
      <c r="A425" s="152" t="str">
        <f ca="1">IFERROR(__xludf.DUMMYFUNCTION("""COMPUTED_VALUE"""),"Steam Lance Scroll")</f>
        <v>Steam Lance Scroll</v>
      </c>
      <c r="B425" s="47" t="str">
        <f ca="1">IFERROR(__xludf.DUMMYFUNCTION("TRANSPOSE(unique(filter(Recipes!A$2:A2490,(Recipes!L$2:L2490=A425)+(Recipes!O$2:O2490=A425)+(Recipes!R$2:R2490=A425)+(Recipes!U$2:U2490=A425)+(Recipes!X$2:X2490=A425))))"),"Steam Lance Skillbook")</f>
        <v>Steam Lance Skillbook</v>
      </c>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c r="AA425" s="47"/>
      <c r="AB425" s="47"/>
      <c r="AC425" s="47"/>
      <c r="AD425" s="47"/>
      <c r="AE425" s="47"/>
      <c r="AF425" s="47"/>
      <c r="AG425" s="47"/>
      <c r="AH425" s="47"/>
      <c r="AI425" s="47"/>
      <c r="AJ425" s="47"/>
      <c r="AK425" s="47"/>
      <c r="AL425" s="47"/>
      <c r="AM425" s="47"/>
      <c r="AN425" s="47"/>
      <c r="AO425" s="47"/>
      <c r="AP425" s="47"/>
      <c r="AQ425" s="47"/>
      <c r="AR425" s="47"/>
      <c r="AS425" s="47"/>
      <c r="AT425" s="47"/>
      <c r="AU425" s="47"/>
      <c r="AV425" s="47"/>
      <c r="AW425" s="47"/>
      <c r="AX425" s="47"/>
      <c r="AY425" s="47"/>
      <c r="AZ425" s="47"/>
      <c r="BA425" s="47"/>
      <c r="BB425" s="47"/>
      <c r="BC425" s="47"/>
      <c r="BD425" s="47"/>
      <c r="BE425" s="47"/>
      <c r="BF425" s="47"/>
      <c r="BG425" s="47"/>
      <c r="BH425" s="47"/>
      <c r="BI425" s="47"/>
      <c r="BJ425" s="47"/>
      <c r="BK425" s="47"/>
      <c r="BL425" s="47"/>
      <c r="BM425" s="47"/>
      <c r="BN425" s="47"/>
      <c r="BO425" s="47"/>
      <c r="BP425" s="47"/>
      <c r="BQ425" s="47"/>
      <c r="BR425" s="47"/>
      <c r="BS425" s="47"/>
      <c r="BT425" s="47"/>
      <c r="BU425" s="47"/>
      <c r="BV425" s="47"/>
      <c r="BW425" s="47"/>
      <c r="BX425" s="47"/>
      <c r="BY425" s="47"/>
      <c r="BZ425" s="47"/>
    </row>
    <row r="426" spans="1:78" ht="13">
      <c r="A426" s="152" t="str">
        <f ca="1">IFERROR(__xludf.DUMMYFUNCTION("""COMPUTED_VALUE"""),"Steamcloud Arrowhead")</f>
        <v>Steamcloud Arrowhead</v>
      </c>
      <c r="B426" s="47" t="str">
        <f ca="1">IFERROR(__xludf.DUMMYFUNCTION("TRANSPOSE(unique(filter(Recipes!A$2:A2490,(Recipes!L$2:L2490=A426)+(Recipes!O$2:O2490=A426)+(Recipes!R$2:R2490=A426)+(Recipes!U$2:U2490=A426)+(Recipes!X$2:X2490=A426))))"),"Steamcloud Arrow")</f>
        <v>Steamcloud Arrow</v>
      </c>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c r="AA426" s="47"/>
      <c r="AB426" s="47"/>
      <c r="AC426" s="47"/>
      <c r="AD426" s="47"/>
      <c r="AE426" s="47"/>
      <c r="AF426" s="47"/>
      <c r="AG426" s="47"/>
      <c r="AH426" s="47"/>
      <c r="AI426" s="47"/>
      <c r="AJ426" s="47"/>
      <c r="AK426" s="47"/>
      <c r="AL426" s="47"/>
      <c r="AM426" s="47"/>
      <c r="AN426" s="47"/>
      <c r="AO426" s="47"/>
      <c r="AP426" s="47"/>
      <c r="AQ426" s="47"/>
      <c r="AR426" s="47"/>
      <c r="AS426" s="47"/>
      <c r="AT426" s="47"/>
      <c r="AU426" s="47"/>
      <c r="AV426" s="47"/>
      <c r="AW426" s="47"/>
      <c r="AX426" s="47"/>
      <c r="AY426" s="47"/>
      <c r="AZ426" s="47"/>
      <c r="BA426" s="47"/>
      <c r="BB426" s="47"/>
      <c r="BC426" s="47"/>
      <c r="BD426" s="47"/>
      <c r="BE426" s="47"/>
      <c r="BF426" s="47"/>
      <c r="BG426" s="47"/>
      <c r="BH426" s="47"/>
      <c r="BI426" s="47"/>
      <c r="BJ426" s="47"/>
      <c r="BK426" s="47"/>
      <c r="BL426" s="47"/>
      <c r="BM426" s="47"/>
      <c r="BN426" s="47"/>
      <c r="BO426" s="47"/>
      <c r="BP426" s="47"/>
      <c r="BQ426" s="47"/>
      <c r="BR426" s="47"/>
      <c r="BS426" s="47"/>
      <c r="BT426" s="47"/>
      <c r="BU426" s="47"/>
      <c r="BV426" s="47"/>
      <c r="BW426" s="47"/>
      <c r="BX426" s="47"/>
      <c r="BY426" s="47"/>
      <c r="BZ426" s="47"/>
    </row>
    <row r="427" spans="1:78" ht="13">
      <c r="A427" s="152" t="str">
        <f ca="1">IFERROR(__xludf.DUMMYFUNCTION("""COMPUTED_VALUE"""),"Summon Fire Slug Scroll")</f>
        <v>Summon Fire Slug Scroll</v>
      </c>
      <c r="B427" s="47" t="str">
        <f ca="1">IFERROR(__xludf.DUMMYFUNCTION("TRANSPOSE(unique(filter(Recipes!A$2:A2490,(Recipes!L$2:L2490=A427)+(Recipes!O$2:O2490=A427)+(Recipes!R$2:R2490=A427)+(Recipes!U$2:U2490=A427)+(Recipes!X$2:X2490=A427))))"),"Summon Fire Slug Skillbook")</f>
        <v>Summon Fire Slug Skillbook</v>
      </c>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c r="AA427" s="47"/>
      <c r="AB427" s="47"/>
      <c r="AC427" s="47"/>
      <c r="AD427" s="47"/>
      <c r="AE427" s="47"/>
      <c r="AF427" s="47"/>
      <c r="AG427" s="47"/>
      <c r="AH427" s="47"/>
      <c r="AI427" s="47"/>
      <c r="AJ427" s="47"/>
      <c r="AK427" s="47"/>
      <c r="AL427" s="47"/>
      <c r="AM427" s="47"/>
      <c r="AN427" s="47"/>
      <c r="AO427" s="47"/>
      <c r="AP427" s="47"/>
      <c r="AQ427" s="47"/>
      <c r="AR427" s="47"/>
      <c r="AS427" s="47"/>
      <c r="AT427" s="47"/>
      <c r="AU427" s="47"/>
      <c r="AV427" s="47"/>
      <c r="AW427" s="47"/>
      <c r="AX427" s="47"/>
      <c r="AY427" s="47"/>
      <c r="AZ427" s="47"/>
      <c r="BA427" s="47"/>
      <c r="BB427" s="47"/>
      <c r="BC427" s="47"/>
      <c r="BD427" s="47"/>
      <c r="BE427" s="47"/>
      <c r="BF427" s="47"/>
      <c r="BG427" s="47"/>
      <c r="BH427" s="47"/>
      <c r="BI427" s="47"/>
      <c r="BJ427" s="47"/>
      <c r="BK427" s="47"/>
      <c r="BL427" s="47"/>
      <c r="BM427" s="47"/>
      <c r="BN427" s="47"/>
      <c r="BO427" s="47"/>
      <c r="BP427" s="47"/>
      <c r="BQ427" s="47"/>
      <c r="BR427" s="47"/>
      <c r="BS427" s="47"/>
      <c r="BT427" s="47"/>
      <c r="BU427" s="47"/>
      <c r="BV427" s="47"/>
      <c r="BW427" s="47"/>
      <c r="BX427" s="47"/>
      <c r="BY427" s="47"/>
      <c r="BZ427" s="47"/>
    </row>
    <row r="428" spans="1:78" ht="13">
      <c r="A428" s="152" t="str">
        <f ca="1">IFERROR(__xludf.DUMMYFUNCTION("""COMPUTED_VALUE"""),"Summon Oily Blob Scroll")</f>
        <v>Summon Oily Blob Scroll</v>
      </c>
      <c r="B428" s="47" t="str">
        <f ca="1">IFERROR(__xludf.DUMMYFUNCTION("TRANSPOSE(unique(filter(Recipes!A$2:A2490,(Recipes!L$2:L2490=A428)+(Recipes!O$2:O2490=A428)+(Recipes!R$2:R2490=A428)+(Recipes!U$2:U2490=A428)+(Recipes!X$2:X2490=A428))))"),"Summon Oily Blob Skillbook")</f>
        <v>Summon Oily Blob Skillbook</v>
      </c>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c r="AA428" s="47"/>
      <c r="AB428" s="47"/>
      <c r="AC428" s="47"/>
      <c r="AD428" s="47"/>
      <c r="AE428" s="47"/>
      <c r="AF428" s="47"/>
      <c r="AG428" s="47"/>
      <c r="AH428" s="47"/>
      <c r="AI428" s="47"/>
      <c r="AJ428" s="47"/>
      <c r="AK428" s="47"/>
      <c r="AL428" s="47"/>
      <c r="AM428" s="47"/>
      <c r="AN428" s="47"/>
      <c r="AO428" s="47"/>
      <c r="AP428" s="47"/>
      <c r="AQ428" s="47"/>
      <c r="AR428" s="47"/>
      <c r="AS428" s="47"/>
      <c r="AT428" s="47"/>
      <c r="AU428" s="47"/>
      <c r="AV428" s="47"/>
      <c r="AW428" s="47"/>
      <c r="AX428" s="47"/>
      <c r="AY428" s="47"/>
      <c r="AZ428" s="47"/>
      <c r="BA428" s="47"/>
      <c r="BB428" s="47"/>
      <c r="BC428" s="47"/>
      <c r="BD428" s="47"/>
      <c r="BE428" s="47"/>
      <c r="BF428" s="47"/>
      <c r="BG428" s="47"/>
      <c r="BH428" s="47"/>
      <c r="BI428" s="47"/>
      <c r="BJ428" s="47"/>
      <c r="BK428" s="47"/>
      <c r="BL428" s="47"/>
      <c r="BM428" s="47"/>
      <c r="BN428" s="47"/>
      <c r="BO428" s="47"/>
      <c r="BP428" s="47"/>
      <c r="BQ428" s="47"/>
      <c r="BR428" s="47"/>
      <c r="BS428" s="47"/>
      <c r="BT428" s="47"/>
      <c r="BU428" s="47"/>
      <c r="BV428" s="47"/>
      <c r="BW428" s="47"/>
      <c r="BX428" s="47"/>
      <c r="BY428" s="47"/>
      <c r="BZ428" s="47"/>
    </row>
    <row r="429" spans="1:78" ht="13">
      <c r="A429" s="152" t="str">
        <f ca="1">IFERROR(__xludf.DUMMYFUNCTION("""COMPUTED_VALUE"""),"Supercharger Scroll")</f>
        <v>Supercharger Scroll</v>
      </c>
      <c r="B429" s="47" t="str">
        <f ca="1">IFERROR(__xludf.DUMMYFUNCTION("TRANSPOSE(unique(filter(Recipes!A$2:A2490,(Recipes!L$2:L2490=A429)+(Recipes!O$2:O2490=A429)+(Recipes!R$2:R2490=A429)+(Recipes!U$2:U2490=A429)+(Recipes!X$2:X2490=A429))))"),"Supercharger Skillbook")</f>
        <v>Supercharger Skillbook</v>
      </c>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c r="AA429" s="47"/>
      <c r="AB429" s="47"/>
      <c r="AC429" s="47"/>
      <c r="AD429" s="47"/>
      <c r="AE429" s="47"/>
      <c r="AF429" s="47"/>
      <c r="AG429" s="47"/>
      <c r="AH429" s="47"/>
      <c r="AI429" s="47"/>
      <c r="AJ429" s="47"/>
      <c r="AK429" s="47"/>
      <c r="AL429" s="47"/>
      <c r="AM429" s="47"/>
      <c r="AN429" s="47"/>
      <c r="AO429" s="47"/>
      <c r="AP429" s="47"/>
      <c r="AQ429" s="47"/>
      <c r="AR429" s="47"/>
      <c r="AS429" s="47"/>
      <c r="AT429" s="47"/>
      <c r="AU429" s="47"/>
      <c r="AV429" s="47"/>
      <c r="AW429" s="47"/>
      <c r="AX429" s="47"/>
      <c r="AY429" s="47"/>
      <c r="AZ429" s="47"/>
      <c r="BA429" s="47"/>
      <c r="BB429" s="47"/>
      <c r="BC429" s="47"/>
      <c r="BD429" s="47"/>
      <c r="BE429" s="47"/>
      <c r="BF429" s="47"/>
      <c r="BG429" s="47"/>
      <c r="BH429" s="47"/>
      <c r="BI429" s="47"/>
      <c r="BJ429" s="47"/>
      <c r="BK429" s="47"/>
      <c r="BL429" s="47"/>
      <c r="BM429" s="47"/>
      <c r="BN429" s="47"/>
      <c r="BO429" s="47"/>
      <c r="BP429" s="47"/>
      <c r="BQ429" s="47"/>
      <c r="BR429" s="47"/>
      <c r="BS429" s="47"/>
      <c r="BT429" s="47"/>
      <c r="BU429" s="47"/>
      <c r="BV429" s="47"/>
      <c r="BW429" s="47"/>
      <c r="BX429" s="47"/>
      <c r="BY429" s="47"/>
      <c r="BZ429" s="47"/>
    </row>
    <row r="430" spans="1:78" ht="13">
      <c r="A430" s="152" t="str">
        <f ca="1">IFERROR(__xludf.DUMMYFUNCTION("""COMPUTED_VALUE"""),"Superconductor Scroll")</f>
        <v>Superconductor Scroll</v>
      </c>
      <c r="B430" s="47" t="str">
        <f ca="1">IFERROR(__xludf.DUMMYFUNCTION("TRANSPOSE(unique(filter(Recipes!A$2:A2490,(Recipes!L$2:L2490=A430)+(Recipes!O$2:O2490=A430)+(Recipes!R$2:R2490=A430)+(Recipes!U$2:U2490=A430)+(Recipes!X$2:X2490=A430))))"),"Superconductor Skillbook")</f>
        <v>Superconductor Skillbook</v>
      </c>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c r="AA430" s="47"/>
      <c r="AB430" s="47"/>
      <c r="AC430" s="47"/>
      <c r="AD430" s="47"/>
      <c r="AE430" s="47"/>
      <c r="AF430" s="47"/>
      <c r="AG430" s="47"/>
      <c r="AH430" s="47"/>
      <c r="AI430" s="47"/>
      <c r="AJ430" s="47"/>
      <c r="AK430" s="47"/>
      <c r="AL430" s="47"/>
      <c r="AM430" s="47"/>
      <c r="AN430" s="47"/>
      <c r="AO430" s="47"/>
      <c r="AP430" s="47"/>
      <c r="AQ430" s="47"/>
      <c r="AR430" s="47"/>
      <c r="AS430" s="47"/>
      <c r="AT430" s="47"/>
      <c r="AU430" s="47"/>
      <c r="AV430" s="47"/>
      <c r="AW430" s="47"/>
      <c r="AX430" s="47"/>
      <c r="AY430" s="47"/>
      <c r="AZ430" s="47"/>
      <c r="BA430" s="47"/>
      <c r="BB430" s="47"/>
      <c r="BC430" s="47"/>
      <c r="BD430" s="47"/>
      <c r="BE430" s="47"/>
      <c r="BF430" s="47"/>
      <c r="BG430" s="47"/>
      <c r="BH430" s="47"/>
      <c r="BI430" s="47"/>
      <c r="BJ430" s="47"/>
      <c r="BK430" s="47"/>
      <c r="BL430" s="47"/>
      <c r="BM430" s="47"/>
      <c r="BN430" s="47"/>
      <c r="BO430" s="47"/>
      <c r="BP430" s="47"/>
      <c r="BQ430" s="47"/>
      <c r="BR430" s="47"/>
      <c r="BS430" s="47"/>
      <c r="BT430" s="47"/>
      <c r="BU430" s="47"/>
      <c r="BV430" s="47"/>
      <c r="BW430" s="47"/>
      <c r="BX430" s="47"/>
      <c r="BY430" s="47"/>
      <c r="BZ430" s="47"/>
    </row>
    <row r="431" spans="1:78" ht="13">
      <c r="A431" s="152" t="str">
        <f ca="1">IFERROR(__xludf.DUMMYFUNCTION("""COMPUTED_VALUE"""),"Superior Stardust Herb")</f>
        <v>Superior Stardust Herb</v>
      </c>
      <c r="B431" s="47" t="str">
        <f ca="1">IFERROR(__xludf.DUMMYFUNCTION("TRANSPOSE(unique(filter(Recipes!A$2:A2490,(Recipes!L$2:L2490=A431)+(Recipes!O$2:O2490=A431)+(Recipes!R$2:R2490=A431)+(Recipes!U$2:U2490=A431)+(Recipes!X$2:X2490=A431))))"),"Mend Metal Scroll")</f>
        <v>Mend Metal Scroll</v>
      </c>
      <c r="C431" s="47" t="str">
        <f ca="1">IFERROR(__xludf.DUMMYFUNCTION("""COMPUTED_VALUE"""),"Pouch of Superior Stardust")</f>
        <v>Pouch of Superior Stardust</v>
      </c>
      <c r="D431" s="47"/>
      <c r="E431" s="47"/>
      <c r="F431" s="47"/>
      <c r="G431" s="47"/>
      <c r="H431" s="47"/>
      <c r="I431" s="47"/>
      <c r="J431" s="47"/>
      <c r="K431" s="47"/>
      <c r="L431" s="47"/>
      <c r="M431" s="47"/>
      <c r="N431" s="47"/>
      <c r="O431" s="47"/>
      <c r="P431" s="47"/>
      <c r="Q431" s="47"/>
      <c r="R431" s="47"/>
      <c r="S431" s="47"/>
      <c r="T431" s="47"/>
      <c r="U431" s="47"/>
      <c r="V431" s="47"/>
      <c r="W431" s="47"/>
      <c r="X431" s="47"/>
      <c r="Y431" s="47"/>
      <c r="Z431" s="47"/>
      <c r="AA431" s="47"/>
      <c r="AB431" s="47"/>
      <c r="AC431" s="47"/>
      <c r="AD431" s="47"/>
      <c r="AE431" s="47"/>
      <c r="AF431" s="47"/>
      <c r="AG431" s="47"/>
      <c r="AH431" s="47"/>
      <c r="AI431" s="47"/>
      <c r="AJ431" s="47"/>
      <c r="AK431" s="47"/>
      <c r="AL431" s="47"/>
      <c r="AM431" s="47"/>
      <c r="AN431" s="47"/>
      <c r="AO431" s="47"/>
      <c r="AP431" s="47"/>
      <c r="AQ431" s="47"/>
      <c r="AR431" s="47"/>
      <c r="AS431" s="47"/>
      <c r="AT431" s="47"/>
      <c r="AU431" s="47"/>
      <c r="AV431" s="47"/>
      <c r="AW431" s="47"/>
      <c r="AX431" s="47"/>
      <c r="AY431" s="47"/>
      <c r="AZ431" s="47"/>
      <c r="BA431" s="47"/>
      <c r="BB431" s="47"/>
      <c r="BC431" s="47"/>
      <c r="BD431" s="47"/>
      <c r="BE431" s="47"/>
      <c r="BF431" s="47"/>
      <c r="BG431" s="47"/>
      <c r="BH431" s="47"/>
      <c r="BI431" s="47"/>
      <c r="BJ431" s="47"/>
      <c r="BK431" s="47"/>
      <c r="BL431" s="47"/>
      <c r="BM431" s="47"/>
      <c r="BN431" s="47"/>
      <c r="BO431" s="47"/>
      <c r="BP431" s="47"/>
      <c r="BQ431" s="47"/>
      <c r="BR431" s="47"/>
      <c r="BS431" s="47"/>
      <c r="BT431" s="47"/>
      <c r="BU431" s="47"/>
      <c r="BV431" s="47"/>
      <c r="BW431" s="47"/>
      <c r="BX431" s="47"/>
      <c r="BY431" s="47"/>
      <c r="BZ431" s="47"/>
    </row>
    <row r="432" spans="1:78" ht="13">
      <c r="A432" s="152" t="str">
        <f ca="1">IFERROR(__xludf.DUMMYFUNCTION("""COMPUTED_VALUE"""),"Supernova Scroll")</f>
        <v>Supernova Scroll</v>
      </c>
      <c r="B432" s="47" t="str">
        <f ca="1">IFERROR(__xludf.DUMMYFUNCTION("TRANSPOSE(unique(filter(Recipes!A$2:A2490,(Recipes!L$2:L2490=A432)+(Recipes!O$2:O2490=A432)+(Recipes!R$2:R2490=A432)+(Recipes!U$2:U2490=A432)+(Recipes!X$2:X2490=A432))))"),"Supernova Skillbook")</f>
        <v>Supernova Skillbook</v>
      </c>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c r="AA432" s="47"/>
      <c r="AB432" s="47"/>
      <c r="AC432" s="47"/>
      <c r="AD432" s="47"/>
      <c r="AE432" s="47"/>
      <c r="AF432" s="47"/>
      <c r="AG432" s="47"/>
      <c r="AH432" s="47"/>
      <c r="AI432" s="47"/>
      <c r="AJ432" s="47"/>
      <c r="AK432" s="47"/>
      <c r="AL432" s="47"/>
      <c r="AM432" s="47"/>
      <c r="AN432" s="47"/>
      <c r="AO432" s="47"/>
      <c r="AP432" s="47"/>
      <c r="AQ432" s="47"/>
      <c r="AR432" s="47"/>
      <c r="AS432" s="47"/>
      <c r="AT432" s="47"/>
      <c r="AU432" s="47"/>
      <c r="AV432" s="47"/>
      <c r="AW432" s="47"/>
      <c r="AX432" s="47"/>
      <c r="AY432" s="47"/>
      <c r="AZ432" s="47"/>
      <c r="BA432" s="47"/>
      <c r="BB432" s="47"/>
      <c r="BC432" s="47"/>
      <c r="BD432" s="47"/>
      <c r="BE432" s="47"/>
      <c r="BF432" s="47"/>
      <c r="BG432" s="47"/>
      <c r="BH432" s="47"/>
      <c r="BI432" s="47"/>
      <c r="BJ432" s="47"/>
      <c r="BK432" s="47"/>
      <c r="BL432" s="47"/>
      <c r="BM432" s="47"/>
      <c r="BN432" s="47"/>
      <c r="BO432" s="47"/>
      <c r="BP432" s="47"/>
      <c r="BQ432" s="47"/>
      <c r="BR432" s="47"/>
      <c r="BS432" s="47"/>
      <c r="BT432" s="47"/>
      <c r="BU432" s="47"/>
      <c r="BV432" s="47"/>
      <c r="BW432" s="47"/>
      <c r="BX432" s="47"/>
      <c r="BY432" s="47"/>
      <c r="BZ432" s="47"/>
    </row>
    <row r="433" spans="1:78" ht="13">
      <c r="A433" s="152" t="str">
        <f ca="1">IFERROR(__xludf.DUMMYFUNCTION("""COMPUTED_VALUE"""),"Swornbreaker Schematic")</f>
        <v>Swornbreaker Schematic</v>
      </c>
      <c r="B433" s="47" t="str">
        <f ca="1">IFERROR(__xludf.DUMMYFUNCTION("TRANSPOSE(unique(filter(Recipes!A$2:A2490,(Recipes!L$2:L2490=A433)+(Recipes!O$2:O2490=A433)+(Recipes!R$2:R2490=A433)+(Recipes!U$2:U2490=A433)+(Recipes!X$2:X2490=A433))))"),"The Swornbreaker")</f>
        <v>The Swornbreaker</v>
      </c>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c r="AA433" s="47"/>
      <c r="AB433" s="47"/>
      <c r="AC433" s="47"/>
      <c r="AD433" s="47"/>
      <c r="AE433" s="47"/>
      <c r="AF433" s="47"/>
      <c r="AG433" s="47"/>
      <c r="AH433" s="47"/>
      <c r="AI433" s="47"/>
      <c r="AJ433" s="47"/>
      <c r="AK433" s="47"/>
      <c r="AL433" s="47"/>
      <c r="AM433" s="47"/>
      <c r="AN433" s="47"/>
      <c r="AO433" s="47"/>
      <c r="AP433" s="47"/>
      <c r="AQ433" s="47"/>
      <c r="AR433" s="47"/>
      <c r="AS433" s="47"/>
      <c r="AT433" s="47"/>
      <c r="AU433" s="47"/>
      <c r="AV433" s="47"/>
      <c r="AW433" s="47"/>
      <c r="AX433" s="47"/>
      <c r="AY433" s="47"/>
      <c r="AZ433" s="47"/>
      <c r="BA433" s="47"/>
      <c r="BB433" s="47"/>
      <c r="BC433" s="47"/>
      <c r="BD433" s="47"/>
      <c r="BE433" s="47"/>
      <c r="BF433" s="47"/>
      <c r="BG433" s="47"/>
      <c r="BH433" s="47"/>
      <c r="BI433" s="47"/>
      <c r="BJ433" s="47"/>
      <c r="BK433" s="47"/>
      <c r="BL433" s="47"/>
      <c r="BM433" s="47"/>
      <c r="BN433" s="47"/>
      <c r="BO433" s="47"/>
      <c r="BP433" s="47"/>
      <c r="BQ433" s="47"/>
      <c r="BR433" s="47"/>
      <c r="BS433" s="47"/>
      <c r="BT433" s="47"/>
      <c r="BU433" s="47"/>
      <c r="BV433" s="47"/>
      <c r="BW433" s="47"/>
      <c r="BX433" s="47"/>
      <c r="BY433" s="47"/>
      <c r="BZ433" s="47"/>
    </row>
    <row r="434" spans="1:78" ht="13">
      <c r="A434" s="152" t="str">
        <f ca="1">IFERROR(__xludf.DUMMYFUNCTION("""COMPUTED_VALUE"""),"Tablet")</f>
        <v>Tablet</v>
      </c>
      <c r="B434" s="47" t="str">
        <f ca="1">IFERROR(__xludf.DUMMYFUNCTION("TRANSPOSE(unique(filter(Recipes!A$2:A2490,(Recipes!L$2:L2490=A434)+(Recipes!O$2:O2490=A434)+(Recipes!R$2:R2490=A434)+(Recipes!U$2:U2490=A434)+(Recipes!X$2:X2490=A434))))"),"Pyroclastic Eruption Scroll")</f>
        <v>Pyroclastic Eruption Scroll</v>
      </c>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c r="AA434" s="47"/>
      <c r="AB434" s="47"/>
      <c r="AC434" s="47"/>
      <c r="AD434" s="47"/>
      <c r="AE434" s="47"/>
      <c r="AF434" s="47"/>
      <c r="AG434" s="47"/>
      <c r="AH434" s="47"/>
      <c r="AI434" s="47"/>
      <c r="AJ434" s="47"/>
      <c r="AK434" s="47"/>
      <c r="AL434" s="47"/>
      <c r="AM434" s="47"/>
      <c r="AN434" s="47"/>
      <c r="AO434" s="47"/>
      <c r="AP434" s="47"/>
      <c r="AQ434" s="47"/>
      <c r="AR434" s="47"/>
      <c r="AS434" s="47"/>
      <c r="AT434" s="47"/>
      <c r="AU434" s="47"/>
      <c r="AV434" s="47"/>
      <c r="AW434" s="47"/>
      <c r="AX434" s="47"/>
      <c r="AY434" s="47"/>
      <c r="AZ434" s="47"/>
      <c r="BA434" s="47"/>
      <c r="BB434" s="47"/>
      <c r="BC434" s="47"/>
      <c r="BD434" s="47"/>
      <c r="BE434" s="47"/>
      <c r="BF434" s="47"/>
      <c r="BG434" s="47"/>
      <c r="BH434" s="47"/>
      <c r="BI434" s="47"/>
      <c r="BJ434" s="47"/>
      <c r="BK434" s="47"/>
      <c r="BL434" s="47"/>
      <c r="BM434" s="47"/>
      <c r="BN434" s="47"/>
      <c r="BO434" s="47"/>
      <c r="BP434" s="47"/>
      <c r="BQ434" s="47"/>
      <c r="BR434" s="47"/>
      <c r="BS434" s="47"/>
      <c r="BT434" s="47"/>
      <c r="BU434" s="47"/>
      <c r="BV434" s="47"/>
      <c r="BW434" s="47"/>
      <c r="BX434" s="47"/>
      <c r="BY434" s="47"/>
      <c r="BZ434" s="47"/>
    </row>
    <row r="435" spans="1:78" ht="13">
      <c r="A435" s="152" t="str">
        <f ca="1">IFERROR(__xludf.DUMMYFUNCTION("""COMPUTED_VALUE"""),"Tea Herbs")</f>
        <v>Tea Herbs</v>
      </c>
      <c r="B435" s="47" t="str">
        <f ca="1">IFERROR(__xludf.DUMMYFUNCTION("TRANSPOSE(unique(filter(Recipes!A$2:A2490,(Recipes!L$2:L2490=A435)+(Recipes!O$2:O2490=A435)+(Recipes!R$2:R2490=A435)+(Recipes!U$2:U2490=A435)+(Recipes!X$2:X2490=A435))))"),"Cup of Tea")</f>
        <v>Cup of Tea</v>
      </c>
      <c r="C435" s="47" t="str">
        <f ca="1">IFERROR(__xludf.DUMMYFUNCTION("""COMPUTED_VALUE"""),"Mug of Tea")</f>
        <v>Mug of Tea</v>
      </c>
      <c r="D435" s="47"/>
      <c r="E435" s="47"/>
      <c r="F435" s="47"/>
      <c r="G435" s="47"/>
      <c r="H435" s="47"/>
      <c r="I435" s="47"/>
      <c r="J435" s="47"/>
      <c r="K435" s="47"/>
      <c r="L435" s="47"/>
      <c r="M435" s="47"/>
      <c r="N435" s="47"/>
      <c r="O435" s="47"/>
      <c r="P435" s="47"/>
      <c r="Q435" s="47"/>
      <c r="R435" s="47"/>
      <c r="S435" s="47"/>
      <c r="T435" s="47"/>
      <c r="U435" s="47"/>
      <c r="V435" s="47"/>
      <c r="W435" s="47"/>
      <c r="X435" s="47"/>
      <c r="Y435" s="47"/>
      <c r="Z435" s="47"/>
      <c r="AA435" s="47"/>
      <c r="AB435" s="47"/>
      <c r="AC435" s="47"/>
      <c r="AD435" s="47"/>
      <c r="AE435" s="47"/>
      <c r="AF435" s="47"/>
      <c r="AG435" s="47"/>
      <c r="AH435" s="47"/>
      <c r="AI435" s="47"/>
      <c r="AJ435" s="47"/>
      <c r="AK435" s="47"/>
      <c r="AL435" s="47"/>
      <c r="AM435" s="47"/>
      <c r="AN435" s="47"/>
      <c r="AO435" s="47"/>
      <c r="AP435" s="47"/>
      <c r="AQ435" s="47"/>
      <c r="AR435" s="47"/>
      <c r="AS435" s="47"/>
      <c r="AT435" s="47"/>
      <c r="AU435" s="47"/>
      <c r="AV435" s="47"/>
      <c r="AW435" s="47"/>
      <c r="AX435" s="47"/>
      <c r="AY435" s="47"/>
      <c r="AZ435" s="47"/>
      <c r="BA435" s="47"/>
      <c r="BB435" s="47"/>
      <c r="BC435" s="47"/>
      <c r="BD435" s="47"/>
      <c r="BE435" s="47"/>
      <c r="BF435" s="47"/>
      <c r="BG435" s="47"/>
      <c r="BH435" s="47"/>
      <c r="BI435" s="47"/>
      <c r="BJ435" s="47"/>
      <c r="BK435" s="47"/>
      <c r="BL435" s="47"/>
      <c r="BM435" s="47"/>
      <c r="BN435" s="47"/>
      <c r="BO435" s="47"/>
      <c r="BP435" s="47"/>
      <c r="BQ435" s="47"/>
      <c r="BR435" s="47"/>
      <c r="BS435" s="47"/>
      <c r="BT435" s="47"/>
      <c r="BU435" s="47"/>
      <c r="BV435" s="47"/>
      <c r="BW435" s="47"/>
      <c r="BX435" s="47"/>
      <c r="BY435" s="47"/>
      <c r="BZ435" s="47"/>
    </row>
    <row r="436" spans="1:78" ht="13">
      <c r="A436" s="152" t="str">
        <f ca="1">IFERROR(__xludf.DUMMYFUNCTION("""COMPUTED_VALUE"""),"Teapot")</f>
        <v>Teapot</v>
      </c>
      <c r="B436" s="47" t="str">
        <f ca="1">IFERROR(__xludf.DUMMYFUNCTION("TRANSPOSE(unique(filter(Recipes!A$2:A2490,(Recipes!L$2:L2490=A436)+(Recipes!O$2:O2490=A436)+(Recipes!R$2:R2490=A436)+(Recipes!U$2:U2490=A436)+(Recipes!X$2:X2490=A436))))"),"Black Tea")</f>
        <v>Black Tea</v>
      </c>
      <c r="C436" s="47" t="str">
        <f ca="1">IFERROR(__xludf.DUMMYFUNCTION("""COMPUTED_VALUE"""),"Green Tea")</f>
        <v>Green Tea</v>
      </c>
      <c r="D436" s="47" t="str">
        <f ca="1">IFERROR(__xludf.DUMMYFUNCTION("""COMPUTED_VALUE"""),"White Tea")</f>
        <v>White Tea</v>
      </c>
      <c r="E436" s="47"/>
      <c r="F436" s="47"/>
      <c r="G436" s="47"/>
      <c r="H436" s="47"/>
      <c r="I436" s="47"/>
      <c r="J436" s="47"/>
      <c r="K436" s="47"/>
      <c r="L436" s="47"/>
      <c r="M436" s="47"/>
      <c r="N436" s="47"/>
      <c r="O436" s="47"/>
      <c r="P436" s="47"/>
      <c r="Q436" s="47"/>
      <c r="R436" s="47"/>
      <c r="S436" s="47"/>
      <c r="T436" s="47"/>
      <c r="U436" s="47"/>
      <c r="V436" s="47"/>
      <c r="W436" s="47"/>
      <c r="X436" s="47"/>
      <c r="Y436" s="47"/>
      <c r="Z436" s="47"/>
      <c r="AA436" s="47"/>
      <c r="AB436" s="47"/>
      <c r="AC436" s="47"/>
      <c r="AD436" s="47"/>
      <c r="AE436" s="47"/>
      <c r="AF436" s="47"/>
      <c r="AG436" s="47"/>
      <c r="AH436" s="47"/>
      <c r="AI436" s="47"/>
      <c r="AJ436" s="47"/>
      <c r="AK436" s="47"/>
      <c r="AL436" s="47"/>
      <c r="AM436" s="47"/>
      <c r="AN436" s="47"/>
      <c r="AO436" s="47"/>
      <c r="AP436" s="47"/>
      <c r="AQ436" s="47"/>
      <c r="AR436" s="47"/>
      <c r="AS436" s="47"/>
      <c r="AT436" s="47"/>
      <c r="AU436" s="47"/>
      <c r="AV436" s="47"/>
      <c r="AW436" s="47"/>
      <c r="AX436" s="47"/>
      <c r="AY436" s="47"/>
      <c r="AZ436" s="47"/>
      <c r="BA436" s="47"/>
      <c r="BB436" s="47"/>
      <c r="BC436" s="47"/>
      <c r="BD436" s="47"/>
      <c r="BE436" s="47"/>
      <c r="BF436" s="47"/>
      <c r="BG436" s="47"/>
      <c r="BH436" s="47"/>
      <c r="BI436" s="47"/>
      <c r="BJ436" s="47"/>
      <c r="BK436" s="47"/>
      <c r="BL436" s="47"/>
      <c r="BM436" s="47"/>
      <c r="BN436" s="47"/>
      <c r="BO436" s="47"/>
      <c r="BP436" s="47"/>
      <c r="BQ436" s="47"/>
      <c r="BR436" s="47"/>
      <c r="BS436" s="47"/>
      <c r="BT436" s="47"/>
      <c r="BU436" s="47"/>
      <c r="BV436" s="47"/>
      <c r="BW436" s="47"/>
      <c r="BX436" s="47"/>
      <c r="BY436" s="47"/>
      <c r="BZ436" s="47"/>
    </row>
    <row r="437" spans="1:78" ht="13">
      <c r="A437" s="152" t="str">
        <f ca="1">IFERROR(__xludf.DUMMYFUNCTION("""COMPUTED_VALUE"""),"Teleportation Scroll")</f>
        <v>Teleportation Scroll</v>
      </c>
      <c r="B437" s="47" t="str">
        <f ca="1">IFERROR(__xludf.DUMMYFUNCTION("TRANSPOSE(unique(filter(Recipes!A$2:A2490,(Recipes!L$2:L2490=A437)+(Recipes!O$2:O2490=A437)+(Recipes!R$2:R2490=A437)+(Recipes!U$2:U2490=A437)+(Recipes!X$2:X2490=A437))))"),"Teleportation Skillbook")</f>
        <v>Teleportation Skillbook</v>
      </c>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c r="AA437" s="47"/>
      <c r="AB437" s="47"/>
      <c r="AC437" s="47"/>
      <c r="AD437" s="47"/>
      <c r="AE437" s="47"/>
      <c r="AF437" s="47"/>
      <c r="AG437" s="47"/>
      <c r="AH437" s="47"/>
      <c r="AI437" s="47"/>
      <c r="AJ437" s="47"/>
      <c r="AK437" s="47"/>
      <c r="AL437" s="47"/>
      <c r="AM437" s="47"/>
      <c r="AN437" s="47"/>
      <c r="AO437" s="47"/>
      <c r="AP437" s="47"/>
      <c r="AQ437" s="47"/>
      <c r="AR437" s="47"/>
      <c r="AS437" s="47"/>
      <c r="AT437" s="47"/>
      <c r="AU437" s="47"/>
      <c r="AV437" s="47"/>
      <c r="AW437" s="47"/>
      <c r="AX437" s="47"/>
      <c r="AY437" s="47"/>
      <c r="AZ437" s="47"/>
      <c r="BA437" s="47"/>
      <c r="BB437" s="47"/>
      <c r="BC437" s="47"/>
      <c r="BD437" s="47"/>
      <c r="BE437" s="47"/>
      <c r="BF437" s="47"/>
      <c r="BG437" s="47"/>
      <c r="BH437" s="47"/>
      <c r="BI437" s="47"/>
      <c r="BJ437" s="47"/>
      <c r="BK437" s="47"/>
      <c r="BL437" s="47"/>
      <c r="BM437" s="47"/>
      <c r="BN437" s="47"/>
      <c r="BO437" s="47"/>
      <c r="BP437" s="47"/>
      <c r="BQ437" s="47"/>
      <c r="BR437" s="47"/>
      <c r="BS437" s="47"/>
      <c r="BT437" s="47"/>
      <c r="BU437" s="47"/>
      <c r="BV437" s="47"/>
      <c r="BW437" s="47"/>
      <c r="BX437" s="47"/>
      <c r="BY437" s="47"/>
      <c r="BZ437" s="47"/>
    </row>
    <row r="438" spans="1:78" ht="13">
      <c r="A438" s="152" t="str">
        <f ca="1">IFERROR(__xludf.DUMMYFUNCTION("""COMPUTED_VALUE"""),"Tentacle Lash Scroll")</f>
        <v>Tentacle Lash Scroll</v>
      </c>
      <c r="B438" s="47" t="str">
        <f ca="1">IFERROR(__xludf.DUMMYFUNCTION("TRANSPOSE(unique(filter(Recipes!A$2:A2490,(Recipes!L$2:L2490=A438)+(Recipes!O$2:O2490=A438)+(Recipes!R$2:R2490=A438)+(Recipes!U$2:U2490=A438)+(Recipes!X$2:X2490=A438))))"),"Tentacle Lash Skillbook")</f>
        <v>Tentacle Lash Skillbook</v>
      </c>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c r="AA438" s="47"/>
      <c r="AB438" s="47"/>
      <c r="AC438" s="47"/>
      <c r="AD438" s="47"/>
      <c r="AE438" s="47"/>
      <c r="AF438" s="47"/>
      <c r="AG438" s="47"/>
      <c r="AH438" s="47"/>
      <c r="AI438" s="47"/>
      <c r="AJ438" s="47"/>
      <c r="AK438" s="47"/>
      <c r="AL438" s="47"/>
      <c r="AM438" s="47"/>
      <c r="AN438" s="47"/>
      <c r="AO438" s="47"/>
      <c r="AP438" s="47"/>
      <c r="AQ438" s="47"/>
      <c r="AR438" s="47"/>
      <c r="AS438" s="47"/>
      <c r="AT438" s="47"/>
      <c r="AU438" s="47"/>
      <c r="AV438" s="47"/>
      <c r="AW438" s="47"/>
      <c r="AX438" s="47"/>
      <c r="AY438" s="47"/>
      <c r="AZ438" s="47"/>
      <c r="BA438" s="47"/>
      <c r="BB438" s="47"/>
      <c r="BC438" s="47"/>
      <c r="BD438" s="47"/>
      <c r="BE438" s="47"/>
      <c r="BF438" s="47"/>
      <c r="BG438" s="47"/>
      <c r="BH438" s="47"/>
      <c r="BI438" s="47"/>
      <c r="BJ438" s="47"/>
      <c r="BK438" s="47"/>
      <c r="BL438" s="47"/>
      <c r="BM438" s="47"/>
      <c r="BN438" s="47"/>
      <c r="BO438" s="47"/>
      <c r="BP438" s="47"/>
      <c r="BQ438" s="47"/>
      <c r="BR438" s="47"/>
      <c r="BS438" s="47"/>
      <c r="BT438" s="47"/>
      <c r="BU438" s="47"/>
      <c r="BV438" s="47"/>
      <c r="BW438" s="47"/>
      <c r="BX438" s="47"/>
      <c r="BY438" s="47"/>
      <c r="BZ438" s="47"/>
    </row>
    <row r="439" spans="1:78" ht="13">
      <c r="A439" s="152" t="str">
        <f ca="1">IFERROR(__xludf.DUMMYFUNCTION("""COMPUTED_VALUE"""),"Thread")</f>
        <v>Thread</v>
      </c>
      <c r="B439" s="47" t="str">
        <f ca="1">IFERROR(__xludf.DUMMYFUNCTION("TRANSPOSE(unique(filter(Recipes!A$2:A2490,(Recipes!L$2:L2490=A439)+(Recipes!O$2:O2490=A439)+(Recipes!R$2:R2490=A439)+(Recipes!U$2:U2490=A439)+(Recipes!X$2:X2490=A439))))"),"Needle and Thread")</f>
        <v>Needle and Thread</v>
      </c>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c r="AA439" s="47"/>
      <c r="AB439" s="47"/>
      <c r="AC439" s="47"/>
      <c r="AD439" s="47"/>
      <c r="AE439" s="47"/>
      <c r="AF439" s="47"/>
      <c r="AG439" s="47"/>
      <c r="AH439" s="47"/>
      <c r="AI439" s="47"/>
      <c r="AJ439" s="47"/>
      <c r="AK439" s="47"/>
      <c r="AL439" s="47"/>
      <c r="AM439" s="47"/>
      <c r="AN439" s="47"/>
      <c r="AO439" s="47"/>
      <c r="AP439" s="47"/>
      <c r="AQ439" s="47"/>
      <c r="AR439" s="47"/>
      <c r="AS439" s="47"/>
      <c r="AT439" s="47"/>
      <c r="AU439" s="47"/>
      <c r="AV439" s="47"/>
      <c r="AW439" s="47"/>
      <c r="AX439" s="47"/>
      <c r="AY439" s="47"/>
      <c r="AZ439" s="47"/>
      <c r="BA439" s="47"/>
      <c r="BB439" s="47"/>
      <c r="BC439" s="47"/>
      <c r="BD439" s="47"/>
      <c r="BE439" s="47"/>
      <c r="BF439" s="47"/>
      <c r="BG439" s="47"/>
      <c r="BH439" s="47"/>
      <c r="BI439" s="47"/>
      <c r="BJ439" s="47"/>
      <c r="BK439" s="47"/>
      <c r="BL439" s="47"/>
      <c r="BM439" s="47"/>
      <c r="BN439" s="47"/>
      <c r="BO439" s="47"/>
      <c r="BP439" s="47"/>
      <c r="BQ439" s="47"/>
      <c r="BR439" s="47"/>
      <c r="BS439" s="47"/>
      <c r="BT439" s="47"/>
      <c r="BU439" s="47"/>
      <c r="BV439" s="47"/>
      <c r="BW439" s="47"/>
      <c r="BX439" s="47"/>
      <c r="BY439" s="47"/>
      <c r="BZ439" s="47"/>
    </row>
    <row r="440" spans="1:78" ht="13">
      <c r="A440" s="152" t="str">
        <f ca="1">IFERROR(__xludf.DUMMYFUNCTION("""COMPUTED_VALUE"""),"Thunderstorm Scroll")</f>
        <v>Thunderstorm Scroll</v>
      </c>
      <c r="B440" s="47" t="str">
        <f ca="1">IFERROR(__xludf.DUMMYFUNCTION("TRANSPOSE(unique(filter(Recipes!A$2:A2490,(Recipes!L$2:L2490=A440)+(Recipes!O$2:O2490=A440)+(Recipes!R$2:R2490=A440)+(Recipes!U$2:U2490=A440)+(Recipes!X$2:X2490=A440))))"),"Thunderstorm Skillbook")</f>
        <v>Thunderstorm Skillbook</v>
      </c>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c r="AA440" s="47"/>
      <c r="AB440" s="47"/>
      <c r="AC440" s="47"/>
      <c r="AD440" s="47"/>
      <c r="AE440" s="47"/>
      <c r="AF440" s="47"/>
      <c r="AG440" s="47"/>
      <c r="AH440" s="47"/>
      <c r="AI440" s="47"/>
      <c r="AJ440" s="47"/>
      <c r="AK440" s="47"/>
      <c r="AL440" s="47"/>
      <c r="AM440" s="47"/>
      <c r="AN440" s="47"/>
      <c r="AO440" s="47"/>
      <c r="AP440" s="47"/>
      <c r="AQ440" s="47"/>
      <c r="AR440" s="47"/>
      <c r="AS440" s="47"/>
      <c r="AT440" s="47"/>
      <c r="AU440" s="47"/>
      <c r="AV440" s="47"/>
      <c r="AW440" s="47"/>
      <c r="AX440" s="47"/>
      <c r="AY440" s="47"/>
      <c r="AZ440" s="47"/>
      <c r="BA440" s="47"/>
      <c r="BB440" s="47"/>
      <c r="BC440" s="47"/>
      <c r="BD440" s="47"/>
      <c r="BE440" s="47"/>
      <c r="BF440" s="47"/>
      <c r="BG440" s="47"/>
      <c r="BH440" s="47"/>
      <c r="BI440" s="47"/>
      <c r="BJ440" s="47"/>
      <c r="BK440" s="47"/>
      <c r="BL440" s="47"/>
      <c r="BM440" s="47"/>
      <c r="BN440" s="47"/>
      <c r="BO440" s="47"/>
      <c r="BP440" s="47"/>
      <c r="BQ440" s="47"/>
      <c r="BR440" s="47"/>
      <c r="BS440" s="47"/>
      <c r="BT440" s="47"/>
      <c r="BU440" s="47"/>
      <c r="BV440" s="47"/>
      <c r="BW440" s="47"/>
      <c r="BX440" s="47"/>
      <c r="BY440" s="47"/>
      <c r="BZ440" s="47"/>
    </row>
    <row r="441" spans="1:78" ht="13">
      <c r="A441" s="152" t="str">
        <f ca="1">IFERROR(__xludf.DUMMYFUNCTION("""COMPUTED_VALUE"""),"Tomato")</f>
        <v>Tomato</v>
      </c>
      <c r="B441" s="47" t="str">
        <f ca="1">IFERROR(__xludf.DUMMYFUNCTION("TRANSPOSE(unique(filter(Recipes!A$2:A2490,(Recipes!L$2:L2490=A441)+(Recipes!O$2:O2490=A441)+(Recipes!R$2:R2490=A441)+(Recipes!U$2:U2490=A441)+(Recipes!X$2:X2490=A441))))"),"Tomato Sauce")</f>
        <v>Tomato Sauce</v>
      </c>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c r="AA441" s="47"/>
      <c r="AB441" s="47"/>
      <c r="AC441" s="47"/>
      <c r="AD441" s="47"/>
      <c r="AE441" s="47"/>
      <c r="AF441" s="47"/>
      <c r="AG441" s="47"/>
      <c r="AH441" s="47"/>
      <c r="AI441" s="47"/>
      <c r="AJ441" s="47"/>
      <c r="AK441" s="47"/>
      <c r="AL441" s="47"/>
      <c r="AM441" s="47"/>
      <c r="AN441" s="47"/>
      <c r="AO441" s="47"/>
      <c r="AP441" s="47"/>
      <c r="AQ441" s="47"/>
      <c r="AR441" s="47"/>
      <c r="AS441" s="47"/>
      <c r="AT441" s="47"/>
      <c r="AU441" s="47"/>
      <c r="AV441" s="47"/>
      <c r="AW441" s="47"/>
      <c r="AX441" s="47"/>
      <c r="AY441" s="47"/>
      <c r="AZ441" s="47"/>
      <c r="BA441" s="47"/>
      <c r="BB441" s="47"/>
      <c r="BC441" s="47"/>
      <c r="BD441" s="47"/>
      <c r="BE441" s="47"/>
      <c r="BF441" s="47"/>
      <c r="BG441" s="47"/>
      <c r="BH441" s="47"/>
      <c r="BI441" s="47"/>
      <c r="BJ441" s="47"/>
      <c r="BK441" s="47"/>
      <c r="BL441" s="47"/>
      <c r="BM441" s="47"/>
      <c r="BN441" s="47"/>
      <c r="BO441" s="47"/>
      <c r="BP441" s="47"/>
      <c r="BQ441" s="47"/>
      <c r="BR441" s="47"/>
      <c r="BS441" s="47"/>
      <c r="BT441" s="47"/>
      <c r="BU441" s="47"/>
      <c r="BV441" s="47"/>
      <c r="BW441" s="47"/>
      <c r="BX441" s="47"/>
      <c r="BY441" s="47"/>
      <c r="BZ441" s="47"/>
    </row>
    <row r="442" spans="1:78" ht="13">
      <c r="A442" s="152" t="str">
        <f ca="1">IFERROR(__xludf.DUMMYFUNCTION("""COMPUTED_VALUE"""),"Tomato Sauce")</f>
        <v>Tomato Sauce</v>
      </c>
      <c r="B442" s="47" t="str">
        <f ca="1">IFERROR(__xludf.DUMMYFUNCTION("TRANSPOSE(unique(filter(Recipes!A$2:A2490,(Recipes!L$2:L2490=A442)+(Recipes!O$2:O2490=A442)+(Recipes!R$2:R2490=A442)+(Recipes!U$2:U2490=A442)+(Recipes!X$2:X2490=A442))))"),"Elven Stew")</f>
        <v>Elven Stew</v>
      </c>
      <c r="C442" s="47" t="str">
        <f ca="1">IFERROR(__xludf.DUMMYFUNCTION("""COMPUTED_VALUE"""),"Pizza Dough")</f>
        <v>Pizza Dough</v>
      </c>
      <c r="D442" s="47"/>
      <c r="E442" s="47"/>
      <c r="F442" s="47"/>
      <c r="G442" s="47"/>
      <c r="H442" s="47"/>
      <c r="I442" s="47"/>
      <c r="J442" s="47"/>
      <c r="K442" s="47"/>
      <c r="L442" s="47"/>
      <c r="M442" s="47"/>
      <c r="N442" s="47"/>
      <c r="O442" s="47"/>
      <c r="P442" s="47"/>
      <c r="Q442" s="47"/>
      <c r="R442" s="47"/>
      <c r="S442" s="47"/>
      <c r="T442" s="47"/>
      <c r="U442" s="47"/>
      <c r="V442" s="47"/>
      <c r="W442" s="47"/>
      <c r="X442" s="47"/>
      <c r="Y442" s="47"/>
      <c r="Z442" s="47"/>
      <c r="AA442" s="47"/>
      <c r="AB442" s="47"/>
      <c r="AC442" s="47"/>
      <c r="AD442" s="47"/>
      <c r="AE442" s="47"/>
      <c r="AF442" s="47"/>
      <c r="AG442" s="47"/>
      <c r="AH442" s="47"/>
      <c r="AI442" s="47"/>
      <c r="AJ442" s="47"/>
      <c r="AK442" s="47"/>
      <c r="AL442" s="47"/>
      <c r="AM442" s="47"/>
      <c r="AN442" s="47"/>
      <c r="AO442" s="47"/>
      <c r="AP442" s="47"/>
      <c r="AQ442" s="47"/>
      <c r="AR442" s="47"/>
      <c r="AS442" s="47"/>
      <c r="AT442" s="47"/>
      <c r="AU442" s="47"/>
      <c r="AV442" s="47"/>
      <c r="AW442" s="47"/>
      <c r="AX442" s="47"/>
      <c r="AY442" s="47"/>
      <c r="AZ442" s="47"/>
      <c r="BA442" s="47"/>
      <c r="BB442" s="47"/>
      <c r="BC442" s="47"/>
      <c r="BD442" s="47"/>
      <c r="BE442" s="47"/>
      <c r="BF442" s="47"/>
      <c r="BG442" s="47"/>
      <c r="BH442" s="47"/>
      <c r="BI442" s="47"/>
      <c r="BJ442" s="47"/>
      <c r="BK442" s="47"/>
      <c r="BL442" s="47"/>
      <c r="BM442" s="47"/>
      <c r="BN442" s="47"/>
      <c r="BO442" s="47"/>
      <c r="BP442" s="47"/>
      <c r="BQ442" s="47"/>
      <c r="BR442" s="47"/>
      <c r="BS442" s="47"/>
      <c r="BT442" s="47"/>
      <c r="BU442" s="47"/>
      <c r="BV442" s="47"/>
      <c r="BW442" s="47"/>
      <c r="BX442" s="47"/>
      <c r="BY442" s="47"/>
      <c r="BZ442" s="47"/>
    </row>
    <row r="443" spans="1:78" ht="13">
      <c r="A443" s="152" t="str">
        <f ca="1">IFERROR(__xludf.DUMMYFUNCTION("""COMPUTED_VALUE"""),"Tongs")</f>
        <v>Tongs</v>
      </c>
      <c r="B443" s="47" t="str">
        <f ca="1">IFERROR(__xludf.DUMMYFUNCTION("TRANSPOSE(unique(filter(Recipes!A$2:A2490,(Recipes!L$2:L2490=A443)+(Recipes!O$2:O2490=A443)+(Recipes!R$2:R2490=A443)+(Recipes!U$2:U2490=A443)+(Recipes!X$2:X2490=A443))))"),"Trap Disarming Kit")</f>
        <v>Trap Disarming Kit</v>
      </c>
      <c r="C443" s="47" t="str">
        <f ca="1">IFERROR(__xludf.DUMMYFUNCTION("""COMPUTED_VALUE"""),"Big Tongs Roped Together")</f>
        <v>Big Tongs Roped Together</v>
      </c>
      <c r="D443" s="47"/>
      <c r="E443" s="47"/>
      <c r="F443" s="47"/>
      <c r="G443" s="47"/>
      <c r="H443" s="47"/>
      <c r="I443" s="47"/>
      <c r="J443" s="47"/>
      <c r="K443" s="47"/>
      <c r="L443" s="47"/>
      <c r="M443" s="47"/>
      <c r="N443" s="47"/>
      <c r="O443" s="47"/>
      <c r="P443" s="47"/>
      <c r="Q443" s="47"/>
      <c r="R443" s="47"/>
      <c r="S443" s="47"/>
      <c r="T443" s="47"/>
      <c r="U443" s="47"/>
      <c r="V443" s="47"/>
      <c r="W443" s="47"/>
      <c r="X443" s="47"/>
      <c r="Y443" s="47"/>
      <c r="Z443" s="47"/>
      <c r="AA443" s="47"/>
      <c r="AB443" s="47"/>
      <c r="AC443" s="47"/>
      <c r="AD443" s="47"/>
      <c r="AE443" s="47"/>
      <c r="AF443" s="47"/>
      <c r="AG443" s="47"/>
      <c r="AH443" s="47"/>
      <c r="AI443" s="47"/>
      <c r="AJ443" s="47"/>
      <c r="AK443" s="47"/>
      <c r="AL443" s="47"/>
      <c r="AM443" s="47"/>
      <c r="AN443" s="47"/>
      <c r="AO443" s="47"/>
      <c r="AP443" s="47"/>
      <c r="AQ443" s="47"/>
      <c r="AR443" s="47"/>
      <c r="AS443" s="47"/>
      <c r="AT443" s="47"/>
      <c r="AU443" s="47"/>
      <c r="AV443" s="47"/>
      <c r="AW443" s="47"/>
      <c r="AX443" s="47"/>
      <c r="AY443" s="47"/>
      <c r="AZ443" s="47"/>
      <c r="BA443" s="47"/>
      <c r="BB443" s="47"/>
      <c r="BC443" s="47"/>
      <c r="BD443" s="47"/>
      <c r="BE443" s="47"/>
      <c r="BF443" s="47"/>
      <c r="BG443" s="47"/>
      <c r="BH443" s="47"/>
      <c r="BI443" s="47"/>
      <c r="BJ443" s="47"/>
      <c r="BK443" s="47"/>
      <c r="BL443" s="47"/>
      <c r="BM443" s="47"/>
      <c r="BN443" s="47"/>
      <c r="BO443" s="47"/>
      <c r="BP443" s="47"/>
      <c r="BQ443" s="47"/>
      <c r="BR443" s="47"/>
      <c r="BS443" s="47"/>
      <c r="BT443" s="47"/>
      <c r="BU443" s="47"/>
      <c r="BV443" s="47"/>
      <c r="BW443" s="47"/>
      <c r="BX443" s="47"/>
      <c r="BY443" s="47"/>
      <c r="BZ443" s="47"/>
    </row>
    <row r="444" spans="1:78" ht="13">
      <c r="A444" s="152" t="str">
        <f ca="1">IFERROR(__xludf.DUMMYFUNCTION("""COMPUTED_VALUE"""),"Tooth")</f>
        <v>Tooth</v>
      </c>
      <c r="B444" s="47" t="str">
        <f ca="1">IFERROR(__xludf.DUMMYFUNCTION("TRANSPOSE(unique(filter(Recipes!A$2:A2490,(Recipes!L$2:L2490=A444)+(Recipes!O$2:O2490=A444)+(Recipes!R$2:R2490=A444)+(Recipes!U$2:U2490=A444)+(Recipes!X$2:X2490=A444))))"),"Shocking Arrowhead")</f>
        <v>Shocking Arrowhead</v>
      </c>
      <c r="C444" s="47" t="str">
        <f ca="1">IFERROR(__xludf.DUMMYFUNCTION("""COMPUTED_VALUE"""),"Searing Daggers Scroll")</f>
        <v>Searing Daggers Scroll</v>
      </c>
      <c r="D444" s="47"/>
      <c r="E444" s="47"/>
      <c r="F444" s="47"/>
      <c r="G444" s="47"/>
      <c r="H444" s="47"/>
      <c r="I444" s="47"/>
      <c r="J444" s="47"/>
      <c r="K444" s="47"/>
      <c r="L444" s="47"/>
      <c r="M444" s="47"/>
      <c r="N444" s="47"/>
      <c r="O444" s="47"/>
      <c r="P444" s="47"/>
      <c r="Q444" s="47"/>
      <c r="R444" s="47"/>
      <c r="S444" s="47"/>
      <c r="T444" s="47"/>
      <c r="U444" s="47"/>
      <c r="V444" s="47"/>
      <c r="W444" s="47"/>
      <c r="X444" s="47"/>
      <c r="Y444" s="47"/>
      <c r="Z444" s="47"/>
      <c r="AA444" s="47"/>
      <c r="AB444" s="47"/>
      <c r="AC444" s="47"/>
      <c r="AD444" s="47"/>
      <c r="AE444" s="47"/>
      <c r="AF444" s="47"/>
      <c r="AG444" s="47"/>
      <c r="AH444" s="47"/>
      <c r="AI444" s="47"/>
      <c r="AJ444" s="47"/>
      <c r="AK444" s="47"/>
      <c r="AL444" s="47"/>
      <c r="AM444" s="47"/>
      <c r="AN444" s="47"/>
      <c r="AO444" s="47"/>
      <c r="AP444" s="47"/>
      <c r="AQ444" s="47"/>
      <c r="AR444" s="47"/>
      <c r="AS444" s="47"/>
      <c r="AT444" s="47"/>
      <c r="AU444" s="47"/>
      <c r="AV444" s="47"/>
      <c r="AW444" s="47"/>
      <c r="AX444" s="47"/>
      <c r="AY444" s="47"/>
      <c r="AZ444" s="47"/>
      <c r="BA444" s="47"/>
      <c r="BB444" s="47"/>
      <c r="BC444" s="47"/>
      <c r="BD444" s="47"/>
      <c r="BE444" s="47"/>
      <c r="BF444" s="47"/>
      <c r="BG444" s="47"/>
      <c r="BH444" s="47"/>
      <c r="BI444" s="47"/>
      <c r="BJ444" s="47"/>
      <c r="BK444" s="47"/>
      <c r="BL444" s="47"/>
      <c r="BM444" s="47"/>
      <c r="BN444" s="47"/>
      <c r="BO444" s="47"/>
      <c r="BP444" s="47"/>
      <c r="BQ444" s="47"/>
      <c r="BR444" s="47"/>
      <c r="BS444" s="47"/>
      <c r="BT444" s="47"/>
      <c r="BU444" s="47"/>
      <c r="BV444" s="47"/>
      <c r="BW444" s="47"/>
      <c r="BX444" s="47"/>
      <c r="BY444" s="47"/>
      <c r="BZ444" s="47"/>
    </row>
    <row r="445" spans="1:78" ht="13">
      <c r="A445" s="152" t="str">
        <f ca="1">IFERROR(__xludf.DUMMYFUNCTION("""COMPUTED_VALUE"""),"Tormented Soul")</f>
        <v>Tormented Soul</v>
      </c>
      <c r="B445" s="47" t="str">
        <f ca="1">IFERROR(__xludf.DUMMYFUNCTION("TRANSPOSE(unique(filter(Recipes!A$2:A2490,(Recipes!L$2:L2490=A445)+(Recipes!O$2:O2490=A445)+(Recipes!R$2:R2490=A445)+(Recipes!U$2:U2490=A445)+(Recipes!X$2:X2490=A445))))"),"Terror Grenade")</f>
        <v>Terror Grenade</v>
      </c>
      <c r="C445" s="47" t="str">
        <f ca="1">IFERROR(__xludf.DUMMYFUNCTION("""COMPUTED_VALUE"""),"Dimensional Bolt Scroll")</f>
        <v>Dimensional Bolt Scroll</v>
      </c>
      <c r="D445" s="47" t="str">
        <f ca="1">IFERROR(__xludf.DUMMYFUNCTION("""COMPUTED_VALUE"""),"Elemental Totem Scroll")</f>
        <v>Elemental Totem Scroll</v>
      </c>
      <c r="E445" s="47" t="str">
        <f ca="1">IFERROR(__xludf.DUMMYFUNCTION("""COMPUTED_VALUE"""),"Rallying Cry Scroll")</f>
        <v>Rallying Cry Scroll</v>
      </c>
      <c r="F445" s="47"/>
      <c r="G445" s="47"/>
      <c r="H445" s="47"/>
      <c r="I445" s="47"/>
      <c r="J445" s="47"/>
      <c r="K445" s="47"/>
      <c r="L445" s="47"/>
      <c r="M445" s="47"/>
      <c r="N445" s="47"/>
      <c r="O445" s="47"/>
      <c r="P445" s="47"/>
      <c r="Q445" s="47"/>
      <c r="R445" s="47"/>
      <c r="S445" s="47"/>
      <c r="T445" s="47"/>
      <c r="U445" s="47"/>
      <c r="V445" s="47"/>
      <c r="W445" s="47"/>
      <c r="X445" s="47"/>
      <c r="Y445" s="47"/>
      <c r="Z445" s="47"/>
      <c r="AA445" s="47"/>
      <c r="AB445" s="47"/>
      <c r="AC445" s="47"/>
      <c r="AD445" s="47"/>
      <c r="AE445" s="47"/>
      <c r="AF445" s="47"/>
      <c r="AG445" s="47"/>
      <c r="AH445" s="47"/>
      <c r="AI445" s="47"/>
      <c r="AJ445" s="47"/>
      <c r="AK445" s="47"/>
      <c r="AL445" s="47"/>
      <c r="AM445" s="47"/>
      <c r="AN445" s="47"/>
      <c r="AO445" s="47"/>
      <c r="AP445" s="47"/>
      <c r="AQ445" s="47"/>
      <c r="AR445" s="47"/>
      <c r="AS445" s="47"/>
      <c r="AT445" s="47"/>
      <c r="AU445" s="47"/>
      <c r="AV445" s="47"/>
      <c r="AW445" s="47"/>
      <c r="AX445" s="47"/>
      <c r="AY445" s="47"/>
      <c r="AZ445" s="47"/>
      <c r="BA445" s="47"/>
      <c r="BB445" s="47"/>
      <c r="BC445" s="47"/>
      <c r="BD445" s="47"/>
      <c r="BE445" s="47"/>
      <c r="BF445" s="47"/>
      <c r="BG445" s="47"/>
      <c r="BH445" s="47"/>
      <c r="BI445" s="47"/>
      <c r="BJ445" s="47"/>
      <c r="BK445" s="47"/>
      <c r="BL445" s="47"/>
      <c r="BM445" s="47"/>
      <c r="BN445" s="47"/>
      <c r="BO445" s="47"/>
      <c r="BP445" s="47"/>
      <c r="BQ445" s="47"/>
      <c r="BR445" s="47"/>
      <c r="BS445" s="47"/>
      <c r="BT445" s="47"/>
      <c r="BU445" s="47"/>
      <c r="BV445" s="47"/>
      <c r="BW445" s="47"/>
      <c r="BX445" s="47"/>
      <c r="BY445" s="47"/>
      <c r="BZ445" s="47"/>
    </row>
    <row r="446" spans="1:78" ht="13">
      <c r="A446" s="152" t="str">
        <f ca="1">IFERROR(__xludf.DUMMYFUNCTION("""COMPUTED_VALUE"""),"Tornado Scroll")</f>
        <v>Tornado Scroll</v>
      </c>
      <c r="B446" s="47" t="str">
        <f ca="1">IFERROR(__xludf.DUMMYFUNCTION("TRANSPOSE(unique(filter(Recipes!A$2:A2490,(Recipes!L$2:L2490=A446)+(Recipes!O$2:O2490=A446)+(Recipes!R$2:R2490=A446)+(Recipes!U$2:U2490=A446)+(Recipes!X$2:X2490=A446))))"),"Tornado Skillbook")</f>
        <v>Tornado Skillbook</v>
      </c>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c r="AA446" s="47"/>
      <c r="AB446" s="47"/>
      <c r="AC446" s="47"/>
      <c r="AD446" s="47"/>
      <c r="AE446" s="47"/>
      <c r="AF446" s="47"/>
      <c r="AG446" s="47"/>
      <c r="AH446" s="47"/>
      <c r="AI446" s="47"/>
      <c r="AJ446" s="47"/>
      <c r="AK446" s="47"/>
      <c r="AL446" s="47"/>
      <c r="AM446" s="47"/>
      <c r="AN446" s="47"/>
      <c r="AO446" s="47"/>
      <c r="AP446" s="47"/>
      <c r="AQ446" s="47"/>
      <c r="AR446" s="47"/>
      <c r="AS446" s="47"/>
      <c r="AT446" s="47"/>
      <c r="AU446" s="47"/>
      <c r="AV446" s="47"/>
      <c r="AW446" s="47"/>
      <c r="AX446" s="47"/>
      <c r="AY446" s="47"/>
      <c r="AZ446" s="47"/>
      <c r="BA446" s="47"/>
      <c r="BB446" s="47"/>
      <c r="BC446" s="47"/>
      <c r="BD446" s="47"/>
      <c r="BE446" s="47"/>
      <c r="BF446" s="47"/>
      <c r="BG446" s="47"/>
      <c r="BH446" s="47"/>
      <c r="BI446" s="47"/>
      <c r="BJ446" s="47"/>
      <c r="BK446" s="47"/>
      <c r="BL446" s="47"/>
      <c r="BM446" s="47"/>
      <c r="BN446" s="47"/>
      <c r="BO446" s="47"/>
      <c r="BP446" s="47"/>
      <c r="BQ446" s="47"/>
      <c r="BR446" s="47"/>
      <c r="BS446" s="47"/>
      <c r="BT446" s="47"/>
      <c r="BU446" s="47"/>
      <c r="BV446" s="47"/>
      <c r="BW446" s="47"/>
      <c r="BX446" s="47"/>
      <c r="BY446" s="47"/>
      <c r="BZ446" s="47"/>
    </row>
    <row r="447" spans="1:78" ht="13">
      <c r="A447" s="152" t="str">
        <f ca="1">IFERROR(__xludf.DUMMYFUNCTION("""COMPUTED_VALUE"""),"Totems of the Necromancer Scroll")</f>
        <v>Totems of the Necromancer Scroll</v>
      </c>
      <c r="B447" s="47" t="str">
        <f ca="1">IFERROR(__xludf.DUMMYFUNCTION("TRANSPOSE(unique(filter(Recipes!A$2:A2490,(Recipes!L$2:L2490=A447)+(Recipes!O$2:O2490=A447)+(Recipes!R$2:R2490=A447)+(Recipes!U$2:U2490=A447)+(Recipes!X$2:X2490=A447))))"),"Totems of the Necromancer Skillbook")</f>
        <v>Totems of the Necromancer Skillbook</v>
      </c>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c r="AA447" s="47"/>
      <c r="AB447" s="47"/>
      <c r="AC447" s="47"/>
      <c r="AD447" s="47"/>
      <c r="AE447" s="47"/>
      <c r="AF447" s="47"/>
      <c r="AG447" s="47"/>
      <c r="AH447" s="47"/>
      <c r="AI447" s="47"/>
      <c r="AJ447" s="47"/>
      <c r="AK447" s="47"/>
      <c r="AL447" s="47"/>
      <c r="AM447" s="47"/>
      <c r="AN447" s="47"/>
      <c r="AO447" s="47"/>
      <c r="AP447" s="47"/>
      <c r="AQ447" s="47"/>
      <c r="AR447" s="47"/>
      <c r="AS447" s="47"/>
      <c r="AT447" s="47"/>
      <c r="AU447" s="47"/>
      <c r="AV447" s="47"/>
      <c r="AW447" s="47"/>
      <c r="AX447" s="47"/>
      <c r="AY447" s="47"/>
      <c r="AZ447" s="47"/>
      <c r="BA447" s="47"/>
      <c r="BB447" s="47"/>
      <c r="BC447" s="47"/>
      <c r="BD447" s="47"/>
      <c r="BE447" s="47"/>
      <c r="BF447" s="47"/>
      <c r="BG447" s="47"/>
      <c r="BH447" s="47"/>
      <c r="BI447" s="47"/>
      <c r="BJ447" s="47"/>
      <c r="BK447" s="47"/>
      <c r="BL447" s="47"/>
      <c r="BM447" s="47"/>
      <c r="BN447" s="47"/>
      <c r="BO447" s="47"/>
      <c r="BP447" s="47"/>
      <c r="BQ447" s="47"/>
      <c r="BR447" s="47"/>
      <c r="BS447" s="47"/>
      <c r="BT447" s="47"/>
      <c r="BU447" s="47"/>
      <c r="BV447" s="47"/>
      <c r="BW447" s="47"/>
      <c r="BX447" s="47"/>
      <c r="BY447" s="47"/>
      <c r="BZ447" s="47"/>
    </row>
    <row r="448" spans="1:78" ht="13">
      <c r="A448" s="152" t="str">
        <f ca="1">IFERROR(__xludf.DUMMYFUNCTION("""COMPUTED_VALUE"""),"Trumpet of Death")</f>
        <v>Trumpet of Death</v>
      </c>
      <c r="B448" s="47" t="str">
        <f ca="1">IFERROR(__xludf.DUMMYFUNCTION("TRANSPOSE(unique(filter(Recipes!A$2:A2490,(Recipes!L$2:L2490=A448)+(Recipes!O$2:O2490=A448)+(Recipes!R$2:R2490=A448)+(Recipes!U$2:U2490=A448)+(Recipes!X$2:X2490=A448))))"),"Reactive Armor Scroll")</f>
        <v>Reactive Armor Scroll</v>
      </c>
      <c r="C448" s="47" t="str">
        <f ca="1">IFERROR(__xludf.DUMMYFUNCTION("""COMPUTED_VALUE"""),"Minor Resist All Potion")</f>
        <v>Minor Resist All Potion</v>
      </c>
      <c r="D448" s="47"/>
      <c r="E448" s="47"/>
      <c r="F448" s="47"/>
      <c r="G448" s="47"/>
      <c r="H448" s="47"/>
      <c r="I448" s="47"/>
      <c r="J448" s="47"/>
      <c r="K448" s="47"/>
      <c r="L448" s="47"/>
      <c r="M448" s="47"/>
      <c r="N448" s="47"/>
      <c r="O448" s="47"/>
      <c r="P448" s="47"/>
      <c r="Q448" s="47"/>
      <c r="R448" s="47"/>
      <c r="S448" s="47"/>
      <c r="T448" s="47"/>
      <c r="U448" s="47"/>
      <c r="V448" s="47"/>
      <c r="W448" s="47"/>
      <c r="X448" s="47"/>
      <c r="Y448" s="47"/>
      <c r="Z448" s="47"/>
      <c r="AA448" s="47"/>
      <c r="AB448" s="47"/>
      <c r="AC448" s="47"/>
      <c r="AD448" s="47"/>
      <c r="AE448" s="47"/>
      <c r="AF448" s="47"/>
      <c r="AG448" s="47"/>
      <c r="AH448" s="47"/>
      <c r="AI448" s="47"/>
      <c r="AJ448" s="47"/>
      <c r="AK448" s="47"/>
      <c r="AL448" s="47"/>
      <c r="AM448" s="47"/>
      <c r="AN448" s="47"/>
      <c r="AO448" s="47"/>
      <c r="AP448" s="47"/>
      <c r="AQ448" s="47"/>
      <c r="AR448" s="47"/>
      <c r="AS448" s="47"/>
      <c r="AT448" s="47"/>
      <c r="AU448" s="47"/>
      <c r="AV448" s="47"/>
      <c r="AW448" s="47"/>
      <c r="AX448" s="47"/>
      <c r="AY448" s="47"/>
      <c r="AZ448" s="47"/>
      <c r="BA448" s="47"/>
      <c r="BB448" s="47"/>
      <c r="BC448" s="47"/>
      <c r="BD448" s="47"/>
      <c r="BE448" s="47"/>
      <c r="BF448" s="47"/>
      <c r="BG448" s="47"/>
      <c r="BH448" s="47"/>
      <c r="BI448" s="47"/>
      <c r="BJ448" s="47"/>
      <c r="BK448" s="47"/>
      <c r="BL448" s="47"/>
      <c r="BM448" s="47"/>
      <c r="BN448" s="47"/>
      <c r="BO448" s="47"/>
      <c r="BP448" s="47"/>
      <c r="BQ448" s="47"/>
      <c r="BR448" s="47"/>
      <c r="BS448" s="47"/>
      <c r="BT448" s="47"/>
      <c r="BU448" s="47"/>
      <c r="BV448" s="47"/>
      <c r="BW448" s="47"/>
      <c r="BX448" s="47"/>
      <c r="BY448" s="47"/>
      <c r="BZ448" s="47"/>
    </row>
    <row r="449" spans="1:78" ht="13">
      <c r="A449" s="152" t="str">
        <f ca="1">IFERROR(__xludf.DUMMYFUNCTION("""COMPUTED_VALUE"""),"Tusk")</f>
        <v>Tusk</v>
      </c>
      <c r="B449" s="47" t="str">
        <f ca="1">IFERROR(__xludf.DUMMYFUNCTION("TRANSPOSE(unique(filter(Recipes!A$2:A2490,(Recipes!L$2:L2490=A449)+(Recipes!O$2:O2490=A449)+(Recipes!R$2:R2490=A449)+(Recipes!U$2:U2490=A449)+(Recipes!X$2:X2490=A449))))"),"Ignition Scroll")</f>
        <v>Ignition Scroll</v>
      </c>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c r="AA449" s="47"/>
      <c r="AB449" s="47"/>
      <c r="AC449" s="47"/>
      <c r="AD449" s="47"/>
      <c r="AE449" s="47"/>
      <c r="AF449" s="47"/>
      <c r="AG449" s="47"/>
      <c r="AH449" s="47"/>
      <c r="AI449" s="47"/>
      <c r="AJ449" s="47"/>
      <c r="AK449" s="47"/>
      <c r="AL449" s="47"/>
      <c r="AM449" s="47"/>
      <c r="AN449" s="47"/>
      <c r="AO449" s="47"/>
      <c r="AP449" s="47"/>
      <c r="AQ449" s="47"/>
      <c r="AR449" s="47"/>
      <c r="AS449" s="47"/>
      <c r="AT449" s="47"/>
      <c r="AU449" s="47"/>
      <c r="AV449" s="47"/>
      <c r="AW449" s="47"/>
      <c r="AX449" s="47"/>
      <c r="AY449" s="47"/>
      <c r="AZ449" s="47"/>
      <c r="BA449" s="47"/>
      <c r="BB449" s="47"/>
      <c r="BC449" s="47"/>
      <c r="BD449" s="47"/>
      <c r="BE449" s="47"/>
      <c r="BF449" s="47"/>
      <c r="BG449" s="47"/>
      <c r="BH449" s="47"/>
      <c r="BI449" s="47"/>
      <c r="BJ449" s="47"/>
      <c r="BK449" s="47"/>
      <c r="BL449" s="47"/>
      <c r="BM449" s="47"/>
      <c r="BN449" s="47"/>
      <c r="BO449" s="47"/>
      <c r="BP449" s="47"/>
      <c r="BQ449" s="47"/>
      <c r="BR449" s="47"/>
      <c r="BS449" s="47"/>
      <c r="BT449" s="47"/>
      <c r="BU449" s="47"/>
      <c r="BV449" s="47"/>
      <c r="BW449" s="47"/>
      <c r="BX449" s="47"/>
      <c r="BY449" s="47"/>
      <c r="BZ449" s="47"/>
    </row>
    <row r="450" spans="1:78" ht="13">
      <c r="A450" s="152" t="str">
        <f ca="1">IFERROR(__xludf.DUMMYFUNCTION("""COMPUTED_VALUE"""),"Ultimate Augmentor")</f>
        <v>Ultimate Augmentor</v>
      </c>
      <c r="B450" s="47" t="str">
        <f ca="1">IFERROR(__xludf.DUMMYFUNCTION("TRANSPOSE(unique(filter(Recipes!A$2:A2490,(Recipes!L$2:L2490=A450)+(Recipes!O$2:O2490=A450)+(Recipes!R$2:R2490=A450)+(Recipes!U$2:U2490=A450)+(Recipes!X$2:X2490=A450))))"),"Huge Air Resistance Potion")</f>
        <v>Huge Air Resistance Potion</v>
      </c>
      <c r="C450" s="47" t="str">
        <f ca="1">IFERROR(__xludf.DUMMYFUNCTION("""COMPUTED_VALUE"""),"Huge Earth Resistance Potion")</f>
        <v>Huge Earth Resistance Potion</v>
      </c>
      <c r="D450" s="47" t="str">
        <f ca="1">IFERROR(__xludf.DUMMYFUNCTION("""COMPUTED_VALUE"""),"Huge Fire Resistance Potion")</f>
        <v>Huge Fire Resistance Potion</v>
      </c>
      <c r="E450" s="47" t="str">
        <f ca="1">IFERROR(__xludf.DUMMYFUNCTION("""COMPUTED_VALUE"""),"Huge Water Resistance Potion")</f>
        <v>Huge Water Resistance Potion</v>
      </c>
      <c r="F450" s="47" t="str">
        <f ca="1">IFERROR(__xludf.DUMMYFUNCTION("""COMPUTED_VALUE"""),"Large Resist All Potion")</f>
        <v>Large Resist All Potion</v>
      </c>
      <c r="G450" s="47" t="str">
        <f ca="1">IFERROR(__xludf.DUMMYFUNCTION("""COMPUTED_VALUE"""),"Giant Healing Potion")</f>
        <v>Giant Healing Potion</v>
      </c>
      <c r="H450" s="47" t="str">
        <f ca="1">IFERROR(__xludf.DUMMYFUNCTION("""COMPUTED_VALUE"""),"Giant Poison Bottle")</f>
        <v>Giant Poison Bottle</v>
      </c>
      <c r="I450" s="47"/>
      <c r="J450" s="47"/>
      <c r="K450" s="47"/>
      <c r="L450" s="47"/>
      <c r="M450" s="47"/>
      <c r="N450" s="47"/>
      <c r="O450" s="47"/>
      <c r="P450" s="47"/>
      <c r="Q450" s="47"/>
      <c r="R450" s="47"/>
      <c r="S450" s="47"/>
      <c r="T450" s="47"/>
      <c r="U450" s="47"/>
      <c r="V450" s="47"/>
      <c r="W450" s="47"/>
      <c r="X450" s="47"/>
      <c r="Y450" s="47"/>
      <c r="Z450" s="47"/>
      <c r="AA450" s="47"/>
      <c r="AB450" s="47"/>
      <c r="AC450" s="47"/>
      <c r="AD450" s="47"/>
      <c r="AE450" s="47"/>
      <c r="AF450" s="47"/>
      <c r="AG450" s="47"/>
      <c r="AH450" s="47"/>
      <c r="AI450" s="47"/>
      <c r="AJ450" s="47"/>
      <c r="AK450" s="47"/>
      <c r="AL450" s="47"/>
      <c r="AM450" s="47"/>
      <c r="AN450" s="47"/>
      <c r="AO450" s="47"/>
      <c r="AP450" s="47"/>
      <c r="AQ450" s="47"/>
      <c r="AR450" s="47"/>
      <c r="AS450" s="47"/>
      <c r="AT450" s="47"/>
      <c r="AU450" s="47"/>
      <c r="AV450" s="47"/>
      <c r="AW450" s="47"/>
      <c r="AX450" s="47"/>
      <c r="AY450" s="47"/>
      <c r="AZ450" s="47"/>
      <c r="BA450" s="47"/>
      <c r="BB450" s="47"/>
      <c r="BC450" s="47"/>
      <c r="BD450" s="47"/>
      <c r="BE450" s="47"/>
      <c r="BF450" s="47"/>
      <c r="BG450" s="47"/>
      <c r="BH450" s="47"/>
      <c r="BI450" s="47"/>
      <c r="BJ450" s="47"/>
      <c r="BK450" s="47"/>
      <c r="BL450" s="47"/>
      <c r="BM450" s="47"/>
      <c r="BN450" s="47"/>
      <c r="BO450" s="47"/>
      <c r="BP450" s="47"/>
      <c r="BQ450" s="47"/>
      <c r="BR450" s="47"/>
      <c r="BS450" s="47"/>
      <c r="BT450" s="47"/>
      <c r="BU450" s="47"/>
      <c r="BV450" s="47"/>
      <c r="BW450" s="47"/>
      <c r="BX450" s="47"/>
      <c r="BY450" s="47"/>
      <c r="BZ450" s="47"/>
    </row>
    <row r="451" spans="1:78" ht="13">
      <c r="A451" s="152" t="str">
        <f ca="1">IFERROR(__xludf.DUMMYFUNCTION("""COMPUTED_VALUE"""),"Void-Enhanced Poison")</f>
        <v>Void-Enhanced Poison</v>
      </c>
      <c r="B451" s="47" t="str">
        <f ca="1">IFERROR(__xludf.DUMMYFUNCTION("TRANSPOSE(unique(filter(Recipes!A$2:A2490,(Recipes!L$2:L2490=A451)+(Recipes!O$2:O2490=A451)+(Recipes!R$2:R2490=A451)+(Recipes!U$2:U2490=A451)+(Recipes!X$2:X2490=A451))))"),"Large Healing Potion [Poisoned]")</f>
        <v>Large Healing Potion [Poisoned]</v>
      </c>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c r="AA451" s="47"/>
      <c r="AB451" s="47"/>
      <c r="AC451" s="47"/>
      <c r="AD451" s="47"/>
      <c r="AE451" s="47"/>
      <c r="AF451" s="47"/>
      <c r="AG451" s="47"/>
      <c r="AH451" s="47"/>
      <c r="AI451" s="47"/>
      <c r="AJ451" s="47"/>
      <c r="AK451" s="47"/>
      <c r="AL451" s="47"/>
      <c r="AM451" s="47"/>
      <c r="AN451" s="47"/>
      <c r="AO451" s="47"/>
      <c r="AP451" s="47"/>
      <c r="AQ451" s="47"/>
      <c r="AR451" s="47"/>
      <c r="AS451" s="47"/>
      <c r="AT451" s="47"/>
      <c r="AU451" s="47"/>
      <c r="AV451" s="47"/>
      <c r="AW451" s="47"/>
      <c r="AX451" s="47"/>
      <c r="AY451" s="47"/>
      <c r="AZ451" s="47"/>
      <c r="BA451" s="47"/>
      <c r="BB451" s="47"/>
      <c r="BC451" s="47"/>
      <c r="BD451" s="47"/>
      <c r="BE451" s="47"/>
      <c r="BF451" s="47"/>
      <c r="BG451" s="47"/>
      <c r="BH451" s="47"/>
      <c r="BI451" s="47"/>
      <c r="BJ451" s="47"/>
      <c r="BK451" s="47"/>
      <c r="BL451" s="47"/>
      <c r="BM451" s="47"/>
      <c r="BN451" s="47"/>
      <c r="BO451" s="47"/>
      <c r="BP451" s="47"/>
      <c r="BQ451" s="47"/>
      <c r="BR451" s="47"/>
      <c r="BS451" s="47"/>
      <c r="BT451" s="47"/>
      <c r="BU451" s="47"/>
      <c r="BV451" s="47"/>
      <c r="BW451" s="47"/>
      <c r="BX451" s="47"/>
      <c r="BY451" s="47"/>
      <c r="BZ451" s="47"/>
    </row>
    <row r="452" spans="1:78" ht="13">
      <c r="A452" s="152" t="str">
        <f ca="1">IFERROR(__xludf.DUMMYFUNCTION("""COMPUTED_VALUE"""),"Void-Tainted Crimson Bream")</f>
        <v>Void-Tainted Crimson Bream</v>
      </c>
      <c r="B452" s="47" t="str">
        <f ca="1">IFERROR(__xludf.DUMMYFUNCTION("TRANSPOSE(unique(filter(Recipes!A$2:A2490,(Recipes!L$2:L2490=A452)+(Recipes!O$2:O2490=A452)+(Recipes!R$2:R2490=A452)+(Recipes!U$2:U2490=A452)+(Recipes!X$2:X2490=A452))))"),"Potent Ferocity Herbmix")</f>
        <v>Potent Ferocity Herbmix</v>
      </c>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c r="AA452" s="47"/>
      <c r="AB452" s="47"/>
      <c r="AC452" s="47"/>
      <c r="AD452" s="47"/>
      <c r="AE452" s="47"/>
      <c r="AF452" s="47"/>
      <c r="AG452" s="47"/>
      <c r="AH452" s="47"/>
      <c r="AI452" s="47"/>
      <c r="AJ452" s="47"/>
      <c r="AK452" s="47"/>
      <c r="AL452" s="47"/>
      <c r="AM452" s="47"/>
      <c r="AN452" s="47"/>
      <c r="AO452" s="47"/>
      <c r="AP452" s="47"/>
      <c r="AQ452" s="47"/>
      <c r="AR452" s="47"/>
      <c r="AS452" s="47"/>
      <c r="AT452" s="47"/>
      <c r="AU452" s="47"/>
      <c r="AV452" s="47"/>
      <c r="AW452" s="47"/>
      <c r="AX452" s="47"/>
      <c r="AY452" s="47"/>
      <c r="AZ452" s="47"/>
      <c r="BA452" s="47"/>
      <c r="BB452" s="47"/>
      <c r="BC452" s="47"/>
      <c r="BD452" s="47"/>
      <c r="BE452" s="47"/>
      <c r="BF452" s="47"/>
      <c r="BG452" s="47"/>
      <c r="BH452" s="47"/>
      <c r="BI452" s="47"/>
      <c r="BJ452" s="47"/>
      <c r="BK452" s="47"/>
      <c r="BL452" s="47"/>
      <c r="BM452" s="47"/>
      <c r="BN452" s="47"/>
      <c r="BO452" s="47"/>
      <c r="BP452" s="47"/>
      <c r="BQ452" s="47"/>
      <c r="BR452" s="47"/>
      <c r="BS452" s="47"/>
      <c r="BT452" s="47"/>
      <c r="BU452" s="47"/>
      <c r="BV452" s="47"/>
      <c r="BW452" s="47"/>
      <c r="BX452" s="47"/>
      <c r="BY452" s="47"/>
      <c r="BZ452" s="47"/>
    </row>
    <row r="453" spans="1:78" ht="13">
      <c r="A453" s="152" t="str">
        <f ca="1">IFERROR(__xludf.DUMMYFUNCTION("""COMPUTED_VALUE"""),"Void-Tainted Fish")</f>
        <v>Void-Tainted Fish</v>
      </c>
      <c r="B453" s="47" t="str">
        <f ca="1">IFERROR(__xludf.DUMMYFUNCTION("TRANSPOSE(unique(filter(Recipes!A$2:A2490,(Recipes!L$2:L2490=A453)+(Recipes!O$2:O2490=A453)+(Recipes!R$2:R2490=A453)+(Recipes!U$2:U2490=A453)+(Recipes!X$2:X2490=A453))))"),"Tainted Stew")</f>
        <v>Tainted Stew</v>
      </c>
      <c r="C453" s="47" t="str">
        <f ca="1">IFERROR(__xludf.DUMMYFUNCTION("""COMPUTED_VALUE"""),"Curse Scroll")</f>
        <v>Curse Scroll</v>
      </c>
      <c r="D453" s="47"/>
      <c r="E453" s="47"/>
      <c r="F453" s="47"/>
      <c r="G453" s="47"/>
      <c r="H453" s="47"/>
      <c r="I453" s="47"/>
      <c r="J453" s="47"/>
      <c r="K453" s="47"/>
      <c r="L453" s="47"/>
      <c r="M453" s="47"/>
      <c r="N453" s="47"/>
      <c r="O453" s="47"/>
      <c r="P453" s="47"/>
      <c r="Q453" s="47"/>
      <c r="R453" s="47"/>
      <c r="S453" s="47"/>
      <c r="T453" s="47"/>
      <c r="U453" s="47"/>
      <c r="V453" s="47"/>
      <c r="W453" s="47"/>
      <c r="X453" s="47"/>
      <c r="Y453" s="47"/>
      <c r="Z453" s="47"/>
      <c r="AA453" s="47"/>
      <c r="AB453" s="47"/>
      <c r="AC453" s="47"/>
      <c r="AD453" s="47"/>
      <c r="AE453" s="47"/>
      <c r="AF453" s="47"/>
      <c r="AG453" s="47"/>
      <c r="AH453" s="47"/>
      <c r="AI453" s="47"/>
      <c r="AJ453" s="47"/>
      <c r="AK453" s="47"/>
      <c r="AL453" s="47"/>
      <c r="AM453" s="47"/>
      <c r="AN453" s="47"/>
      <c r="AO453" s="47"/>
      <c r="AP453" s="47"/>
      <c r="AQ453" s="47"/>
      <c r="AR453" s="47"/>
      <c r="AS453" s="47"/>
      <c r="AT453" s="47"/>
      <c r="AU453" s="47"/>
      <c r="AV453" s="47"/>
      <c r="AW453" s="47"/>
      <c r="AX453" s="47"/>
      <c r="AY453" s="47"/>
      <c r="AZ453" s="47"/>
      <c r="BA453" s="47"/>
      <c r="BB453" s="47"/>
      <c r="BC453" s="47"/>
      <c r="BD453" s="47"/>
      <c r="BE453" s="47"/>
      <c r="BF453" s="47"/>
      <c r="BG453" s="47"/>
      <c r="BH453" s="47"/>
      <c r="BI453" s="47"/>
      <c r="BJ453" s="47"/>
      <c r="BK453" s="47"/>
      <c r="BL453" s="47"/>
      <c r="BM453" s="47"/>
      <c r="BN453" s="47"/>
      <c r="BO453" s="47"/>
      <c r="BP453" s="47"/>
      <c r="BQ453" s="47"/>
      <c r="BR453" s="47"/>
      <c r="BS453" s="47"/>
      <c r="BT453" s="47"/>
      <c r="BU453" s="47"/>
      <c r="BV453" s="47"/>
      <c r="BW453" s="47"/>
      <c r="BX453" s="47"/>
      <c r="BY453" s="47"/>
      <c r="BZ453" s="47"/>
    </row>
    <row r="454" spans="1:78" ht="13">
      <c r="A454" s="152" t="str">
        <f ca="1">IFERROR(__xludf.DUMMYFUNCTION("""COMPUTED_VALUE"""),"Void-Tainted Umber Monkfish")</f>
        <v>Void-Tainted Umber Monkfish</v>
      </c>
      <c r="B454" s="47" t="str">
        <f ca="1">IFERROR(__xludf.DUMMYFUNCTION("TRANSPOSE(unique(filter(Recipes!A$2:A2490,(Recipes!L$2:L2490=A454)+(Recipes!O$2:O2490=A454)+(Recipes!R$2:R2490=A454)+(Recipes!U$2:U2490=A454)+(Recipes!X$2:X2490=A454))))"),"Potent Enlightenment Herbmix")</f>
        <v>Potent Enlightenment Herbmix</v>
      </c>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c r="AA454" s="47"/>
      <c r="AB454" s="47"/>
      <c r="AC454" s="47"/>
      <c r="AD454" s="47"/>
      <c r="AE454" s="47"/>
      <c r="AF454" s="47"/>
      <c r="AG454" s="47"/>
      <c r="AH454" s="47"/>
      <c r="AI454" s="47"/>
      <c r="AJ454" s="47"/>
      <c r="AK454" s="47"/>
      <c r="AL454" s="47"/>
      <c r="AM454" s="47"/>
      <c r="AN454" s="47"/>
      <c r="AO454" s="47"/>
      <c r="AP454" s="47"/>
      <c r="AQ454" s="47"/>
      <c r="AR454" s="47"/>
      <c r="AS454" s="47"/>
      <c r="AT454" s="47"/>
      <c r="AU454" s="47"/>
      <c r="AV454" s="47"/>
      <c r="AW454" s="47"/>
      <c r="AX454" s="47"/>
      <c r="AY454" s="47"/>
      <c r="AZ454" s="47"/>
      <c r="BA454" s="47"/>
      <c r="BB454" s="47"/>
      <c r="BC454" s="47"/>
      <c r="BD454" s="47"/>
      <c r="BE454" s="47"/>
      <c r="BF454" s="47"/>
      <c r="BG454" s="47"/>
      <c r="BH454" s="47"/>
      <c r="BI454" s="47"/>
      <c r="BJ454" s="47"/>
      <c r="BK454" s="47"/>
      <c r="BL454" s="47"/>
      <c r="BM454" s="47"/>
      <c r="BN454" s="47"/>
      <c r="BO454" s="47"/>
      <c r="BP454" s="47"/>
      <c r="BQ454" s="47"/>
      <c r="BR454" s="47"/>
      <c r="BS454" s="47"/>
      <c r="BT454" s="47"/>
      <c r="BU454" s="47"/>
      <c r="BV454" s="47"/>
      <c r="BW454" s="47"/>
      <c r="BX454" s="47"/>
      <c r="BY454" s="47"/>
      <c r="BZ454" s="47"/>
    </row>
    <row r="455" spans="1:78" ht="13">
      <c r="A455" s="152" t="str">
        <f ca="1">IFERROR(__xludf.DUMMYFUNCTION("""COMPUTED_VALUE"""),"Void-Tainted Yellow Ridgeback")</f>
        <v>Void-Tainted Yellow Ridgeback</v>
      </c>
      <c r="B455" s="47" t="str">
        <f ca="1">IFERROR(__xludf.DUMMYFUNCTION("TRANSPOSE(unique(filter(Recipes!A$2:A2490,(Recipes!L$2:L2490=A455)+(Recipes!O$2:O2490=A455)+(Recipes!R$2:R2490=A455)+(Recipes!U$2:U2490=A455)+(Recipes!X$2:X2490=A455))))"),"Potent Alertness Herbmix")</f>
        <v>Potent Alertness Herbmix</v>
      </c>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c r="AA455" s="47"/>
      <c r="AB455" s="47"/>
      <c r="AC455" s="47"/>
      <c r="AD455" s="47"/>
      <c r="AE455" s="47"/>
      <c r="AF455" s="47"/>
      <c r="AG455" s="47"/>
      <c r="AH455" s="47"/>
      <c r="AI455" s="47"/>
      <c r="AJ455" s="47"/>
      <c r="AK455" s="47"/>
      <c r="AL455" s="47"/>
      <c r="AM455" s="47"/>
      <c r="AN455" s="47"/>
      <c r="AO455" s="47"/>
      <c r="AP455" s="47"/>
      <c r="AQ455" s="47"/>
      <c r="AR455" s="47"/>
      <c r="AS455" s="47"/>
      <c r="AT455" s="47"/>
      <c r="AU455" s="47"/>
      <c r="AV455" s="47"/>
      <c r="AW455" s="47"/>
      <c r="AX455" s="47"/>
      <c r="AY455" s="47"/>
      <c r="AZ455" s="47"/>
      <c r="BA455" s="47"/>
      <c r="BB455" s="47"/>
      <c r="BC455" s="47"/>
      <c r="BD455" s="47"/>
      <c r="BE455" s="47"/>
      <c r="BF455" s="47"/>
      <c r="BG455" s="47"/>
      <c r="BH455" s="47"/>
      <c r="BI455" s="47"/>
      <c r="BJ455" s="47"/>
      <c r="BK455" s="47"/>
      <c r="BL455" s="47"/>
      <c r="BM455" s="47"/>
      <c r="BN455" s="47"/>
      <c r="BO455" s="47"/>
      <c r="BP455" s="47"/>
      <c r="BQ455" s="47"/>
      <c r="BR455" s="47"/>
      <c r="BS455" s="47"/>
      <c r="BT455" s="47"/>
      <c r="BU455" s="47"/>
      <c r="BV455" s="47"/>
      <c r="BW455" s="47"/>
      <c r="BX455" s="47"/>
      <c r="BY455" s="47"/>
      <c r="BZ455" s="47"/>
    </row>
    <row r="456" spans="1:78" ht="13">
      <c r="A456" s="152" t="str">
        <f ca="1">IFERROR(__xludf.DUMMYFUNCTION("""COMPUTED_VALUE"""),"Void-Touched Livewood Fragments")</f>
        <v>Void-Touched Livewood Fragments</v>
      </c>
      <c r="B456" s="47" t="str">
        <f ca="1">IFERROR(__xludf.DUMMYFUNCTION("TRANSPOSE(unique(filter(Recipes!A$2:A2490,(Recipes!L$2:L2490=A456)+(Recipes!O$2:O2490=A456)+(Recipes!R$2:R2490=A456)+(Recipes!U$2:U2490=A456)+(Recipes!X$2:X2490=A456))))"),"Void-Enhanced Poison")</f>
        <v>Void-Enhanced Poison</v>
      </c>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c r="AA456" s="47"/>
      <c r="AB456" s="47"/>
      <c r="AC456" s="47"/>
      <c r="AD456" s="47"/>
      <c r="AE456" s="47"/>
      <c r="AF456" s="47"/>
      <c r="AG456" s="47"/>
      <c r="AH456" s="47"/>
      <c r="AI456" s="47"/>
      <c r="AJ456" s="47"/>
      <c r="AK456" s="47"/>
      <c r="AL456" s="47"/>
      <c r="AM456" s="47"/>
      <c r="AN456" s="47"/>
      <c r="AO456" s="47"/>
      <c r="AP456" s="47"/>
      <c r="AQ456" s="47"/>
      <c r="AR456" s="47"/>
      <c r="AS456" s="47"/>
      <c r="AT456" s="47"/>
      <c r="AU456" s="47"/>
      <c r="AV456" s="47"/>
      <c r="AW456" s="47"/>
      <c r="AX456" s="47"/>
      <c r="AY456" s="47"/>
      <c r="AZ456" s="47"/>
      <c r="BA456" s="47"/>
      <c r="BB456" s="47"/>
      <c r="BC456" s="47"/>
      <c r="BD456" s="47"/>
      <c r="BE456" s="47"/>
      <c r="BF456" s="47"/>
      <c r="BG456" s="47"/>
      <c r="BH456" s="47"/>
      <c r="BI456" s="47"/>
      <c r="BJ456" s="47"/>
      <c r="BK456" s="47"/>
      <c r="BL456" s="47"/>
      <c r="BM456" s="47"/>
      <c r="BN456" s="47"/>
      <c r="BO456" s="47"/>
      <c r="BP456" s="47"/>
      <c r="BQ456" s="47"/>
      <c r="BR456" s="47"/>
      <c r="BS456" s="47"/>
      <c r="BT456" s="47"/>
      <c r="BU456" s="47"/>
      <c r="BV456" s="47"/>
      <c r="BW456" s="47"/>
      <c r="BX456" s="47"/>
      <c r="BY456" s="47"/>
      <c r="BZ456" s="47"/>
    </row>
    <row r="457" spans="1:78" ht="13">
      <c r="A457" s="152" t="str">
        <f ca="1">IFERROR(__xludf.DUMMYFUNCTION("""COMPUTED_VALUE"""),"Voidwoken Spike")</f>
        <v>Voidwoken Spike</v>
      </c>
      <c r="B457" s="47" t="str">
        <f ca="1">IFERROR(__xludf.DUMMYFUNCTION("TRANSPOSE(unique(filter(Recipes!A$2:A2490,(Recipes!L$2:L2490=A457)+(Recipes!O$2:O2490=A457)+(Recipes!R$2:R2490=A457)+(Recipes!U$2:U2490=A457)+(Recipes!X$2:X2490=A457))))"),"Fire Whip Scroll")</f>
        <v>Fire Whip Scroll</v>
      </c>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c r="AA457" s="47"/>
      <c r="AB457" s="47"/>
      <c r="AC457" s="47"/>
      <c r="AD457" s="47"/>
      <c r="AE457" s="47"/>
      <c r="AF457" s="47"/>
      <c r="AG457" s="47"/>
      <c r="AH457" s="47"/>
      <c r="AI457" s="47"/>
      <c r="AJ457" s="47"/>
      <c r="AK457" s="47"/>
      <c r="AL457" s="47"/>
      <c r="AM457" s="47"/>
      <c r="AN457" s="47"/>
      <c r="AO457" s="47"/>
      <c r="AP457" s="47"/>
      <c r="AQ457" s="47"/>
      <c r="AR457" s="47"/>
      <c r="AS457" s="47"/>
      <c r="AT457" s="47"/>
      <c r="AU457" s="47"/>
      <c r="AV457" s="47"/>
      <c r="AW457" s="47"/>
      <c r="AX457" s="47"/>
      <c r="AY457" s="47"/>
      <c r="AZ457" s="47"/>
      <c r="BA457" s="47"/>
      <c r="BB457" s="47"/>
      <c r="BC457" s="47"/>
      <c r="BD457" s="47"/>
      <c r="BE457" s="47"/>
      <c r="BF457" s="47"/>
      <c r="BG457" s="47"/>
      <c r="BH457" s="47"/>
      <c r="BI457" s="47"/>
      <c r="BJ457" s="47"/>
      <c r="BK457" s="47"/>
      <c r="BL457" s="47"/>
      <c r="BM457" s="47"/>
      <c r="BN457" s="47"/>
      <c r="BO457" s="47"/>
      <c r="BP457" s="47"/>
      <c r="BQ457" s="47"/>
      <c r="BR457" s="47"/>
      <c r="BS457" s="47"/>
      <c r="BT457" s="47"/>
      <c r="BU457" s="47"/>
      <c r="BV457" s="47"/>
      <c r="BW457" s="47"/>
      <c r="BX457" s="47"/>
      <c r="BY457" s="47"/>
      <c r="BZ457" s="47"/>
    </row>
    <row r="458" spans="1:78" ht="13">
      <c r="A458" s="152" t="str">
        <f ca="1">IFERROR(__xludf.DUMMYFUNCTION("""COMPUTED_VALUE"""),"Warp Infusion Scroll")</f>
        <v>Warp Infusion Scroll</v>
      </c>
      <c r="B458" s="47" t="str">
        <f ca="1">IFERROR(__xludf.DUMMYFUNCTION("TRANSPOSE(unique(filter(Recipes!A$2:A2490,(Recipes!L$2:L2490=A458)+(Recipes!O$2:O2490=A458)+(Recipes!R$2:R2490=A458)+(Recipes!U$2:U2490=A458)+(Recipes!X$2:X2490=A458))))"),"Warp Infusion Skillbook")</f>
        <v>Warp Infusion Skillbook</v>
      </c>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c r="AA458" s="47"/>
      <c r="AB458" s="47"/>
      <c r="AC458" s="47"/>
      <c r="AD458" s="47"/>
      <c r="AE458" s="47"/>
      <c r="AF458" s="47"/>
      <c r="AG458" s="47"/>
      <c r="AH458" s="47"/>
      <c r="AI458" s="47"/>
      <c r="AJ458" s="47"/>
      <c r="AK458" s="47"/>
      <c r="AL458" s="47"/>
      <c r="AM458" s="47"/>
      <c r="AN458" s="47"/>
      <c r="AO458" s="47"/>
      <c r="AP458" s="47"/>
      <c r="AQ458" s="47"/>
      <c r="AR458" s="47"/>
      <c r="AS458" s="47"/>
      <c r="AT458" s="47"/>
      <c r="AU458" s="47"/>
      <c r="AV458" s="47"/>
      <c r="AW458" s="47"/>
      <c r="AX458" s="47"/>
      <c r="AY458" s="47"/>
      <c r="AZ458" s="47"/>
      <c r="BA458" s="47"/>
      <c r="BB458" s="47"/>
      <c r="BC458" s="47"/>
      <c r="BD458" s="47"/>
      <c r="BE458" s="47"/>
      <c r="BF458" s="47"/>
      <c r="BG458" s="47"/>
      <c r="BH458" s="47"/>
      <c r="BI458" s="47"/>
      <c r="BJ458" s="47"/>
      <c r="BK458" s="47"/>
      <c r="BL458" s="47"/>
      <c r="BM458" s="47"/>
      <c r="BN458" s="47"/>
      <c r="BO458" s="47"/>
      <c r="BP458" s="47"/>
      <c r="BQ458" s="47"/>
      <c r="BR458" s="47"/>
      <c r="BS458" s="47"/>
      <c r="BT458" s="47"/>
      <c r="BU458" s="47"/>
      <c r="BV458" s="47"/>
      <c r="BW458" s="47"/>
      <c r="BX458" s="47"/>
      <c r="BY458" s="47"/>
      <c r="BZ458" s="47"/>
    </row>
    <row r="459" spans="1:78" ht="13">
      <c r="A459" s="152" t="str">
        <f ca="1">IFERROR(__xludf.DUMMYFUNCTION("""COMPUTED_VALUE"""),"Water")</f>
        <v>Water</v>
      </c>
      <c r="B459" s="47" t="str">
        <f ca="1">IFERROR(__xludf.DUMMYFUNCTION("TRANSPOSE(unique(filter(Recipes!A$2:A2490,(Recipes!L$2:L2490=A459)+(Recipes!O$2:O2490=A459)+(Recipes!R$2:R2490=A459)+(Recipes!U$2:U2490=A459)+(Recipes!X$2:X2490=A459))))"),"Water Arrow")</f>
        <v>Water Arrow</v>
      </c>
      <c r="C459" s="47" t="str">
        <f ca="1">IFERROR(__xludf.DUMMYFUNCTION("""COMPUTED_VALUE"""),"Steamcloud Arrowhead")</f>
        <v>Steamcloud Arrowhead</v>
      </c>
      <c r="D459" s="47" t="str">
        <f ca="1">IFERROR(__xludf.DUMMYFUNCTION("""COMPUTED_VALUE"""),"Water Arrowhead")</f>
        <v>Water Arrowhead</v>
      </c>
      <c r="E459" s="47" t="str">
        <f ca="1">IFERROR(__xludf.DUMMYFUNCTION("""COMPUTED_VALUE"""),"Bottle of Water")</f>
        <v>Bottle of Water</v>
      </c>
      <c r="F459" s="47" t="str">
        <f ca="1">IFERROR(__xludf.DUMMYFUNCTION("""COMPUTED_VALUE"""),"Cup of Water")</f>
        <v>Cup of Water</v>
      </c>
      <c r="G459" s="47" t="str">
        <f ca="1">IFERROR(__xludf.DUMMYFUNCTION("""COMPUTED_VALUE"""),"Mug of Water")</f>
        <v>Mug of Water</v>
      </c>
      <c r="H459" s="47" t="str">
        <f ca="1">IFERROR(__xludf.DUMMYFUNCTION("""COMPUTED_VALUE"""),"Dough")</f>
        <v>Dough</v>
      </c>
      <c r="I459" s="47" t="str">
        <f ca="1">IFERROR(__xludf.DUMMYFUNCTION("""COMPUTED_VALUE"""),"Water Balloon")</f>
        <v>Water Balloon</v>
      </c>
      <c r="J459" s="47" t="str">
        <f ca="1">IFERROR(__xludf.DUMMYFUNCTION("""COMPUTED_VALUE"""),"Bucket of Water")</f>
        <v>Bucket of Water</v>
      </c>
      <c r="K459" s="47" t="str">
        <f ca="1">IFERROR(__xludf.DUMMYFUNCTION("""COMPUTED_VALUE"""),"Wood Pulp")</f>
        <v>Wood Pulp</v>
      </c>
      <c r="L459" s="47" t="str">
        <f ca="1">IFERROR(__xludf.DUMMYFUNCTION("""COMPUTED_VALUE"""),"Small Frost Rune")</f>
        <v>Small Frost Rune</v>
      </c>
      <c r="M459" s="47" t="str">
        <f ca="1">IFERROR(__xludf.DUMMYFUNCTION("""COMPUTED_VALUE"""),"Small Thunder Rune")</f>
        <v>Small Thunder Rune</v>
      </c>
      <c r="N459" s="47"/>
      <c r="O459" s="47"/>
      <c r="P459" s="47"/>
      <c r="Q459" s="47"/>
      <c r="R459" s="47"/>
      <c r="S459" s="47"/>
      <c r="T459" s="47"/>
      <c r="U459" s="47"/>
      <c r="V459" s="47"/>
      <c r="W459" s="47"/>
      <c r="X459" s="47"/>
      <c r="Y459" s="47"/>
      <c r="Z459" s="47"/>
      <c r="AA459" s="47"/>
      <c r="AB459" s="47"/>
      <c r="AC459" s="47"/>
      <c r="AD459" s="47"/>
      <c r="AE459" s="47"/>
      <c r="AF459" s="47"/>
      <c r="AG459" s="47"/>
      <c r="AH459" s="47"/>
      <c r="AI459" s="47"/>
      <c r="AJ459" s="47"/>
      <c r="AK459" s="47"/>
      <c r="AL459" s="47"/>
      <c r="AM459" s="47"/>
      <c r="AN459" s="47"/>
      <c r="AO459" s="47"/>
      <c r="AP459" s="47"/>
      <c r="AQ459" s="47"/>
      <c r="AR459" s="47"/>
      <c r="AS459" s="47"/>
      <c r="AT459" s="47"/>
      <c r="AU459" s="47"/>
      <c r="AV459" s="47"/>
      <c r="AW459" s="47"/>
      <c r="AX459" s="47"/>
      <c r="AY459" s="47"/>
      <c r="AZ459" s="47"/>
      <c r="BA459" s="47"/>
      <c r="BB459" s="47"/>
      <c r="BC459" s="47"/>
      <c r="BD459" s="47"/>
      <c r="BE459" s="47"/>
      <c r="BF459" s="47"/>
      <c r="BG459" s="47"/>
      <c r="BH459" s="47"/>
      <c r="BI459" s="47"/>
      <c r="BJ459" s="47"/>
      <c r="BK459" s="47"/>
      <c r="BL459" s="47"/>
      <c r="BM459" s="47"/>
      <c r="BN459" s="47"/>
      <c r="BO459" s="47"/>
      <c r="BP459" s="47"/>
      <c r="BQ459" s="47"/>
      <c r="BR459" s="47"/>
      <c r="BS459" s="47"/>
      <c r="BT459" s="47"/>
      <c r="BU459" s="47"/>
      <c r="BV459" s="47"/>
      <c r="BW459" s="47"/>
      <c r="BX459" s="47"/>
      <c r="BY459" s="47"/>
      <c r="BZ459" s="47"/>
    </row>
    <row r="460" spans="1:78" ht="13">
      <c r="A460" s="152" t="str">
        <f ca="1">IFERROR(__xludf.DUMMYFUNCTION("""COMPUTED_VALUE"""),"Water Arrow")</f>
        <v>Water Arrow</v>
      </c>
      <c r="B460" s="47" t="str">
        <f ca="1">IFERROR(__xludf.DUMMYFUNCTION("TRANSPOSE(unique(filter(Recipes!A$2:A2490,(Recipes!L$2:L2490=A460)+(Recipes!O$2:O2490=A460)+(Recipes!R$2:R2490=A460)+(Recipes!U$2:U2490=A460)+(Recipes!X$2:X2490=A460))))"),"Blessed Water Arrow")</f>
        <v>Blessed Water Arrow</v>
      </c>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c r="AA460" s="47"/>
      <c r="AB460" s="47"/>
      <c r="AC460" s="47"/>
      <c r="AD460" s="47"/>
      <c r="AE460" s="47"/>
      <c r="AF460" s="47"/>
      <c r="AG460" s="47"/>
      <c r="AH460" s="47"/>
      <c r="AI460" s="47"/>
      <c r="AJ460" s="47"/>
      <c r="AK460" s="47"/>
      <c r="AL460" s="47"/>
      <c r="AM460" s="47"/>
      <c r="AN460" s="47"/>
      <c r="AO460" s="47"/>
      <c r="AP460" s="47"/>
      <c r="AQ460" s="47"/>
      <c r="AR460" s="47"/>
      <c r="AS460" s="47"/>
      <c r="AT460" s="47"/>
      <c r="AU460" s="47"/>
      <c r="AV460" s="47"/>
      <c r="AW460" s="47"/>
      <c r="AX460" s="47"/>
      <c r="AY460" s="47"/>
      <c r="AZ460" s="47"/>
      <c r="BA460" s="47"/>
      <c r="BB460" s="47"/>
      <c r="BC460" s="47"/>
      <c r="BD460" s="47"/>
      <c r="BE460" s="47"/>
      <c r="BF460" s="47"/>
      <c r="BG460" s="47"/>
      <c r="BH460" s="47"/>
      <c r="BI460" s="47"/>
      <c r="BJ460" s="47"/>
      <c r="BK460" s="47"/>
      <c r="BL460" s="47"/>
      <c r="BM460" s="47"/>
      <c r="BN460" s="47"/>
      <c r="BO460" s="47"/>
      <c r="BP460" s="47"/>
      <c r="BQ460" s="47"/>
      <c r="BR460" s="47"/>
      <c r="BS460" s="47"/>
      <c r="BT460" s="47"/>
      <c r="BU460" s="47"/>
      <c r="BV460" s="47"/>
      <c r="BW460" s="47"/>
      <c r="BX460" s="47"/>
      <c r="BY460" s="47"/>
      <c r="BZ460" s="47"/>
    </row>
    <row r="461" spans="1:78" ht="13">
      <c r="A461" s="152" t="str">
        <f ca="1">IFERROR(__xludf.DUMMYFUNCTION("""COMPUTED_VALUE"""),"Water Arrowhead")</f>
        <v>Water Arrowhead</v>
      </c>
      <c r="B461" s="47" t="str">
        <f ca="1">IFERROR(__xludf.DUMMYFUNCTION("TRANSPOSE(unique(filter(Recipes!A$2:A2490,(Recipes!L$2:L2490=A461)+(Recipes!O$2:O2490=A461)+(Recipes!R$2:R2490=A461)+(Recipes!U$2:U2490=A461)+(Recipes!X$2:X2490=A461))))"),"Water Arrow")</f>
        <v>Water Arrow</v>
      </c>
      <c r="C461" s="47" t="str">
        <f ca="1">IFERROR(__xludf.DUMMYFUNCTION("""COMPUTED_VALUE"""),"Blessed Water Arrowhead")</f>
        <v>Blessed Water Arrowhead</v>
      </c>
      <c r="D461" s="47"/>
      <c r="E461" s="47"/>
      <c r="F461" s="47"/>
      <c r="G461" s="47"/>
      <c r="H461" s="47"/>
      <c r="I461" s="47"/>
      <c r="J461" s="47"/>
      <c r="K461" s="47"/>
      <c r="L461" s="47"/>
      <c r="M461" s="47"/>
      <c r="N461" s="47"/>
      <c r="O461" s="47"/>
      <c r="P461" s="47"/>
      <c r="Q461" s="47"/>
      <c r="R461" s="47"/>
      <c r="S461" s="47"/>
      <c r="T461" s="47"/>
      <c r="U461" s="47"/>
      <c r="V461" s="47"/>
      <c r="W461" s="47"/>
      <c r="X461" s="47"/>
      <c r="Y461" s="47"/>
      <c r="Z461" s="47"/>
      <c r="AA461" s="47"/>
      <c r="AB461" s="47"/>
      <c r="AC461" s="47"/>
      <c r="AD461" s="47"/>
      <c r="AE461" s="47"/>
      <c r="AF461" s="47"/>
      <c r="AG461" s="47"/>
      <c r="AH461" s="47"/>
      <c r="AI461" s="47"/>
      <c r="AJ461" s="47"/>
      <c r="AK461" s="47"/>
      <c r="AL461" s="47"/>
      <c r="AM461" s="47"/>
      <c r="AN461" s="47"/>
      <c r="AO461" s="47"/>
      <c r="AP461" s="47"/>
      <c r="AQ461" s="47"/>
      <c r="AR461" s="47"/>
      <c r="AS461" s="47"/>
      <c r="AT461" s="47"/>
      <c r="AU461" s="47"/>
      <c r="AV461" s="47"/>
      <c r="AW461" s="47"/>
      <c r="AX461" s="47"/>
      <c r="AY461" s="47"/>
      <c r="AZ461" s="47"/>
      <c r="BA461" s="47"/>
      <c r="BB461" s="47"/>
      <c r="BC461" s="47"/>
      <c r="BD461" s="47"/>
      <c r="BE461" s="47"/>
      <c r="BF461" s="47"/>
      <c r="BG461" s="47"/>
      <c r="BH461" s="47"/>
      <c r="BI461" s="47"/>
      <c r="BJ461" s="47"/>
      <c r="BK461" s="47"/>
      <c r="BL461" s="47"/>
      <c r="BM461" s="47"/>
      <c r="BN461" s="47"/>
      <c r="BO461" s="47"/>
      <c r="BP461" s="47"/>
      <c r="BQ461" s="47"/>
      <c r="BR461" s="47"/>
      <c r="BS461" s="47"/>
      <c r="BT461" s="47"/>
      <c r="BU461" s="47"/>
      <c r="BV461" s="47"/>
      <c r="BW461" s="47"/>
      <c r="BX461" s="47"/>
      <c r="BY461" s="47"/>
      <c r="BZ461" s="47"/>
    </row>
    <row r="462" spans="1:78" ht="13">
      <c r="A462" s="152" t="str">
        <f ca="1">IFERROR(__xludf.DUMMYFUNCTION("""COMPUTED_VALUE"""),"Water Balloon")</f>
        <v>Water Balloon</v>
      </c>
      <c r="B462" s="47" t="str">
        <f ca="1">IFERROR(__xludf.DUMMYFUNCTION("TRANSPOSE(unique(filter(Recipes!A$2:A2490,(Recipes!L$2:L2490=A462)+(Recipes!O$2:O2490=A462)+(Recipes!R$2:R2490=A462)+(Recipes!U$2:U2490=A462)+(Recipes!X$2:X2490=A462))))"),"Blessed Water Balloon")</f>
        <v>Blessed Water Balloon</v>
      </c>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c r="AA462" s="47"/>
      <c r="AB462" s="47"/>
      <c r="AC462" s="47"/>
      <c r="AD462" s="47"/>
      <c r="AE462" s="47"/>
      <c r="AF462" s="47"/>
      <c r="AG462" s="47"/>
      <c r="AH462" s="47"/>
      <c r="AI462" s="47"/>
      <c r="AJ462" s="47"/>
      <c r="AK462" s="47"/>
      <c r="AL462" s="47"/>
      <c r="AM462" s="47"/>
      <c r="AN462" s="47"/>
      <c r="AO462" s="47"/>
      <c r="AP462" s="47"/>
      <c r="AQ462" s="47"/>
      <c r="AR462" s="47"/>
      <c r="AS462" s="47"/>
      <c r="AT462" s="47"/>
      <c r="AU462" s="47"/>
      <c r="AV462" s="47"/>
      <c r="AW462" s="47"/>
      <c r="AX462" s="47"/>
      <c r="AY462" s="47"/>
      <c r="AZ462" s="47"/>
      <c r="BA462" s="47"/>
      <c r="BB462" s="47"/>
      <c r="BC462" s="47"/>
      <c r="BD462" s="47"/>
      <c r="BE462" s="47"/>
      <c r="BF462" s="47"/>
      <c r="BG462" s="47"/>
      <c r="BH462" s="47"/>
      <c r="BI462" s="47"/>
      <c r="BJ462" s="47"/>
      <c r="BK462" s="47"/>
      <c r="BL462" s="47"/>
      <c r="BM462" s="47"/>
      <c r="BN462" s="47"/>
      <c r="BO462" s="47"/>
      <c r="BP462" s="47"/>
      <c r="BQ462" s="47"/>
      <c r="BR462" s="47"/>
      <c r="BS462" s="47"/>
      <c r="BT462" s="47"/>
      <c r="BU462" s="47"/>
      <c r="BV462" s="47"/>
      <c r="BW462" s="47"/>
      <c r="BX462" s="47"/>
      <c r="BY462" s="47"/>
      <c r="BZ462" s="47"/>
    </row>
    <row r="463" spans="1:78" ht="13">
      <c r="A463" s="152" t="str">
        <f ca="1">IFERROR(__xludf.DUMMYFUNCTION("""COMPUTED_VALUE"""),"Water Essence")</f>
        <v>Water Essence</v>
      </c>
      <c r="B463" s="47" t="str">
        <f ca="1">IFERROR(__xludf.DUMMYFUNCTION("TRANSPOSE(unique(filter(Recipes!A$2:A2490,(Recipes!L$2:L2490=A463)+(Recipes!O$2:O2490=A463)+(Recipes!R$2:R2490=A463)+(Recipes!U$2:U2490=A463)+(Recipes!X$2:X2490=A463))))"),"Freezing Arrow")</f>
        <v>Freezing Arrow</v>
      </c>
      <c r="C463" s="47" t="str">
        <f ca="1">IFERROR(__xludf.DUMMYFUNCTION("""COMPUTED_VALUE"""),"Freezing Arrowhead")</f>
        <v>Freezing Arrowhead</v>
      </c>
      <c r="D463" s="47" t="str">
        <f ca="1">IFERROR(__xludf.DUMMYFUNCTION("""COMPUTED_VALUE"""),"Frost Grenade")</f>
        <v>Frost Grenade</v>
      </c>
      <c r="E463" s="47" t="str">
        <f ca="1">IFERROR(__xludf.DUMMYFUNCTION("""COMPUTED_VALUE"""),"Armour of Frost Scroll")</f>
        <v>Armour of Frost Scroll</v>
      </c>
      <c r="F463" s="47" t="str">
        <f ca="1">IFERROR(__xludf.DUMMYFUNCTION("""COMPUTED_VALUE"""),"Rain Scroll")</f>
        <v>Rain Scroll</v>
      </c>
      <c r="G463" s="47" t="str">
        <f ca="1">IFERROR(__xludf.DUMMYFUNCTION("""COMPUTED_VALUE"""),"Restoration Scroll")</f>
        <v>Restoration Scroll</v>
      </c>
      <c r="H463" s="47" t="str">
        <f ca="1">IFERROR(__xludf.DUMMYFUNCTION("""COMPUTED_VALUE"""),"Resurrection Scroll")</f>
        <v>Resurrection Scroll</v>
      </c>
      <c r="I463" s="47" t="str">
        <f ca="1">IFERROR(__xludf.DUMMYFUNCTION("""COMPUTED_VALUE"""),"Soothing Cold Scroll")</f>
        <v>Soothing Cold Scroll</v>
      </c>
      <c r="J463" s="47" t="str">
        <f ca="1">IFERROR(__xludf.DUMMYFUNCTION("""COMPUTED_VALUE"""),"Winter Blast Scroll")</f>
        <v>Winter Blast Scroll</v>
      </c>
      <c r="K463" s="47" t="str">
        <f ca="1">IFERROR(__xludf.DUMMYFUNCTION("""COMPUTED_VALUE"""),"Potion of Nimble Tumble")</f>
        <v>Potion of Nimble Tumble</v>
      </c>
      <c r="L463" s="47"/>
      <c r="M463" s="47"/>
      <c r="N463" s="47"/>
      <c r="O463" s="47"/>
      <c r="P463" s="47"/>
      <c r="Q463" s="47"/>
      <c r="R463" s="47"/>
      <c r="S463" s="47"/>
      <c r="T463" s="47"/>
      <c r="U463" s="47"/>
      <c r="V463" s="47"/>
      <c r="W463" s="47"/>
      <c r="X463" s="47"/>
      <c r="Y463" s="47"/>
      <c r="Z463" s="47"/>
      <c r="AA463" s="47"/>
      <c r="AB463" s="47"/>
      <c r="AC463" s="47"/>
      <c r="AD463" s="47"/>
      <c r="AE463" s="47"/>
      <c r="AF463" s="47"/>
      <c r="AG463" s="47"/>
      <c r="AH463" s="47"/>
      <c r="AI463" s="47"/>
      <c r="AJ463" s="47"/>
      <c r="AK463" s="47"/>
      <c r="AL463" s="47"/>
      <c r="AM463" s="47"/>
      <c r="AN463" s="47"/>
      <c r="AO463" s="47"/>
      <c r="AP463" s="47"/>
      <c r="AQ463" s="47"/>
      <c r="AR463" s="47"/>
      <c r="AS463" s="47"/>
      <c r="AT463" s="47"/>
      <c r="AU463" s="47"/>
      <c r="AV463" s="47"/>
      <c r="AW463" s="47"/>
      <c r="AX463" s="47"/>
      <c r="AY463" s="47"/>
      <c r="AZ463" s="47"/>
      <c r="BA463" s="47"/>
      <c r="BB463" s="47"/>
      <c r="BC463" s="47"/>
      <c r="BD463" s="47"/>
      <c r="BE463" s="47"/>
      <c r="BF463" s="47"/>
      <c r="BG463" s="47"/>
      <c r="BH463" s="47"/>
      <c r="BI463" s="47"/>
      <c r="BJ463" s="47"/>
      <c r="BK463" s="47"/>
      <c r="BL463" s="47"/>
      <c r="BM463" s="47"/>
      <c r="BN463" s="47"/>
      <c r="BO463" s="47"/>
      <c r="BP463" s="47"/>
      <c r="BQ463" s="47"/>
      <c r="BR463" s="47"/>
      <c r="BS463" s="47"/>
      <c r="BT463" s="47"/>
      <c r="BU463" s="47"/>
      <c r="BV463" s="47"/>
      <c r="BW463" s="47"/>
      <c r="BX463" s="47"/>
      <c r="BY463" s="47"/>
      <c r="BZ463" s="47"/>
    </row>
    <row r="464" spans="1:78" ht="13">
      <c r="A464" s="152" t="str">
        <f ca="1">IFERROR(__xludf.DUMMYFUNCTION("""COMPUTED_VALUE"""),"Water Resistance Potion")</f>
        <v>Water Resistance Potion</v>
      </c>
      <c r="B464" s="47" t="str">
        <f ca="1">IFERROR(__xludf.DUMMYFUNCTION("TRANSPOSE(unique(filter(Recipes!A$2:A2490,(Recipes!L$2:L2490=A464)+(Recipes!O$2:O2490=A464)+(Recipes!R$2:R2490=A464)+(Recipes!U$2:U2490=A464)+(Recipes!X$2:X2490=A464))))"),"Medium Water Resistance Potion")</f>
        <v>Medium Water Resistance Potion</v>
      </c>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c r="AA464" s="47"/>
      <c r="AB464" s="47"/>
      <c r="AC464" s="47"/>
      <c r="AD464" s="47"/>
      <c r="AE464" s="47"/>
      <c r="AF464" s="47"/>
      <c r="AG464" s="47"/>
      <c r="AH464" s="47"/>
      <c r="AI464" s="47"/>
      <c r="AJ464" s="47"/>
      <c r="AK464" s="47"/>
      <c r="AL464" s="47"/>
      <c r="AM464" s="47"/>
      <c r="AN464" s="47"/>
      <c r="AO464" s="47"/>
      <c r="AP464" s="47"/>
      <c r="AQ464" s="47"/>
      <c r="AR464" s="47"/>
      <c r="AS464" s="47"/>
      <c r="AT464" s="47"/>
      <c r="AU464" s="47"/>
      <c r="AV464" s="47"/>
      <c r="AW464" s="47"/>
      <c r="AX464" s="47"/>
      <c r="AY464" s="47"/>
      <c r="AZ464" s="47"/>
      <c r="BA464" s="47"/>
      <c r="BB464" s="47"/>
      <c r="BC464" s="47"/>
      <c r="BD464" s="47"/>
      <c r="BE464" s="47"/>
      <c r="BF464" s="47"/>
      <c r="BG464" s="47"/>
      <c r="BH464" s="47"/>
      <c r="BI464" s="47"/>
      <c r="BJ464" s="47"/>
      <c r="BK464" s="47"/>
      <c r="BL464" s="47"/>
      <c r="BM464" s="47"/>
      <c r="BN464" s="47"/>
      <c r="BO464" s="47"/>
      <c r="BP464" s="47"/>
      <c r="BQ464" s="47"/>
      <c r="BR464" s="47"/>
      <c r="BS464" s="47"/>
      <c r="BT464" s="47"/>
      <c r="BU464" s="47"/>
      <c r="BV464" s="47"/>
      <c r="BW464" s="47"/>
      <c r="BX464" s="47"/>
      <c r="BY464" s="47"/>
      <c r="BZ464" s="47"/>
    </row>
    <row r="465" spans="1:78" ht="13">
      <c r="A465" s="152" t="str">
        <f ca="1">IFERROR(__xludf.DUMMYFUNCTION("""COMPUTED_VALUE"""),"Weapon (not staff or wand)")</f>
        <v>Weapon (not staff or wand)</v>
      </c>
      <c r="B465" s="47" t="str">
        <f ca="1">IFERROR(__xludf.DUMMYFUNCTION("TRANSPOSE(unique(filter(Recipes!A$2:A2490,(Recipes!L$2:L2490=A465)+(Recipes!O$2:O2490=A465)+(Recipes!R$2:R2490=A465)+(Recipes!U$2:U2490=A465)+(Recipes!X$2:X2490=A465))))"),"Add Air Damage")</f>
        <v>Add Air Damage</v>
      </c>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c r="AA465" s="47"/>
      <c r="AB465" s="47"/>
      <c r="AC465" s="47"/>
      <c r="AD465" s="47"/>
      <c r="AE465" s="47"/>
      <c r="AF465" s="47"/>
      <c r="AG465" s="47"/>
      <c r="AH465" s="47"/>
      <c r="AI465" s="47"/>
      <c r="AJ465" s="47"/>
      <c r="AK465" s="47"/>
      <c r="AL465" s="47"/>
      <c r="AM465" s="47"/>
      <c r="AN465" s="47"/>
      <c r="AO465" s="47"/>
      <c r="AP465" s="47"/>
      <c r="AQ465" s="47"/>
      <c r="AR465" s="47"/>
      <c r="AS465" s="47"/>
      <c r="AT465" s="47"/>
      <c r="AU465" s="47"/>
      <c r="AV465" s="47"/>
      <c r="AW465" s="47"/>
      <c r="AX465" s="47"/>
      <c r="AY465" s="47"/>
      <c r="AZ465" s="47"/>
      <c r="BA465" s="47"/>
      <c r="BB465" s="47"/>
      <c r="BC465" s="47"/>
      <c r="BD465" s="47"/>
      <c r="BE465" s="47"/>
      <c r="BF465" s="47"/>
      <c r="BG465" s="47"/>
      <c r="BH465" s="47"/>
      <c r="BI465" s="47"/>
      <c r="BJ465" s="47"/>
      <c r="BK465" s="47"/>
      <c r="BL465" s="47"/>
      <c r="BM465" s="47"/>
      <c r="BN465" s="47"/>
      <c r="BO465" s="47"/>
      <c r="BP465" s="47"/>
      <c r="BQ465" s="47"/>
      <c r="BR465" s="47"/>
      <c r="BS465" s="47"/>
      <c r="BT465" s="47"/>
      <c r="BU465" s="47"/>
      <c r="BV465" s="47"/>
      <c r="BW465" s="47"/>
      <c r="BX465" s="47"/>
      <c r="BY465" s="47"/>
      <c r="BZ465" s="47"/>
    </row>
    <row r="466" spans="1:78" ht="13">
      <c r="A466" s="152" t="str">
        <f ca="1">IFERROR(__xludf.DUMMYFUNCTION("""COMPUTED_VALUE"""),"Weapon (not wand)")</f>
        <v>Weapon (not wand)</v>
      </c>
      <c r="B466" s="47" t="str">
        <f ca="1">IFERROR(__xludf.DUMMYFUNCTION("TRANSPOSE(unique(filter(Recipes!A$2:A2490,(Recipes!L$2:L2490=A466)+(Recipes!O$2:O2490=A466)+(Recipes!R$2:R2490=A466)+(Recipes!U$2:U2490=A466)+(Recipes!X$2:X2490=A466))))"),"Add Poison Damage")</f>
        <v>Add Poison Damage</v>
      </c>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c r="AA466" s="47"/>
      <c r="AB466" s="47"/>
      <c r="AC466" s="47"/>
      <c r="AD466" s="47"/>
      <c r="AE466" s="47"/>
      <c r="AF466" s="47"/>
      <c r="AG466" s="47"/>
      <c r="AH466" s="47"/>
      <c r="AI466" s="47"/>
      <c r="AJ466" s="47"/>
      <c r="AK466" s="47"/>
      <c r="AL466" s="47"/>
      <c r="AM466" s="47"/>
      <c r="AN466" s="47"/>
      <c r="AO466" s="47"/>
      <c r="AP466" s="47"/>
      <c r="AQ466" s="47"/>
      <c r="AR466" s="47"/>
      <c r="AS466" s="47"/>
      <c r="AT466" s="47"/>
      <c r="AU466" s="47"/>
      <c r="AV466" s="47"/>
      <c r="AW466" s="47"/>
      <c r="AX466" s="47"/>
      <c r="AY466" s="47"/>
      <c r="AZ466" s="47"/>
      <c r="BA466" s="47"/>
      <c r="BB466" s="47"/>
      <c r="BC466" s="47"/>
      <c r="BD466" s="47"/>
      <c r="BE466" s="47"/>
      <c r="BF466" s="47"/>
      <c r="BG466" s="47"/>
      <c r="BH466" s="47"/>
      <c r="BI466" s="47"/>
      <c r="BJ466" s="47"/>
      <c r="BK466" s="47"/>
      <c r="BL466" s="47"/>
      <c r="BM466" s="47"/>
      <c r="BN466" s="47"/>
      <c r="BO466" s="47"/>
      <c r="BP466" s="47"/>
      <c r="BQ466" s="47"/>
      <c r="BR466" s="47"/>
      <c r="BS466" s="47"/>
      <c r="BT466" s="47"/>
      <c r="BU466" s="47"/>
      <c r="BV466" s="47"/>
      <c r="BW466" s="47"/>
      <c r="BX466" s="47"/>
      <c r="BY466" s="47"/>
      <c r="BZ466" s="47"/>
    </row>
    <row r="467" spans="1:78" ht="13">
      <c r="A467" s="152" t="str">
        <f ca="1">IFERROR(__xludf.DUMMYFUNCTION("""COMPUTED_VALUE"""),"Wheat")</f>
        <v>Wheat</v>
      </c>
      <c r="B467" s="47" t="str">
        <f ca="1">IFERROR(__xludf.DUMMYFUNCTION("TRANSPOSE(unique(filter(Recipes!A$2:A2490,(Recipes!L$2:L2490=A467)+(Recipes!O$2:O2490=A467)+(Recipes!R$2:R2490=A467)+(Recipes!U$2:U2490=A467)+(Recipes!X$2:X2490=A467))))"),"Porridge")</f>
        <v>Porridge</v>
      </c>
      <c r="C467" s="47" t="str">
        <f ca="1">IFERROR(__xludf.DUMMYFUNCTION("""COMPUTED_VALUE"""),"Flour")</f>
        <v>Flour</v>
      </c>
      <c r="D467" s="47" t="str">
        <f ca="1">IFERROR(__xludf.DUMMYFUNCTION("""COMPUTED_VALUE"""),"Soul Mate Scroll")</f>
        <v>Soul Mate Scroll</v>
      </c>
      <c r="E467" s="47"/>
      <c r="F467" s="47"/>
      <c r="G467" s="47"/>
      <c r="H467" s="47"/>
      <c r="I467" s="47"/>
      <c r="J467" s="47"/>
      <c r="K467" s="47"/>
      <c r="L467" s="47"/>
      <c r="M467" s="47"/>
      <c r="N467" s="47"/>
      <c r="O467" s="47"/>
      <c r="P467" s="47"/>
      <c r="Q467" s="47"/>
      <c r="R467" s="47"/>
      <c r="S467" s="47"/>
      <c r="T467" s="47"/>
      <c r="U467" s="47"/>
      <c r="V467" s="47"/>
      <c r="W467" s="47"/>
      <c r="X467" s="47"/>
      <c r="Y467" s="47"/>
      <c r="Z467" s="47"/>
      <c r="AA467" s="47"/>
      <c r="AB467" s="47"/>
      <c r="AC467" s="47"/>
      <c r="AD467" s="47"/>
      <c r="AE467" s="47"/>
      <c r="AF467" s="47"/>
      <c r="AG467" s="47"/>
      <c r="AH467" s="47"/>
      <c r="AI467" s="47"/>
      <c r="AJ467" s="47"/>
      <c r="AK467" s="47"/>
      <c r="AL467" s="47"/>
      <c r="AM467" s="47"/>
      <c r="AN467" s="47"/>
      <c r="AO467" s="47"/>
      <c r="AP467" s="47"/>
      <c r="AQ467" s="47"/>
      <c r="AR467" s="47"/>
      <c r="AS467" s="47"/>
      <c r="AT467" s="47"/>
      <c r="AU467" s="47"/>
      <c r="AV467" s="47"/>
      <c r="AW467" s="47"/>
      <c r="AX467" s="47"/>
      <c r="AY467" s="47"/>
      <c r="AZ467" s="47"/>
      <c r="BA467" s="47"/>
      <c r="BB467" s="47"/>
      <c r="BC467" s="47"/>
      <c r="BD467" s="47"/>
      <c r="BE467" s="47"/>
      <c r="BF467" s="47"/>
      <c r="BG467" s="47"/>
      <c r="BH467" s="47"/>
      <c r="BI467" s="47"/>
      <c r="BJ467" s="47"/>
      <c r="BK467" s="47"/>
      <c r="BL467" s="47"/>
      <c r="BM467" s="47"/>
      <c r="BN467" s="47"/>
      <c r="BO467" s="47"/>
      <c r="BP467" s="47"/>
      <c r="BQ467" s="47"/>
      <c r="BR467" s="47"/>
      <c r="BS467" s="47"/>
      <c r="BT467" s="47"/>
      <c r="BU467" s="47"/>
      <c r="BV467" s="47"/>
      <c r="BW467" s="47"/>
      <c r="BX467" s="47"/>
      <c r="BY467" s="47"/>
      <c r="BZ467" s="47"/>
    </row>
    <row r="468" spans="1:78" ht="13">
      <c r="A468" s="152" t="str">
        <f ca="1">IFERROR(__xludf.DUMMYFUNCTION("""COMPUTED_VALUE"""),"Whisperwood")</f>
        <v>Whisperwood</v>
      </c>
      <c r="B468" s="47" t="str">
        <f ca="1">IFERROR(__xludf.DUMMYFUNCTION("TRANSPOSE(unique(filter(Recipes!A$2:A2490,(Recipes!L$2:L2490=A468)+(Recipes!O$2:O2490=A468)+(Recipes!R$2:R2490=A468)+(Recipes!U$2:U2490=A468)+(Recipes!X$2:X2490=A468))))"),"Fortify Scroll")</f>
        <v>Fortify Scroll</v>
      </c>
      <c r="C468" s="47" t="str">
        <f ca="1">IFERROR(__xludf.DUMMYFUNCTION("""COMPUTED_VALUE"""),"Small Magic Armor Potion")</f>
        <v>Small Magic Armor Potion</v>
      </c>
      <c r="D468" s="47"/>
      <c r="E468" s="47"/>
      <c r="F468" s="47"/>
      <c r="G468" s="47"/>
      <c r="H468" s="47"/>
      <c r="I468" s="47"/>
      <c r="J468" s="47"/>
      <c r="K468" s="47"/>
      <c r="L468" s="47"/>
      <c r="M468" s="47"/>
      <c r="N468" s="47"/>
      <c r="O468" s="47"/>
      <c r="P468" s="47"/>
      <c r="Q468" s="47"/>
      <c r="R468" s="47"/>
      <c r="S468" s="47"/>
      <c r="T468" s="47"/>
      <c r="U468" s="47"/>
      <c r="V468" s="47"/>
      <c r="W468" s="47"/>
      <c r="X468" s="47"/>
      <c r="Y468" s="47"/>
      <c r="Z468" s="47"/>
      <c r="AA468" s="47"/>
      <c r="AB468" s="47"/>
      <c r="AC468" s="47"/>
      <c r="AD468" s="47"/>
      <c r="AE468" s="47"/>
      <c r="AF468" s="47"/>
      <c r="AG468" s="47"/>
      <c r="AH468" s="47"/>
      <c r="AI468" s="47"/>
      <c r="AJ468" s="47"/>
      <c r="AK468" s="47"/>
      <c r="AL468" s="47"/>
      <c r="AM468" s="47"/>
      <c r="AN468" s="47"/>
      <c r="AO468" s="47"/>
      <c r="AP468" s="47"/>
      <c r="AQ468" s="47"/>
      <c r="AR468" s="47"/>
      <c r="AS468" s="47"/>
      <c r="AT468" s="47"/>
      <c r="AU468" s="47"/>
      <c r="AV468" s="47"/>
      <c r="AW468" s="47"/>
      <c r="AX468" s="47"/>
      <c r="AY468" s="47"/>
      <c r="AZ468" s="47"/>
      <c r="BA468" s="47"/>
      <c r="BB468" s="47"/>
      <c r="BC468" s="47"/>
      <c r="BD468" s="47"/>
      <c r="BE468" s="47"/>
      <c r="BF468" s="47"/>
      <c r="BG468" s="47"/>
      <c r="BH468" s="47"/>
      <c r="BI468" s="47"/>
      <c r="BJ468" s="47"/>
      <c r="BK468" s="47"/>
      <c r="BL468" s="47"/>
      <c r="BM468" s="47"/>
      <c r="BN468" s="47"/>
      <c r="BO468" s="47"/>
      <c r="BP468" s="47"/>
      <c r="BQ468" s="47"/>
      <c r="BR468" s="47"/>
      <c r="BS468" s="47"/>
      <c r="BT468" s="47"/>
      <c r="BU468" s="47"/>
      <c r="BV468" s="47"/>
      <c r="BW468" s="47"/>
      <c r="BX468" s="47"/>
      <c r="BY468" s="47"/>
      <c r="BZ468" s="47"/>
    </row>
    <row r="469" spans="1:78" ht="13">
      <c r="A469" s="152" t="str">
        <f ca="1">IFERROR(__xludf.DUMMYFUNCTION("""COMPUTED_VALUE"""),"White Tea Leaves")</f>
        <v>White Tea Leaves</v>
      </c>
      <c r="B469" s="47" t="str">
        <f ca="1">IFERROR(__xludf.DUMMYFUNCTION("TRANSPOSE(unique(filter(Recipes!A$2:A2490,(Recipes!L$2:L2490=A469)+(Recipes!O$2:O2490=A469)+(Recipes!R$2:R2490=A469)+(Recipes!U$2:U2490=A469)+(Recipes!X$2:X2490=A469))))"),"White Tea")</f>
        <v>White Tea</v>
      </c>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c r="AA469" s="47"/>
      <c r="AB469" s="47"/>
      <c r="AC469" s="47"/>
      <c r="AD469" s="47"/>
      <c r="AE469" s="47"/>
      <c r="AF469" s="47"/>
      <c r="AG469" s="47"/>
      <c r="AH469" s="47"/>
      <c r="AI469" s="47"/>
      <c r="AJ469" s="47"/>
      <c r="AK469" s="47"/>
      <c r="AL469" s="47"/>
      <c r="AM469" s="47"/>
      <c r="AN469" s="47"/>
      <c r="AO469" s="47"/>
      <c r="AP469" s="47"/>
      <c r="AQ469" s="47"/>
      <c r="AR469" s="47"/>
      <c r="AS469" s="47"/>
      <c r="AT469" s="47"/>
      <c r="AU469" s="47"/>
      <c r="AV469" s="47"/>
      <c r="AW469" s="47"/>
      <c r="AX469" s="47"/>
      <c r="AY469" s="47"/>
      <c r="AZ469" s="47"/>
      <c r="BA469" s="47"/>
      <c r="BB469" s="47"/>
      <c r="BC469" s="47"/>
      <c r="BD469" s="47"/>
      <c r="BE469" s="47"/>
      <c r="BF469" s="47"/>
      <c r="BG469" s="47"/>
      <c r="BH469" s="47"/>
      <c r="BI469" s="47"/>
      <c r="BJ469" s="47"/>
      <c r="BK469" s="47"/>
      <c r="BL469" s="47"/>
      <c r="BM469" s="47"/>
      <c r="BN469" s="47"/>
      <c r="BO469" s="47"/>
      <c r="BP469" s="47"/>
      <c r="BQ469" s="47"/>
      <c r="BR469" s="47"/>
      <c r="BS469" s="47"/>
      <c r="BT469" s="47"/>
      <c r="BU469" s="47"/>
      <c r="BV469" s="47"/>
      <c r="BW469" s="47"/>
      <c r="BX469" s="47"/>
      <c r="BY469" s="47"/>
      <c r="BZ469" s="47"/>
    </row>
    <row r="470" spans="1:78" ht="13">
      <c r="A470" s="152" t="str">
        <f ca="1">IFERROR(__xludf.DUMMYFUNCTION("""COMPUTED_VALUE"""),"Wine")</f>
        <v>Wine</v>
      </c>
      <c r="B470" s="47" t="str">
        <f ca="1">IFERROR(__xludf.DUMMYFUNCTION("TRANSPOSE(unique(filter(Recipes!A$2:A2490,(Recipes!L$2:L2490=A470)+(Recipes!O$2:O2490=A470)+(Recipes!R$2:R2490=A470)+(Recipes!U$2:U2490=A470)+(Recipes!X$2:X2490=A470))))"),"Small Masterwork Rune")</f>
        <v>Small Masterwork Rune</v>
      </c>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c r="AA470" s="47"/>
      <c r="AB470" s="47"/>
      <c r="AC470" s="47"/>
      <c r="AD470" s="47"/>
      <c r="AE470" s="47"/>
      <c r="AF470" s="47"/>
      <c r="AG470" s="47"/>
      <c r="AH470" s="47"/>
      <c r="AI470" s="47"/>
      <c r="AJ470" s="47"/>
      <c r="AK470" s="47"/>
      <c r="AL470" s="47"/>
      <c r="AM470" s="47"/>
      <c r="AN470" s="47"/>
      <c r="AO470" s="47"/>
      <c r="AP470" s="47"/>
      <c r="AQ470" s="47"/>
      <c r="AR470" s="47"/>
      <c r="AS470" s="47"/>
      <c r="AT470" s="47"/>
      <c r="AU470" s="47"/>
      <c r="AV470" s="47"/>
      <c r="AW470" s="47"/>
      <c r="AX470" s="47"/>
      <c r="AY470" s="47"/>
      <c r="AZ470" s="47"/>
      <c r="BA470" s="47"/>
      <c r="BB470" s="47"/>
      <c r="BC470" s="47"/>
      <c r="BD470" s="47"/>
      <c r="BE470" s="47"/>
      <c r="BF470" s="47"/>
      <c r="BG470" s="47"/>
      <c r="BH470" s="47"/>
      <c r="BI470" s="47"/>
      <c r="BJ470" s="47"/>
      <c r="BK470" s="47"/>
      <c r="BL470" s="47"/>
      <c r="BM470" s="47"/>
      <c r="BN470" s="47"/>
      <c r="BO470" s="47"/>
      <c r="BP470" s="47"/>
      <c r="BQ470" s="47"/>
      <c r="BR470" s="47"/>
      <c r="BS470" s="47"/>
      <c r="BT470" s="47"/>
      <c r="BU470" s="47"/>
      <c r="BV470" s="47"/>
      <c r="BW470" s="47"/>
      <c r="BX470" s="47"/>
      <c r="BY470" s="47"/>
      <c r="BZ470" s="47"/>
    </row>
    <row r="471" spans="1:78" ht="13">
      <c r="A471" s="152" t="str">
        <f ca="1">IFERROR(__xludf.DUMMYFUNCTION("""COMPUTED_VALUE"""),"Wine Barrel")</f>
        <v>Wine Barrel</v>
      </c>
      <c r="B471" s="47" t="str">
        <f ca="1">IFERROR(__xludf.DUMMYFUNCTION("TRANSPOSE(unique(filter(Recipes!A$2:A2490,(Recipes!L$2:L2490=A471)+(Recipes!O$2:O2490=A471)+(Recipes!R$2:R2490=A471)+(Recipes!U$2:U2490=A471)+(Recipes!X$2:X2490=A471))))"),"Bottle of Wine")</f>
        <v>Bottle of Wine</v>
      </c>
      <c r="C471" s="47" t="str">
        <f ca="1">IFERROR(__xludf.DUMMYFUNCTION("""COMPUTED_VALUE"""),"Glass of Wine")</f>
        <v>Glass of Wine</v>
      </c>
      <c r="D471" s="47" t="str">
        <f ca="1">IFERROR(__xludf.DUMMYFUNCTION("""COMPUTED_VALUE"""),"Mug of Wine")</f>
        <v>Mug of Wine</v>
      </c>
      <c r="E471" s="47"/>
      <c r="F471" s="47"/>
      <c r="G471" s="47"/>
      <c r="H471" s="47"/>
      <c r="I471" s="47"/>
      <c r="J471" s="47"/>
      <c r="K471" s="47"/>
      <c r="L471" s="47"/>
      <c r="M471" s="47"/>
      <c r="N471" s="47"/>
      <c r="O471" s="47"/>
      <c r="P471" s="47"/>
      <c r="Q471" s="47"/>
      <c r="R471" s="47"/>
      <c r="S471" s="47"/>
      <c r="T471" s="47"/>
      <c r="U471" s="47"/>
      <c r="V471" s="47"/>
      <c r="W471" s="47"/>
      <c r="X471" s="47"/>
      <c r="Y471" s="47"/>
      <c r="Z471" s="47"/>
      <c r="AA471" s="47"/>
      <c r="AB471" s="47"/>
      <c r="AC471" s="47"/>
      <c r="AD471" s="47"/>
      <c r="AE471" s="47"/>
      <c r="AF471" s="47"/>
      <c r="AG471" s="47"/>
      <c r="AH471" s="47"/>
      <c r="AI471" s="47"/>
      <c r="AJ471" s="47"/>
      <c r="AK471" s="47"/>
      <c r="AL471" s="47"/>
      <c r="AM471" s="47"/>
      <c r="AN471" s="47"/>
      <c r="AO471" s="47"/>
      <c r="AP471" s="47"/>
      <c r="AQ471" s="47"/>
      <c r="AR471" s="47"/>
      <c r="AS471" s="47"/>
      <c r="AT471" s="47"/>
      <c r="AU471" s="47"/>
      <c r="AV471" s="47"/>
      <c r="AW471" s="47"/>
      <c r="AX471" s="47"/>
      <c r="AY471" s="47"/>
      <c r="AZ471" s="47"/>
      <c r="BA471" s="47"/>
      <c r="BB471" s="47"/>
      <c r="BC471" s="47"/>
      <c r="BD471" s="47"/>
      <c r="BE471" s="47"/>
      <c r="BF471" s="47"/>
      <c r="BG471" s="47"/>
      <c r="BH471" s="47"/>
      <c r="BI471" s="47"/>
      <c r="BJ471" s="47"/>
      <c r="BK471" s="47"/>
      <c r="BL471" s="47"/>
      <c r="BM471" s="47"/>
      <c r="BN471" s="47"/>
      <c r="BO471" s="47"/>
      <c r="BP471" s="47"/>
      <c r="BQ471" s="47"/>
      <c r="BR471" s="47"/>
      <c r="BS471" s="47"/>
      <c r="BT471" s="47"/>
      <c r="BU471" s="47"/>
      <c r="BV471" s="47"/>
      <c r="BW471" s="47"/>
      <c r="BX471" s="47"/>
      <c r="BY471" s="47"/>
      <c r="BZ471" s="47"/>
    </row>
    <row r="472" spans="1:78" ht="13">
      <c r="A472" s="152" t="str">
        <f ca="1">IFERROR(__xludf.DUMMYFUNCTION("""COMPUTED_VALUE"""),"Winter Blast Scroll")</f>
        <v>Winter Blast Scroll</v>
      </c>
      <c r="B472" s="47" t="str">
        <f ca="1">IFERROR(__xludf.DUMMYFUNCTION("TRANSPOSE(unique(filter(Recipes!A$2:A2490,(Recipes!L$2:L2490=A472)+(Recipes!O$2:O2490=A472)+(Recipes!R$2:R2490=A472)+(Recipes!U$2:U2490=A472)+(Recipes!X$2:X2490=A472))))"),"Winter Blast Skillbook")</f>
        <v>Winter Blast Skillbook</v>
      </c>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c r="AA472" s="47"/>
      <c r="AB472" s="47"/>
      <c r="AC472" s="47"/>
      <c r="AD472" s="47"/>
      <c r="AE472" s="47"/>
      <c r="AF472" s="47"/>
      <c r="AG472" s="47"/>
      <c r="AH472" s="47"/>
      <c r="AI472" s="47"/>
      <c r="AJ472" s="47"/>
      <c r="AK472" s="47"/>
      <c r="AL472" s="47"/>
      <c r="AM472" s="47"/>
      <c r="AN472" s="47"/>
      <c r="AO472" s="47"/>
      <c r="AP472" s="47"/>
      <c r="AQ472" s="47"/>
      <c r="AR472" s="47"/>
      <c r="AS472" s="47"/>
      <c r="AT472" s="47"/>
      <c r="AU472" s="47"/>
      <c r="AV472" s="47"/>
      <c r="AW472" s="47"/>
      <c r="AX472" s="47"/>
      <c r="AY472" s="47"/>
      <c r="AZ472" s="47"/>
      <c r="BA472" s="47"/>
      <c r="BB472" s="47"/>
      <c r="BC472" s="47"/>
      <c r="BD472" s="47"/>
      <c r="BE472" s="47"/>
      <c r="BF472" s="47"/>
      <c r="BG472" s="47"/>
      <c r="BH472" s="47"/>
      <c r="BI472" s="47"/>
      <c r="BJ472" s="47"/>
      <c r="BK472" s="47"/>
      <c r="BL472" s="47"/>
      <c r="BM472" s="47"/>
      <c r="BN472" s="47"/>
      <c r="BO472" s="47"/>
      <c r="BP472" s="47"/>
      <c r="BQ472" s="47"/>
      <c r="BR472" s="47"/>
      <c r="BS472" s="47"/>
      <c r="BT472" s="47"/>
      <c r="BU472" s="47"/>
      <c r="BV472" s="47"/>
      <c r="BW472" s="47"/>
      <c r="BX472" s="47"/>
      <c r="BY472" s="47"/>
      <c r="BZ472" s="47"/>
    </row>
    <row r="473" spans="1:78" ht="13">
      <c r="A473" s="152" t="str">
        <f ca="1">IFERROR(__xludf.DUMMYFUNCTION("""COMPUTED_VALUE"""),"Witch Potion")</f>
        <v>Witch Potion</v>
      </c>
      <c r="B473" s="47" t="str">
        <f ca="1">IFERROR(__xludf.DUMMYFUNCTION("TRANSPOSE(unique(filter(Recipes!A$2:A2490,(Recipes!L$2:L2490=A473)+(Recipes!O$2:O2490=A473)+(Recipes!R$2:R2490=A473)+(Recipes!U$2:U2490=A473)+(Recipes!X$2:X2490=A473))))"),"Huge Healing Potion [Masked | Witch]")</f>
        <v>Huge Healing Potion [Masked | Witch]</v>
      </c>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c r="AA473" s="47"/>
      <c r="AB473" s="47"/>
      <c r="AC473" s="47"/>
      <c r="AD473" s="47"/>
      <c r="AE473" s="47"/>
      <c r="AF473" s="47"/>
      <c r="AG473" s="47"/>
      <c r="AH473" s="47"/>
      <c r="AI473" s="47"/>
      <c r="AJ473" s="47"/>
      <c r="AK473" s="47"/>
      <c r="AL473" s="47"/>
      <c r="AM473" s="47"/>
      <c r="AN473" s="47"/>
      <c r="AO473" s="47"/>
      <c r="AP473" s="47"/>
      <c r="AQ473" s="47"/>
      <c r="AR473" s="47"/>
      <c r="AS473" s="47"/>
      <c r="AT473" s="47"/>
      <c r="AU473" s="47"/>
      <c r="AV473" s="47"/>
      <c r="AW473" s="47"/>
      <c r="AX473" s="47"/>
      <c r="AY473" s="47"/>
      <c r="AZ473" s="47"/>
      <c r="BA473" s="47"/>
      <c r="BB473" s="47"/>
      <c r="BC473" s="47"/>
      <c r="BD473" s="47"/>
      <c r="BE473" s="47"/>
      <c r="BF473" s="47"/>
      <c r="BG473" s="47"/>
      <c r="BH473" s="47"/>
      <c r="BI473" s="47"/>
      <c r="BJ473" s="47"/>
      <c r="BK473" s="47"/>
      <c r="BL473" s="47"/>
      <c r="BM473" s="47"/>
      <c r="BN473" s="47"/>
      <c r="BO473" s="47"/>
      <c r="BP473" s="47"/>
      <c r="BQ473" s="47"/>
      <c r="BR473" s="47"/>
      <c r="BS473" s="47"/>
      <c r="BT473" s="47"/>
      <c r="BU473" s="47"/>
      <c r="BV473" s="47"/>
      <c r="BW473" s="47"/>
      <c r="BX473" s="47"/>
      <c r="BY473" s="47"/>
      <c r="BZ473" s="47"/>
    </row>
    <row r="474" spans="1:78" ht="13">
      <c r="A474" s="152" t="str">
        <f ca="1">IFERROR(__xludf.DUMMYFUNCTION("""COMPUTED_VALUE"""),"Witch's Eye")</f>
        <v>Witch's Eye</v>
      </c>
      <c r="B474" s="47" t="str">
        <f ca="1">IFERROR(__xludf.DUMMYFUNCTION("TRANSPOSE(unique(filter(Recipes!A$2:A2490,(Recipes!L$2:L2490=A474)+(Recipes!O$2:O2490=A474)+(Recipes!R$2:R2490=A474)+(Recipes!U$2:U2490=A474)+(Recipes!X$2:X2490=A474))))"),"Witch Potion")</f>
        <v>Witch Potion</v>
      </c>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c r="AA474" s="47"/>
      <c r="AB474" s="47"/>
      <c r="AC474" s="47"/>
      <c r="AD474" s="47"/>
      <c r="AE474" s="47"/>
      <c r="AF474" s="47"/>
      <c r="AG474" s="47"/>
      <c r="AH474" s="47"/>
      <c r="AI474" s="47"/>
      <c r="AJ474" s="47"/>
      <c r="AK474" s="47"/>
      <c r="AL474" s="47"/>
      <c r="AM474" s="47"/>
      <c r="AN474" s="47"/>
      <c r="AO474" s="47"/>
      <c r="AP474" s="47"/>
      <c r="AQ474" s="47"/>
      <c r="AR474" s="47"/>
      <c r="AS474" s="47"/>
      <c r="AT474" s="47"/>
      <c r="AU474" s="47"/>
      <c r="AV474" s="47"/>
      <c r="AW474" s="47"/>
      <c r="AX474" s="47"/>
      <c r="AY474" s="47"/>
      <c r="AZ474" s="47"/>
      <c r="BA474" s="47"/>
      <c r="BB474" s="47"/>
      <c r="BC474" s="47"/>
      <c r="BD474" s="47"/>
      <c r="BE474" s="47"/>
      <c r="BF474" s="47"/>
      <c r="BG474" s="47"/>
      <c r="BH474" s="47"/>
      <c r="BI474" s="47"/>
      <c r="BJ474" s="47"/>
      <c r="BK474" s="47"/>
      <c r="BL474" s="47"/>
      <c r="BM474" s="47"/>
      <c r="BN474" s="47"/>
      <c r="BO474" s="47"/>
      <c r="BP474" s="47"/>
      <c r="BQ474" s="47"/>
      <c r="BR474" s="47"/>
      <c r="BS474" s="47"/>
      <c r="BT474" s="47"/>
      <c r="BU474" s="47"/>
      <c r="BV474" s="47"/>
      <c r="BW474" s="47"/>
      <c r="BX474" s="47"/>
      <c r="BY474" s="47"/>
      <c r="BZ474" s="47"/>
    </row>
    <row r="475" spans="1:78" ht="13">
      <c r="A475" s="152" t="str">
        <f ca="1">IFERROR(__xludf.DUMMYFUNCTION("""COMPUTED_VALUE"""),"Wood")</f>
        <v>Wood</v>
      </c>
      <c r="B475" s="47" t="str">
        <f ca="1">IFERROR(__xludf.DUMMYFUNCTION("TRANSPOSE(unique(filter(Recipes!A$2:A2490,(Recipes!L$2:L2490=A475)+(Recipes!O$2:O2490=A475)+(Recipes!R$2:R2490=A475)+(Recipes!U$2:U2490=A475)+(Recipes!X$2:X2490=A475))))"),"Small Flame Rune")</f>
        <v>Small Flame Rune</v>
      </c>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c r="AA475" s="47"/>
      <c r="AB475" s="47"/>
      <c r="AC475" s="47"/>
      <c r="AD475" s="47"/>
      <c r="AE475" s="47"/>
      <c r="AF475" s="47"/>
      <c r="AG475" s="47"/>
      <c r="AH475" s="47"/>
      <c r="AI475" s="47"/>
      <c r="AJ475" s="47"/>
      <c r="AK475" s="47"/>
      <c r="AL475" s="47"/>
      <c r="AM475" s="47"/>
      <c r="AN475" s="47"/>
      <c r="AO475" s="47"/>
      <c r="AP475" s="47"/>
      <c r="AQ475" s="47"/>
      <c r="AR475" s="47"/>
      <c r="AS475" s="47"/>
      <c r="AT475" s="47"/>
      <c r="AU475" s="47"/>
      <c r="AV475" s="47"/>
      <c r="AW475" s="47"/>
      <c r="AX475" s="47"/>
      <c r="AY475" s="47"/>
      <c r="AZ475" s="47"/>
      <c r="BA475" s="47"/>
      <c r="BB475" s="47"/>
      <c r="BC475" s="47"/>
      <c r="BD475" s="47"/>
      <c r="BE475" s="47"/>
      <c r="BF475" s="47"/>
      <c r="BG475" s="47"/>
      <c r="BH475" s="47"/>
      <c r="BI475" s="47"/>
      <c r="BJ475" s="47"/>
      <c r="BK475" s="47"/>
      <c r="BL475" s="47"/>
      <c r="BM475" s="47"/>
      <c r="BN475" s="47"/>
      <c r="BO475" s="47"/>
      <c r="BP475" s="47"/>
      <c r="BQ475" s="47"/>
      <c r="BR475" s="47"/>
      <c r="BS475" s="47"/>
      <c r="BT475" s="47"/>
      <c r="BU475" s="47"/>
      <c r="BV475" s="47"/>
      <c r="BW475" s="47"/>
      <c r="BX475" s="47"/>
      <c r="BY475" s="47"/>
      <c r="BZ475" s="47"/>
    </row>
    <row r="476" spans="1:78" ht="13">
      <c r="A476" s="152" t="str">
        <f ca="1">IFERROR(__xludf.DUMMYFUNCTION("""COMPUTED_VALUE"""),"Wood Chips")</f>
        <v>Wood Chips</v>
      </c>
      <c r="B476" s="47" t="str">
        <f ca="1">IFERROR(__xludf.DUMMYFUNCTION("TRANSPOSE(unique(filter(Recipes!A$2:A2490,(Recipes!L$2:L2490=A476)+(Recipes!O$2:O2490=A476)+(Recipes!R$2:R2490=A476)+(Recipes!U$2:U2490=A476)+(Recipes!X$2:X2490=A476))))"),"Makeshift Shield")</f>
        <v>Makeshift Shield</v>
      </c>
      <c r="C476" s="47" t="str">
        <f ca="1">IFERROR(__xludf.DUMMYFUNCTION("""COMPUTED_VALUE"""),"Wood Pulp")</f>
        <v>Wood Pulp</v>
      </c>
      <c r="D476" s="47"/>
      <c r="E476" s="47"/>
      <c r="F476" s="47"/>
      <c r="G476" s="47"/>
      <c r="H476" s="47"/>
      <c r="I476" s="47"/>
      <c r="J476" s="47"/>
      <c r="K476" s="47"/>
      <c r="L476" s="47"/>
      <c r="M476" s="47"/>
      <c r="N476" s="47"/>
      <c r="O476" s="47"/>
      <c r="P476" s="47"/>
      <c r="Q476" s="47"/>
      <c r="R476" s="47"/>
      <c r="S476" s="47"/>
      <c r="T476" s="47"/>
      <c r="U476" s="47"/>
      <c r="V476" s="47"/>
      <c r="W476" s="47"/>
      <c r="X476" s="47"/>
      <c r="Y476" s="47"/>
      <c r="Z476" s="47"/>
      <c r="AA476" s="47"/>
      <c r="AB476" s="47"/>
      <c r="AC476" s="47"/>
      <c r="AD476" s="47"/>
      <c r="AE476" s="47"/>
      <c r="AF476" s="47"/>
      <c r="AG476" s="47"/>
      <c r="AH476" s="47"/>
      <c r="AI476" s="47"/>
      <c r="AJ476" s="47"/>
      <c r="AK476" s="47"/>
      <c r="AL476" s="47"/>
      <c r="AM476" s="47"/>
      <c r="AN476" s="47"/>
      <c r="AO476" s="47"/>
      <c r="AP476" s="47"/>
      <c r="AQ476" s="47"/>
      <c r="AR476" s="47"/>
      <c r="AS476" s="47"/>
      <c r="AT476" s="47"/>
      <c r="AU476" s="47"/>
      <c r="AV476" s="47"/>
      <c r="AW476" s="47"/>
      <c r="AX476" s="47"/>
      <c r="AY476" s="47"/>
      <c r="AZ476" s="47"/>
      <c r="BA476" s="47"/>
      <c r="BB476" s="47"/>
      <c r="BC476" s="47"/>
      <c r="BD476" s="47"/>
      <c r="BE476" s="47"/>
      <c r="BF476" s="47"/>
      <c r="BG476" s="47"/>
      <c r="BH476" s="47"/>
      <c r="BI476" s="47"/>
      <c r="BJ476" s="47"/>
      <c r="BK476" s="47"/>
      <c r="BL476" s="47"/>
      <c r="BM476" s="47"/>
      <c r="BN476" s="47"/>
      <c r="BO476" s="47"/>
      <c r="BP476" s="47"/>
      <c r="BQ476" s="47"/>
      <c r="BR476" s="47"/>
      <c r="BS476" s="47"/>
      <c r="BT476" s="47"/>
      <c r="BU476" s="47"/>
      <c r="BV476" s="47"/>
      <c r="BW476" s="47"/>
      <c r="BX476" s="47"/>
      <c r="BY476" s="47"/>
      <c r="BZ476" s="47"/>
    </row>
    <row r="477" spans="1:78" ht="13">
      <c r="A477" s="152" t="str">
        <f ca="1">IFERROR(__xludf.DUMMYFUNCTION("""COMPUTED_VALUE"""),"Wood Pulp")</f>
        <v>Wood Pulp</v>
      </c>
      <c r="B477" s="47" t="str">
        <f ca="1">IFERROR(__xludf.DUMMYFUNCTION("TRANSPOSE(unique(filter(Recipes!A$2:A2490,(Recipes!L$2:L2490=A477)+(Recipes!O$2:O2490=A477)+(Recipes!R$2:R2490=A477)+(Recipes!U$2:U2490=A477)+(Recipes!X$2:X2490=A477))))"),"Sheet of Paper")</f>
        <v>Sheet of Paper</v>
      </c>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c r="AA477" s="47"/>
      <c r="AB477" s="47"/>
      <c r="AC477" s="47"/>
      <c r="AD477" s="47"/>
      <c r="AE477" s="47"/>
      <c r="AF477" s="47"/>
      <c r="AG477" s="47"/>
      <c r="AH477" s="47"/>
      <c r="AI477" s="47"/>
      <c r="AJ477" s="47"/>
      <c r="AK477" s="47"/>
      <c r="AL477" s="47"/>
      <c r="AM477" s="47"/>
      <c r="AN477" s="47"/>
      <c r="AO477" s="47"/>
      <c r="AP477" s="47"/>
      <c r="AQ477" s="47"/>
      <c r="AR477" s="47"/>
      <c r="AS477" s="47"/>
      <c r="AT477" s="47"/>
      <c r="AU477" s="47"/>
      <c r="AV477" s="47"/>
      <c r="AW477" s="47"/>
      <c r="AX477" s="47"/>
      <c r="AY477" s="47"/>
      <c r="AZ477" s="47"/>
      <c r="BA477" s="47"/>
      <c r="BB477" s="47"/>
      <c r="BC477" s="47"/>
      <c r="BD477" s="47"/>
      <c r="BE477" s="47"/>
      <c r="BF477" s="47"/>
      <c r="BG477" s="47"/>
      <c r="BH477" s="47"/>
      <c r="BI477" s="47"/>
      <c r="BJ477" s="47"/>
      <c r="BK477" s="47"/>
      <c r="BL477" s="47"/>
      <c r="BM477" s="47"/>
      <c r="BN477" s="47"/>
      <c r="BO477" s="47"/>
      <c r="BP477" s="47"/>
      <c r="BQ477" s="47"/>
      <c r="BR477" s="47"/>
      <c r="BS477" s="47"/>
      <c r="BT477" s="47"/>
      <c r="BU477" s="47"/>
      <c r="BV477" s="47"/>
      <c r="BW477" s="47"/>
      <c r="BX477" s="47"/>
      <c r="BY477" s="47"/>
      <c r="BZ477" s="47"/>
    </row>
    <row r="478" spans="1:78" ht="13">
      <c r="A478" s="152" t="str">
        <f ca="1">IFERROR(__xludf.DUMMYFUNCTION("""COMPUTED_VALUE"""),"Wooden Doll")</f>
        <v>Wooden Doll</v>
      </c>
      <c r="B478" s="47" t="str">
        <f ca="1">IFERROR(__xludf.DUMMYFUNCTION("TRANSPOSE(unique(filter(Recipes!A$2:A2490,(Recipes!L$2:L2490=A478)+(Recipes!O$2:O2490=A478)+(Recipes!R$2:R2490=A478)+(Recipes!U$2:U2490=A478)+(Recipes!X$2:X2490=A478))))"),"Elemental Totem Scroll")</f>
        <v>Elemental Totem Scroll</v>
      </c>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c r="AA478" s="47"/>
      <c r="AB478" s="47"/>
      <c r="AC478" s="47"/>
      <c r="AD478" s="47"/>
      <c r="AE478" s="47"/>
      <c r="AF478" s="47"/>
      <c r="AG478" s="47"/>
      <c r="AH478" s="47"/>
      <c r="AI478" s="47"/>
      <c r="AJ478" s="47"/>
      <c r="AK478" s="47"/>
      <c r="AL478" s="47"/>
      <c r="AM478" s="47"/>
      <c r="AN478" s="47"/>
      <c r="AO478" s="47"/>
      <c r="AP478" s="47"/>
      <c r="AQ478" s="47"/>
      <c r="AR478" s="47"/>
      <c r="AS478" s="47"/>
      <c r="AT478" s="47"/>
      <c r="AU478" s="47"/>
      <c r="AV478" s="47"/>
      <c r="AW478" s="47"/>
      <c r="AX478" s="47"/>
      <c r="AY478" s="47"/>
      <c r="AZ478" s="47"/>
      <c r="BA478" s="47"/>
      <c r="BB478" s="47"/>
      <c r="BC478" s="47"/>
      <c r="BD478" s="47"/>
      <c r="BE478" s="47"/>
      <c r="BF478" s="47"/>
      <c r="BG478" s="47"/>
      <c r="BH478" s="47"/>
      <c r="BI478" s="47"/>
      <c r="BJ478" s="47"/>
      <c r="BK478" s="47"/>
      <c r="BL478" s="47"/>
      <c r="BM478" s="47"/>
      <c r="BN478" s="47"/>
      <c r="BO478" s="47"/>
      <c r="BP478" s="47"/>
      <c r="BQ478" s="47"/>
      <c r="BR478" s="47"/>
      <c r="BS478" s="47"/>
      <c r="BT478" s="47"/>
      <c r="BU478" s="47"/>
      <c r="BV478" s="47"/>
      <c r="BW478" s="47"/>
      <c r="BX478" s="47"/>
      <c r="BY478" s="47"/>
      <c r="BZ478" s="47"/>
    </row>
    <row r="479" spans="1:78" ht="13">
      <c r="A479" s="152" t="str">
        <f ca="1">IFERROR(__xludf.DUMMYFUNCTION("""COMPUTED_VALUE"""),"Wooden Figurine")</f>
        <v>Wooden Figurine</v>
      </c>
      <c r="B479" s="47" t="str">
        <f ca="1">IFERROR(__xludf.DUMMYFUNCTION("TRANSPOSE(unique(filter(Recipes!A$2:A2490,(Recipes!L$2:L2490=A479)+(Recipes!O$2:O2490=A479)+(Recipes!R$2:R2490=A479)+(Recipes!U$2:U2490=A479)+(Recipes!X$2:X2490=A479))))"),"Elemental Totem Scroll")</f>
        <v>Elemental Totem Scroll</v>
      </c>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c r="AA479" s="47"/>
      <c r="AB479" s="47"/>
      <c r="AC479" s="47"/>
      <c r="AD479" s="47"/>
      <c r="AE479" s="47"/>
      <c r="AF479" s="47"/>
      <c r="AG479" s="47"/>
      <c r="AH479" s="47"/>
      <c r="AI479" s="47"/>
      <c r="AJ479" s="47"/>
      <c r="AK479" s="47"/>
      <c r="AL479" s="47"/>
      <c r="AM479" s="47"/>
      <c r="AN479" s="47"/>
      <c r="AO479" s="47"/>
      <c r="AP479" s="47"/>
      <c r="AQ479" s="47"/>
      <c r="AR479" s="47"/>
      <c r="AS479" s="47"/>
      <c r="AT479" s="47"/>
      <c r="AU479" s="47"/>
      <c r="AV479" s="47"/>
      <c r="AW479" s="47"/>
      <c r="AX479" s="47"/>
      <c r="AY479" s="47"/>
      <c r="AZ479" s="47"/>
      <c r="BA479" s="47"/>
      <c r="BB479" s="47"/>
      <c r="BC479" s="47"/>
      <c r="BD479" s="47"/>
      <c r="BE479" s="47"/>
      <c r="BF479" s="47"/>
      <c r="BG479" s="47"/>
      <c r="BH479" s="47"/>
      <c r="BI479" s="47"/>
      <c r="BJ479" s="47"/>
      <c r="BK479" s="47"/>
      <c r="BL479" s="47"/>
      <c r="BM479" s="47"/>
      <c r="BN479" s="47"/>
      <c r="BO479" s="47"/>
      <c r="BP479" s="47"/>
      <c r="BQ479" s="47"/>
      <c r="BR479" s="47"/>
      <c r="BS479" s="47"/>
      <c r="BT479" s="47"/>
      <c r="BU479" s="47"/>
      <c r="BV479" s="47"/>
      <c r="BW479" s="47"/>
      <c r="BX479" s="47"/>
      <c r="BY479" s="47"/>
      <c r="BZ479" s="47"/>
    </row>
    <row r="480" spans="1:78" ht="13">
      <c r="A480" s="152" t="str">
        <f ca="1">IFERROR(__xludf.DUMMYFUNCTION("""COMPUTED_VALUE"""),"Wool")</f>
        <v>Wool</v>
      </c>
      <c r="B480" s="47" t="str">
        <f ca="1">IFERROR(__xludf.DUMMYFUNCTION("TRANSPOSE(unique(filter(Recipes!A$2:A2490,(Recipes!L$2:L2490=A480)+(Recipes!O$2:O2490=A480)+(Recipes!R$2:R2490=A480)+(Recipes!U$2:U2490=A480)+(Recipes!X$2:X2490=A480))))"),"Chain Lightning Scroll")</f>
        <v>Chain Lightning Scroll</v>
      </c>
      <c r="C480" s="47" t="str">
        <f ca="1">IFERROR(__xludf.DUMMYFUNCTION("""COMPUTED_VALUE"""),"Yarn")</f>
        <v>Yarn</v>
      </c>
      <c r="D480" s="47"/>
      <c r="E480" s="47"/>
      <c r="F480" s="47"/>
      <c r="G480" s="47"/>
      <c r="H480" s="47"/>
      <c r="I480" s="47"/>
      <c r="J480" s="47"/>
      <c r="K480" s="47"/>
      <c r="L480" s="47"/>
      <c r="M480" s="47"/>
      <c r="N480" s="47"/>
      <c r="O480" s="47"/>
      <c r="P480" s="47"/>
      <c r="Q480" s="47"/>
      <c r="R480" s="47"/>
      <c r="S480" s="47"/>
      <c r="T480" s="47"/>
      <c r="U480" s="47"/>
      <c r="V480" s="47"/>
      <c r="W480" s="47"/>
      <c r="X480" s="47"/>
      <c r="Y480" s="47"/>
      <c r="Z480" s="47"/>
      <c r="AA480" s="47"/>
      <c r="AB480" s="47"/>
      <c r="AC480" s="47"/>
      <c r="AD480" s="47"/>
      <c r="AE480" s="47"/>
      <c r="AF480" s="47"/>
      <c r="AG480" s="47"/>
      <c r="AH480" s="47"/>
      <c r="AI480" s="47"/>
      <c r="AJ480" s="47"/>
      <c r="AK480" s="47"/>
      <c r="AL480" s="47"/>
      <c r="AM480" s="47"/>
      <c r="AN480" s="47"/>
      <c r="AO480" s="47"/>
      <c r="AP480" s="47"/>
      <c r="AQ480" s="47"/>
      <c r="AR480" s="47"/>
      <c r="AS480" s="47"/>
      <c r="AT480" s="47"/>
      <c r="AU480" s="47"/>
      <c r="AV480" s="47"/>
      <c r="AW480" s="47"/>
      <c r="AX480" s="47"/>
      <c r="AY480" s="47"/>
      <c r="AZ480" s="47"/>
      <c r="BA480" s="47"/>
      <c r="BB480" s="47"/>
      <c r="BC480" s="47"/>
      <c r="BD480" s="47"/>
      <c r="BE480" s="47"/>
      <c r="BF480" s="47"/>
      <c r="BG480" s="47"/>
      <c r="BH480" s="47"/>
      <c r="BI480" s="47"/>
      <c r="BJ480" s="47"/>
      <c r="BK480" s="47"/>
      <c r="BL480" s="47"/>
      <c r="BM480" s="47"/>
      <c r="BN480" s="47"/>
      <c r="BO480" s="47"/>
      <c r="BP480" s="47"/>
      <c r="BQ480" s="47"/>
      <c r="BR480" s="47"/>
      <c r="BS480" s="47"/>
      <c r="BT480" s="47"/>
      <c r="BU480" s="47"/>
      <c r="BV480" s="47"/>
      <c r="BW480" s="47"/>
      <c r="BX480" s="47"/>
      <c r="BY480" s="47"/>
      <c r="BZ480" s="47"/>
    </row>
    <row r="481" spans="1:78" ht="13">
      <c r="A481" s="152" t="str">
        <f ca="1">IFERROR(__xludf.DUMMYFUNCTION("""COMPUTED_VALUE"""),"Worm Tremor Scroll")</f>
        <v>Worm Tremor Scroll</v>
      </c>
      <c r="B481" s="47" t="str">
        <f ca="1">IFERROR(__xludf.DUMMYFUNCTION("TRANSPOSE(unique(filter(Recipes!A$2:A2490,(Recipes!L$2:L2490=A481)+(Recipes!O$2:O2490=A481)+(Recipes!R$2:R2490=A481)+(Recipes!U$2:U2490=A481)+(Recipes!X$2:X2490=A481))))"),"Worm Tremor Skillbook")</f>
        <v>Worm Tremor Skillbook</v>
      </c>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c r="AA481" s="47"/>
      <c r="AB481" s="47"/>
      <c r="AC481" s="47"/>
      <c r="AD481" s="47"/>
      <c r="AE481" s="47"/>
      <c r="AF481" s="47"/>
      <c r="AG481" s="47"/>
      <c r="AH481" s="47"/>
      <c r="AI481" s="47"/>
      <c r="AJ481" s="47"/>
      <c r="AK481" s="47"/>
      <c r="AL481" s="47"/>
      <c r="AM481" s="47"/>
      <c r="AN481" s="47"/>
      <c r="AO481" s="47"/>
      <c r="AP481" s="47"/>
      <c r="AQ481" s="47"/>
      <c r="AR481" s="47"/>
      <c r="AS481" s="47"/>
      <c r="AT481" s="47"/>
      <c r="AU481" s="47"/>
      <c r="AV481" s="47"/>
      <c r="AW481" s="47"/>
      <c r="AX481" s="47"/>
      <c r="AY481" s="47"/>
      <c r="AZ481" s="47"/>
      <c r="BA481" s="47"/>
      <c r="BB481" s="47"/>
      <c r="BC481" s="47"/>
      <c r="BD481" s="47"/>
      <c r="BE481" s="47"/>
      <c r="BF481" s="47"/>
      <c r="BG481" s="47"/>
      <c r="BH481" s="47"/>
      <c r="BI481" s="47"/>
      <c r="BJ481" s="47"/>
      <c r="BK481" s="47"/>
      <c r="BL481" s="47"/>
      <c r="BM481" s="47"/>
      <c r="BN481" s="47"/>
      <c r="BO481" s="47"/>
      <c r="BP481" s="47"/>
      <c r="BQ481" s="47"/>
      <c r="BR481" s="47"/>
      <c r="BS481" s="47"/>
      <c r="BT481" s="47"/>
      <c r="BU481" s="47"/>
      <c r="BV481" s="47"/>
      <c r="BW481" s="47"/>
      <c r="BX481" s="47"/>
      <c r="BY481" s="47"/>
      <c r="BZ481" s="47"/>
    </row>
    <row r="482" spans="1:78" ht="13">
      <c r="A482" s="152" t="str">
        <f ca="1">IFERROR(__xludf.DUMMYFUNCTION("""COMPUTED_VALUE"""),"Yarn")</f>
        <v>Yarn</v>
      </c>
      <c r="B482" s="47" t="str">
        <f ca="1">IFERROR(__xludf.DUMMYFUNCTION("TRANSPOSE(unique(filter(Recipes!A$2:A2490,(Recipes!L$2:L2490=A482)+(Recipes!O$2:O2490=A482)+(Recipes!R$2:R2490=A482)+(Recipes!U$2:U2490=A482)+(Recipes!X$2:X2490=A482))))"),"Chain Lightning Scroll")</f>
        <v>Chain Lightning Scroll</v>
      </c>
      <c r="C482" s="47" t="str">
        <f ca="1">IFERROR(__xludf.DUMMYFUNCTION("""COMPUTED_VALUE"""),"Rope")</f>
        <v>Rope</v>
      </c>
      <c r="D482" s="47"/>
      <c r="E482" s="47"/>
      <c r="F482" s="47"/>
      <c r="G482" s="47"/>
      <c r="H482" s="47"/>
      <c r="I482" s="47"/>
      <c r="J482" s="47"/>
      <c r="K482" s="47"/>
      <c r="L482" s="47"/>
      <c r="M482" s="47"/>
      <c r="N482" s="47"/>
      <c r="O482" s="47"/>
      <c r="P482" s="47"/>
      <c r="Q482" s="47"/>
      <c r="R482" s="47"/>
      <c r="S482" s="47"/>
      <c r="T482" s="47"/>
      <c r="U482" s="47"/>
      <c r="V482" s="47"/>
      <c r="W482" s="47"/>
      <c r="X482" s="47"/>
      <c r="Y482" s="47"/>
      <c r="Z482" s="47"/>
      <c r="AA482" s="47"/>
      <c r="AB482" s="47"/>
      <c r="AC482" s="47"/>
      <c r="AD482" s="47"/>
      <c r="AE482" s="47"/>
      <c r="AF482" s="47"/>
      <c r="AG482" s="47"/>
      <c r="AH482" s="47"/>
      <c r="AI482" s="47"/>
      <c r="AJ482" s="47"/>
      <c r="AK482" s="47"/>
      <c r="AL482" s="47"/>
      <c r="AM482" s="47"/>
      <c r="AN482" s="47"/>
      <c r="AO482" s="47"/>
      <c r="AP482" s="47"/>
      <c r="AQ482" s="47"/>
      <c r="AR482" s="47"/>
      <c r="AS482" s="47"/>
      <c r="AT482" s="47"/>
      <c r="AU482" s="47"/>
      <c r="AV482" s="47"/>
      <c r="AW482" s="47"/>
      <c r="AX482" s="47"/>
      <c r="AY482" s="47"/>
      <c r="AZ482" s="47"/>
      <c r="BA482" s="47"/>
      <c r="BB482" s="47"/>
      <c r="BC482" s="47"/>
      <c r="BD482" s="47"/>
      <c r="BE482" s="47"/>
      <c r="BF482" s="47"/>
      <c r="BG482" s="47"/>
      <c r="BH482" s="47"/>
      <c r="BI482" s="47"/>
      <c r="BJ482" s="47"/>
      <c r="BK482" s="47"/>
      <c r="BL482" s="47"/>
      <c r="BM482" s="47"/>
      <c r="BN482" s="47"/>
      <c r="BO482" s="47"/>
      <c r="BP482" s="47"/>
      <c r="BQ482" s="47"/>
      <c r="BR482" s="47"/>
      <c r="BS482" s="47"/>
      <c r="BT482" s="47"/>
      <c r="BU482" s="47"/>
      <c r="BV482" s="47"/>
      <c r="BW482" s="47"/>
      <c r="BX482" s="47"/>
      <c r="BY482" s="47"/>
      <c r="BZ482" s="47"/>
    </row>
    <row r="483" spans="1:78" ht="13">
      <c r="A483" s="152" t="str">
        <f ca="1">IFERROR(__xludf.DUMMYFUNCTION("""COMPUTED_VALUE"""),"Yarrow Flower")</f>
        <v>Yarrow Flower</v>
      </c>
      <c r="B483" s="47" t="str">
        <f ca="1">IFERROR(__xludf.DUMMYFUNCTION("TRANSPOSE(unique(filter(Recipes!A$2:A2490,(Recipes!L$2:L2490=A483)+(Recipes!O$2:O2490=A483)+(Recipes!R$2:R2490=A483)+(Recipes!U$2:U2490=A483)+(Recipes!X$2:X2490=A483))))"),"Healing Elixir")</f>
        <v>Healing Elixir</v>
      </c>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c r="AA483" s="47"/>
      <c r="AB483" s="47"/>
      <c r="AC483" s="47"/>
      <c r="AD483" s="47"/>
      <c r="AE483" s="47"/>
      <c r="AF483" s="47"/>
      <c r="AG483" s="47"/>
      <c r="AH483" s="47"/>
      <c r="AI483" s="47"/>
      <c r="AJ483" s="47"/>
      <c r="AK483" s="47"/>
      <c r="AL483" s="47"/>
      <c r="AM483" s="47"/>
      <c r="AN483" s="47"/>
      <c r="AO483" s="47"/>
      <c r="AP483" s="47"/>
      <c r="AQ483" s="47"/>
      <c r="AR483" s="47"/>
      <c r="AS483" s="47"/>
      <c r="AT483" s="47"/>
      <c r="AU483" s="47"/>
      <c r="AV483" s="47"/>
      <c r="AW483" s="47"/>
      <c r="AX483" s="47"/>
      <c r="AY483" s="47"/>
      <c r="AZ483" s="47"/>
      <c r="BA483" s="47"/>
      <c r="BB483" s="47"/>
      <c r="BC483" s="47"/>
      <c r="BD483" s="47"/>
      <c r="BE483" s="47"/>
      <c r="BF483" s="47"/>
      <c r="BG483" s="47"/>
      <c r="BH483" s="47"/>
      <c r="BI483" s="47"/>
      <c r="BJ483" s="47"/>
      <c r="BK483" s="47"/>
      <c r="BL483" s="47"/>
      <c r="BM483" s="47"/>
      <c r="BN483" s="47"/>
      <c r="BO483" s="47"/>
      <c r="BP483" s="47"/>
      <c r="BQ483" s="47"/>
      <c r="BR483" s="47"/>
      <c r="BS483" s="47"/>
      <c r="BT483" s="47"/>
      <c r="BU483" s="47"/>
      <c r="BV483" s="47"/>
      <c r="BW483" s="47"/>
      <c r="BX483" s="47"/>
      <c r="BY483" s="47"/>
      <c r="BZ483" s="47"/>
    </row>
    <row r="484" spans="1:78" ht="13">
      <c r="A484" s="152" t="str">
        <f ca="1">IFERROR(__xludf.DUMMYFUNCTION("""COMPUTED_VALUE"""),"Zaikk's Talon")</f>
        <v>Zaikk's Talon</v>
      </c>
      <c r="B484" s="47" t="str">
        <f ca="1">IFERROR(__xludf.DUMMYFUNCTION("TRANSPOSE(unique(filter(Recipes!A$2:A2490,(Recipes!L$2:L2490=A484)+(Recipes!O$2:O2490=A484)+(Recipes!R$2:R2490=A484)+(Recipes!U$2:U2490=A484)+(Recipes!X$2:X2490=A484))))"),"Poisoned [Food]")</f>
        <v>Poisoned [Food]</v>
      </c>
      <c r="C484" s="47" t="str">
        <f ca="1">IFERROR(__xludf.DUMMYFUNCTION("""COMPUTED_VALUE"""),"Poisoned Drink")</f>
        <v>Poisoned Drink</v>
      </c>
      <c r="D484" s="47" t="str">
        <f ca="1">IFERROR(__xludf.DUMMYFUNCTION("""COMPUTED_VALUE"""),"Giant Poison Bottle")</f>
        <v>Giant Poison Bottle</v>
      </c>
      <c r="E484" s="47" t="str">
        <f ca="1">IFERROR(__xludf.DUMMYFUNCTION("""COMPUTED_VALUE"""),"Huge Poison Vial")</f>
        <v>Huge Poison Vial</v>
      </c>
      <c r="F484" s="47" t="str">
        <f ca="1">IFERROR(__xludf.DUMMYFUNCTION("""COMPUTED_VALUE"""),"Large Poison Bottle")</f>
        <v>Large Poison Bottle</v>
      </c>
      <c r="G484" s="47" t="str">
        <f ca="1">IFERROR(__xludf.DUMMYFUNCTION("""COMPUTED_VALUE"""),"Medium Poison Bottle")</f>
        <v>Medium Poison Bottle</v>
      </c>
      <c r="H484" s="47" t="str">
        <f ca="1">IFERROR(__xludf.DUMMYFUNCTION("""COMPUTED_VALUE"""),"Poison Elixir")</f>
        <v>Poison Elixir</v>
      </c>
      <c r="I484" s="47" t="str">
        <f ca="1">IFERROR(__xludf.DUMMYFUNCTION("""COMPUTED_VALUE"""),"Small Poison Bottle")</f>
        <v>Small Poison Bottle</v>
      </c>
      <c r="J484" s="47"/>
      <c r="K484" s="47"/>
      <c r="L484" s="47"/>
      <c r="M484" s="47"/>
      <c r="N484" s="47"/>
      <c r="O484" s="47"/>
      <c r="P484" s="47"/>
      <c r="Q484" s="47"/>
      <c r="R484" s="47"/>
      <c r="S484" s="47"/>
      <c r="T484" s="47"/>
      <c r="U484" s="47"/>
      <c r="V484" s="47"/>
      <c r="W484" s="47"/>
      <c r="X484" s="47"/>
      <c r="Y484" s="47"/>
      <c r="Z484" s="47"/>
      <c r="AA484" s="47"/>
      <c r="AB484" s="47"/>
      <c r="AC484" s="47"/>
      <c r="AD484" s="47"/>
      <c r="AE484" s="47"/>
      <c r="AF484" s="47"/>
      <c r="AG484" s="47"/>
      <c r="AH484" s="47"/>
      <c r="AI484" s="47"/>
      <c r="AJ484" s="47"/>
      <c r="AK484" s="47"/>
      <c r="AL484" s="47"/>
      <c r="AM484" s="47"/>
      <c r="AN484" s="47"/>
      <c r="AO484" s="47"/>
      <c r="AP484" s="47"/>
      <c r="AQ484" s="47"/>
      <c r="AR484" s="47"/>
      <c r="AS484" s="47"/>
      <c r="AT484" s="47"/>
      <c r="AU484" s="47"/>
      <c r="AV484" s="47"/>
      <c r="AW484" s="47"/>
      <c r="AX484" s="47"/>
      <c r="AY484" s="47"/>
      <c r="AZ484" s="47"/>
      <c r="BA484" s="47"/>
      <c r="BB484" s="47"/>
      <c r="BC484" s="47"/>
      <c r="BD484" s="47"/>
      <c r="BE484" s="47"/>
      <c r="BF484" s="47"/>
      <c r="BG484" s="47"/>
      <c r="BH484" s="47"/>
      <c r="BI484" s="47"/>
      <c r="BJ484" s="47"/>
      <c r="BK484" s="47"/>
      <c r="BL484" s="47"/>
      <c r="BM484" s="47"/>
      <c r="BN484" s="47"/>
      <c r="BO484" s="47"/>
      <c r="BP484" s="47"/>
      <c r="BQ484" s="47"/>
      <c r="BR484" s="47"/>
      <c r="BS484" s="47"/>
      <c r="BT484" s="47"/>
      <c r="BU484" s="47"/>
      <c r="BV484" s="47"/>
      <c r="BW484" s="47"/>
      <c r="BX484" s="47"/>
      <c r="BY484" s="47"/>
      <c r="BZ484" s="47"/>
    </row>
    <row r="485" spans="1:78" ht="13">
      <c r="A485" s="152"/>
      <c r="B485" s="47" t="str">
        <f ca="1">IFERROR(__xludf.DUMMYFUNCTION("TRANSPOSE(unique(filter(Recipes!A$2:A2490,(Recipes!L$2:L2490=A485)+(Recipes!O$2:O2490=A485)+(Recipes!R$2:R2490=A485)+(Recipes!U$2:U2490=A485)+(Recipes!X$2:X2490=A485))))"),"#REF!")</f>
        <v>#REF!</v>
      </c>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c r="AA485" s="47"/>
      <c r="AB485" s="47"/>
      <c r="AC485" s="47"/>
      <c r="AD485" s="47"/>
      <c r="AE485" s="47"/>
      <c r="AF485" s="47"/>
      <c r="AG485" s="47"/>
      <c r="AH485" s="47"/>
      <c r="AI485" s="47"/>
      <c r="AJ485" s="47"/>
      <c r="AK485" s="47"/>
      <c r="AL485" s="47"/>
      <c r="AM485" s="47"/>
      <c r="AN485" s="47"/>
      <c r="AO485" s="47"/>
      <c r="AP485" s="47"/>
      <c r="AQ485" s="47"/>
      <c r="AR485" s="47"/>
      <c r="AS485" s="47"/>
      <c r="AT485" s="47"/>
      <c r="AU485" s="47"/>
      <c r="AV485" s="47"/>
      <c r="AW485" s="47"/>
      <c r="AX485" s="47"/>
      <c r="AY485" s="47"/>
      <c r="AZ485" s="47"/>
      <c r="BA485" s="47"/>
      <c r="BB485" s="47"/>
      <c r="BC485" s="47"/>
      <c r="BD485" s="47"/>
      <c r="BE485" s="47"/>
      <c r="BF485" s="47"/>
      <c r="BG485" s="47"/>
      <c r="BH485" s="47"/>
      <c r="BI485" s="47"/>
      <c r="BJ485" s="47"/>
      <c r="BK485" s="47"/>
      <c r="BL485" s="47"/>
      <c r="BM485" s="47"/>
      <c r="BN485" s="47"/>
      <c r="BO485" s="47"/>
      <c r="BP485" s="47"/>
      <c r="BQ485" s="47"/>
      <c r="BR485" s="47"/>
      <c r="BS485" s="47"/>
      <c r="BT485" s="47"/>
      <c r="BU485" s="47"/>
      <c r="BV485" s="47"/>
      <c r="BW485" s="47"/>
      <c r="BX485" s="47"/>
      <c r="BY485" s="47"/>
      <c r="BZ485" s="47"/>
    </row>
    <row r="486" spans="1:78" ht="13">
      <c r="A486" s="152"/>
      <c r="B486" s="47" t="str">
        <f ca="1">IFERROR(__xludf.DUMMYFUNCTION("TRANSPOSE(unique(filter(Recipes!A$2:A2490,(Recipes!L$2:L2490=A486)+(Recipes!O$2:O2490=A486)+(Recipes!R$2:R2490=A486)+(Recipes!U$2:U2490=A486)+(Recipes!X$2:X2490=A486))))"),"#REF!")</f>
        <v>#REF!</v>
      </c>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c r="AA486" s="47"/>
      <c r="AB486" s="47"/>
      <c r="AC486" s="47"/>
      <c r="AD486" s="47"/>
      <c r="AE486" s="47"/>
      <c r="AF486" s="47"/>
      <c r="AG486" s="47"/>
      <c r="AH486" s="47"/>
      <c r="AI486" s="47"/>
      <c r="AJ486" s="47"/>
      <c r="AK486" s="47"/>
      <c r="AL486" s="47"/>
      <c r="AM486" s="47"/>
      <c r="AN486" s="47"/>
      <c r="AO486" s="47"/>
      <c r="AP486" s="47"/>
      <c r="AQ486" s="47"/>
      <c r="AR486" s="47"/>
      <c r="AS486" s="47"/>
      <c r="AT486" s="47"/>
      <c r="AU486" s="47"/>
      <c r="AV486" s="47"/>
      <c r="AW486" s="47"/>
      <c r="AX486" s="47"/>
      <c r="AY486" s="47"/>
      <c r="AZ486" s="47"/>
      <c r="BA486" s="47"/>
      <c r="BB486" s="47"/>
      <c r="BC486" s="47"/>
      <c r="BD486" s="47"/>
      <c r="BE486" s="47"/>
      <c r="BF486" s="47"/>
      <c r="BG486" s="47"/>
      <c r="BH486" s="47"/>
      <c r="BI486" s="47"/>
      <c r="BJ486" s="47"/>
      <c r="BK486" s="47"/>
      <c r="BL486" s="47"/>
      <c r="BM486" s="47"/>
      <c r="BN486" s="47"/>
      <c r="BO486" s="47"/>
      <c r="BP486" s="47"/>
      <c r="BQ486" s="47"/>
      <c r="BR486" s="47"/>
      <c r="BS486" s="47"/>
      <c r="BT486" s="47"/>
      <c r="BU486" s="47"/>
      <c r="BV486" s="47"/>
      <c r="BW486" s="47"/>
      <c r="BX486" s="47"/>
      <c r="BY486" s="47"/>
      <c r="BZ486" s="47"/>
    </row>
    <row r="487" spans="1:78" ht="13">
      <c r="A487" s="152"/>
      <c r="B487" s="47" t="str">
        <f ca="1">IFERROR(__xludf.DUMMYFUNCTION("TRANSPOSE(unique(filter(Recipes!A$2:A2490,(Recipes!L$2:L2490=A487)+(Recipes!O$2:O2490=A487)+(Recipes!R$2:R2490=A487)+(Recipes!U$2:U2490=A487)+(Recipes!X$2:X2490=A487))))"),"#REF!")</f>
        <v>#REF!</v>
      </c>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c r="AA487" s="47"/>
      <c r="AB487" s="47"/>
      <c r="AC487" s="47"/>
      <c r="AD487" s="47"/>
      <c r="AE487" s="47"/>
      <c r="AF487" s="47"/>
      <c r="AG487" s="47"/>
      <c r="AH487" s="47"/>
      <c r="AI487" s="47"/>
      <c r="AJ487" s="47"/>
      <c r="AK487" s="47"/>
      <c r="AL487" s="47"/>
      <c r="AM487" s="47"/>
      <c r="AN487" s="47"/>
      <c r="AO487" s="47"/>
      <c r="AP487" s="47"/>
      <c r="AQ487" s="47"/>
      <c r="AR487" s="47"/>
      <c r="AS487" s="47"/>
      <c r="AT487" s="47"/>
      <c r="AU487" s="47"/>
      <c r="AV487" s="47"/>
      <c r="AW487" s="47"/>
      <c r="AX487" s="47"/>
      <c r="AY487" s="47"/>
      <c r="AZ487" s="47"/>
      <c r="BA487" s="47"/>
      <c r="BB487" s="47"/>
      <c r="BC487" s="47"/>
      <c r="BD487" s="47"/>
      <c r="BE487" s="47"/>
      <c r="BF487" s="47"/>
      <c r="BG487" s="47"/>
      <c r="BH487" s="47"/>
      <c r="BI487" s="47"/>
      <c r="BJ487" s="47"/>
      <c r="BK487" s="47"/>
      <c r="BL487" s="47"/>
      <c r="BM487" s="47"/>
      <c r="BN487" s="47"/>
      <c r="BO487" s="47"/>
      <c r="BP487" s="47"/>
      <c r="BQ487" s="47"/>
      <c r="BR487" s="47"/>
      <c r="BS487" s="47"/>
      <c r="BT487" s="47"/>
      <c r="BU487" s="47"/>
      <c r="BV487" s="47"/>
      <c r="BW487" s="47"/>
      <c r="BX487" s="47"/>
      <c r="BY487" s="47"/>
      <c r="BZ487" s="47"/>
    </row>
    <row r="488" spans="1:78" ht="13">
      <c r="A488" s="152"/>
      <c r="B488" s="47" t="str">
        <f ca="1">IFERROR(__xludf.DUMMYFUNCTION("TRANSPOSE(unique(filter(Recipes!A$2:A2490,(Recipes!L$2:L2490=A488)+(Recipes!O$2:O2490=A488)+(Recipes!R$2:R2490=A488)+(Recipes!U$2:U2490=A488)+(Recipes!X$2:X2490=A488))))"),"#REF!")</f>
        <v>#REF!</v>
      </c>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c r="AA488" s="47"/>
      <c r="AB488" s="47"/>
      <c r="AC488" s="47"/>
      <c r="AD488" s="47"/>
      <c r="AE488" s="47"/>
      <c r="AF488" s="47"/>
      <c r="AG488" s="47"/>
      <c r="AH488" s="47"/>
      <c r="AI488" s="47"/>
      <c r="AJ488" s="47"/>
      <c r="AK488" s="47"/>
      <c r="AL488" s="47"/>
      <c r="AM488" s="47"/>
      <c r="AN488" s="47"/>
      <c r="AO488" s="47"/>
      <c r="AP488" s="47"/>
      <c r="AQ488" s="47"/>
      <c r="AR488" s="47"/>
      <c r="AS488" s="47"/>
      <c r="AT488" s="47"/>
      <c r="AU488" s="47"/>
      <c r="AV488" s="47"/>
      <c r="AW488" s="47"/>
      <c r="AX488" s="47"/>
      <c r="AY488" s="47"/>
      <c r="AZ488" s="47"/>
      <c r="BA488" s="47"/>
      <c r="BB488" s="47"/>
      <c r="BC488" s="47"/>
      <c r="BD488" s="47"/>
      <c r="BE488" s="47"/>
      <c r="BF488" s="47"/>
      <c r="BG488" s="47"/>
      <c r="BH488" s="47"/>
      <c r="BI488" s="47"/>
      <c r="BJ488" s="47"/>
      <c r="BK488" s="47"/>
      <c r="BL488" s="47"/>
      <c r="BM488" s="47"/>
      <c r="BN488" s="47"/>
      <c r="BO488" s="47"/>
      <c r="BP488" s="47"/>
      <c r="BQ488" s="47"/>
      <c r="BR488" s="47"/>
      <c r="BS488" s="47"/>
      <c r="BT488" s="47"/>
      <c r="BU488" s="47"/>
      <c r="BV488" s="47"/>
      <c r="BW488" s="47"/>
      <c r="BX488" s="47"/>
      <c r="BY488" s="47"/>
      <c r="BZ488" s="47"/>
    </row>
    <row r="489" spans="1:78" ht="13">
      <c r="A489" s="152"/>
      <c r="B489" s="47" t="str">
        <f ca="1">IFERROR(__xludf.DUMMYFUNCTION("TRANSPOSE(unique(filter(Recipes!A$2:A2490,(Recipes!L$2:L2490=A489)+(Recipes!O$2:O2490=A489)+(Recipes!R$2:R2490=A489)+(Recipes!U$2:U2490=A489)+(Recipes!X$2:X2490=A489))))"),"#REF!")</f>
        <v>#REF!</v>
      </c>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c r="AA489" s="47"/>
      <c r="AB489" s="47"/>
      <c r="AC489" s="47"/>
      <c r="AD489" s="47"/>
      <c r="AE489" s="47"/>
      <c r="AF489" s="47"/>
      <c r="AG489" s="47"/>
      <c r="AH489" s="47"/>
      <c r="AI489" s="47"/>
      <c r="AJ489" s="47"/>
      <c r="AK489" s="47"/>
      <c r="AL489" s="47"/>
      <c r="AM489" s="47"/>
      <c r="AN489" s="47"/>
      <c r="AO489" s="47"/>
      <c r="AP489" s="47"/>
      <c r="AQ489" s="47"/>
      <c r="AR489" s="47"/>
      <c r="AS489" s="47"/>
      <c r="AT489" s="47"/>
      <c r="AU489" s="47"/>
      <c r="AV489" s="47"/>
      <c r="AW489" s="47"/>
      <c r="AX489" s="47"/>
      <c r="AY489" s="47"/>
      <c r="AZ489" s="47"/>
      <c r="BA489" s="47"/>
      <c r="BB489" s="47"/>
      <c r="BC489" s="47"/>
      <c r="BD489" s="47"/>
      <c r="BE489" s="47"/>
      <c r="BF489" s="47"/>
      <c r="BG489" s="47"/>
      <c r="BH489" s="47"/>
      <c r="BI489" s="47"/>
      <c r="BJ489" s="47"/>
      <c r="BK489" s="47"/>
      <c r="BL489" s="47"/>
      <c r="BM489" s="47"/>
      <c r="BN489" s="47"/>
      <c r="BO489" s="47"/>
      <c r="BP489" s="47"/>
      <c r="BQ489" s="47"/>
      <c r="BR489" s="47"/>
      <c r="BS489" s="47"/>
      <c r="BT489" s="47"/>
      <c r="BU489" s="47"/>
      <c r="BV489" s="47"/>
      <c r="BW489" s="47"/>
      <c r="BX489" s="47"/>
      <c r="BY489" s="47"/>
      <c r="BZ489" s="47"/>
    </row>
    <row r="490" spans="1:78" ht="13">
      <c r="A490" s="152"/>
      <c r="B490" s="47" t="str">
        <f ca="1">IFERROR(__xludf.DUMMYFUNCTION("TRANSPOSE(unique(filter(Recipes!A$2:A2490,(Recipes!L$2:L2490=A490)+(Recipes!O$2:O2490=A490)+(Recipes!R$2:R2490=A490)+(Recipes!U$2:U2490=A490)+(Recipes!X$2:X2490=A490))))"),"#REF!")</f>
        <v>#REF!</v>
      </c>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c r="AA490" s="47"/>
      <c r="AB490" s="47"/>
      <c r="AC490" s="47"/>
      <c r="AD490" s="47"/>
      <c r="AE490" s="47"/>
      <c r="AF490" s="47"/>
      <c r="AG490" s="47"/>
      <c r="AH490" s="47"/>
      <c r="AI490" s="47"/>
      <c r="AJ490" s="47"/>
      <c r="AK490" s="47"/>
      <c r="AL490" s="47"/>
      <c r="AM490" s="47"/>
      <c r="AN490" s="47"/>
      <c r="AO490" s="47"/>
      <c r="AP490" s="47"/>
      <c r="AQ490" s="47"/>
      <c r="AR490" s="47"/>
      <c r="AS490" s="47"/>
      <c r="AT490" s="47"/>
      <c r="AU490" s="47"/>
      <c r="AV490" s="47"/>
      <c r="AW490" s="47"/>
      <c r="AX490" s="47"/>
      <c r="AY490" s="47"/>
      <c r="AZ490" s="47"/>
      <c r="BA490" s="47"/>
      <c r="BB490" s="47"/>
      <c r="BC490" s="47"/>
      <c r="BD490" s="47"/>
      <c r="BE490" s="47"/>
      <c r="BF490" s="47"/>
      <c r="BG490" s="47"/>
      <c r="BH490" s="47"/>
      <c r="BI490" s="47"/>
      <c r="BJ490" s="47"/>
      <c r="BK490" s="47"/>
      <c r="BL490" s="47"/>
      <c r="BM490" s="47"/>
      <c r="BN490" s="47"/>
      <c r="BO490" s="47"/>
      <c r="BP490" s="47"/>
      <c r="BQ490" s="47"/>
      <c r="BR490" s="47"/>
      <c r="BS490" s="47"/>
      <c r="BT490" s="47"/>
      <c r="BU490" s="47"/>
      <c r="BV490" s="47"/>
      <c r="BW490" s="47"/>
      <c r="BX490" s="47"/>
      <c r="BY490" s="47"/>
      <c r="BZ490" s="47"/>
    </row>
    <row r="491" spans="1:78" ht="13">
      <c r="A491" s="152"/>
      <c r="B491" s="47" t="str">
        <f ca="1">IFERROR(__xludf.DUMMYFUNCTION("TRANSPOSE(unique(filter(Recipes!A$2:A2490,(Recipes!L$2:L2490=A491)+(Recipes!O$2:O2490=A491)+(Recipes!R$2:R2490=A491)+(Recipes!U$2:U2490=A491)+(Recipes!X$2:X2490=A491))))"),"#REF!")</f>
        <v>#REF!</v>
      </c>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c r="AA491" s="47"/>
      <c r="AB491" s="47"/>
      <c r="AC491" s="47"/>
      <c r="AD491" s="47"/>
      <c r="AE491" s="47"/>
      <c r="AF491" s="47"/>
      <c r="AG491" s="47"/>
      <c r="AH491" s="47"/>
      <c r="AI491" s="47"/>
      <c r="AJ491" s="47"/>
      <c r="AK491" s="47"/>
      <c r="AL491" s="47"/>
      <c r="AM491" s="47"/>
      <c r="AN491" s="47"/>
      <c r="AO491" s="47"/>
      <c r="AP491" s="47"/>
      <c r="AQ491" s="47"/>
      <c r="AR491" s="47"/>
      <c r="AS491" s="47"/>
      <c r="AT491" s="47"/>
      <c r="AU491" s="47"/>
      <c r="AV491" s="47"/>
      <c r="AW491" s="47"/>
      <c r="AX491" s="47"/>
      <c r="AY491" s="47"/>
      <c r="AZ491" s="47"/>
      <c r="BA491" s="47"/>
      <c r="BB491" s="47"/>
      <c r="BC491" s="47"/>
      <c r="BD491" s="47"/>
      <c r="BE491" s="47"/>
      <c r="BF491" s="47"/>
      <c r="BG491" s="47"/>
      <c r="BH491" s="47"/>
      <c r="BI491" s="47"/>
      <c r="BJ491" s="47"/>
      <c r="BK491" s="47"/>
      <c r="BL491" s="47"/>
      <c r="BM491" s="47"/>
      <c r="BN491" s="47"/>
      <c r="BO491" s="47"/>
      <c r="BP491" s="47"/>
      <c r="BQ491" s="47"/>
      <c r="BR491" s="47"/>
      <c r="BS491" s="47"/>
      <c r="BT491" s="47"/>
      <c r="BU491" s="47"/>
      <c r="BV491" s="47"/>
      <c r="BW491" s="47"/>
      <c r="BX491" s="47"/>
      <c r="BY491" s="47"/>
      <c r="BZ491" s="47"/>
    </row>
    <row r="492" spans="1:78" ht="13">
      <c r="A492" s="152"/>
      <c r="B492" s="47" t="str">
        <f ca="1">IFERROR(__xludf.DUMMYFUNCTION("TRANSPOSE(unique(filter(Recipes!A$2:A2490,(Recipes!L$2:L2490=A492)+(Recipes!O$2:O2490=A492)+(Recipes!R$2:R2490=A492)+(Recipes!U$2:U2490=A492)+(Recipes!X$2:X2490=A492))))"),"#REF!")</f>
        <v>#REF!</v>
      </c>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c r="AA492" s="47"/>
      <c r="AB492" s="47"/>
      <c r="AC492" s="47"/>
      <c r="AD492" s="47"/>
      <c r="AE492" s="47"/>
      <c r="AF492" s="47"/>
      <c r="AG492" s="47"/>
      <c r="AH492" s="47"/>
      <c r="AI492" s="47"/>
      <c r="AJ492" s="47"/>
      <c r="AK492" s="47"/>
      <c r="AL492" s="47"/>
      <c r="AM492" s="47"/>
      <c r="AN492" s="47"/>
      <c r="AO492" s="47"/>
      <c r="AP492" s="47"/>
      <c r="AQ492" s="47"/>
      <c r="AR492" s="47"/>
      <c r="AS492" s="47"/>
      <c r="AT492" s="47"/>
      <c r="AU492" s="47"/>
      <c r="AV492" s="47"/>
      <c r="AW492" s="47"/>
      <c r="AX492" s="47"/>
      <c r="AY492" s="47"/>
      <c r="AZ492" s="47"/>
      <c r="BA492" s="47"/>
      <c r="BB492" s="47"/>
      <c r="BC492" s="47"/>
      <c r="BD492" s="47"/>
      <c r="BE492" s="47"/>
      <c r="BF492" s="47"/>
      <c r="BG492" s="47"/>
      <c r="BH492" s="47"/>
      <c r="BI492" s="47"/>
      <c r="BJ492" s="47"/>
      <c r="BK492" s="47"/>
      <c r="BL492" s="47"/>
      <c r="BM492" s="47"/>
      <c r="BN492" s="47"/>
      <c r="BO492" s="47"/>
      <c r="BP492" s="47"/>
      <c r="BQ492" s="47"/>
      <c r="BR492" s="47"/>
      <c r="BS492" s="47"/>
      <c r="BT492" s="47"/>
      <c r="BU492" s="47"/>
      <c r="BV492" s="47"/>
      <c r="BW492" s="47"/>
      <c r="BX492" s="47"/>
      <c r="BY492" s="47"/>
      <c r="BZ492" s="47"/>
    </row>
    <row r="493" spans="1:78" ht="13">
      <c r="A493" s="152"/>
      <c r="B493" s="47" t="str">
        <f ca="1">IFERROR(__xludf.DUMMYFUNCTION("TRANSPOSE(unique(filter(Recipes!A$2:A2490,(Recipes!L$2:L2490=A493)+(Recipes!O$2:O2490=A493)+(Recipes!R$2:R2490=A493)+(Recipes!U$2:U2490=A493)+(Recipes!X$2:X2490=A493))))"),"#REF!")</f>
        <v>#REF!</v>
      </c>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c r="AA493" s="47"/>
      <c r="AB493" s="47"/>
      <c r="AC493" s="47"/>
      <c r="AD493" s="47"/>
      <c r="AE493" s="47"/>
      <c r="AF493" s="47"/>
      <c r="AG493" s="47"/>
      <c r="AH493" s="47"/>
      <c r="AI493" s="47"/>
      <c r="AJ493" s="47"/>
      <c r="AK493" s="47"/>
      <c r="AL493" s="47"/>
      <c r="AM493" s="47"/>
      <c r="AN493" s="47"/>
      <c r="AO493" s="47"/>
      <c r="AP493" s="47"/>
      <c r="AQ493" s="47"/>
      <c r="AR493" s="47"/>
      <c r="AS493" s="47"/>
      <c r="AT493" s="47"/>
      <c r="AU493" s="47"/>
      <c r="AV493" s="47"/>
      <c r="AW493" s="47"/>
      <c r="AX493" s="47"/>
      <c r="AY493" s="47"/>
      <c r="AZ493" s="47"/>
      <c r="BA493" s="47"/>
      <c r="BB493" s="47"/>
      <c r="BC493" s="47"/>
      <c r="BD493" s="47"/>
      <c r="BE493" s="47"/>
      <c r="BF493" s="47"/>
      <c r="BG493" s="47"/>
      <c r="BH493" s="47"/>
      <c r="BI493" s="47"/>
      <c r="BJ493" s="47"/>
      <c r="BK493" s="47"/>
      <c r="BL493" s="47"/>
      <c r="BM493" s="47"/>
      <c r="BN493" s="47"/>
      <c r="BO493" s="47"/>
      <c r="BP493" s="47"/>
      <c r="BQ493" s="47"/>
      <c r="BR493" s="47"/>
      <c r="BS493" s="47"/>
      <c r="BT493" s="47"/>
      <c r="BU493" s="47"/>
      <c r="BV493" s="47"/>
      <c r="BW493" s="47"/>
      <c r="BX493" s="47"/>
      <c r="BY493" s="47"/>
      <c r="BZ493" s="47"/>
    </row>
    <row r="494" spans="1:78" ht="13">
      <c r="A494" s="152"/>
      <c r="B494" s="47" t="str">
        <f ca="1">IFERROR(__xludf.DUMMYFUNCTION("TRANSPOSE(unique(filter(Recipes!A$2:A2490,(Recipes!L$2:L2490=A494)+(Recipes!O$2:O2490=A494)+(Recipes!R$2:R2490=A494)+(Recipes!U$2:U2490=A494)+(Recipes!X$2:X2490=A494))))"),"#REF!")</f>
        <v>#REF!</v>
      </c>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c r="AA494" s="47"/>
      <c r="AB494" s="47"/>
      <c r="AC494" s="47"/>
      <c r="AD494" s="47"/>
      <c r="AE494" s="47"/>
      <c r="AF494" s="47"/>
      <c r="AG494" s="47"/>
      <c r="AH494" s="47"/>
      <c r="AI494" s="47"/>
      <c r="AJ494" s="47"/>
      <c r="AK494" s="47"/>
      <c r="AL494" s="47"/>
      <c r="AM494" s="47"/>
      <c r="AN494" s="47"/>
      <c r="AO494" s="47"/>
      <c r="AP494" s="47"/>
      <c r="AQ494" s="47"/>
      <c r="AR494" s="47"/>
      <c r="AS494" s="47"/>
      <c r="AT494" s="47"/>
      <c r="AU494" s="47"/>
      <c r="AV494" s="47"/>
      <c r="AW494" s="47"/>
      <c r="AX494" s="47"/>
      <c r="AY494" s="47"/>
      <c r="AZ494" s="47"/>
      <c r="BA494" s="47"/>
      <c r="BB494" s="47"/>
      <c r="BC494" s="47"/>
      <c r="BD494" s="47"/>
      <c r="BE494" s="47"/>
      <c r="BF494" s="47"/>
      <c r="BG494" s="47"/>
      <c r="BH494" s="47"/>
      <c r="BI494" s="47"/>
      <c r="BJ494" s="47"/>
      <c r="BK494" s="47"/>
      <c r="BL494" s="47"/>
      <c r="BM494" s="47"/>
      <c r="BN494" s="47"/>
      <c r="BO494" s="47"/>
      <c r="BP494" s="47"/>
      <c r="BQ494" s="47"/>
      <c r="BR494" s="47"/>
      <c r="BS494" s="47"/>
      <c r="BT494" s="47"/>
      <c r="BU494" s="47"/>
      <c r="BV494" s="47"/>
      <c r="BW494" s="47"/>
      <c r="BX494" s="47"/>
      <c r="BY494" s="47"/>
      <c r="BZ494" s="47"/>
    </row>
    <row r="495" spans="1:78" ht="14">
      <c r="A495" s="50"/>
      <c r="B495" s="271"/>
    </row>
    <row r="496" spans="1:78" ht="14">
      <c r="A496" s="50"/>
      <c r="B496" s="271"/>
    </row>
    <row r="497" spans="1:2" ht="14">
      <c r="A497" s="50"/>
      <c r="B497" s="271"/>
    </row>
    <row r="498" spans="1:2" ht="14">
      <c r="A498" s="50"/>
      <c r="B498" s="271"/>
    </row>
    <row r="499" spans="1:2" ht="14">
      <c r="A499" s="50"/>
      <c r="B499" s="271"/>
    </row>
    <row r="500" spans="1:2" ht="14">
      <c r="A500" s="50"/>
      <c r="B500" s="271"/>
    </row>
    <row r="501" spans="1:2" ht="14">
      <c r="A501" s="50"/>
      <c r="B501" s="271"/>
    </row>
    <row r="502" spans="1:2" ht="14">
      <c r="A502" s="50"/>
      <c r="B502" s="271"/>
    </row>
    <row r="503" spans="1:2" ht="14">
      <c r="A503" s="50"/>
      <c r="B503" s="271"/>
    </row>
    <row r="504" spans="1:2" ht="14">
      <c r="A504" s="50"/>
      <c r="B504" s="271"/>
    </row>
    <row r="505" spans="1:2" ht="14">
      <c r="A505" s="50"/>
      <c r="B505" s="271"/>
    </row>
    <row r="506" spans="1:2" ht="14">
      <c r="A506" s="50"/>
      <c r="B506" s="271"/>
    </row>
    <row r="507" spans="1:2" ht="14">
      <c r="A507" s="50"/>
      <c r="B507" s="271"/>
    </row>
    <row r="508" spans="1:2" ht="14">
      <c r="A508" s="50"/>
      <c r="B508" s="271"/>
    </row>
    <row r="509" spans="1:2" ht="14">
      <c r="A509" s="50"/>
      <c r="B509" s="271"/>
    </row>
    <row r="510" spans="1:2" ht="14">
      <c r="A510" s="50"/>
      <c r="B510" s="271"/>
    </row>
    <row r="511" spans="1:2" ht="13">
      <c r="A511" s="50"/>
    </row>
    <row r="512" spans="1:2" ht="13">
      <c r="A512" s="50"/>
    </row>
    <row r="513" spans="1:1" ht="13">
      <c r="A513" s="50"/>
    </row>
    <row r="514" spans="1:1" ht="13">
      <c r="A514" s="50"/>
    </row>
    <row r="515" spans="1:1" ht="13">
      <c r="A515" s="50"/>
    </row>
    <row r="516" spans="1:1" ht="13">
      <c r="A516" s="50"/>
    </row>
    <row r="517" spans="1:1" ht="13">
      <c r="A517" s="50"/>
    </row>
    <row r="518" spans="1:1" ht="13">
      <c r="A518" s="50"/>
    </row>
    <row r="519" spans="1:1" ht="13">
      <c r="A519" s="50"/>
    </row>
    <row r="520" spans="1:1" ht="13">
      <c r="A520" s="50"/>
    </row>
    <row r="521" spans="1:1" ht="13">
      <c r="A521" s="50"/>
    </row>
    <row r="522" spans="1:1" ht="13">
      <c r="A522" s="50"/>
    </row>
    <row r="523" spans="1:1" ht="13">
      <c r="A523" s="50"/>
    </row>
    <row r="524" spans="1:1" ht="13">
      <c r="A524" s="50"/>
    </row>
    <row r="525" spans="1:1" ht="13">
      <c r="A525" s="50"/>
    </row>
    <row r="526" spans="1:1" ht="13">
      <c r="A526" s="50"/>
    </row>
    <row r="527" spans="1:1" ht="13">
      <c r="A527" s="50"/>
    </row>
    <row r="528" spans="1:1" ht="13">
      <c r="A528" s="50"/>
    </row>
    <row r="529" spans="1:1" ht="13">
      <c r="A529" s="50"/>
    </row>
    <row r="530" spans="1:1" ht="13">
      <c r="A530" s="50"/>
    </row>
    <row r="531" spans="1:1" ht="13">
      <c r="A531" s="50"/>
    </row>
    <row r="532" spans="1:1" ht="13">
      <c r="A532" s="50"/>
    </row>
    <row r="533" spans="1:1" ht="13">
      <c r="A533" s="50"/>
    </row>
    <row r="534" spans="1:1" ht="13">
      <c r="A534" s="50"/>
    </row>
    <row r="535" spans="1:1" ht="13">
      <c r="A535" s="50"/>
    </row>
    <row r="536" spans="1:1" ht="13">
      <c r="A536" s="50"/>
    </row>
    <row r="537" spans="1:1" ht="13">
      <c r="A537" s="50"/>
    </row>
    <row r="538" spans="1:1" ht="13">
      <c r="A538" s="50"/>
    </row>
    <row r="539" spans="1:1" ht="13">
      <c r="A539" s="50"/>
    </row>
    <row r="540" spans="1:1" ht="13">
      <c r="A540" s="50"/>
    </row>
    <row r="541" spans="1:1" ht="13">
      <c r="A541" s="50"/>
    </row>
    <row r="542" spans="1:1" ht="13">
      <c r="A542" s="50"/>
    </row>
    <row r="543" spans="1:1" ht="13">
      <c r="A543" s="50"/>
    </row>
    <row r="544" spans="1:1" ht="13">
      <c r="A544" s="50"/>
    </row>
    <row r="545" spans="1:1" ht="13">
      <c r="A545" s="50"/>
    </row>
    <row r="546" spans="1:1" ht="13">
      <c r="A546" s="50"/>
    </row>
    <row r="547" spans="1:1" ht="13">
      <c r="A547" s="50"/>
    </row>
    <row r="548" spans="1:1" ht="13">
      <c r="A548" s="50"/>
    </row>
    <row r="549" spans="1:1" ht="13">
      <c r="A549" s="50"/>
    </row>
    <row r="550" spans="1:1" ht="13">
      <c r="A550" s="50"/>
    </row>
    <row r="551" spans="1:1" ht="13">
      <c r="A551" s="50"/>
    </row>
    <row r="552" spans="1:1" ht="13">
      <c r="A552" s="50"/>
    </row>
    <row r="553" spans="1:1" ht="13">
      <c r="A553" s="50"/>
    </row>
    <row r="554" spans="1:1" ht="13">
      <c r="A554" s="50"/>
    </row>
    <row r="555" spans="1:1" ht="13">
      <c r="A555" s="50"/>
    </row>
    <row r="556" spans="1:1" ht="13">
      <c r="A556" s="50"/>
    </row>
    <row r="557" spans="1:1" ht="13">
      <c r="A557" s="50"/>
    </row>
    <row r="558" spans="1:1" ht="13">
      <c r="A558" s="50"/>
    </row>
    <row r="559" spans="1:1" ht="13">
      <c r="A559" s="50"/>
    </row>
    <row r="560" spans="1:1" ht="13">
      <c r="A560" s="50"/>
    </row>
    <row r="561" spans="1:1" ht="13">
      <c r="A561" s="50"/>
    </row>
    <row r="562" spans="1:1" ht="13">
      <c r="A562" s="50"/>
    </row>
    <row r="563" spans="1:1" ht="13">
      <c r="A563" s="50"/>
    </row>
    <row r="564" spans="1:1" ht="13">
      <c r="A564" s="50"/>
    </row>
    <row r="565" spans="1:1" ht="13">
      <c r="A565" s="50"/>
    </row>
    <row r="566" spans="1:1" ht="13">
      <c r="A566" s="50"/>
    </row>
    <row r="567" spans="1:1" ht="13">
      <c r="A567" s="50"/>
    </row>
    <row r="568" spans="1:1" ht="13">
      <c r="A568" s="50"/>
    </row>
    <row r="569" spans="1:1" ht="13">
      <c r="A569" s="50"/>
    </row>
    <row r="570" spans="1:1" ht="13">
      <c r="A570" s="50"/>
    </row>
    <row r="571" spans="1:1" ht="13">
      <c r="A571" s="50"/>
    </row>
    <row r="572" spans="1:1" ht="13">
      <c r="A572" s="50"/>
    </row>
    <row r="573" spans="1:1" ht="13">
      <c r="A573" s="50"/>
    </row>
    <row r="574" spans="1:1" ht="13">
      <c r="A574" s="50"/>
    </row>
    <row r="575" spans="1:1" ht="13">
      <c r="A575" s="50"/>
    </row>
    <row r="576" spans="1:1" ht="13">
      <c r="A576" s="50"/>
    </row>
    <row r="577" spans="1:1" ht="13">
      <c r="A577" s="50"/>
    </row>
    <row r="578" spans="1:1" ht="13">
      <c r="A578" s="50"/>
    </row>
    <row r="579" spans="1:1" ht="13">
      <c r="A579" s="50"/>
    </row>
    <row r="580" spans="1:1" ht="13">
      <c r="A580" s="50"/>
    </row>
    <row r="581" spans="1:1" ht="13">
      <c r="A581" s="50"/>
    </row>
    <row r="582" spans="1:1" ht="13">
      <c r="A582" s="50"/>
    </row>
    <row r="583" spans="1:1" ht="13">
      <c r="A583" s="50"/>
    </row>
    <row r="584" spans="1:1" ht="13">
      <c r="A584" s="50"/>
    </row>
    <row r="585" spans="1:1" ht="13">
      <c r="A585" s="50"/>
    </row>
    <row r="586" spans="1:1" ht="13">
      <c r="A586" s="50"/>
    </row>
    <row r="587" spans="1:1" ht="13">
      <c r="A587" s="50"/>
    </row>
    <row r="588" spans="1:1" ht="13">
      <c r="A588" s="50"/>
    </row>
    <row r="589" spans="1:1" ht="13">
      <c r="A589" s="50"/>
    </row>
    <row r="590" spans="1:1" ht="13">
      <c r="A590" s="50"/>
    </row>
    <row r="591" spans="1:1" ht="13">
      <c r="A591" s="50"/>
    </row>
    <row r="592" spans="1:1" ht="13">
      <c r="A592" s="50"/>
    </row>
    <row r="593" spans="1:1" ht="13">
      <c r="A593" s="50"/>
    </row>
    <row r="594" spans="1:1" ht="13">
      <c r="A594" s="50"/>
    </row>
    <row r="595" spans="1:1" ht="13">
      <c r="A595" s="50"/>
    </row>
    <row r="596" spans="1:1" ht="13">
      <c r="A596" s="50"/>
    </row>
    <row r="597" spans="1:1" ht="13">
      <c r="A597" s="50"/>
    </row>
    <row r="598" spans="1:1" ht="13">
      <c r="A598" s="50"/>
    </row>
    <row r="599" spans="1:1" ht="13">
      <c r="A599" s="50"/>
    </row>
    <row r="600" spans="1:1" ht="13">
      <c r="A600" s="50"/>
    </row>
    <row r="601" spans="1:1" ht="13">
      <c r="A601" s="50"/>
    </row>
    <row r="602" spans="1:1" ht="13">
      <c r="A602" s="50"/>
    </row>
    <row r="603" spans="1:1" ht="13">
      <c r="A603" s="50"/>
    </row>
    <row r="604" spans="1:1" ht="13">
      <c r="A604" s="50"/>
    </row>
    <row r="605" spans="1:1" ht="13">
      <c r="A605" s="50"/>
    </row>
    <row r="606" spans="1:1" ht="13">
      <c r="A606" s="50"/>
    </row>
    <row r="607" spans="1:1" ht="13">
      <c r="A607" s="50"/>
    </row>
    <row r="608" spans="1:1" ht="13">
      <c r="A608" s="50"/>
    </row>
    <row r="609" spans="1:1" ht="13">
      <c r="A609" s="50"/>
    </row>
    <row r="610" spans="1:1" ht="13">
      <c r="A610" s="50"/>
    </row>
    <row r="611" spans="1:1" ht="13">
      <c r="A611" s="50"/>
    </row>
    <row r="612" spans="1:1" ht="13">
      <c r="A612" s="50"/>
    </row>
    <row r="613" spans="1:1" ht="13">
      <c r="A613" s="50"/>
    </row>
    <row r="614" spans="1:1" ht="13">
      <c r="A614" s="50"/>
    </row>
    <row r="615" spans="1:1" ht="13">
      <c r="A615" s="50"/>
    </row>
    <row r="616" spans="1:1" ht="13">
      <c r="A616" s="50"/>
    </row>
    <row r="617" spans="1:1" ht="13">
      <c r="A617" s="50"/>
    </row>
    <row r="618" spans="1:1" ht="13">
      <c r="A618" s="50"/>
    </row>
    <row r="619" spans="1:1" ht="13">
      <c r="A619" s="50"/>
    </row>
    <row r="620" spans="1:1" ht="13">
      <c r="A620" s="50"/>
    </row>
    <row r="621" spans="1:1" ht="13">
      <c r="A621" s="50"/>
    </row>
    <row r="622" spans="1:1" ht="13">
      <c r="A622" s="50"/>
    </row>
    <row r="623" spans="1:1" ht="13">
      <c r="A623" s="50"/>
    </row>
    <row r="624" spans="1:1" ht="13">
      <c r="A624" s="50"/>
    </row>
    <row r="625" spans="1:1" ht="13">
      <c r="A625" s="50"/>
    </row>
    <row r="626" spans="1:1" ht="13">
      <c r="A626" s="50"/>
    </row>
    <row r="627" spans="1:1" ht="13">
      <c r="A627" s="50"/>
    </row>
    <row r="628" spans="1:1" ht="13">
      <c r="A628" s="50"/>
    </row>
    <row r="629" spans="1:1" ht="13">
      <c r="A629" s="50"/>
    </row>
    <row r="630" spans="1:1" ht="13">
      <c r="A630" s="50"/>
    </row>
    <row r="631" spans="1:1" ht="13">
      <c r="A631" s="50"/>
    </row>
    <row r="632" spans="1:1" ht="13">
      <c r="A632" s="50"/>
    </row>
    <row r="633" spans="1:1" ht="13">
      <c r="A633" s="50"/>
    </row>
    <row r="634" spans="1:1" ht="13">
      <c r="A634" s="50"/>
    </row>
    <row r="635" spans="1:1" ht="13">
      <c r="A635" s="50"/>
    </row>
    <row r="636" spans="1:1" ht="13">
      <c r="A636" s="50"/>
    </row>
    <row r="637" spans="1:1" ht="13">
      <c r="A637" s="50"/>
    </row>
    <row r="638" spans="1:1" ht="13">
      <c r="A638" s="50"/>
    </row>
    <row r="639" spans="1:1" ht="13">
      <c r="A639" s="50"/>
    </row>
    <row r="640" spans="1:1" ht="13">
      <c r="A640" s="50"/>
    </row>
    <row r="641" spans="1:1" ht="13">
      <c r="A641" s="50"/>
    </row>
    <row r="642" spans="1:1" ht="13">
      <c r="A642" s="50"/>
    </row>
    <row r="643" spans="1:1" ht="13">
      <c r="A643" s="50"/>
    </row>
    <row r="644" spans="1:1" ht="13">
      <c r="A644" s="50"/>
    </row>
    <row r="645" spans="1:1" ht="13">
      <c r="A645" s="50"/>
    </row>
    <row r="646" spans="1:1" ht="13">
      <c r="A646" s="50"/>
    </row>
    <row r="647" spans="1:1" ht="13">
      <c r="A647" s="50"/>
    </row>
    <row r="648" spans="1:1" ht="13">
      <c r="A648" s="50"/>
    </row>
    <row r="649" spans="1:1" ht="13">
      <c r="A649" s="50"/>
    </row>
    <row r="650" spans="1:1" ht="13">
      <c r="A650" s="50"/>
    </row>
    <row r="651" spans="1:1" ht="13">
      <c r="A651" s="50"/>
    </row>
    <row r="652" spans="1:1" ht="13">
      <c r="A652" s="50"/>
    </row>
    <row r="653" spans="1:1" ht="13">
      <c r="A653" s="50"/>
    </row>
    <row r="654" spans="1:1" ht="13">
      <c r="A654" s="50"/>
    </row>
    <row r="655" spans="1:1" ht="13">
      <c r="A655" s="50"/>
    </row>
    <row r="656" spans="1:1" ht="13">
      <c r="A656" s="50"/>
    </row>
    <row r="657" spans="1:1" ht="13">
      <c r="A657" s="50"/>
    </row>
    <row r="658" spans="1:1" ht="13">
      <c r="A658" s="50"/>
    </row>
    <row r="659" spans="1:1" ht="13">
      <c r="A659" s="50"/>
    </row>
    <row r="660" spans="1:1" ht="13">
      <c r="A660" s="50"/>
    </row>
    <row r="661" spans="1:1" ht="13">
      <c r="A661" s="50"/>
    </row>
    <row r="662" spans="1:1" ht="13">
      <c r="A662" s="50"/>
    </row>
    <row r="663" spans="1:1" ht="13">
      <c r="A663" s="50"/>
    </row>
    <row r="664" spans="1:1" ht="13">
      <c r="A664" s="50"/>
    </row>
    <row r="665" spans="1:1" ht="13">
      <c r="A665" s="50"/>
    </row>
    <row r="666" spans="1:1" ht="13">
      <c r="A666" s="50"/>
    </row>
    <row r="667" spans="1:1" ht="13">
      <c r="A667" s="50"/>
    </row>
    <row r="668" spans="1:1" ht="13">
      <c r="A668" s="50"/>
    </row>
    <row r="669" spans="1:1" ht="13">
      <c r="A669" s="50"/>
    </row>
    <row r="670" spans="1:1" ht="13">
      <c r="A670" s="50"/>
    </row>
    <row r="671" spans="1:1" ht="13">
      <c r="A671" s="50"/>
    </row>
    <row r="672" spans="1:1" ht="13">
      <c r="A672" s="50"/>
    </row>
    <row r="673" spans="1:1" ht="13">
      <c r="A673" s="50"/>
    </row>
    <row r="674" spans="1:1" ht="13">
      <c r="A674" s="50"/>
    </row>
    <row r="675" spans="1:1" ht="13">
      <c r="A675" s="50"/>
    </row>
    <row r="676" spans="1:1" ht="13">
      <c r="A676" s="50"/>
    </row>
    <row r="677" spans="1:1" ht="13">
      <c r="A677" s="50"/>
    </row>
    <row r="678" spans="1:1" ht="13">
      <c r="A678" s="50"/>
    </row>
    <row r="679" spans="1:1" ht="13">
      <c r="A679" s="50"/>
    </row>
    <row r="680" spans="1:1" ht="13">
      <c r="A680" s="50"/>
    </row>
    <row r="681" spans="1:1" ht="13">
      <c r="A681" s="50"/>
    </row>
    <row r="682" spans="1:1" ht="13">
      <c r="A682" s="50"/>
    </row>
    <row r="683" spans="1:1" ht="13">
      <c r="A683" s="50"/>
    </row>
    <row r="684" spans="1:1" ht="13">
      <c r="A684" s="50"/>
    </row>
    <row r="685" spans="1:1" ht="13">
      <c r="A685" s="50"/>
    </row>
    <row r="686" spans="1:1" ht="13">
      <c r="A686" s="50"/>
    </row>
    <row r="687" spans="1:1" ht="13">
      <c r="A687" s="50"/>
    </row>
    <row r="688" spans="1:1" ht="13">
      <c r="A688" s="50"/>
    </row>
    <row r="689" spans="1:1" ht="13">
      <c r="A689" s="50"/>
    </row>
    <row r="690" spans="1:1" ht="13">
      <c r="A690" s="50"/>
    </row>
    <row r="691" spans="1:1" ht="13">
      <c r="A691" s="50"/>
    </row>
    <row r="692" spans="1:1" ht="13">
      <c r="A692" s="50"/>
    </row>
    <row r="693" spans="1:1" ht="13">
      <c r="A693" s="50"/>
    </row>
    <row r="694" spans="1:1" ht="13">
      <c r="A694" s="50"/>
    </row>
    <row r="695" spans="1:1" ht="13">
      <c r="A695" s="50"/>
    </row>
    <row r="696" spans="1:1" ht="13">
      <c r="A696" s="50"/>
    </row>
    <row r="697" spans="1:1" ht="13">
      <c r="A697" s="50"/>
    </row>
    <row r="698" spans="1:1" ht="13">
      <c r="A698" s="50"/>
    </row>
    <row r="699" spans="1:1" ht="13">
      <c r="A699" s="50"/>
    </row>
    <row r="700" spans="1:1" ht="13">
      <c r="A700" s="50"/>
    </row>
    <row r="701" spans="1:1" ht="13">
      <c r="A701" s="50"/>
    </row>
    <row r="702" spans="1:1" ht="13">
      <c r="A702" s="50"/>
    </row>
    <row r="703" spans="1:1" ht="13">
      <c r="A703" s="50"/>
    </row>
    <row r="704" spans="1:1" ht="13">
      <c r="A704" s="50"/>
    </row>
    <row r="705" spans="1:1" ht="13">
      <c r="A705" s="50"/>
    </row>
    <row r="706" spans="1:1" ht="13">
      <c r="A706" s="50"/>
    </row>
    <row r="707" spans="1:1" ht="13">
      <c r="A707" s="50"/>
    </row>
    <row r="708" spans="1:1" ht="13">
      <c r="A708" s="50"/>
    </row>
    <row r="709" spans="1:1" ht="13">
      <c r="A709" s="50"/>
    </row>
    <row r="710" spans="1:1" ht="13">
      <c r="A710" s="50"/>
    </row>
    <row r="711" spans="1:1" ht="13">
      <c r="A711" s="50"/>
    </row>
    <row r="712" spans="1:1" ht="13">
      <c r="A712" s="50"/>
    </row>
    <row r="713" spans="1:1" ht="13">
      <c r="A713" s="50"/>
    </row>
    <row r="714" spans="1:1" ht="13">
      <c r="A714" s="50"/>
    </row>
    <row r="715" spans="1:1" ht="13">
      <c r="A715" s="50"/>
    </row>
    <row r="716" spans="1:1" ht="13">
      <c r="A716" s="50"/>
    </row>
    <row r="717" spans="1:1" ht="13">
      <c r="A717" s="50"/>
    </row>
    <row r="718" spans="1:1" ht="13">
      <c r="A718" s="50"/>
    </row>
    <row r="719" spans="1:1" ht="13">
      <c r="A719" s="50"/>
    </row>
    <row r="720" spans="1:1" ht="13">
      <c r="A720" s="50"/>
    </row>
    <row r="721" spans="1:1" ht="13">
      <c r="A721" s="50"/>
    </row>
    <row r="722" spans="1:1" ht="13">
      <c r="A722" s="50"/>
    </row>
    <row r="723" spans="1:1" ht="13">
      <c r="A723" s="50"/>
    </row>
    <row r="724" spans="1:1" ht="13">
      <c r="A724" s="50"/>
    </row>
    <row r="725" spans="1:1" ht="13">
      <c r="A725" s="50"/>
    </row>
    <row r="726" spans="1:1" ht="13">
      <c r="A726" s="50"/>
    </row>
    <row r="727" spans="1:1" ht="13">
      <c r="A727" s="50"/>
    </row>
    <row r="728" spans="1:1" ht="13">
      <c r="A728" s="50"/>
    </row>
    <row r="729" spans="1:1" ht="13">
      <c r="A729" s="50"/>
    </row>
    <row r="730" spans="1:1" ht="13">
      <c r="A730" s="50"/>
    </row>
    <row r="731" spans="1:1" ht="13">
      <c r="A731" s="50"/>
    </row>
    <row r="732" spans="1:1" ht="13">
      <c r="A732" s="50"/>
    </row>
    <row r="733" spans="1:1" ht="13">
      <c r="A733" s="50"/>
    </row>
    <row r="734" spans="1:1" ht="13">
      <c r="A734" s="50"/>
    </row>
    <row r="735" spans="1:1" ht="13">
      <c r="A735" s="50"/>
    </row>
    <row r="736" spans="1:1" ht="13">
      <c r="A736" s="50"/>
    </row>
    <row r="737" spans="1:1" ht="13">
      <c r="A737" s="50"/>
    </row>
    <row r="738" spans="1:1" ht="13">
      <c r="A738" s="50"/>
    </row>
    <row r="739" spans="1:1" ht="13">
      <c r="A739" s="50"/>
    </row>
    <row r="740" spans="1:1" ht="13">
      <c r="A740" s="50"/>
    </row>
    <row r="741" spans="1:1" ht="13">
      <c r="A741" s="50"/>
    </row>
    <row r="742" spans="1:1" ht="13">
      <c r="A742" s="50"/>
    </row>
    <row r="743" spans="1:1" ht="13">
      <c r="A743" s="50"/>
    </row>
    <row r="744" spans="1:1" ht="13">
      <c r="A744" s="50"/>
    </row>
    <row r="745" spans="1:1" ht="13">
      <c r="A745" s="50"/>
    </row>
    <row r="746" spans="1:1" ht="13">
      <c r="A746" s="50"/>
    </row>
    <row r="747" spans="1:1" ht="13">
      <c r="A747" s="50"/>
    </row>
    <row r="748" spans="1:1" ht="13">
      <c r="A748" s="50"/>
    </row>
    <row r="749" spans="1:1" ht="13">
      <c r="A749" s="50"/>
    </row>
    <row r="750" spans="1:1" ht="13">
      <c r="A750" s="50"/>
    </row>
    <row r="751" spans="1:1" ht="13">
      <c r="A751" s="50"/>
    </row>
    <row r="752" spans="1:1" ht="13">
      <c r="A752" s="50"/>
    </row>
    <row r="753" spans="1:1" ht="13">
      <c r="A753" s="50"/>
    </row>
    <row r="754" spans="1:1" ht="13">
      <c r="A754" s="50"/>
    </row>
    <row r="755" spans="1:1" ht="13">
      <c r="A755" s="50"/>
    </row>
    <row r="756" spans="1:1" ht="13">
      <c r="A756" s="50"/>
    </row>
    <row r="757" spans="1:1" ht="13">
      <c r="A757" s="50"/>
    </row>
    <row r="758" spans="1:1" ht="13">
      <c r="A758" s="50"/>
    </row>
    <row r="759" spans="1:1" ht="13">
      <c r="A759" s="50"/>
    </row>
    <row r="760" spans="1:1" ht="13">
      <c r="A760" s="50"/>
    </row>
    <row r="761" spans="1:1" ht="13">
      <c r="A761" s="50"/>
    </row>
    <row r="762" spans="1:1" ht="13">
      <c r="A762" s="50"/>
    </row>
    <row r="763" spans="1:1" ht="13">
      <c r="A763" s="50"/>
    </row>
    <row r="764" spans="1:1" ht="13">
      <c r="A764" s="50"/>
    </row>
    <row r="765" spans="1:1" ht="13">
      <c r="A765" s="50"/>
    </row>
    <row r="766" spans="1:1" ht="13">
      <c r="A766" s="50"/>
    </row>
    <row r="767" spans="1:1" ht="13">
      <c r="A767" s="50"/>
    </row>
    <row r="768" spans="1:1" ht="13">
      <c r="A768" s="50"/>
    </row>
    <row r="769" spans="1:1" ht="13">
      <c r="A769" s="50"/>
    </row>
    <row r="770" spans="1:1" ht="13">
      <c r="A770" s="50"/>
    </row>
    <row r="771" spans="1:1" ht="13">
      <c r="A771" s="50"/>
    </row>
    <row r="772" spans="1:1" ht="13">
      <c r="A772" s="50"/>
    </row>
    <row r="773" spans="1:1" ht="13">
      <c r="A773" s="50"/>
    </row>
    <row r="774" spans="1:1" ht="13">
      <c r="A774" s="50"/>
    </row>
    <row r="775" spans="1:1" ht="13">
      <c r="A775" s="50"/>
    </row>
    <row r="776" spans="1:1" ht="13">
      <c r="A776" s="50"/>
    </row>
    <row r="777" spans="1:1" ht="13">
      <c r="A777" s="50"/>
    </row>
    <row r="778" spans="1:1" ht="13">
      <c r="A778" s="50"/>
    </row>
    <row r="779" spans="1:1" ht="13">
      <c r="A779" s="50"/>
    </row>
    <row r="780" spans="1:1" ht="13">
      <c r="A780" s="50"/>
    </row>
    <row r="781" spans="1:1" ht="13">
      <c r="A781" s="50"/>
    </row>
    <row r="782" spans="1:1" ht="13">
      <c r="A782" s="50"/>
    </row>
    <row r="783" spans="1:1" ht="13">
      <c r="A783" s="50"/>
    </row>
    <row r="784" spans="1:1" ht="13">
      <c r="A784" s="50"/>
    </row>
    <row r="785" spans="1:1" ht="13">
      <c r="A785" s="50"/>
    </row>
    <row r="786" spans="1:1" ht="13">
      <c r="A786" s="50"/>
    </row>
    <row r="787" spans="1:1" ht="13">
      <c r="A787" s="50"/>
    </row>
    <row r="788" spans="1:1" ht="13">
      <c r="A788" s="50"/>
    </row>
    <row r="789" spans="1:1" ht="13">
      <c r="A789" s="50"/>
    </row>
    <row r="790" spans="1:1" ht="13">
      <c r="A790" s="50"/>
    </row>
    <row r="791" spans="1:1" ht="13">
      <c r="A791" s="50"/>
    </row>
    <row r="792" spans="1:1" ht="13">
      <c r="A792" s="50"/>
    </row>
    <row r="793" spans="1:1" ht="13">
      <c r="A793" s="50"/>
    </row>
    <row r="794" spans="1:1" ht="13">
      <c r="A794" s="50"/>
    </row>
    <row r="795" spans="1:1" ht="13">
      <c r="A795" s="50"/>
    </row>
    <row r="796" spans="1:1" ht="13">
      <c r="A796" s="50"/>
    </row>
    <row r="797" spans="1:1" ht="13">
      <c r="A797" s="50"/>
    </row>
    <row r="798" spans="1:1" ht="13">
      <c r="A798" s="50"/>
    </row>
    <row r="799" spans="1:1" ht="13">
      <c r="A799" s="50"/>
    </row>
    <row r="800" spans="1:1" ht="13">
      <c r="A800" s="50"/>
    </row>
    <row r="801" spans="1:1" ht="13">
      <c r="A801" s="50"/>
    </row>
    <row r="802" spans="1:1" ht="13">
      <c r="A802" s="50"/>
    </row>
    <row r="803" spans="1:1" ht="13">
      <c r="A803" s="50"/>
    </row>
    <row r="804" spans="1:1" ht="13">
      <c r="A804" s="50"/>
    </row>
    <row r="805" spans="1:1" ht="13">
      <c r="A805" s="50"/>
    </row>
    <row r="806" spans="1:1" ht="13">
      <c r="A806" s="50"/>
    </row>
    <row r="807" spans="1:1" ht="13">
      <c r="A807" s="50"/>
    </row>
    <row r="808" spans="1:1" ht="13">
      <c r="A808" s="50"/>
    </row>
    <row r="809" spans="1:1" ht="13">
      <c r="A809" s="50"/>
    </row>
    <row r="810" spans="1:1" ht="13">
      <c r="A810" s="50"/>
    </row>
    <row r="811" spans="1:1" ht="13">
      <c r="A811" s="50"/>
    </row>
    <row r="812" spans="1:1" ht="13">
      <c r="A812" s="50"/>
    </row>
    <row r="813" spans="1:1" ht="13">
      <c r="A813" s="50"/>
    </row>
    <row r="814" spans="1:1" ht="13">
      <c r="A814" s="50"/>
    </row>
    <row r="815" spans="1:1" ht="13">
      <c r="A815" s="50"/>
    </row>
    <row r="816" spans="1:1" ht="13">
      <c r="A816" s="50"/>
    </row>
    <row r="817" spans="1:1" ht="13">
      <c r="A817" s="50"/>
    </row>
    <row r="818" spans="1:1" ht="13">
      <c r="A818" s="50"/>
    </row>
    <row r="819" spans="1:1" ht="13">
      <c r="A819" s="50"/>
    </row>
    <row r="820" spans="1:1" ht="13">
      <c r="A820" s="50"/>
    </row>
    <row r="821" spans="1:1" ht="13">
      <c r="A821" s="50"/>
    </row>
    <row r="822" spans="1:1" ht="13">
      <c r="A822" s="50"/>
    </row>
    <row r="823" spans="1:1" ht="13">
      <c r="A823" s="50"/>
    </row>
    <row r="824" spans="1:1" ht="13">
      <c r="A824" s="50"/>
    </row>
    <row r="825" spans="1:1" ht="13">
      <c r="A825" s="50"/>
    </row>
    <row r="826" spans="1:1" ht="13">
      <c r="A826" s="50"/>
    </row>
    <row r="827" spans="1:1" ht="13">
      <c r="A827" s="50"/>
    </row>
    <row r="828" spans="1:1" ht="13">
      <c r="A828" s="50"/>
    </row>
    <row r="829" spans="1:1" ht="13">
      <c r="A829" s="50"/>
    </row>
    <row r="830" spans="1:1" ht="13">
      <c r="A830" s="50"/>
    </row>
    <row r="831" spans="1:1" ht="13">
      <c r="A831" s="50"/>
    </row>
    <row r="832" spans="1:1" ht="13">
      <c r="A832" s="50"/>
    </row>
    <row r="833" spans="1:1" ht="13">
      <c r="A833" s="50"/>
    </row>
    <row r="834" spans="1:1" ht="13">
      <c r="A834" s="50"/>
    </row>
    <row r="835" spans="1:1" ht="13">
      <c r="A835" s="50"/>
    </row>
    <row r="836" spans="1:1" ht="13">
      <c r="A836" s="50"/>
    </row>
    <row r="837" spans="1:1" ht="13">
      <c r="A837" s="50"/>
    </row>
    <row r="838" spans="1:1" ht="13">
      <c r="A838" s="50"/>
    </row>
    <row r="839" spans="1:1" ht="13">
      <c r="A839" s="50"/>
    </row>
    <row r="840" spans="1:1" ht="13">
      <c r="A840" s="50"/>
    </row>
    <row r="841" spans="1:1" ht="13">
      <c r="A841" s="50"/>
    </row>
    <row r="842" spans="1:1" ht="13">
      <c r="A842" s="50"/>
    </row>
    <row r="843" spans="1:1" ht="13">
      <c r="A843" s="50"/>
    </row>
    <row r="844" spans="1:1" ht="13">
      <c r="A844" s="50"/>
    </row>
    <row r="845" spans="1:1" ht="13">
      <c r="A845" s="50"/>
    </row>
    <row r="846" spans="1:1" ht="13">
      <c r="A846" s="50"/>
    </row>
    <row r="847" spans="1:1" ht="13">
      <c r="A847" s="50"/>
    </row>
    <row r="848" spans="1:1" ht="13">
      <c r="A848" s="50"/>
    </row>
    <row r="849" spans="1:1" ht="13">
      <c r="A849" s="50"/>
    </row>
    <row r="850" spans="1:1" ht="13">
      <c r="A850" s="50"/>
    </row>
    <row r="851" spans="1:1" ht="13">
      <c r="A851" s="50"/>
    </row>
    <row r="852" spans="1:1" ht="13">
      <c r="A852" s="50"/>
    </row>
    <row r="853" spans="1:1" ht="13">
      <c r="A853" s="50"/>
    </row>
    <row r="854" spans="1:1" ht="13">
      <c r="A854" s="50"/>
    </row>
    <row r="855" spans="1:1" ht="13">
      <c r="A855" s="50"/>
    </row>
    <row r="856" spans="1:1" ht="13">
      <c r="A856" s="50"/>
    </row>
    <row r="857" spans="1:1" ht="13">
      <c r="A857" s="50"/>
    </row>
    <row r="858" spans="1:1" ht="13">
      <c r="A858" s="50"/>
    </row>
    <row r="859" spans="1:1" ht="13">
      <c r="A859" s="50"/>
    </row>
    <row r="860" spans="1:1" ht="13">
      <c r="A860" s="50"/>
    </row>
    <row r="861" spans="1:1" ht="13">
      <c r="A861" s="50"/>
    </row>
    <row r="862" spans="1:1" ht="13">
      <c r="A862" s="50"/>
    </row>
    <row r="863" spans="1:1" ht="13">
      <c r="A863" s="50"/>
    </row>
    <row r="864" spans="1:1" ht="13">
      <c r="A864" s="50"/>
    </row>
    <row r="865" spans="1:1" ht="13">
      <c r="A865" s="50"/>
    </row>
    <row r="866" spans="1:1" ht="13">
      <c r="A866" s="50"/>
    </row>
    <row r="867" spans="1:1" ht="13">
      <c r="A867" s="50"/>
    </row>
    <row r="868" spans="1:1" ht="13">
      <c r="A868" s="50"/>
    </row>
    <row r="869" spans="1:1" ht="13">
      <c r="A869" s="50"/>
    </row>
    <row r="870" spans="1:1" ht="13">
      <c r="A870" s="50"/>
    </row>
    <row r="871" spans="1:1" ht="13">
      <c r="A871" s="50"/>
    </row>
    <row r="872" spans="1:1" ht="13">
      <c r="A872" s="50"/>
    </row>
    <row r="873" spans="1:1" ht="13">
      <c r="A873" s="50"/>
    </row>
    <row r="874" spans="1:1" ht="13">
      <c r="A874" s="50"/>
    </row>
    <row r="875" spans="1:1" ht="13">
      <c r="A875" s="50"/>
    </row>
    <row r="876" spans="1:1" ht="13">
      <c r="A876" s="50"/>
    </row>
    <row r="877" spans="1:1" ht="13">
      <c r="A877" s="50"/>
    </row>
    <row r="878" spans="1:1" ht="13">
      <c r="A878" s="50"/>
    </row>
    <row r="879" spans="1:1" ht="13">
      <c r="A879" s="50"/>
    </row>
    <row r="880" spans="1:1" ht="13">
      <c r="A880" s="50"/>
    </row>
    <row r="881" spans="1:1" ht="13">
      <c r="A881" s="50"/>
    </row>
    <row r="882" spans="1:1" ht="13">
      <c r="A882" s="50"/>
    </row>
    <row r="883" spans="1:1" ht="13">
      <c r="A883" s="50"/>
    </row>
    <row r="884" spans="1:1" ht="13">
      <c r="A884" s="50"/>
    </row>
    <row r="885" spans="1:1" ht="13">
      <c r="A885" s="50"/>
    </row>
    <row r="886" spans="1:1" ht="13">
      <c r="A886" s="50"/>
    </row>
    <row r="887" spans="1:1" ht="13">
      <c r="A887" s="50"/>
    </row>
    <row r="888" spans="1:1" ht="13">
      <c r="A888" s="50"/>
    </row>
    <row r="889" spans="1:1" ht="13">
      <c r="A889" s="50"/>
    </row>
    <row r="890" spans="1:1" ht="13">
      <c r="A890" s="50"/>
    </row>
    <row r="891" spans="1:1" ht="13">
      <c r="A891" s="50"/>
    </row>
    <row r="892" spans="1:1" ht="13">
      <c r="A892" s="50"/>
    </row>
    <row r="893" spans="1:1" ht="13">
      <c r="A893" s="50"/>
    </row>
    <row r="894" spans="1:1" ht="13">
      <c r="A894" s="50"/>
    </row>
    <row r="895" spans="1:1" ht="13">
      <c r="A895" s="50"/>
    </row>
    <row r="896" spans="1:1" ht="13">
      <c r="A896" s="50"/>
    </row>
    <row r="897" spans="1:1" ht="13">
      <c r="A897" s="50"/>
    </row>
    <row r="898" spans="1:1" ht="13">
      <c r="A898" s="50"/>
    </row>
    <row r="899" spans="1:1" ht="13">
      <c r="A899" s="50"/>
    </row>
    <row r="900" spans="1:1" ht="13">
      <c r="A900" s="50"/>
    </row>
    <row r="901" spans="1:1" ht="13">
      <c r="A901" s="50"/>
    </row>
    <row r="902" spans="1:1" ht="13">
      <c r="A902" s="50"/>
    </row>
    <row r="903" spans="1:1" ht="13">
      <c r="A903" s="50"/>
    </row>
    <row r="904" spans="1:1" ht="13">
      <c r="A904" s="50"/>
    </row>
    <row r="905" spans="1:1" ht="13">
      <c r="A905" s="50"/>
    </row>
    <row r="906" spans="1:1" ht="13">
      <c r="A906" s="50"/>
    </row>
    <row r="907" spans="1:1" ht="13">
      <c r="A907" s="50"/>
    </row>
    <row r="908" spans="1:1" ht="13">
      <c r="A908" s="50"/>
    </row>
    <row r="909" spans="1:1" ht="13">
      <c r="A909" s="50"/>
    </row>
    <row r="910" spans="1:1" ht="13">
      <c r="A910" s="50"/>
    </row>
    <row r="911" spans="1:1" ht="13">
      <c r="A911" s="50"/>
    </row>
    <row r="912" spans="1:1" ht="13">
      <c r="A912" s="50"/>
    </row>
    <row r="913" spans="1:1" ht="13">
      <c r="A913" s="50"/>
    </row>
    <row r="914" spans="1:1" ht="13">
      <c r="A914" s="50"/>
    </row>
    <row r="915" spans="1:1" ht="13">
      <c r="A915" s="50"/>
    </row>
    <row r="916" spans="1:1" ht="13">
      <c r="A916" s="50"/>
    </row>
    <row r="917" spans="1:1" ht="13">
      <c r="A917" s="50"/>
    </row>
    <row r="918" spans="1:1" ht="13">
      <c r="A918" s="50"/>
    </row>
    <row r="919" spans="1:1" ht="13">
      <c r="A919" s="50"/>
    </row>
    <row r="920" spans="1:1" ht="13">
      <c r="A920" s="50"/>
    </row>
    <row r="921" spans="1:1" ht="13">
      <c r="A921" s="50"/>
    </row>
    <row r="922" spans="1:1" ht="13">
      <c r="A922" s="50"/>
    </row>
    <row r="923" spans="1:1" ht="13">
      <c r="A923" s="50"/>
    </row>
    <row r="924" spans="1:1" ht="13">
      <c r="A924" s="50"/>
    </row>
    <row r="925" spans="1:1" ht="13">
      <c r="A925" s="50"/>
    </row>
    <row r="926" spans="1:1" ht="13">
      <c r="A926" s="50"/>
    </row>
    <row r="927" spans="1:1" ht="13">
      <c r="A927" s="50"/>
    </row>
    <row r="928" spans="1:1" ht="13">
      <c r="A928" s="50"/>
    </row>
    <row r="929" spans="1:1" ht="13">
      <c r="A929" s="50"/>
    </row>
    <row r="930" spans="1:1" ht="13">
      <c r="A930" s="50"/>
    </row>
    <row r="931" spans="1:1" ht="13">
      <c r="A931" s="50"/>
    </row>
    <row r="932" spans="1:1" ht="13">
      <c r="A932" s="50"/>
    </row>
    <row r="933" spans="1:1" ht="13">
      <c r="A933" s="50"/>
    </row>
    <row r="934" spans="1:1" ht="13">
      <c r="A934" s="50"/>
    </row>
    <row r="935" spans="1:1" ht="13">
      <c r="A935" s="50"/>
    </row>
    <row r="936" spans="1:1" ht="13">
      <c r="A936" s="50"/>
    </row>
    <row r="937" spans="1:1" ht="13">
      <c r="A937" s="50"/>
    </row>
    <row r="938" spans="1:1" ht="13">
      <c r="A938" s="50"/>
    </row>
    <row r="939" spans="1:1" ht="13">
      <c r="A939" s="50"/>
    </row>
    <row r="940" spans="1:1" ht="13">
      <c r="A940" s="50"/>
    </row>
    <row r="941" spans="1:1" ht="13">
      <c r="A941" s="50"/>
    </row>
    <row r="942" spans="1:1" ht="13">
      <c r="A942" s="50"/>
    </row>
    <row r="943" spans="1:1" ht="13">
      <c r="A943" s="50"/>
    </row>
    <row r="944" spans="1:1" ht="13">
      <c r="A944" s="50"/>
    </row>
    <row r="945" spans="1:1" ht="13">
      <c r="A945" s="50"/>
    </row>
    <row r="946" spans="1:1" ht="13">
      <c r="A946" s="50"/>
    </row>
    <row r="947" spans="1:1" ht="13">
      <c r="A947" s="50"/>
    </row>
    <row r="948" spans="1:1" ht="13">
      <c r="A948" s="50"/>
    </row>
    <row r="949" spans="1:1" ht="13">
      <c r="A949" s="50"/>
    </row>
    <row r="950" spans="1:1" ht="13">
      <c r="A950" s="50"/>
    </row>
    <row r="951" spans="1:1" ht="13">
      <c r="A951" s="50"/>
    </row>
    <row r="952" spans="1:1" ht="13">
      <c r="A952" s="50"/>
    </row>
    <row r="953" spans="1:1" ht="13">
      <c r="A953" s="50"/>
    </row>
    <row r="954" spans="1:1" ht="13">
      <c r="A954" s="50"/>
    </row>
    <row r="955" spans="1:1" ht="13">
      <c r="A955" s="50"/>
    </row>
    <row r="956" spans="1:1" ht="13">
      <c r="A956" s="50"/>
    </row>
    <row r="957" spans="1:1" ht="13">
      <c r="A957" s="50"/>
    </row>
    <row r="958" spans="1:1" ht="13">
      <c r="A958" s="50"/>
    </row>
    <row r="959" spans="1:1" ht="13">
      <c r="A959" s="50"/>
    </row>
    <row r="960" spans="1:1" ht="13">
      <c r="A960" s="50"/>
    </row>
    <row r="961" spans="1:1" ht="13">
      <c r="A961" s="50"/>
    </row>
    <row r="962" spans="1:1" ht="13">
      <c r="A962" s="50"/>
    </row>
    <row r="963" spans="1:1" ht="13">
      <c r="A963" s="50"/>
    </row>
    <row r="964" spans="1:1" ht="13">
      <c r="A964" s="50"/>
    </row>
    <row r="965" spans="1:1" ht="13">
      <c r="A965" s="50"/>
    </row>
    <row r="966" spans="1:1" ht="13">
      <c r="A966" s="50"/>
    </row>
    <row r="967" spans="1:1" ht="13">
      <c r="A967" s="50"/>
    </row>
    <row r="968" spans="1:1" ht="13">
      <c r="A968" s="50"/>
    </row>
    <row r="969" spans="1:1" ht="13">
      <c r="A969" s="50"/>
    </row>
    <row r="970" spans="1:1" ht="13">
      <c r="A970" s="50"/>
    </row>
    <row r="971" spans="1:1" ht="13">
      <c r="A971" s="50"/>
    </row>
    <row r="972" spans="1:1" ht="13">
      <c r="A972" s="50"/>
    </row>
    <row r="973" spans="1:1" ht="13">
      <c r="A973" s="50"/>
    </row>
    <row r="974" spans="1:1" ht="13">
      <c r="A974" s="50"/>
    </row>
    <row r="975" spans="1:1" ht="13">
      <c r="A975" s="50"/>
    </row>
    <row r="976" spans="1:1" ht="13">
      <c r="A976" s="50"/>
    </row>
    <row r="977" spans="1:1" ht="13">
      <c r="A977" s="50"/>
    </row>
    <row r="978" spans="1:1" ht="13">
      <c r="A978" s="50"/>
    </row>
    <row r="979" spans="1:1" ht="13">
      <c r="A979" s="50"/>
    </row>
    <row r="980" spans="1:1" ht="13">
      <c r="A980" s="50"/>
    </row>
    <row r="981" spans="1:1" ht="13">
      <c r="A981" s="50"/>
    </row>
    <row r="982" spans="1:1" ht="13">
      <c r="A982" s="50"/>
    </row>
    <row r="983" spans="1:1" ht="13">
      <c r="A983" s="50"/>
    </row>
    <row r="984" spans="1:1" ht="13">
      <c r="A984" s="50"/>
    </row>
    <row r="985" spans="1:1" ht="13">
      <c r="A985" s="50"/>
    </row>
    <row r="986" spans="1:1" ht="13">
      <c r="A986" s="50"/>
    </row>
    <row r="987" spans="1:1" ht="13">
      <c r="A987" s="50"/>
    </row>
    <row r="988" spans="1:1" ht="13">
      <c r="A988" s="50"/>
    </row>
    <row r="989" spans="1:1" ht="13">
      <c r="A989" s="50"/>
    </row>
    <row r="990" spans="1:1" ht="13">
      <c r="A990" s="50"/>
    </row>
    <row r="991" spans="1:1" ht="13">
      <c r="A991" s="50"/>
    </row>
    <row r="992" spans="1:1" ht="13">
      <c r="A992" s="50"/>
    </row>
    <row r="993" spans="1:1" ht="13">
      <c r="A993" s="50"/>
    </row>
    <row r="994" spans="1:1" ht="13">
      <c r="A994" s="50"/>
    </row>
    <row r="995" spans="1:1" ht="13">
      <c r="A995" s="50"/>
    </row>
    <row r="996" spans="1:1" ht="13">
      <c r="A996" s="50"/>
    </row>
    <row r="997" spans="1:1" ht="13">
      <c r="A997" s="50"/>
    </row>
    <row r="998" spans="1:1" ht="13">
      <c r="A998" s="50"/>
    </row>
    <row r="999" spans="1:1" ht="13">
      <c r="A999" s="50"/>
    </row>
    <row r="1000" spans="1:1" ht="13">
      <c r="A1000" s="50"/>
    </row>
    <row r="1001" spans="1:1" ht="13">
      <c r="A1001" s="50"/>
    </row>
    <row r="1002" spans="1:1" ht="13">
      <c r="A1002" s="50"/>
    </row>
    <row r="1003" spans="1:1" ht="13">
      <c r="A1003" s="50"/>
    </row>
    <row r="1004" spans="1:1" ht="13">
      <c r="A1004" s="50"/>
    </row>
    <row r="1005" spans="1:1" ht="13">
      <c r="A1005" s="50"/>
    </row>
    <row r="1006" spans="1:1" ht="13">
      <c r="A1006" s="50"/>
    </row>
    <row r="1007" spans="1:1" ht="13">
      <c r="A1007" s="50"/>
    </row>
    <row r="1008" spans="1:1" ht="13">
      <c r="A1008" s="50"/>
    </row>
    <row r="1009" spans="1:1" ht="13">
      <c r="A1009" s="50"/>
    </row>
    <row r="1010" spans="1:1" ht="13">
      <c r="A1010" s="50"/>
    </row>
    <row r="1011" spans="1:1" ht="13">
      <c r="A1011" s="50"/>
    </row>
    <row r="1012" spans="1:1" ht="13">
      <c r="A1012" s="50"/>
    </row>
    <row r="1013" spans="1:1" ht="13">
      <c r="A1013" s="50"/>
    </row>
    <row r="1014" spans="1:1" ht="13">
      <c r="A1014" s="50"/>
    </row>
    <row r="1015" spans="1:1" ht="13">
      <c r="A1015" s="50"/>
    </row>
    <row r="1016" spans="1:1" ht="13">
      <c r="A1016" s="50"/>
    </row>
    <row r="1017" spans="1:1" ht="13">
      <c r="A1017" s="50"/>
    </row>
    <row r="1018" spans="1:1" ht="13">
      <c r="A1018" s="50"/>
    </row>
    <row r="1019" spans="1:1" ht="13">
      <c r="A1019" s="50"/>
    </row>
    <row r="1020" spans="1:1" ht="13">
      <c r="A1020" s="50"/>
    </row>
    <row r="1021" spans="1:1" ht="13">
      <c r="A1021" s="50"/>
    </row>
    <row r="1022" spans="1:1" ht="13">
      <c r="A1022" s="50"/>
    </row>
    <row r="1023" spans="1:1" ht="13">
      <c r="A1023" s="50"/>
    </row>
    <row r="1024" spans="1:1" ht="13">
      <c r="A1024" s="50"/>
    </row>
    <row r="1025" spans="1:1" ht="13">
      <c r="A1025" s="50"/>
    </row>
    <row r="1026" spans="1:1" ht="13">
      <c r="A1026" s="50"/>
    </row>
    <row r="1027" spans="1:1" ht="13">
      <c r="A1027" s="50"/>
    </row>
    <row r="1028" spans="1:1" ht="13">
      <c r="A1028" s="50"/>
    </row>
    <row r="1029" spans="1:1" ht="13">
      <c r="A1029" s="50"/>
    </row>
    <row r="1030" spans="1:1" ht="13">
      <c r="A1030" s="50"/>
    </row>
    <row r="1031" spans="1:1" ht="13">
      <c r="A1031" s="50"/>
    </row>
    <row r="1032" spans="1:1" ht="13">
      <c r="A1032" s="50"/>
    </row>
    <row r="1033" spans="1:1" ht="13">
      <c r="A1033" s="50"/>
    </row>
    <row r="1034" spans="1:1" ht="13">
      <c r="A1034" s="50"/>
    </row>
    <row r="1035" spans="1:1" ht="13">
      <c r="A1035" s="50"/>
    </row>
    <row r="1036" spans="1:1" ht="13">
      <c r="A1036" s="50"/>
    </row>
    <row r="1037" spans="1:1" ht="13">
      <c r="A1037" s="50"/>
    </row>
    <row r="1038" spans="1:1" ht="13">
      <c r="A1038" s="50"/>
    </row>
    <row r="1039" spans="1:1" ht="13">
      <c r="A1039" s="50"/>
    </row>
    <row r="1040" spans="1:1" ht="13">
      <c r="A1040" s="50"/>
    </row>
    <row r="1041" spans="1:1" ht="13">
      <c r="A1041" s="50"/>
    </row>
    <row r="1042" spans="1:1" ht="13">
      <c r="A1042" s="50"/>
    </row>
    <row r="1043" spans="1:1" ht="13">
      <c r="A1043" s="50"/>
    </row>
    <row r="1044" spans="1:1" ht="13">
      <c r="A1044" s="50"/>
    </row>
    <row r="1045" spans="1:1" ht="13">
      <c r="A1045" s="50"/>
    </row>
    <row r="1046" spans="1:1" ht="13">
      <c r="A1046" s="50"/>
    </row>
    <row r="1047" spans="1:1" ht="13">
      <c r="A1047" s="50"/>
    </row>
    <row r="1048" spans="1:1" ht="13">
      <c r="A1048" s="50"/>
    </row>
    <row r="1049" spans="1:1" ht="13">
      <c r="A1049" s="50"/>
    </row>
    <row r="1050" spans="1:1" ht="13">
      <c r="A1050" s="50"/>
    </row>
    <row r="1051" spans="1:1" ht="13">
      <c r="A1051" s="50"/>
    </row>
    <row r="1052" spans="1:1" ht="13">
      <c r="A1052" s="50"/>
    </row>
    <row r="1053" spans="1:1" ht="13">
      <c r="A1053" s="50"/>
    </row>
    <row r="1054" spans="1:1" ht="13">
      <c r="A1054" s="50"/>
    </row>
    <row r="1055" spans="1:1" ht="13">
      <c r="A1055" s="50"/>
    </row>
    <row r="1056" spans="1:1" ht="13">
      <c r="A1056" s="50"/>
    </row>
    <row r="1057" spans="1:1" ht="13">
      <c r="A1057" s="50"/>
    </row>
    <row r="1058" spans="1:1" ht="13">
      <c r="A1058" s="50"/>
    </row>
    <row r="1059" spans="1:1" ht="13">
      <c r="A1059" s="50"/>
    </row>
    <row r="1060" spans="1:1" ht="13">
      <c r="A1060" s="50"/>
    </row>
    <row r="1061" spans="1:1" ht="13">
      <c r="A1061" s="50"/>
    </row>
    <row r="1062" spans="1:1" ht="13">
      <c r="A1062" s="50"/>
    </row>
    <row r="1063" spans="1:1" ht="13">
      <c r="A1063" s="50"/>
    </row>
    <row r="1064" spans="1:1" ht="13">
      <c r="A1064" s="50"/>
    </row>
    <row r="1065" spans="1:1" ht="13">
      <c r="A1065" s="50"/>
    </row>
    <row r="1066" spans="1:1" ht="13">
      <c r="A1066" s="50"/>
    </row>
    <row r="1067" spans="1:1" ht="13">
      <c r="A1067" s="50"/>
    </row>
    <row r="1068" spans="1:1" ht="13">
      <c r="A1068" s="50"/>
    </row>
    <row r="1069" spans="1:1" ht="13">
      <c r="A1069" s="50"/>
    </row>
    <row r="1070" spans="1:1" ht="13">
      <c r="A1070" s="50"/>
    </row>
    <row r="1071" spans="1:1" ht="13">
      <c r="A1071" s="50"/>
    </row>
    <row r="1072" spans="1:1" ht="13">
      <c r="A1072" s="50"/>
    </row>
    <row r="1073" spans="1:1" ht="13">
      <c r="A1073" s="50"/>
    </row>
    <row r="1074" spans="1:1" ht="13">
      <c r="A1074" s="50"/>
    </row>
    <row r="1075" spans="1:1" ht="13">
      <c r="A1075" s="50"/>
    </row>
    <row r="1076" spans="1:1" ht="13">
      <c r="A1076" s="50"/>
    </row>
    <row r="1077" spans="1:1" ht="13">
      <c r="A1077" s="50"/>
    </row>
    <row r="1078" spans="1:1" ht="13">
      <c r="A1078" s="50"/>
    </row>
    <row r="1079" spans="1:1" ht="13">
      <c r="A1079" s="50"/>
    </row>
    <row r="1080" spans="1:1" ht="13">
      <c r="A1080" s="50"/>
    </row>
    <row r="1081" spans="1:1" ht="13">
      <c r="A1081" s="50"/>
    </row>
    <row r="1082" spans="1:1" ht="13">
      <c r="A1082" s="50"/>
    </row>
    <row r="1083" spans="1:1" ht="13">
      <c r="A1083" s="50"/>
    </row>
    <row r="1084" spans="1:1" ht="13">
      <c r="A1084" s="50"/>
    </row>
    <row r="1085" spans="1:1" ht="13">
      <c r="A1085" s="50"/>
    </row>
    <row r="1086" spans="1:1" ht="13">
      <c r="A1086" s="50"/>
    </row>
    <row r="1087" spans="1:1" ht="13">
      <c r="A1087" s="50"/>
    </row>
    <row r="1088" spans="1:1" ht="13">
      <c r="A1088" s="50"/>
    </row>
    <row r="1089" spans="1:1" ht="13">
      <c r="A1089" s="50"/>
    </row>
    <row r="1090" spans="1:1" ht="13">
      <c r="A1090" s="50"/>
    </row>
    <row r="1091" spans="1:1" ht="13">
      <c r="A1091" s="50"/>
    </row>
    <row r="1092" spans="1:1" ht="13">
      <c r="A1092" s="50"/>
    </row>
    <row r="1093" spans="1:1" ht="13">
      <c r="A1093" s="50"/>
    </row>
    <row r="1094" spans="1:1" ht="13">
      <c r="A1094" s="50"/>
    </row>
    <row r="1095" spans="1:1" ht="13">
      <c r="A1095" s="50"/>
    </row>
    <row r="1096" spans="1:1" ht="13">
      <c r="A1096" s="50"/>
    </row>
    <row r="1097" spans="1:1" ht="13">
      <c r="A1097" s="50"/>
    </row>
    <row r="1098" spans="1:1" ht="13">
      <c r="A1098" s="50"/>
    </row>
    <row r="1099" spans="1:1" ht="13">
      <c r="A1099" s="50"/>
    </row>
    <row r="1100" spans="1:1" ht="13">
      <c r="A1100" s="50"/>
    </row>
    <row r="1101" spans="1:1" ht="13">
      <c r="A1101" s="50"/>
    </row>
    <row r="1102" spans="1:1" ht="13">
      <c r="A1102" s="50"/>
    </row>
    <row r="1103" spans="1:1" ht="13">
      <c r="A1103" s="50"/>
    </row>
    <row r="1104" spans="1:1" ht="13">
      <c r="A1104" s="50"/>
    </row>
    <row r="1105" spans="1:1" ht="13">
      <c r="A1105" s="50"/>
    </row>
    <row r="1106" spans="1:1" ht="13">
      <c r="A1106" s="50"/>
    </row>
    <row r="1107" spans="1:1" ht="13">
      <c r="A1107" s="50"/>
    </row>
    <row r="1108" spans="1:1" ht="13">
      <c r="A1108" s="50"/>
    </row>
    <row r="1109" spans="1:1" ht="13">
      <c r="A1109" s="50"/>
    </row>
    <row r="1110" spans="1:1" ht="13">
      <c r="A1110" s="50"/>
    </row>
    <row r="1111" spans="1:1" ht="13">
      <c r="A1111" s="50"/>
    </row>
    <row r="1112" spans="1:1" ht="13">
      <c r="A1112" s="50"/>
    </row>
    <row r="1113" spans="1:1" ht="13">
      <c r="A1113" s="50"/>
    </row>
    <row r="1114" spans="1:1" ht="13">
      <c r="A1114" s="50"/>
    </row>
    <row r="1115" spans="1:1" ht="13">
      <c r="A1115" s="50"/>
    </row>
    <row r="1116" spans="1:1" ht="13">
      <c r="A1116" s="50"/>
    </row>
    <row r="1117" spans="1:1" ht="13">
      <c r="A1117" s="50"/>
    </row>
    <row r="1118" spans="1:1" ht="13">
      <c r="A1118" s="50"/>
    </row>
    <row r="1119" spans="1:1" ht="13">
      <c r="A1119" s="50"/>
    </row>
    <row r="1120" spans="1:1" ht="13">
      <c r="A1120" s="50"/>
    </row>
    <row r="1121" spans="1:1" ht="13">
      <c r="A1121" s="50"/>
    </row>
    <row r="1122" spans="1:1" ht="13">
      <c r="A1122" s="50"/>
    </row>
    <row r="1123" spans="1:1" ht="13">
      <c r="A1123" s="50"/>
    </row>
    <row r="1124" spans="1:1" ht="13">
      <c r="A1124" s="50"/>
    </row>
    <row r="1125" spans="1:1" ht="13">
      <c r="A1125" s="50"/>
    </row>
    <row r="1126" spans="1:1" ht="13">
      <c r="A1126" s="50"/>
    </row>
    <row r="1127" spans="1:1" ht="13">
      <c r="A1127" s="50"/>
    </row>
    <row r="1128" spans="1:1" ht="13">
      <c r="A1128" s="50"/>
    </row>
    <row r="1129" spans="1:1" ht="13">
      <c r="A1129" s="50"/>
    </row>
    <row r="1130" spans="1:1" ht="13">
      <c r="A1130" s="50"/>
    </row>
    <row r="1131" spans="1:1" ht="13">
      <c r="A1131" s="50"/>
    </row>
    <row r="1132" spans="1:1" ht="13">
      <c r="A1132" s="50"/>
    </row>
    <row r="1133" spans="1:1" ht="13">
      <c r="A1133" s="50"/>
    </row>
    <row r="1134" spans="1:1" ht="13">
      <c r="A1134" s="50"/>
    </row>
    <row r="1135" spans="1:1" ht="13">
      <c r="A1135" s="50"/>
    </row>
    <row r="1136" spans="1:1" ht="13">
      <c r="A1136" s="50"/>
    </row>
    <row r="1137" spans="1:1" ht="13">
      <c r="A1137" s="50"/>
    </row>
    <row r="1138" spans="1:1" ht="13">
      <c r="A1138" s="50"/>
    </row>
    <row r="1139" spans="1:1" ht="13">
      <c r="A1139" s="50"/>
    </row>
    <row r="1140" spans="1:1" ht="13">
      <c r="A1140" s="50"/>
    </row>
    <row r="1141" spans="1:1" ht="13">
      <c r="A1141" s="50"/>
    </row>
    <row r="1142" spans="1:1" ht="13">
      <c r="A1142" s="50"/>
    </row>
    <row r="1143" spans="1:1" ht="13">
      <c r="A1143" s="50"/>
    </row>
    <row r="1144" spans="1:1" ht="13">
      <c r="A1144" s="50"/>
    </row>
    <row r="1145" spans="1:1" ht="13">
      <c r="A1145" s="50"/>
    </row>
    <row r="1146" spans="1:1" ht="13">
      <c r="A1146" s="50"/>
    </row>
    <row r="1147" spans="1:1" ht="13">
      <c r="A1147" s="50"/>
    </row>
    <row r="1148" spans="1:1" ht="13">
      <c r="A1148" s="50"/>
    </row>
    <row r="1149" spans="1:1" ht="13">
      <c r="A1149" s="50"/>
    </row>
    <row r="1150" spans="1:1" ht="13">
      <c r="A1150" s="50"/>
    </row>
    <row r="1151" spans="1:1" ht="13">
      <c r="A1151" s="50"/>
    </row>
    <row r="1152" spans="1:1" ht="13">
      <c r="A1152" s="50"/>
    </row>
    <row r="1153" spans="1:1" ht="13">
      <c r="A1153" s="50"/>
    </row>
    <row r="1154" spans="1:1" ht="13">
      <c r="A1154" s="50"/>
    </row>
    <row r="1155" spans="1:1" ht="13">
      <c r="A1155" s="50"/>
    </row>
    <row r="1156" spans="1:1" ht="13">
      <c r="A1156" s="50"/>
    </row>
    <row r="1157" spans="1:1" ht="13">
      <c r="A1157" s="50"/>
    </row>
    <row r="1158" spans="1:1" ht="13">
      <c r="A1158" s="50"/>
    </row>
    <row r="1159" spans="1:1" ht="13">
      <c r="A1159" s="50"/>
    </row>
    <row r="1160" spans="1:1" ht="13">
      <c r="A1160" s="50"/>
    </row>
    <row r="1161" spans="1:1" ht="13">
      <c r="A1161" s="50"/>
    </row>
    <row r="1162" spans="1:1" ht="13">
      <c r="A1162" s="50"/>
    </row>
    <row r="1163" spans="1:1" ht="13">
      <c r="A1163" s="50"/>
    </row>
    <row r="1164" spans="1:1" ht="13">
      <c r="A1164" s="50"/>
    </row>
    <row r="1165" spans="1:1" ht="13">
      <c r="A1165" s="50"/>
    </row>
    <row r="1166" spans="1:1" ht="13">
      <c r="A1166" s="50"/>
    </row>
    <row r="1167" spans="1:1" ht="13">
      <c r="A1167" s="50"/>
    </row>
    <row r="1168" spans="1:1" ht="13">
      <c r="A1168" s="50"/>
    </row>
    <row r="1169" spans="1:1" ht="13">
      <c r="A1169" s="50"/>
    </row>
    <row r="1170" spans="1:1" ht="13">
      <c r="A1170" s="50"/>
    </row>
    <row r="1171" spans="1:1" ht="13">
      <c r="A1171" s="50"/>
    </row>
    <row r="1172" spans="1:1" ht="13">
      <c r="A1172" s="50"/>
    </row>
    <row r="1173" spans="1:1" ht="13">
      <c r="A1173" s="50"/>
    </row>
    <row r="1174" spans="1:1" ht="13">
      <c r="A1174" s="50"/>
    </row>
    <row r="1175" spans="1:1" ht="13">
      <c r="A1175" s="50"/>
    </row>
    <row r="1176" spans="1:1" ht="13">
      <c r="A1176" s="50"/>
    </row>
    <row r="1177" spans="1:1" ht="13">
      <c r="A1177" s="50"/>
    </row>
    <row r="1178" spans="1:1" ht="13">
      <c r="A1178" s="50"/>
    </row>
    <row r="1179" spans="1:1" ht="13">
      <c r="A1179" s="50"/>
    </row>
    <row r="1180" spans="1:1" ht="13">
      <c r="A1180" s="50"/>
    </row>
    <row r="1181" spans="1:1" ht="13">
      <c r="A1181" s="50"/>
    </row>
    <row r="1182" spans="1:1" ht="13">
      <c r="A1182" s="50"/>
    </row>
    <row r="1183" spans="1:1" ht="13">
      <c r="A1183" s="50"/>
    </row>
    <row r="1184" spans="1:1" ht="13">
      <c r="A1184" s="50"/>
    </row>
    <row r="1185" spans="1:1" ht="13">
      <c r="A1185" s="50"/>
    </row>
    <row r="1186" spans="1:1" ht="13">
      <c r="A1186" s="50"/>
    </row>
    <row r="1187" spans="1:1" ht="13">
      <c r="A1187" s="50"/>
    </row>
    <row r="1188" spans="1:1" ht="13">
      <c r="A1188" s="50"/>
    </row>
    <row r="1189" spans="1:1" ht="13">
      <c r="A1189" s="50"/>
    </row>
    <row r="1190" spans="1:1" ht="13">
      <c r="A1190" s="50"/>
    </row>
    <row r="1191" spans="1:1" ht="13">
      <c r="A1191" s="50"/>
    </row>
    <row r="1192" spans="1:1" ht="13">
      <c r="A1192" s="50"/>
    </row>
    <row r="1193" spans="1:1" ht="13">
      <c r="A1193" s="50"/>
    </row>
    <row r="1194" spans="1:1" ht="13">
      <c r="A1194" s="50"/>
    </row>
    <row r="1195" spans="1:1" ht="13">
      <c r="A1195" s="50"/>
    </row>
    <row r="1196" spans="1:1" ht="13">
      <c r="A1196" s="50"/>
    </row>
    <row r="1197" spans="1:1" ht="13">
      <c r="A1197" s="50"/>
    </row>
    <row r="1198" spans="1:1" ht="13">
      <c r="A1198" s="50"/>
    </row>
    <row r="1199" spans="1:1" ht="13">
      <c r="A1199" s="50"/>
    </row>
    <row r="1200" spans="1:1" ht="13">
      <c r="A1200" s="50"/>
    </row>
    <row r="1201" spans="1:1" ht="13">
      <c r="A1201" s="50"/>
    </row>
    <row r="1202" spans="1:1" ht="13">
      <c r="A1202" s="50"/>
    </row>
    <row r="1203" spans="1:1" ht="13">
      <c r="A1203" s="50"/>
    </row>
    <row r="1204" spans="1:1" ht="13">
      <c r="A1204" s="50"/>
    </row>
    <row r="1205" spans="1:1" ht="13">
      <c r="A1205" s="50"/>
    </row>
    <row r="1206" spans="1:1" ht="13">
      <c r="A1206" s="50"/>
    </row>
    <row r="1207" spans="1:1" ht="13">
      <c r="A1207" s="50"/>
    </row>
    <row r="1208" spans="1:1" ht="13">
      <c r="A1208" s="50"/>
    </row>
    <row r="1209" spans="1:1" ht="13">
      <c r="A1209" s="50"/>
    </row>
    <row r="1210" spans="1:1" ht="13">
      <c r="A1210" s="50"/>
    </row>
    <row r="1211" spans="1:1" ht="13">
      <c r="A1211" s="50"/>
    </row>
    <row r="1212" spans="1:1" ht="13">
      <c r="A1212" s="50"/>
    </row>
    <row r="1213" spans="1:1" ht="13">
      <c r="A1213" s="50"/>
    </row>
    <row r="1214" spans="1:1" ht="13">
      <c r="A1214" s="50"/>
    </row>
    <row r="1215" spans="1:1" ht="13">
      <c r="A1215" s="50"/>
    </row>
    <row r="1216" spans="1:1" ht="13">
      <c r="A1216" s="50"/>
    </row>
    <row r="1217" spans="1:1" ht="13">
      <c r="A1217" s="50"/>
    </row>
    <row r="1218" spans="1:1" ht="13">
      <c r="A1218" s="50"/>
    </row>
    <row r="1219" spans="1:1" ht="13">
      <c r="A1219" s="50"/>
    </row>
    <row r="1220" spans="1:1" ht="13">
      <c r="A1220" s="50"/>
    </row>
    <row r="1221" spans="1:1" ht="13">
      <c r="A1221" s="50"/>
    </row>
    <row r="1222" spans="1:1" ht="13">
      <c r="A1222" s="50"/>
    </row>
    <row r="1223" spans="1:1" ht="13">
      <c r="A1223" s="50"/>
    </row>
    <row r="1224" spans="1:1" ht="13">
      <c r="A1224" s="50"/>
    </row>
    <row r="1225" spans="1:1" ht="13">
      <c r="A1225" s="50"/>
    </row>
    <row r="1226" spans="1:1" ht="13">
      <c r="A1226" s="50"/>
    </row>
    <row r="1227" spans="1:1" ht="13">
      <c r="A1227" s="50"/>
    </row>
    <row r="1228" spans="1:1" ht="13">
      <c r="A1228" s="50"/>
    </row>
    <row r="1229" spans="1:1" ht="13">
      <c r="A1229" s="50"/>
    </row>
    <row r="1230" spans="1:1" ht="13">
      <c r="A1230" s="50"/>
    </row>
    <row r="1231" spans="1:1" ht="13">
      <c r="A1231" s="50"/>
    </row>
    <row r="1232" spans="1:1" ht="13">
      <c r="A1232" s="50"/>
    </row>
    <row r="1233" spans="1:1" ht="13">
      <c r="A1233" s="50"/>
    </row>
    <row r="1234" spans="1:1" ht="13">
      <c r="A1234" s="50"/>
    </row>
    <row r="1235" spans="1:1" ht="13">
      <c r="A1235" s="50"/>
    </row>
    <row r="1236" spans="1:1" ht="13">
      <c r="A1236" s="50"/>
    </row>
    <row r="1237" spans="1:1" ht="13">
      <c r="A1237" s="50"/>
    </row>
    <row r="1238" spans="1:1" ht="13">
      <c r="A1238" s="50"/>
    </row>
    <row r="1239" spans="1:1" ht="13">
      <c r="A1239" s="50"/>
    </row>
    <row r="1240" spans="1:1" ht="13">
      <c r="A1240" s="50"/>
    </row>
    <row r="1241" spans="1:1" ht="13">
      <c r="A1241" s="50"/>
    </row>
    <row r="1242" spans="1:1" ht="13">
      <c r="A1242" s="50"/>
    </row>
    <row r="1243" spans="1:1" ht="13">
      <c r="A1243" s="50"/>
    </row>
    <row r="1244" spans="1:1" ht="13">
      <c r="A1244" s="50"/>
    </row>
    <row r="1245" spans="1:1" ht="13">
      <c r="A1245" s="50"/>
    </row>
    <row r="1246" spans="1:1" ht="13">
      <c r="A1246" s="50"/>
    </row>
    <row r="1247" spans="1:1" ht="13">
      <c r="A1247" s="50"/>
    </row>
    <row r="1248" spans="1:1" ht="13">
      <c r="A1248" s="50"/>
    </row>
    <row r="1249" spans="1:1" ht="13">
      <c r="A1249" s="50"/>
    </row>
    <row r="1250" spans="1:1" ht="13">
      <c r="A1250" s="50"/>
    </row>
    <row r="1251" spans="1:1" ht="13">
      <c r="A1251" s="50"/>
    </row>
    <row r="1252" spans="1:1" ht="13">
      <c r="A1252" s="50"/>
    </row>
    <row r="1253" spans="1:1" ht="13">
      <c r="A1253" s="50"/>
    </row>
    <row r="1254" spans="1:1" ht="13">
      <c r="A1254" s="50"/>
    </row>
    <row r="1255" spans="1:1" ht="13">
      <c r="A1255" s="50"/>
    </row>
    <row r="1256" spans="1:1" ht="13">
      <c r="A1256" s="50"/>
    </row>
    <row r="1257" spans="1:1" ht="13">
      <c r="A1257" s="50"/>
    </row>
    <row r="1258" spans="1:1" ht="13">
      <c r="A1258" s="50"/>
    </row>
    <row r="1259" spans="1:1" ht="13">
      <c r="A1259" s="50"/>
    </row>
    <row r="1260" spans="1:1" ht="13">
      <c r="A1260" s="50"/>
    </row>
    <row r="1261" spans="1:1" ht="13">
      <c r="A1261" s="50"/>
    </row>
    <row r="1262" spans="1:1" ht="13">
      <c r="A1262" s="50"/>
    </row>
    <row r="1263" spans="1:1" ht="13">
      <c r="A1263" s="50"/>
    </row>
    <row r="1264" spans="1:1" ht="13">
      <c r="A1264" s="50"/>
    </row>
    <row r="1265" spans="1:1" ht="13">
      <c r="A1265" s="50"/>
    </row>
    <row r="1266" spans="1:1" ht="13">
      <c r="A1266" s="50"/>
    </row>
    <row r="1267" spans="1:1" ht="13">
      <c r="A1267" s="50"/>
    </row>
    <row r="1268" spans="1:1" ht="13">
      <c r="A1268" s="50"/>
    </row>
    <row r="1269" spans="1:1" ht="13">
      <c r="A1269" s="50"/>
    </row>
    <row r="1270" spans="1:1" ht="13">
      <c r="A1270" s="50"/>
    </row>
    <row r="1271" spans="1:1" ht="13">
      <c r="A1271" s="50"/>
    </row>
    <row r="1272" spans="1:1" ht="13">
      <c r="A1272" s="50"/>
    </row>
    <row r="1273" spans="1:1" ht="13">
      <c r="A1273" s="50"/>
    </row>
    <row r="1274" spans="1:1" ht="13">
      <c r="A1274" s="50"/>
    </row>
    <row r="1275" spans="1:1" ht="13">
      <c r="A1275" s="50"/>
    </row>
    <row r="1276" spans="1:1" ht="13">
      <c r="A1276" s="50"/>
    </row>
    <row r="1277" spans="1:1" ht="13">
      <c r="A1277" s="50"/>
    </row>
    <row r="1278" spans="1:1" ht="13">
      <c r="A1278" s="50"/>
    </row>
    <row r="1279" spans="1:1" ht="13">
      <c r="A1279" s="50"/>
    </row>
    <row r="1280" spans="1:1" ht="13">
      <c r="A1280" s="50"/>
    </row>
    <row r="1281" spans="1:1" ht="13">
      <c r="A1281" s="50"/>
    </row>
    <row r="1282" spans="1:1" ht="13">
      <c r="A1282" s="50"/>
    </row>
    <row r="1283" spans="1:1" ht="13">
      <c r="A1283" s="50"/>
    </row>
    <row r="1284" spans="1:1" ht="13">
      <c r="A1284" s="50"/>
    </row>
    <row r="1285" spans="1:1" ht="13">
      <c r="A1285" s="50"/>
    </row>
    <row r="1286" spans="1:1" ht="13">
      <c r="A1286" s="50"/>
    </row>
    <row r="1287" spans="1:1" ht="13">
      <c r="A1287" s="50"/>
    </row>
    <row r="1288" spans="1:1" ht="13">
      <c r="A1288" s="50"/>
    </row>
    <row r="1289" spans="1:1" ht="13">
      <c r="A1289" s="50"/>
    </row>
    <row r="1290" spans="1:1" ht="13">
      <c r="A1290" s="50"/>
    </row>
    <row r="1291" spans="1:1" ht="13">
      <c r="A1291" s="50"/>
    </row>
    <row r="1292" spans="1:1" ht="13">
      <c r="A1292" s="50"/>
    </row>
    <row r="1293" spans="1:1" ht="13">
      <c r="A1293" s="50"/>
    </row>
    <row r="1294" spans="1:1" ht="13">
      <c r="A1294" s="50"/>
    </row>
    <row r="1295" spans="1:1" ht="13">
      <c r="A1295" s="50"/>
    </row>
    <row r="1296" spans="1:1" ht="13">
      <c r="A1296" s="50"/>
    </row>
    <row r="1297" spans="1:1" ht="13">
      <c r="A1297" s="50"/>
    </row>
    <row r="1298" spans="1:1" ht="13">
      <c r="A1298" s="50"/>
    </row>
    <row r="1299" spans="1:1" ht="13">
      <c r="A1299" s="50"/>
    </row>
    <row r="1300" spans="1:1" ht="13">
      <c r="A1300" s="50"/>
    </row>
    <row r="1301" spans="1:1" ht="13">
      <c r="A1301" s="50"/>
    </row>
    <row r="1302" spans="1:1" ht="13">
      <c r="A1302" s="50"/>
    </row>
    <row r="1303" spans="1:1" ht="13">
      <c r="A1303" s="50"/>
    </row>
    <row r="1304" spans="1:1" ht="13">
      <c r="A1304" s="50"/>
    </row>
    <row r="1305" spans="1:1" ht="13">
      <c r="A1305" s="50"/>
    </row>
    <row r="1306" spans="1:1" ht="13">
      <c r="A1306" s="50"/>
    </row>
    <row r="1307" spans="1:1" ht="13">
      <c r="A1307" s="50"/>
    </row>
    <row r="1308" spans="1:1" ht="13">
      <c r="A1308" s="50"/>
    </row>
    <row r="1309" spans="1:1" ht="13">
      <c r="A1309" s="50"/>
    </row>
    <row r="1310" spans="1:1" ht="13">
      <c r="A1310" s="50"/>
    </row>
    <row r="1311" spans="1:1" ht="13">
      <c r="A1311" s="50"/>
    </row>
    <row r="1312" spans="1:1" ht="13">
      <c r="A1312" s="50"/>
    </row>
    <row r="1313" spans="1:1" ht="13">
      <c r="A1313" s="50"/>
    </row>
    <row r="1314" spans="1:1" ht="13">
      <c r="A1314" s="50"/>
    </row>
    <row r="1315" spans="1:1" ht="13">
      <c r="A1315" s="50"/>
    </row>
    <row r="1316" spans="1:1" ht="13">
      <c r="A1316" s="50"/>
    </row>
    <row r="1317" spans="1:1" ht="13">
      <c r="A1317" s="50"/>
    </row>
    <row r="1318" spans="1:1" ht="13">
      <c r="A1318" s="50"/>
    </row>
    <row r="1319" spans="1:1" ht="13">
      <c r="A1319" s="50"/>
    </row>
    <row r="1320" spans="1:1" ht="13">
      <c r="A1320" s="50"/>
    </row>
    <row r="1321" spans="1:1" ht="13">
      <c r="A1321" s="50"/>
    </row>
    <row r="1322" spans="1:1" ht="13">
      <c r="A1322" s="50"/>
    </row>
    <row r="1323" spans="1:1" ht="13">
      <c r="A1323" s="50"/>
    </row>
    <row r="1324" spans="1:1" ht="13">
      <c r="A1324" s="50"/>
    </row>
    <row r="1325" spans="1:1" ht="13">
      <c r="A1325" s="50"/>
    </row>
    <row r="1326" spans="1:1" ht="13">
      <c r="A1326" s="50"/>
    </row>
    <row r="1327" spans="1:1" ht="13">
      <c r="A1327" s="50"/>
    </row>
    <row r="1328" spans="1:1" ht="13">
      <c r="A1328" s="50"/>
    </row>
    <row r="1329" spans="1:1" ht="13">
      <c r="A1329" s="50"/>
    </row>
    <row r="1330" spans="1:1" ht="13">
      <c r="A1330" s="50"/>
    </row>
    <row r="1331" spans="1:1" ht="13">
      <c r="A1331" s="50"/>
    </row>
    <row r="1332" spans="1:1" ht="13">
      <c r="A1332" s="50"/>
    </row>
    <row r="1333" spans="1:1" ht="13">
      <c r="A1333" s="50"/>
    </row>
    <row r="1334" spans="1:1" ht="13">
      <c r="A1334" s="50"/>
    </row>
    <row r="1335" spans="1:1" ht="13">
      <c r="A1335" s="50"/>
    </row>
    <row r="1336" spans="1:1" ht="13">
      <c r="A1336" s="50"/>
    </row>
    <row r="1337" spans="1:1" ht="13">
      <c r="A1337" s="50"/>
    </row>
    <row r="1338" spans="1:1" ht="13">
      <c r="A1338" s="50"/>
    </row>
    <row r="1339" spans="1:1" ht="13">
      <c r="A1339" s="50"/>
    </row>
    <row r="1340" spans="1:1" ht="13">
      <c r="A1340" s="50"/>
    </row>
    <row r="1341" spans="1:1" ht="13">
      <c r="A1341" s="50"/>
    </row>
    <row r="1342" spans="1:1" ht="13">
      <c r="A1342" s="50"/>
    </row>
    <row r="1343" spans="1:1" ht="13">
      <c r="A1343" s="50"/>
    </row>
    <row r="1344" spans="1:1" ht="13">
      <c r="A1344" s="50"/>
    </row>
    <row r="1345" spans="1:1" ht="13">
      <c r="A1345" s="50"/>
    </row>
    <row r="1346" spans="1:1" ht="13">
      <c r="A1346" s="50"/>
    </row>
    <row r="1347" spans="1:1" ht="13">
      <c r="A1347" s="50"/>
    </row>
    <row r="1348" spans="1:1" ht="13">
      <c r="A1348" s="50"/>
    </row>
    <row r="1349" spans="1:1" ht="13">
      <c r="A1349" s="50"/>
    </row>
    <row r="1350" spans="1:1" ht="13">
      <c r="A1350" s="50"/>
    </row>
    <row r="1351" spans="1:1" ht="13">
      <c r="A1351" s="50"/>
    </row>
    <row r="1352" spans="1:1" ht="13">
      <c r="A1352" s="50"/>
    </row>
    <row r="1353" spans="1:1" ht="13">
      <c r="A1353" s="50"/>
    </row>
    <row r="1354" spans="1:1" ht="13">
      <c r="A1354" s="50"/>
    </row>
    <row r="1355" spans="1:1" ht="13">
      <c r="A1355" s="50"/>
    </row>
    <row r="1356" spans="1:1" ht="13">
      <c r="A1356" s="50"/>
    </row>
    <row r="1357" spans="1:1" ht="13">
      <c r="A1357" s="50"/>
    </row>
    <row r="1358" spans="1:1" ht="13">
      <c r="A1358" s="50"/>
    </row>
    <row r="1359" spans="1:1" ht="13">
      <c r="A1359" s="50"/>
    </row>
    <row r="1360" spans="1:1" ht="13">
      <c r="A1360" s="50"/>
    </row>
    <row r="1361" spans="1:1" ht="13">
      <c r="A1361" s="50"/>
    </row>
    <row r="1362" spans="1:1" ht="13">
      <c r="A1362" s="50"/>
    </row>
    <row r="1363" spans="1:1" ht="13">
      <c r="A1363" s="50"/>
    </row>
    <row r="1364" spans="1:1" ht="13">
      <c r="A1364" s="50"/>
    </row>
    <row r="1365" spans="1:1" ht="13">
      <c r="A1365" s="50"/>
    </row>
    <row r="1366" spans="1:1" ht="13">
      <c r="A1366" s="50"/>
    </row>
    <row r="1367" spans="1:1" ht="13">
      <c r="A1367" s="50"/>
    </row>
    <row r="1368" spans="1:1" ht="13">
      <c r="A1368" s="50"/>
    </row>
    <row r="1369" spans="1:1" ht="13">
      <c r="A1369" s="50"/>
    </row>
    <row r="1370" spans="1:1" ht="13">
      <c r="A1370" s="50"/>
    </row>
    <row r="1371" spans="1:1" ht="13">
      <c r="A1371" s="50"/>
    </row>
    <row r="1372" spans="1:1" ht="13">
      <c r="A1372" s="50"/>
    </row>
    <row r="1373" spans="1:1" ht="13">
      <c r="A1373" s="50"/>
    </row>
    <row r="1374" spans="1:1" ht="13">
      <c r="A1374" s="50"/>
    </row>
    <row r="1375" spans="1:1" ht="13">
      <c r="A1375" s="50"/>
    </row>
    <row r="1376" spans="1:1" ht="13">
      <c r="A1376" s="50"/>
    </row>
    <row r="1377" spans="1:1" ht="13">
      <c r="A1377" s="50"/>
    </row>
    <row r="1378" spans="1:1" ht="13">
      <c r="A1378" s="50"/>
    </row>
    <row r="1379" spans="1:1" ht="13">
      <c r="A1379" s="50"/>
    </row>
    <row r="1380" spans="1:1" ht="13">
      <c r="A1380" s="50"/>
    </row>
    <row r="1381" spans="1:1" ht="13">
      <c r="A1381" s="50"/>
    </row>
    <row r="1382" spans="1:1" ht="13">
      <c r="A1382" s="50"/>
    </row>
    <row r="1383" spans="1:1" ht="13">
      <c r="A1383" s="50"/>
    </row>
    <row r="1384" spans="1:1" ht="13">
      <c r="A1384" s="50"/>
    </row>
    <row r="1385" spans="1:1" ht="13">
      <c r="A1385" s="50"/>
    </row>
    <row r="1386" spans="1:1" ht="13">
      <c r="A1386" s="50"/>
    </row>
    <row r="1387" spans="1:1" ht="13">
      <c r="A1387" s="50"/>
    </row>
    <row r="1388" spans="1:1" ht="13">
      <c r="A1388" s="50"/>
    </row>
    <row r="1389" spans="1:1" ht="13">
      <c r="A1389" s="50"/>
    </row>
    <row r="1390" spans="1:1" ht="13">
      <c r="A1390" s="50"/>
    </row>
    <row r="1391" spans="1:1" ht="13">
      <c r="A1391" s="50"/>
    </row>
    <row r="1392" spans="1:1" ht="13">
      <c r="A1392" s="50"/>
    </row>
    <row r="1393" spans="1:1" ht="13">
      <c r="A1393" s="50"/>
    </row>
    <row r="1394" spans="1:1" ht="13">
      <c r="A1394" s="50"/>
    </row>
    <row r="1395" spans="1:1" ht="13">
      <c r="A1395" s="50"/>
    </row>
    <row r="1396" spans="1:1" ht="13">
      <c r="A1396" s="50"/>
    </row>
    <row r="1397" spans="1:1" ht="13">
      <c r="A1397" s="50"/>
    </row>
    <row r="1398" spans="1:1" ht="13">
      <c r="A1398" s="50"/>
    </row>
    <row r="1399" spans="1:1" ht="13">
      <c r="A1399" s="50"/>
    </row>
    <row r="1400" spans="1:1" ht="13">
      <c r="A1400" s="50"/>
    </row>
    <row r="1401" spans="1:1" ht="13">
      <c r="A1401" s="50"/>
    </row>
    <row r="1402" spans="1:1" ht="13">
      <c r="A1402" s="50"/>
    </row>
    <row r="1403" spans="1:1" ht="13">
      <c r="A1403" s="50"/>
    </row>
    <row r="1404" spans="1:1" ht="13">
      <c r="A1404" s="50"/>
    </row>
    <row r="1405" spans="1:1" ht="13">
      <c r="A1405" s="50"/>
    </row>
    <row r="1406" spans="1:1" ht="13">
      <c r="A1406" s="50"/>
    </row>
    <row r="1407" spans="1:1" ht="13">
      <c r="A1407" s="50"/>
    </row>
    <row r="1408" spans="1:1" ht="13">
      <c r="A1408" s="50"/>
    </row>
    <row r="1409" spans="1:1" ht="13">
      <c r="A1409" s="50"/>
    </row>
    <row r="1410" spans="1:1" ht="13">
      <c r="A1410" s="50"/>
    </row>
    <row r="1411" spans="1:1" ht="13">
      <c r="A1411" s="50"/>
    </row>
    <row r="1412" spans="1:1" ht="13">
      <c r="A1412" s="50"/>
    </row>
    <row r="1413" spans="1:1" ht="13">
      <c r="A1413" s="50"/>
    </row>
    <row r="1414" spans="1:1" ht="13">
      <c r="A1414" s="50"/>
    </row>
    <row r="1415" spans="1:1" ht="13">
      <c r="A1415" s="50"/>
    </row>
    <row r="1416" spans="1:1" ht="13">
      <c r="A1416" s="50"/>
    </row>
    <row r="1417" spans="1:1" ht="13">
      <c r="A1417" s="50"/>
    </row>
    <row r="1418" spans="1:1" ht="13">
      <c r="A1418" s="50"/>
    </row>
    <row r="1419" spans="1:1" ht="13">
      <c r="A1419" s="50"/>
    </row>
    <row r="1420" spans="1:1" ht="13">
      <c r="A1420" s="50"/>
    </row>
    <row r="1421" spans="1:1" ht="13">
      <c r="A1421" s="50"/>
    </row>
    <row r="1422" spans="1:1" ht="13">
      <c r="A1422" s="50"/>
    </row>
    <row r="1423" spans="1:1" ht="13">
      <c r="A1423" s="50"/>
    </row>
    <row r="1424" spans="1:1" ht="13">
      <c r="A1424" s="50"/>
    </row>
    <row r="1425" spans="1:1" ht="13">
      <c r="A1425" s="50"/>
    </row>
    <row r="1426" spans="1:1" ht="13">
      <c r="A1426" s="50"/>
    </row>
    <row r="1427" spans="1:1" ht="13">
      <c r="A1427" s="50"/>
    </row>
    <row r="1428" spans="1:1" ht="13">
      <c r="A1428" s="50"/>
    </row>
    <row r="1429" spans="1:1" ht="13">
      <c r="A1429" s="50"/>
    </row>
    <row r="1430" spans="1:1" ht="13">
      <c r="A1430" s="50"/>
    </row>
    <row r="1431" spans="1:1" ht="13">
      <c r="A1431" s="50"/>
    </row>
    <row r="1432" spans="1:1" ht="13">
      <c r="A1432" s="50"/>
    </row>
    <row r="1433" spans="1:1" ht="13">
      <c r="A1433" s="50"/>
    </row>
    <row r="1434" spans="1:1" ht="13">
      <c r="A1434" s="50"/>
    </row>
    <row r="1435" spans="1:1" ht="13">
      <c r="A1435" s="50"/>
    </row>
    <row r="1436" spans="1:1" ht="13">
      <c r="A1436" s="50"/>
    </row>
    <row r="1437" spans="1:1" ht="13">
      <c r="A1437" s="50"/>
    </row>
    <row r="1438" spans="1:1" ht="13">
      <c r="A1438" s="50"/>
    </row>
    <row r="1439" spans="1:1" ht="13">
      <c r="A1439" s="50"/>
    </row>
    <row r="1440" spans="1:1" ht="13">
      <c r="A1440" s="50"/>
    </row>
    <row r="1441" spans="1:1" ht="13">
      <c r="A1441" s="50"/>
    </row>
    <row r="1442" spans="1:1" ht="13">
      <c r="A1442" s="50"/>
    </row>
    <row r="1443" spans="1:1" ht="13">
      <c r="A1443" s="50"/>
    </row>
    <row r="1444" spans="1:1" ht="13">
      <c r="A1444" s="50"/>
    </row>
    <row r="1445" spans="1:1" ht="13">
      <c r="A1445" s="50"/>
    </row>
    <row r="1446" spans="1:1" ht="13">
      <c r="A1446" s="50"/>
    </row>
    <row r="1447" spans="1:1" ht="13">
      <c r="A1447" s="50"/>
    </row>
    <row r="1448" spans="1:1" ht="13">
      <c r="A1448" s="50"/>
    </row>
    <row r="1449" spans="1:1" ht="13">
      <c r="A1449" s="50"/>
    </row>
    <row r="1450" spans="1:1" ht="13">
      <c r="A1450" s="50"/>
    </row>
    <row r="1451" spans="1:1" ht="13">
      <c r="A1451" s="50"/>
    </row>
    <row r="1452" spans="1:1" ht="13">
      <c r="A1452" s="50"/>
    </row>
    <row r="1453" spans="1:1" ht="13">
      <c r="A1453" s="50"/>
    </row>
    <row r="1454" spans="1:1" ht="13">
      <c r="A1454" s="50"/>
    </row>
    <row r="1455" spans="1:1" ht="13">
      <c r="A1455" s="50"/>
    </row>
    <row r="1456" spans="1:1" ht="13">
      <c r="A1456" s="50"/>
    </row>
    <row r="1457" spans="1:1" ht="13">
      <c r="A1457" s="50"/>
    </row>
    <row r="1458" spans="1:1" ht="13">
      <c r="A1458" s="50"/>
    </row>
    <row r="1459" spans="1:1" ht="13">
      <c r="A1459" s="50"/>
    </row>
    <row r="1460" spans="1:1" ht="13">
      <c r="A1460" s="50"/>
    </row>
    <row r="1461" spans="1:1" ht="13">
      <c r="A1461" s="50"/>
    </row>
    <row r="1462" spans="1:1" ht="13">
      <c r="A1462" s="50"/>
    </row>
    <row r="1463" spans="1:1" ht="13">
      <c r="A1463" s="50"/>
    </row>
    <row r="1464" spans="1:1" ht="13">
      <c r="A1464" s="50"/>
    </row>
    <row r="1465" spans="1:1" ht="13">
      <c r="A1465" s="50"/>
    </row>
    <row r="1466" spans="1:1" ht="13">
      <c r="A1466" s="50"/>
    </row>
    <row r="1467" spans="1:1" ht="13">
      <c r="A1467" s="50"/>
    </row>
    <row r="1468" spans="1:1" ht="13">
      <c r="A1468" s="50"/>
    </row>
    <row r="1469" spans="1:1" ht="13">
      <c r="A1469" s="50"/>
    </row>
    <row r="1470" spans="1:1" ht="13">
      <c r="A1470" s="50"/>
    </row>
    <row r="1471" spans="1:1" ht="13">
      <c r="A1471" s="50"/>
    </row>
    <row r="1472" spans="1:1" ht="13">
      <c r="A1472" s="50"/>
    </row>
    <row r="1473" spans="1:1" ht="13">
      <c r="A1473" s="50"/>
    </row>
    <row r="1474" spans="1:1" ht="13">
      <c r="A1474" s="50"/>
    </row>
    <row r="1475" spans="1:1" ht="13">
      <c r="A1475" s="50"/>
    </row>
    <row r="1476" spans="1:1" ht="13">
      <c r="A1476" s="50"/>
    </row>
    <row r="1477" spans="1:1" ht="13">
      <c r="A1477" s="50"/>
    </row>
    <row r="1478" spans="1:1" ht="13">
      <c r="A1478" s="50"/>
    </row>
    <row r="1479" spans="1:1" ht="13">
      <c r="A1479" s="50"/>
    </row>
    <row r="1480" spans="1:1" ht="13">
      <c r="A1480" s="50"/>
    </row>
    <row r="1481" spans="1:1" ht="13">
      <c r="A1481" s="50"/>
    </row>
    <row r="1482" spans="1:1" ht="13">
      <c r="A1482" s="50"/>
    </row>
    <row r="1483" spans="1:1" ht="13">
      <c r="A1483" s="50"/>
    </row>
    <row r="1484" spans="1:1" ht="13">
      <c r="A1484" s="50"/>
    </row>
    <row r="1485" spans="1:1" ht="13">
      <c r="A1485" s="50"/>
    </row>
    <row r="1486" spans="1:1" ht="13">
      <c r="A1486" s="50"/>
    </row>
    <row r="1487" spans="1:1" ht="13">
      <c r="A1487" s="50"/>
    </row>
    <row r="1488" spans="1:1" ht="13">
      <c r="A1488" s="50"/>
    </row>
    <row r="1489" spans="1:1" ht="13">
      <c r="A1489" s="50"/>
    </row>
    <row r="1490" spans="1:1" ht="13">
      <c r="A1490" s="50"/>
    </row>
    <row r="1491" spans="1:1" ht="13">
      <c r="A1491" s="50"/>
    </row>
    <row r="1492" spans="1:1" ht="13">
      <c r="A1492" s="50"/>
    </row>
    <row r="1493" spans="1:1" ht="13">
      <c r="A1493" s="50"/>
    </row>
    <row r="1494" spans="1:1" ht="13">
      <c r="A1494" s="50"/>
    </row>
    <row r="1495" spans="1:1" ht="13">
      <c r="A1495" s="50"/>
    </row>
    <row r="1496" spans="1:1" ht="13">
      <c r="A1496" s="50"/>
    </row>
    <row r="1497" spans="1:1" ht="13">
      <c r="A1497" s="50"/>
    </row>
    <row r="1498" spans="1:1" ht="13">
      <c r="A1498" s="50"/>
    </row>
    <row r="1499" spans="1:1" ht="13">
      <c r="A1499" s="50"/>
    </row>
    <row r="1500" spans="1:1" ht="13">
      <c r="A1500" s="50"/>
    </row>
    <row r="1501" spans="1:1" ht="13">
      <c r="A1501" s="50"/>
    </row>
    <row r="1502" spans="1:1" ht="13">
      <c r="A1502" s="50"/>
    </row>
    <row r="1503" spans="1:1" ht="13">
      <c r="A1503" s="50"/>
    </row>
    <row r="1504" spans="1:1" ht="13">
      <c r="A1504" s="50"/>
    </row>
    <row r="1505" spans="1:1" ht="13">
      <c r="A1505" s="50"/>
    </row>
    <row r="1506" spans="1:1" ht="13">
      <c r="A1506" s="50"/>
    </row>
    <row r="1507" spans="1:1" ht="13">
      <c r="A1507" s="50"/>
    </row>
    <row r="1508" spans="1:1" ht="13">
      <c r="A1508" s="50"/>
    </row>
    <row r="1509" spans="1:1" ht="13">
      <c r="A1509" s="50"/>
    </row>
    <row r="1510" spans="1:1" ht="13">
      <c r="A1510" s="50"/>
    </row>
    <row r="1511" spans="1:1" ht="13">
      <c r="A1511" s="50"/>
    </row>
    <row r="1512" spans="1:1" ht="13">
      <c r="A1512" s="50"/>
    </row>
    <row r="1513" spans="1:1" ht="13">
      <c r="A1513" s="50"/>
    </row>
    <row r="1514" spans="1:1" ht="13">
      <c r="A1514" s="50"/>
    </row>
    <row r="1515" spans="1:1" ht="13">
      <c r="A1515" s="50"/>
    </row>
    <row r="1516" spans="1:1" ht="13">
      <c r="A1516" s="50"/>
    </row>
    <row r="1517" spans="1:1" ht="13">
      <c r="A1517" s="50"/>
    </row>
    <row r="1518" spans="1:1" ht="13">
      <c r="A1518" s="50"/>
    </row>
    <row r="1519" spans="1:1" ht="13">
      <c r="A1519" s="50"/>
    </row>
    <row r="1520" spans="1:1" ht="13">
      <c r="A1520" s="50"/>
    </row>
    <row r="1521" spans="1:1" ht="13">
      <c r="A1521" s="50"/>
    </row>
    <row r="1522" spans="1:1" ht="13">
      <c r="A1522" s="50"/>
    </row>
    <row r="1523" spans="1:1" ht="13">
      <c r="A1523" s="50"/>
    </row>
    <row r="1524" spans="1:1" ht="13">
      <c r="A1524" s="50"/>
    </row>
    <row r="1525" spans="1:1" ht="13">
      <c r="A1525" s="50"/>
    </row>
    <row r="1526" spans="1:1" ht="13">
      <c r="A1526" s="50"/>
    </row>
    <row r="1527" spans="1:1" ht="13">
      <c r="A1527" s="50"/>
    </row>
    <row r="1528" spans="1:1" ht="13">
      <c r="A1528" s="50"/>
    </row>
    <row r="1529" spans="1:1" ht="13">
      <c r="A1529" s="50"/>
    </row>
    <row r="1530" spans="1:1" ht="13">
      <c r="A1530" s="50"/>
    </row>
    <row r="1531" spans="1:1" ht="13">
      <c r="A1531" s="50"/>
    </row>
    <row r="1532" spans="1:1" ht="13">
      <c r="A1532" s="50"/>
    </row>
    <row r="1533" spans="1:1" ht="13">
      <c r="A1533" s="50"/>
    </row>
    <row r="1534" spans="1:1" ht="13">
      <c r="A1534" s="50"/>
    </row>
    <row r="1535" spans="1:1" ht="13">
      <c r="A1535" s="50"/>
    </row>
    <row r="1536" spans="1:1" ht="13">
      <c r="A1536" s="50"/>
    </row>
    <row r="1537" spans="1:1" ht="13">
      <c r="A1537" s="50"/>
    </row>
    <row r="1538" spans="1:1" ht="13">
      <c r="A1538" s="50"/>
    </row>
    <row r="1539" spans="1:1" ht="13">
      <c r="A1539" s="50"/>
    </row>
    <row r="1540" spans="1:1" ht="13">
      <c r="A1540" s="50"/>
    </row>
    <row r="1541" spans="1:1" ht="13">
      <c r="A1541" s="50"/>
    </row>
    <row r="1542" spans="1:1" ht="13">
      <c r="A1542" s="50"/>
    </row>
    <row r="1543" spans="1:1" ht="13">
      <c r="A1543" s="50"/>
    </row>
    <row r="1544" spans="1:1" ht="13">
      <c r="A1544" s="50"/>
    </row>
    <row r="1545" spans="1:1" ht="13">
      <c r="A1545" s="50"/>
    </row>
    <row r="1546" spans="1:1" ht="13">
      <c r="A1546" s="50"/>
    </row>
    <row r="1547" spans="1:1" ht="13">
      <c r="A1547" s="50"/>
    </row>
    <row r="1548" spans="1:1" ht="13">
      <c r="A1548" s="50"/>
    </row>
    <row r="1549" spans="1:1" ht="13">
      <c r="A1549" s="50"/>
    </row>
    <row r="1550" spans="1:1" ht="13">
      <c r="A1550" s="50"/>
    </row>
    <row r="1551" spans="1:1" ht="13">
      <c r="A1551" s="50"/>
    </row>
    <row r="1552" spans="1:1" ht="13">
      <c r="A1552" s="50"/>
    </row>
    <row r="1553" spans="1:1" ht="13">
      <c r="A1553" s="50"/>
    </row>
    <row r="1554" spans="1:1" ht="13">
      <c r="A1554" s="50"/>
    </row>
    <row r="1555" spans="1:1" ht="13">
      <c r="A1555" s="50"/>
    </row>
    <row r="1556" spans="1:1" ht="13">
      <c r="A1556" s="50"/>
    </row>
    <row r="1557" spans="1:1" ht="13">
      <c r="A1557" s="50"/>
    </row>
    <row r="1558" spans="1:1" ht="13">
      <c r="A1558" s="50"/>
    </row>
    <row r="1559" spans="1:1" ht="13">
      <c r="A1559" s="50"/>
    </row>
    <row r="1560" spans="1:1" ht="13">
      <c r="A1560" s="50"/>
    </row>
    <row r="1561" spans="1:1" ht="13">
      <c r="A1561" s="50"/>
    </row>
    <row r="1562" spans="1:1" ht="13">
      <c r="A1562" s="50"/>
    </row>
    <row r="1563" spans="1:1" ht="13">
      <c r="A1563" s="50"/>
    </row>
    <row r="1564" spans="1:1" ht="13">
      <c r="A1564" s="50"/>
    </row>
    <row r="1565" spans="1:1" ht="13">
      <c r="A1565" s="50"/>
    </row>
    <row r="1566" spans="1:1" ht="13">
      <c r="A1566" s="50"/>
    </row>
    <row r="1567" spans="1:1" ht="13">
      <c r="A1567" s="50"/>
    </row>
    <row r="1568" spans="1:1" ht="13">
      <c r="A1568" s="50"/>
    </row>
    <row r="1569" spans="1:1" ht="13">
      <c r="A1569" s="50"/>
    </row>
    <row r="1570" spans="1:1" ht="13">
      <c r="A1570" s="50"/>
    </row>
    <row r="1571" spans="1:1" ht="13">
      <c r="A1571" s="50"/>
    </row>
    <row r="1572" spans="1:1" ht="13">
      <c r="A1572" s="50"/>
    </row>
    <row r="1573" spans="1:1" ht="13">
      <c r="A1573" s="50"/>
    </row>
    <row r="1574" spans="1:1" ht="13">
      <c r="A1574" s="50"/>
    </row>
    <row r="1575" spans="1:1" ht="13">
      <c r="A1575" s="50"/>
    </row>
    <row r="1576" spans="1:1" ht="13">
      <c r="A1576" s="50"/>
    </row>
    <row r="1577" spans="1:1" ht="13">
      <c r="A1577" s="50"/>
    </row>
    <row r="1578" spans="1:1" ht="13">
      <c r="A1578" s="50"/>
    </row>
    <row r="1579" spans="1:1" ht="13">
      <c r="A1579" s="50"/>
    </row>
    <row r="1580" spans="1:1" ht="13">
      <c r="A1580" s="50"/>
    </row>
    <row r="1581" spans="1:1" ht="13">
      <c r="A1581" s="50"/>
    </row>
    <row r="1582" spans="1:1" ht="13">
      <c r="A1582" s="50"/>
    </row>
    <row r="1583" spans="1:1" ht="13">
      <c r="A1583" s="50"/>
    </row>
    <row r="1584" spans="1:1" ht="13">
      <c r="A1584" s="50"/>
    </row>
    <row r="1585" spans="1:1" ht="13">
      <c r="A1585" s="50"/>
    </row>
    <row r="1586" spans="1:1" ht="13">
      <c r="A1586" s="50"/>
    </row>
    <row r="1587" spans="1:1" ht="13">
      <c r="A1587" s="50"/>
    </row>
    <row r="1588" spans="1:1" ht="13">
      <c r="A1588" s="50"/>
    </row>
    <row r="1589" spans="1:1" ht="13">
      <c r="A1589" s="50"/>
    </row>
    <row r="1590" spans="1:1" ht="13">
      <c r="A1590" s="50"/>
    </row>
    <row r="1591" spans="1:1" ht="13">
      <c r="A1591" s="50"/>
    </row>
    <row r="1592" spans="1:1" ht="13">
      <c r="A1592" s="50"/>
    </row>
    <row r="1593" spans="1:1" ht="13">
      <c r="A1593" s="50"/>
    </row>
    <row r="1594" spans="1:1" ht="13">
      <c r="A1594" s="50"/>
    </row>
    <row r="1595" spans="1:1" ht="13">
      <c r="A1595" s="50"/>
    </row>
    <row r="1596" spans="1:1" ht="13">
      <c r="A1596" s="50"/>
    </row>
    <row r="1597" spans="1:1" ht="13">
      <c r="A1597" s="50"/>
    </row>
    <row r="1598" spans="1:1" ht="13">
      <c r="A1598" s="50"/>
    </row>
    <row r="1599" spans="1:1" ht="13">
      <c r="A1599" s="50"/>
    </row>
    <row r="1600" spans="1:1" ht="13">
      <c r="A1600" s="50"/>
    </row>
    <row r="1601" spans="1:1" ht="13">
      <c r="A1601" s="50"/>
    </row>
    <row r="1602" spans="1:1" ht="13">
      <c r="A1602" s="50"/>
    </row>
    <row r="1603" spans="1:1" ht="13">
      <c r="A1603" s="50"/>
    </row>
    <row r="1604" spans="1:1" ht="13">
      <c r="A1604" s="50"/>
    </row>
    <row r="1605" spans="1:1" ht="13">
      <c r="A1605" s="50"/>
    </row>
    <row r="1606" spans="1:1" ht="13">
      <c r="A1606" s="50"/>
    </row>
    <row r="1607" spans="1:1" ht="13">
      <c r="A1607" s="50"/>
    </row>
    <row r="1608" spans="1:1" ht="13">
      <c r="A1608" s="50"/>
    </row>
    <row r="1609" spans="1:1" ht="13">
      <c r="A1609" s="50"/>
    </row>
    <row r="1610" spans="1:1" ht="13">
      <c r="A1610" s="50"/>
    </row>
    <row r="1611" spans="1:1" ht="13">
      <c r="A1611" s="50"/>
    </row>
    <row r="1612" spans="1:1" ht="13">
      <c r="A1612" s="50"/>
    </row>
    <row r="1613" spans="1:1" ht="13">
      <c r="A1613" s="50"/>
    </row>
    <row r="1614" spans="1:1" ht="13">
      <c r="A1614" s="50"/>
    </row>
    <row r="1615" spans="1:1" ht="13">
      <c r="A1615" s="50"/>
    </row>
    <row r="1616" spans="1:1" ht="13">
      <c r="A1616" s="50"/>
    </row>
    <row r="1617" spans="1:1" ht="13">
      <c r="A1617" s="50"/>
    </row>
    <row r="1618" spans="1:1" ht="13">
      <c r="A1618" s="50"/>
    </row>
    <row r="1619" spans="1:1" ht="13">
      <c r="A1619" s="50"/>
    </row>
    <row r="1620" spans="1:1" ht="13">
      <c r="A1620" s="50"/>
    </row>
    <row r="1621" spans="1:1" ht="13">
      <c r="A1621" s="50"/>
    </row>
    <row r="1622" spans="1:1" ht="13">
      <c r="A1622" s="50"/>
    </row>
    <row r="1623" spans="1:1" ht="13">
      <c r="A1623" s="50"/>
    </row>
    <row r="1624" spans="1:1" ht="13">
      <c r="A1624" s="50"/>
    </row>
    <row r="1625" spans="1:1" ht="13">
      <c r="A1625" s="50"/>
    </row>
    <row r="1626" spans="1:1" ht="13">
      <c r="A1626" s="50"/>
    </row>
    <row r="1627" spans="1:1" ht="13">
      <c r="A1627" s="50"/>
    </row>
    <row r="1628" spans="1:1" ht="13">
      <c r="A1628" s="50"/>
    </row>
    <row r="1629" spans="1:1" ht="13">
      <c r="A1629" s="50"/>
    </row>
    <row r="1630" spans="1:1" ht="13">
      <c r="A1630" s="50"/>
    </row>
    <row r="1631" spans="1:1" ht="13">
      <c r="A1631" s="50"/>
    </row>
    <row r="1632" spans="1:1" ht="13">
      <c r="A1632" s="50"/>
    </row>
    <row r="1633" spans="1:1" ht="13">
      <c r="A1633" s="50"/>
    </row>
    <row r="1634" spans="1:1" ht="13">
      <c r="A1634" s="50"/>
    </row>
    <row r="1635" spans="1:1" ht="13">
      <c r="A1635" s="50"/>
    </row>
    <row r="1636" spans="1:1" ht="13">
      <c r="A1636" s="50"/>
    </row>
    <row r="1637" spans="1:1" ht="13">
      <c r="A1637" s="50"/>
    </row>
    <row r="1638" spans="1:1" ht="13">
      <c r="A1638" s="50"/>
    </row>
    <row r="1639" spans="1:1" ht="13">
      <c r="A1639" s="50"/>
    </row>
    <row r="1640" spans="1:1" ht="13">
      <c r="A1640" s="50"/>
    </row>
    <row r="1641" spans="1:1" ht="13">
      <c r="A1641" s="50"/>
    </row>
    <row r="1642" spans="1:1" ht="13">
      <c r="A1642" s="50"/>
    </row>
    <row r="1643" spans="1:1" ht="13">
      <c r="A1643" s="50"/>
    </row>
    <row r="1644" spans="1:1" ht="13">
      <c r="A1644" s="50"/>
    </row>
    <row r="1645" spans="1:1" ht="13">
      <c r="A1645" s="50"/>
    </row>
    <row r="1646" spans="1:1" ht="13">
      <c r="A1646" s="50"/>
    </row>
    <row r="1647" spans="1:1" ht="13">
      <c r="A1647" s="50"/>
    </row>
    <row r="1648" spans="1:1" ht="13">
      <c r="A1648" s="50"/>
    </row>
    <row r="1649" spans="1:1" ht="13">
      <c r="A1649" s="50"/>
    </row>
    <row r="1650" spans="1:1" ht="13">
      <c r="A1650" s="50"/>
    </row>
    <row r="1651" spans="1:1" ht="13">
      <c r="A1651" s="50"/>
    </row>
    <row r="1652" spans="1:1" ht="13">
      <c r="A1652" s="50"/>
    </row>
    <row r="1653" spans="1:1" ht="13">
      <c r="A1653" s="50"/>
    </row>
    <row r="1654" spans="1:1" ht="13">
      <c r="A1654" s="50"/>
    </row>
    <row r="1655" spans="1:1" ht="13">
      <c r="A1655" s="50"/>
    </row>
    <row r="1656" spans="1:1" ht="13">
      <c r="A1656" s="50"/>
    </row>
    <row r="1657" spans="1:1" ht="13">
      <c r="A1657" s="50"/>
    </row>
    <row r="1658" spans="1:1" ht="13">
      <c r="A1658" s="50"/>
    </row>
    <row r="1659" spans="1:1" ht="13">
      <c r="A1659" s="50"/>
    </row>
    <row r="1660" spans="1:1" ht="13">
      <c r="A1660" s="50"/>
    </row>
    <row r="1661" spans="1:1" ht="13">
      <c r="A1661" s="50"/>
    </row>
    <row r="1662" spans="1:1" ht="13">
      <c r="A1662" s="50"/>
    </row>
    <row r="1663" spans="1:1" ht="13">
      <c r="A1663" s="50"/>
    </row>
    <row r="1664" spans="1:1" ht="13">
      <c r="A1664" s="50"/>
    </row>
    <row r="1665" spans="1:1" ht="13">
      <c r="A1665" s="50"/>
    </row>
    <row r="1666" spans="1:1" ht="13">
      <c r="A1666" s="50"/>
    </row>
    <row r="1667" spans="1:1" ht="13">
      <c r="A1667" s="50"/>
    </row>
    <row r="1668" spans="1:1" ht="13">
      <c r="A1668" s="50"/>
    </row>
    <row r="1669" spans="1:1" ht="13">
      <c r="A1669" s="50"/>
    </row>
    <row r="1670" spans="1:1" ht="13">
      <c r="A1670" s="50"/>
    </row>
    <row r="1671" spans="1:1" ht="13">
      <c r="A1671" s="50"/>
    </row>
    <row r="1672" spans="1:1" ht="13">
      <c r="A1672" s="50"/>
    </row>
    <row r="1673" spans="1:1" ht="13">
      <c r="A1673" s="50"/>
    </row>
    <row r="1674" spans="1:1" ht="13">
      <c r="A1674" s="50"/>
    </row>
    <row r="1675" spans="1:1" ht="13">
      <c r="A1675" s="50"/>
    </row>
    <row r="1676" spans="1:1" ht="13">
      <c r="A1676" s="50"/>
    </row>
    <row r="1677" spans="1:1" ht="13">
      <c r="A1677" s="50"/>
    </row>
    <row r="1678" spans="1:1" ht="13">
      <c r="A1678" s="50"/>
    </row>
    <row r="1679" spans="1:1" ht="13">
      <c r="A1679" s="50"/>
    </row>
    <row r="1680" spans="1:1" ht="13">
      <c r="A1680" s="50"/>
    </row>
    <row r="1681" spans="1:1" ht="13">
      <c r="A1681" s="50"/>
    </row>
    <row r="1682" spans="1:1" ht="13">
      <c r="A1682" s="50"/>
    </row>
    <row r="1683" spans="1:1" ht="13">
      <c r="A1683" s="50"/>
    </row>
    <row r="1684" spans="1:1" ht="13">
      <c r="A1684" s="50"/>
    </row>
    <row r="1685" spans="1:1" ht="13">
      <c r="A1685" s="50"/>
    </row>
    <row r="1686" spans="1:1" ht="13">
      <c r="A1686" s="50"/>
    </row>
    <row r="1687" spans="1:1" ht="13">
      <c r="A1687" s="50"/>
    </row>
    <row r="1688" spans="1:1" ht="13">
      <c r="A1688" s="50"/>
    </row>
    <row r="1689" spans="1:1" ht="13">
      <c r="A1689" s="50"/>
    </row>
    <row r="1690" spans="1:1" ht="13">
      <c r="A1690" s="50"/>
    </row>
    <row r="1691" spans="1:1" ht="13">
      <c r="A1691" s="50"/>
    </row>
    <row r="1692" spans="1:1" ht="13">
      <c r="A1692" s="50"/>
    </row>
    <row r="1693" spans="1:1" ht="13">
      <c r="A1693" s="50"/>
    </row>
    <row r="1694" spans="1:1" ht="13">
      <c r="A1694" s="50"/>
    </row>
    <row r="1695" spans="1:1" ht="13">
      <c r="A1695" s="50"/>
    </row>
    <row r="1696" spans="1:1" ht="13">
      <c r="A1696" s="50"/>
    </row>
    <row r="1697" spans="1:1" ht="13">
      <c r="A1697" s="50"/>
    </row>
    <row r="1698" spans="1:1" ht="13">
      <c r="A1698" s="50"/>
    </row>
    <row r="1699" spans="1:1" ht="13">
      <c r="A1699" s="50"/>
    </row>
    <row r="1700" spans="1:1" ht="13">
      <c r="A1700" s="50"/>
    </row>
    <row r="1701" spans="1:1" ht="13">
      <c r="A1701" s="50"/>
    </row>
    <row r="1702" spans="1:1" ht="13">
      <c r="A1702" s="50"/>
    </row>
    <row r="1703" spans="1:1" ht="13">
      <c r="A1703" s="50"/>
    </row>
    <row r="1704" spans="1:1" ht="13">
      <c r="A1704" s="50"/>
    </row>
    <row r="1705" spans="1:1" ht="13">
      <c r="A1705" s="50"/>
    </row>
    <row r="1706" spans="1:1" ht="13">
      <c r="A1706" s="50"/>
    </row>
    <row r="1707" spans="1:1" ht="13">
      <c r="A1707" s="50"/>
    </row>
    <row r="1708" spans="1:1" ht="13">
      <c r="A1708" s="50"/>
    </row>
    <row r="1709" spans="1:1" ht="13">
      <c r="A1709" s="50"/>
    </row>
    <row r="1710" spans="1:1" ht="13">
      <c r="A1710" s="50"/>
    </row>
    <row r="1711" spans="1:1" ht="13">
      <c r="A1711" s="50"/>
    </row>
    <row r="1712" spans="1:1" ht="13">
      <c r="A1712" s="50"/>
    </row>
    <row r="1713" spans="1:1" ht="13">
      <c r="A1713" s="50"/>
    </row>
    <row r="1714" spans="1:1" ht="13">
      <c r="A1714" s="50"/>
    </row>
    <row r="1715" spans="1:1" ht="13">
      <c r="A1715" s="50"/>
    </row>
    <row r="1716" spans="1:1" ht="13">
      <c r="A1716" s="50"/>
    </row>
    <row r="1717" spans="1:1" ht="13">
      <c r="A1717" s="50"/>
    </row>
    <row r="1718" spans="1:1" ht="13">
      <c r="A1718" s="50"/>
    </row>
    <row r="1719" spans="1:1" ht="13">
      <c r="A1719" s="50"/>
    </row>
    <row r="1720" spans="1:1" ht="13">
      <c r="A1720" s="50"/>
    </row>
    <row r="1721" spans="1:1" ht="13">
      <c r="A1721" s="50"/>
    </row>
    <row r="1722" spans="1:1" ht="13">
      <c r="A1722" s="50"/>
    </row>
    <row r="1723" spans="1:1" ht="13">
      <c r="A1723" s="50"/>
    </row>
    <row r="1724" spans="1:1" ht="13">
      <c r="A1724" s="50"/>
    </row>
    <row r="1725" spans="1:1" ht="13">
      <c r="A1725" s="50"/>
    </row>
    <row r="1726" spans="1:1" ht="13">
      <c r="A1726" s="50"/>
    </row>
    <row r="1727" spans="1:1" ht="13">
      <c r="A1727" s="50"/>
    </row>
    <row r="1728" spans="1:1" ht="13">
      <c r="A1728" s="50"/>
    </row>
    <row r="1729" spans="1:1" ht="13">
      <c r="A1729" s="50"/>
    </row>
    <row r="1730" spans="1:1" ht="13">
      <c r="A1730" s="50"/>
    </row>
    <row r="1731" spans="1:1" ht="13">
      <c r="A1731" s="50"/>
    </row>
    <row r="1732" spans="1:1" ht="13">
      <c r="A1732" s="50"/>
    </row>
    <row r="1733" spans="1:1" ht="13">
      <c r="A1733" s="50"/>
    </row>
    <row r="1734" spans="1:1" ht="13">
      <c r="A1734" s="50"/>
    </row>
    <row r="1735" spans="1:1" ht="13">
      <c r="A1735" s="50"/>
    </row>
    <row r="1736" spans="1:1" ht="13">
      <c r="A1736" s="50"/>
    </row>
    <row r="1737" spans="1:1" ht="13">
      <c r="A1737" s="50"/>
    </row>
    <row r="1738" spans="1:1" ht="13">
      <c r="A1738" s="50"/>
    </row>
    <row r="1739" spans="1:1" ht="13">
      <c r="A1739" s="50"/>
    </row>
    <row r="1740" spans="1:1" ht="13">
      <c r="A1740" s="50"/>
    </row>
    <row r="1741" spans="1:1" ht="13">
      <c r="A1741" s="50"/>
    </row>
    <row r="1742" spans="1:1" ht="13">
      <c r="A1742" s="50"/>
    </row>
    <row r="1743" spans="1:1" ht="13">
      <c r="A1743" s="50"/>
    </row>
    <row r="1744" spans="1:1" ht="13">
      <c r="A1744" s="50"/>
    </row>
    <row r="1745" spans="1:1" ht="13">
      <c r="A1745" s="50"/>
    </row>
    <row r="1746" spans="1:1" ht="13">
      <c r="A1746" s="50"/>
    </row>
    <row r="1747" spans="1:1" ht="13">
      <c r="A1747" s="50"/>
    </row>
    <row r="1748" spans="1:1" ht="13">
      <c r="A1748" s="50"/>
    </row>
    <row r="1749" spans="1:1" ht="13">
      <c r="A1749" s="50"/>
    </row>
    <row r="1750" spans="1:1" ht="13">
      <c r="A1750" s="50"/>
    </row>
    <row r="1751" spans="1:1" ht="13">
      <c r="A1751" s="50"/>
    </row>
    <row r="1752" spans="1:1" ht="13">
      <c r="A1752" s="50"/>
    </row>
    <row r="1753" spans="1:1" ht="13">
      <c r="A1753" s="50"/>
    </row>
    <row r="1754" spans="1:1" ht="13">
      <c r="A1754" s="50"/>
    </row>
    <row r="1755" spans="1:1" ht="13">
      <c r="A1755" s="50"/>
    </row>
    <row r="1756" spans="1:1" ht="13">
      <c r="A1756" s="50"/>
    </row>
    <row r="1757" spans="1:1" ht="13">
      <c r="A1757" s="50"/>
    </row>
    <row r="1758" spans="1:1" ht="13">
      <c r="A1758" s="50"/>
    </row>
    <row r="1759" spans="1:1" ht="13">
      <c r="A1759" s="50"/>
    </row>
    <row r="1760" spans="1:1" ht="13">
      <c r="A1760" s="50"/>
    </row>
    <row r="1761" spans="1:1" ht="13">
      <c r="A1761" s="50"/>
    </row>
    <row r="1762" spans="1:1" ht="13">
      <c r="A1762" s="50"/>
    </row>
    <row r="1763" spans="1:1" ht="13">
      <c r="A1763" s="50"/>
    </row>
    <row r="1764" spans="1:1" ht="13">
      <c r="A1764" s="50"/>
    </row>
    <row r="1765" spans="1:1" ht="13">
      <c r="A1765" s="50"/>
    </row>
    <row r="1766" spans="1:1" ht="13">
      <c r="A1766" s="50"/>
    </row>
    <row r="1767" spans="1:1" ht="13">
      <c r="A1767" s="50"/>
    </row>
    <row r="1768" spans="1:1" ht="13">
      <c r="A1768" s="50"/>
    </row>
    <row r="1769" spans="1:1" ht="13">
      <c r="A1769" s="50"/>
    </row>
    <row r="1770" spans="1:1" ht="13">
      <c r="A1770" s="50"/>
    </row>
    <row r="1771" spans="1:1" ht="13">
      <c r="A1771" s="50"/>
    </row>
    <row r="1772" spans="1:1" ht="13">
      <c r="A1772" s="50"/>
    </row>
    <row r="1773" spans="1:1" ht="13">
      <c r="A1773" s="50"/>
    </row>
    <row r="1774" spans="1:1" ht="13">
      <c r="A1774" s="50"/>
    </row>
    <row r="1775" spans="1:1" ht="13">
      <c r="A1775" s="50"/>
    </row>
    <row r="1776" spans="1:1" ht="13">
      <c r="A1776" s="50"/>
    </row>
    <row r="1777" spans="1:1" ht="13">
      <c r="A1777" s="50"/>
    </row>
    <row r="1778" spans="1:1" ht="13">
      <c r="A1778" s="50"/>
    </row>
    <row r="1779" spans="1:1" ht="13">
      <c r="A1779" s="50"/>
    </row>
    <row r="1780" spans="1:1" ht="13">
      <c r="A1780" s="50"/>
    </row>
    <row r="1781" spans="1:1" ht="13">
      <c r="A1781" s="50"/>
    </row>
    <row r="1782" spans="1:1" ht="13">
      <c r="A1782" s="50"/>
    </row>
    <row r="1783" spans="1:1" ht="13">
      <c r="A1783" s="50"/>
    </row>
    <row r="1784" spans="1:1" ht="13">
      <c r="A1784" s="50"/>
    </row>
    <row r="1785" spans="1:1" ht="13">
      <c r="A1785" s="50"/>
    </row>
    <row r="1786" spans="1:1" ht="13">
      <c r="A1786" s="50"/>
    </row>
    <row r="1787" spans="1:1" ht="13">
      <c r="A1787" s="50"/>
    </row>
    <row r="1788" spans="1:1" ht="13">
      <c r="A1788" s="50"/>
    </row>
    <row r="1789" spans="1:1" ht="13">
      <c r="A1789" s="50"/>
    </row>
    <row r="1790" spans="1:1" ht="13">
      <c r="A1790" s="50"/>
    </row>
    <row r="1791" spans="1:1" ht="13">
      <c r="A1791" s="50"/>
    </row>
    <row r="1792" spans="1:1" ht="13">
      <c r="A1792" s="50"/>
    </row>
    <row r="1793" spans="1:1" ht="13">
      <c r="A1793" s="50"/>
    </row>
    <row r="1794" spans="1:1" ht="13">
      <c r="A1794" s="50"/>
    </row>
    <row r="1795" spans="1:1" ht="13">
      <c r="A1795" s="50"/>
    </row>
    <row r="1796" spans="1:1" ht="13">
      <c r="A1796" s="50"/>
    </row>
    <row r="1797" spans="1:1" ht="13">
      <c r="A1797" s="50"/>
    </row>
    <row r="1798" spans="1:1" ht="13">
      <c r="A1798" s="50"/>
    </row>
    <row r="1799" spans="1:1" ht="13">
      <c r="A1799" s="50"/>
    </row>
    <row r="1800" spans="1:1" ht="13">
      <c r="A1800" s="50"/>
    </row>
    <row r="1801" spans="1:1" ht="13">
      <c r="A1801" s="50"/>
    </row>
    <row r="1802" spans="1:1" ht="13">
      <c r="A1802" s="50"/>
    </row>
    <row r="1803" spans="1:1" ht="13">
      <c r="A1803" s="50"/>
    </row>
    <row r="1804" spans="1:1" ht="13">
      <c r="A1804" s="50"/>
    </row>
    <row r="1805" spans="1:1" ht="13">
      <c r="A1805" s="50"/>
    </row>
    <row r="1806" spans="1:1" ht="13">
      <c r="A1806" s="50"/>
    </row>
    <row r="1807" spans="1:1" ht="13">
      <c r="A1807" s="50"/>
    </row>
    <row r="1808" spans="1:1" ht="13">
      <c r="A1808" s="50"/>
    </row>
    <row r="1809" spans="1:1" ht="13">
      <c r="A1809" s="50"/>
    </row>
    <row r="1810" spans="1:1" ht="13">
      <c r="A1810" s="50"/>
    </row>
    <row r="1811" spans="1:1" ht="13">
      <c r="A1811" s="50"/>
    </row>
    <row r="1812" spans="1:1" ht="13">
      <c r="A1812" s="50"/>
    </row>
    <row r="1813" spans="1:1" ht="13">
      <c r="A1813" s="50"/>
    </row>
    <row r="1814" spans="1:1" ht="13">
      <c r="A1814" s="50"/>
    </row>
    <row r="1815" spans="1:1" ht="13">
      <c r="A1815" s="50"/>
    </row>
    <row r="1816" spans="1:1" ht="13">
      <c r="A1816" s="50"/>
    </row>
    <row r="1817" spans="1:1" ht="13">
      <c r="A1817" s="50"/>
    </row>
    <row r="1818" spans="1:1" ht="13">
      <c r="A1818" s="50"/>
    </row>
    <row r="1819" spans="1:1" ht="13">
      <c r="A1819" s="50"/>
    </row>
    <row r="1820" spans="1:1" ht="13">
      <c r="A1820" s="50"/>
    </row>
    <row r="1821" spans="1:1" ht="13">
      <c r="A1821" s="50"/>
    </row>
    <row r="1822" spans="1:1" ht="13">
      <c r="A1822" s="50"/>
    </row>
    <row r="1823" spans="1:1" ht="13">
      <c r="A1823" s="50"/>
    </row>
    <row r="1824" spans="1:1" ht="13">
      <c r="A1824" s="50"/>
    </row>
    <row r="1825" spans="1:1" ht="13">
      <c r="A1825" s="50"/>
    </row>
    <row r="1826" spans="1:1" ht="13">
      <c r="A1826" s="50"/>
    </row>
    <row r="1827" spans="1:1" ht="13">
      <c r="A1827" s="50"/>
    </row>
    <row r="1828" spans="1:1" ht="13">
      <c r="A1828" s="50"/>
    </row>
    <row r="1829" spans="1:1" ht="13">
      <c r="A1829" s="50"/>
    </row>
    <row r="1830" spans="1:1" ht="13">
      <c r="A1830" s="50"/>
    </row>
    <row r="1831" spans="1:1" ht="13">
      <c r="A1831" s="50"/>
    </row>
    <row r="1832" spans="1:1" ht="13">
      <c r="A1832" s="50"/>
    </row>
    <row r="1833" spans="1:1" ht="13">
      <c r="A1833" s="50"/>
    </row>
    <row r="1834" spans="1:1" ht="13">
      <c r="A1834" s="50"/>
    </row>
    <row r="1835" spans="1:1" ht="13">
      <c r="A1835" s="50"/>
    </row>
    <row r="1836" spans="1:1" ht="13">
      <c r="A1836" s="50"/>
    </row>
    <row r="1837" spans="1:1" ht="13">
      <c r="A1837" s="50"/>
    </row>
    <row r="1838" spans="1:1" ht="13">
      <c r="A1838" s="50"/>
    </row>
    <row r="1839" spans="1:1" ht="13">
      <c r="A1839" s="50"/>
    </row>
    <row r="1840" spans="1:1" ht="13">
      <c r="A1840" s="50"/>
    </row>
    <row r="1841" spans="1:1" ht="13">
      <c r="A1841" s="50"/>
    </row>
    <row r="1842" spans="1:1" ht="13">
      <c r="A1842" s="50"/>
    </row>
    <row r="1843" spans="1:1" ht="13">
      <c r="A1843" s="50"/>
    </row>
    <row r="1844" spans="1:1" ht="13">
      <c r="A1844" s="50"/>
    </row>
    <row r="1845" spans="1:1" ht="13">
      <c r="A1845" s="50"/>
    </row>
    <row r="1846" spans="1:1" ht="13">
      <c r="A1846" s="50"/>
    </row>
    <row r="1847" spans="1:1" ht="13">
      <c r="A1847" s="50"/>
    </row>
    <row r="1848" spans="1:1" ht="13">
      <c r="A1848" s="50"/>
    </row>
    <row r="1849" spans="1:1" ht="13">
      <c r="A1849" s="50"/>
    </row>
    <row r="1850" spans="1:1" ht="13">
      <c r="A1850" s="50"/>
    </row>
    <row r="1851" spans="1:1" ht="13">
      <c r="A1851" s="50"/>
    </row>
    <row r="1852" spans="1:1" ht="13">
      <c r="A1852" s="50"/>
    </row>
    <row r="1853" spans="1:1" ht="13">
      <c r="A1853" s="50"/>
    </row>
    <row r="1854" spans="1:1" ht="13">
      <c r="A1854" s="50"/>
    </row>
    <row r="1855" spans="1:1" ht="13">
      <c r="A1855" s="50"/>
    </row>
    <row r="1856" spans="1:1" ht="13">
      <c r="A1856" s="50"/>
    </row>
    <row r="1857" spans="1:1" ht="13">
      <c r="A1857" s="50"/>
    </row>
    <row r="1858" spans="1:1" ht="13">
      <c r="A1858" s="50"/>
    </row>
    <row r="1859" spans="1:1" ht="13">
      <c r="A1859" s="50"/>
    </row>
    <row r="1860" spans="1:1" ht="13">
      <c r="A1860" s="50"/>
    </row>
    <row r="1861" spans="1:1" ht="13">
      <c r="A1861" s="50"/>
    </row>
    <row r="1862" spans="1:1" ht="13">
      <c r="A1862" s="50"/>
    </row>
    <row r="1863" spans="1:1" ht="13">
      <c r="A1863" s="50"/>
    </row>
    <row r="1864" spans="1:1" ht="13">
      <c r="A1864" s="50"/>
    </row>
    <row r="1865" spans="1:1" ht="13">
      <c r="A1865" s="50"/>
    </row>
    <row r="1866" spans="1:1" ht="13">
      <c r="A1866" s="50"/>
    </row>
    <row r="1867" spans="1:1" ht="13">
      <c r="A1867" s="50"/>
    </row>
    <row r="1868" spans="1:1" ht="13">
      <c r="A1868" s="50"/>
    </row>
    <row r="1869" spans="1:1" ht="13">
      <c r="A1869" s="50"/>
    </row>
    <row r="1870" spans="1:1" ht="13">
      <c r="A1870" s="50"/>
    </row>
    <row r="1871" spans="1:1" ht="13">
      <c r="A1871" s="50"/>
    </row>
    <row r="1872" spans="1:1" ht="13">
      <c r="A1872" s="50"/>
    </row>
    <row r="1873" spans="1:1" ht="13">
      <c r="A1873" s="50"/>
    </row>
    <row r="1874" spans="1:1" ht="13">
      <c r="A1874" s="50"/>
    </row>
    <row r="1875" spans="1:1" ht="13">
      <c r="A1875" s="50"/>
    </row>
    <row r="1876" spans="1:1" ht="13">
      <c r="A1876" s="50"/>
    </row>
    <row r="1877" spans="1:1" ht="13">
      <c r="A1877" s="50"/>
    </row>
    <row r="1878" spans="1:1" ht="13">
      <c r="A1878" s="50"/>
    </row>
    <row r="1879" spans="1:1" ht="13">
      <c r="A1879" s="50"/>
    </row>
    <row r="1880" spans="1:1" ht="13">
      <c r="A1880" s="50"/>
    </row>
    <row r="1881" spans="1:1" ht="13">
      <c r="A1881" s="50"/>
    </row>
    <row r="1882" spans="1:1" ht="13">
      <c r="A1882" s="50"/>
    </row>
    <row r="1883" spans="1:1" ht="13">
      <c r="A1883" s="50"/>
    </row>
    <row r="1884" spans="1:1" ht="13">
      <c r="A1884" s="50"/>
    </row>
    <row r="1885" spans="1:1" ht="13">
      <c r="A1885" s="50"/>
    </row>
    <row r="1886" spans="1:1" ht="13">
      <c r="A1886" s="50"/>
    </row>
    <row r="1887" spans="1:1" ht="13">
      <c r="A1887" s="50"/>
    </row>
    <row r="1888" spans="1:1" ht="13">
      <c r="A1888" s="50"/>
    </row>
    <row r="1889" spans="1:1" ht="13">
      <c r="A1889" s="50"/>
    </row>
    <row r="1890" spans="1:1" ht="13">
      <c r="A1890" s="50"/>
    </row>
    <row r="1891" spans="1:1" ht="13">
      <c r="A1891" s="50"/>
    </row>
    <row r="1892" spans="1:1" ht="13">
      <c r="A1892" s="50"/>
    </row>
    <row r="1893" spans="1:1" ht="13">
      <c r="A1893" s="50"/>
    </row>
    <row r="1894" spans="1:1" ht="13">
      <c r="A1894" s="50"/>
    </row>
    <row r="1895" spans="1:1" ht="13">
      <c r="A1895" s="50"/>
    </row>
    <row r="1896" spans="1:1" ht="13">
      <c r="A1896" s="50"/>
    </row>
    <row r="1897" spans="1:1" ht="13">
      <c r="A1897" s="50"/>
    </row>
    <row r="1898" spans="1:1" ht="13">
      <c r="A1898" s="50"/>
    </row>
    <row r="1899" spans="1:1" ht="13">
      <c r="A1899" s="50"/>
    </row>
    <row r="1900" spans="1:1" ht="13">
      <c r="A1900" s="50"/>
    </row>
    <row r="1901" spans="1:1" ht="13">
      <c r="A1901" s="50"/>
    </row>
    <row r="1902" spans="1:1" ht="13">
      <c r="A1902" s="50"/>
    </row>
    <row r="1903" spans="1:1" ht="13">
      <c r="A1903" s="50"/>
    </row>
    <row r="1904" spans="1:1" ht="13">
      <c r="A1904" s="50"/>
    </row>
    <row r="1905" spans="1:1" ht="13">
      <c r="A1905" s="50"/>
    </row>
    <row r="1906" spans="1:1" ht="13">
      <c r="A1906" s="50"/>
    </row>
    <row r="1907" spans="1:1" ht="13">
      <c r="A1907" s="50"/>
    </row>
    <row r="1908" spans="1:1" ht="13">
      <c r="A1908" s="50"/>
    </row>
    <row r="1909" spans="1:1" ht="13">
      <c r="A1909" s="50"/>
    </row>
    <row r="1910" spans="1:1" ht="13">
      <c r="A1910" s="50"/>
    </row>
    <row r="1911" spans="1:1" ht="13">
      <c r="A1911" s="50"/>
    </row>
    <row r="1912" spans="1:1" ht="13">
      <c r="A1912" s="50"/>
    </row>
    <row r="1913" spans="1:1" ht="13">
      <c r="A1913" s="50"/>
    </row>
    <row r="1914" spans="1:1" ht="13">
      <c r="A1914" s="50"/>
    </row>
    <row r="1915" spans="1:1" ht="13">
      <c r="A1915" s="50"/>
    </row>
    <row r="1916" spans="1:1" ht="13">
      <c r="A1916" s="50"/>
    </row>
    <row r="1917" spans="1:1" ht="13">
      <c r="A1917" s="50"/>
    </row>
    <row r="1918" spans="1:1" ht="13">
      <c r="A1918" s="50"/>
    </row>
    <row r="1919" spans="1:1" ht="13">
      <c r="A1919" s="50"/>
    </row>
    <row r="1920" spans="1:1" ht="13">
      <c r="A1920" s="50"/>
    </row>
    <row r="1921" spans="1:1" ht="13">
      <c r="A1921" s="50"/>
    </row>
    <row r="1922" spans="1:1" ht="13">
      <c r="A1922" s="50"/>
    </row>
    <row r="1923" spans="1:1" ht="13">
      <c r="A1923" s="50"/>
    </row>
    <row r="1924" spans="1:1" ht="13">
      <c r="A1924" s="50"/>
    </row>
    <row r="1925" spans="1:1" ht="13">
      <c r="A1925" s="50"/>
    </row>
    <row r="1926" spans="1:1" ht="13">
      <c r="A1926" s="50"/>
    </row>
    <row r="1927" spans="1:1" ht="13">
      <c r="A1927" s="50"/>
    </row>
    <row r="1928" spans="1:1" ht="13">
      <c r="A1928" s="50"/>
    </row>
    <row r="1929" spans="1:1" ht="13">
      <c r="A1929" s="50"/>
    </row>
    <row r="1930" spans="1:1" ht="13">
      <c r="A1930" s="50"/>
    </row>
    <row r="1931" spans="1:1" ht="13">
      <c r="A1931" s="50"/>
    </row>
    <row r="1932" spans="1:1" ht="13">
      <c r="A1932" s="50"/>
    </row>
    <row r="1933" spans="1:1" ht="13">
      <c r="A1933" s="50"/>
    </row>
    <row r="1934" spans="1:1" ht="13">
      <c r="A1934" s="50"/>
    </row>
    <row r="1935" spans="1:1" ht="13">
      <c r="A1935" s="50"/>
    </row>
    <row r="1936" spans="1:1" ht="13">
      <c r="A1936" s="50"/>
    </row>
    <row r="1937" spans="1:1" ht="13">
      <c r="A1937" s="50"/>
    </row>
    <row r="1938" spans="1:1" ht="13">
      <c r="A1938" s="50"/>
    </row>
    <row r="1939" spans="1:1" ht="13">
      <c r="A1939" s="50"/>
    </row>
    <row r="1940" spans="1:1" ht="13">
      <c r="A1940" s="50"/>
    </row>
    <row r="1941" spans="1:1" ht="13">
      <c r="A1941" s="50"/>
    </row>
    <row r="1942" spans="1:1" ht="13">
      <c r="A1942" s="50"/>
    </row>
    <row r="1943" spans="1:1" ht="13">
      <c r="A1943" s="50"/>
    </row>
    <row r="1944" spans="1:1" ht="13">
      <c r="A1944" s="50"/>
    </row>
    <row r="1945" spans="1:1" ht="13">
      <c r="A1945" s="50"/>
    </row>
    <row r="1946" spans="1:1" ht="13">
      <c r="A1946" s="50"/>
    </row>
    <row r="1947" spans="1:1" ht="13">
      <c r="A1947" s="50"/>
    </row>
    <row r="1948" spans="1:1" ht="13">
      <c r="A1948" s="50"/>
    </row>
    <row r="1949" spans="1:1" ht="13">
      <c r="A1949" s="50"/>
    </row>
    <row r="1950" spans="1:1" ht="13">
      <c r="A1950" s="50"/>
    </row>
    <row r="1951" spans="1:1" ht="13">
      <c r="A1951" s="50"/>
    </row>
    <row r="1952" spans="1:1" ht="13">
      <c r="A1952" s="50"/>
    </row>
    <row r="1953" spans="1:1" ht="13">
      <c r="A1953" s="50"/>
    </row>
    <row r="1954" spans="1:1" ht="13">
      <c r="A1954" s="50"/>
    </row>
    <row r="1955" spans="1:1" ht="13">
      <c r="A1955" s="50"/>
    </row>
    <row r="1956" spans="1:1" ht="13">
      <c r="A1956" s="50"/>
    </row>
    <row r="1957" spans="1:1" ht="13">
      <c r="A1957" s="50"/>
    </row>
    <row r="1958" spans="1:1" ht="13">
      <c r="A1958" s="50"/>
    </row>
    <row r="1959" spans="1:1" ht="13">
      <c r="A1959" s="50"/>
    </row>
    <row r="1960" spans="1:1" ht="13">
      <c r="A1960" s="50"/>
    </row>
    <row r="1961" spans="1:1" ht="13">
      <c r="A1961" s="50"/>
    </row>
    <row r="1962" spans="1:1" ht="13">
      <c r="A1962" s="50"/>
    </row>
    <row r="1963" spans="1:1" ht="13">
      <c r="A1963" s="50"/>
    </row>
    <row r="1964" spans="1:1" ht="13">
      <c r="A1964" s="50"/>
    </row>
    <row r="1965" spans="1:1" ht="13">
      <c r="A1965" s="50"/>
    </row>
    <row r="1966" spans="1:1" ht="13">
      <c r="A1966" s="50"/>
    </row>
    <row r="1967" spans="1:1" ht="13">
      <c r="A1967" s="50"/>
    </row>
    <row r="1968" spans="1:1" ht="13">
      <c r="A1968" s="50"/>
    </row>
    <row r="1969" spans="1:1" ht="13">
      <c r="A1969" s="50"/>
    </row>
    <row r="1970" spans="1:1" ht="13">
      <c r="A1970" s="50"/>
    </row>
    <row r="1971" spans="1:1" ht="13">
      <c r="A1971" s="50"/>
    </row>
    <row r="1972" spans="1:1" ht="13">
      <c r="A1972" s="50"/>
    </row>
    <row r="1973" spans="1:1" ht="13">
      <c r="A1973" s="50"/>
    </row>
    <row r="1974" spans="1:1" ht="13">
      <c r="A1974" s="50"/>
    </row>
    <row r="1975" spans="1:1" ht="13">
      <c r="A1975" s="50"/>
    </row>
    <row r="1976" spans="1:1" ht="13">
      <c r="A1976" s="50"/>
    </row>
    <row r="1977" spans="1:1" ht="13">
      <c r="A1977" s="50"/>
    </row>
    <row r="1978" spans="1:1" ht="13">
      <c r="A1978" s="50"/>
    </row>
    <row r="1979" spans="1:1" ht="13">
      <c r="A1979" s="50"/>
    </row>
    <row r="1980" spans="1:1" ht="13">
      <c r="A1980" s="50"/>
    </row>
    <row r="1981" spans="1:1" ht="13">
      <c r="A1981" s="50"/>
    </row>
    <row r="1982" spans="1:1" ht="13">
      <c r="A1982" s="50"/>
    </row>
    <row r="1983" spans="1:1" ht="13">
      <c r="A1983" s="50"/>
    </row>
    <row r="1984" spans="1:1" ht="13">
      <c r="A1984" s="50"/>
    </row>
    <row r="1985" spans="1:1" ht="13">
      <c r="A1985" s="50"/>
    </row>
    <row r="1986" spans="1:1" ht="13">
      <c r="A1986" s="50"/>
    </row>
    <row r="1987" spans="1:1" ht="13">
      <c r="A1987" s="50"/>
    </row>
    <row r="1988" spans="1:1" ht="13">
      <c r="A1988" s="50"/>
    </row>
    <row r="1989" spans="1:1" ht="13">
      <c r="A1989" s="50"/>
    </row>
    <row r="1990" spans="1:1" ht="13">
      <c r="A1990" s="50"/>
    </row>
    <row r="1991" spans="1:1" ht="13">
      <c r="A1991" s="50"/>
    </row>
    <row r="1992" spans="1:1" ht="13">
      <c r="A1992" s="50"/>
    </row>
    <row r="1993" spans="1:1" ht="13">
      <c r="A1993" s="50"/>
    </row>
    <row r="1994" spans="1:1" ht="13">
      <c r="A1994" s="50"/>
    </row>
    <row r="1995" spans="1:1" ht="13">
      <c r="A1995" s="50"/>
    </row>
    <row r="1996" spans="1:1" ht="13">
      <c r="A1996" s="50"/>
    </row>
    <row r="1997" spans="1:1" ht="13">
      <c r="A1997" s="50"/>
    </row>
    <row r="1998" spans="1:1" ht="13">
      <c r="A1998" s="50"/>
    </row>
    <row r="1999" spans="1:1" ht="13">
      <c r="A1999" s="50"/>
    </row>
    <row r="2000" spans="1:1" ht="13">
      <c r="A2000" s="50"/>
    </row>
    <row r="2001" spans="1:1" ht="13">
      <c r="A2001" s="50"/>
    </row>
    <row r="2002" spans="1:1" ht="13">
      <c r="A2002" s="50"/>
    </row>
    <row r="2003" spans="1:1" ht="13">
      <c r="A2003" s="50"/>
    </row>
    <row r="2004" spans="1:1" ht="13">
      <c r="A2004" s="50"/>
    </row>
    <row r="2005" spans="1:1" ht="13">
      <c r="A2005" s="50"/>
    </row>
    <row r="2006" spans="1:1" ht="13">
      <c r="A2006" s="50"/>
    </row>
    <row r="2007" spans="1:1" ht="13">
      <c r="A2007" s="50"/>
    </row>
    <row r="2008" spans="1:1" ht="13">
      <c r="A2008" s="50"/>
    </row>
    <row r="2009" spans="1:1" ht="13">
      <c r="A2009" s="50"/>
    </row>
    <row r="2010" spans="1:1" ht="13">
      <c r="A2010" s="50"/>
    </row>
    <row r="2011" spans="1:1" ht="13">
      <c r="A2011" s="50"/>
    </row>
    <row r="2012" spans="1:1" ht="13">
      <c r="A2012" s="50"/>
    </row>
    <row r="2013" spans="1:1" ht="13">
      <c r="A2013" s="50"/>
    </row>
    <row r="2014" spans="1:1" ht="13">
      <c r="A2014" s="50"/>
    </row>
    <row r="2015" spans="1:1" ht="13">
      <c r="A2015" s="50"/>
    </row>
    <row r="2016" spans="1:1" ht="13">
      <c r="A2016" s="50"/>
    </row>
    <row r="2017" spans="1:1" ht="13">
      <c r="A2017" s="50"/>
    </row>
    <row r="2018" spans="1:1" ht="13">
      <c r="A2018" s="50"/>
    </row>
    <row r="2019" spans="1:1" ht="13">
      <c r="A2019" s="50"/>
    </row>
    <row r="2020" spans="1:1" ht="13">
      <c r="A2020" s="50"/>
    </row>
    <row r="2021" spans="1:1" ht="13">
      <c r="A2021" s="50"/>
    </row>
    <row r="2022" spans="1:1" ht="13">
      <c r="A2022" s="50"/>
    </row>
    <row r="2023" spans="1:1" ht="13">
      <c r="A2023" s="50"/>
    </row>
    <row r="2024" spans="1:1" ht="13">
      <c r="A2024" s="50"/>
    </row>
    <row r="2025" spans="1:1" ht="13">
      <c r="A2025" s="50"/>
    </row>
    <row r="2026" spans="1:1" ht="13">
      <c r="A2026" s="50"/>
    </row>
    <row r="2027" spans="1:1" ht="13">
      <c r="A2027" s="50"/>
    </row>
    <row r="2028" spans="1:1" ht="13">
      <c r="A2028" s="50"/>
    </row>
    <row r="2029" spans="1:1" ht="13">
      <c r="A2029" s="50"/>
    </row>
    <row r="2030" spans="1:1" ht="13">
      <c r="A2030" s="50"/>
    </row>
    <row r="2031" spans="1:1" ht="13">
      <c r="A2031" s="50"/>
    </row>
    <row r="2032" spans="1:1" ht="13">
      <c r="A2032" s="50"/>
    </row>
    <row r="2033" spans="1:1" ht="13">
      <c r="A2033" s="50"/>
    </row>
    <row r="2034" spans="1:1" ht="13">
      <c r="A2034" s="50"/>
    </row>
    <row r="2035" spans="1:1" ht="13">
      <c r="A2035" s="50"/>
    </row>
    <row r="2036" spans="1:1" ht="13">
      <c r="A2036" s="50"/>
    </row>
    <row r="2037" spans="1:1" ht="13">
      <c r="A2037" s="50"/>
    </row>
    <row r="2038" spans="1:1" ht="13">
      <c r="A2038" s="50"/>
    </row>
    <row r="2039" spans="1:1" ht="13">
      <c r="A2039" s="50"/>
    </row>
    <row r="2040" spans="1:1" ht="13">
      <c r="A2040" s="50"/>
    </row>
    <row r="2041" spans="1:1" ht="13">
      <c r="A2041" s="50"/>
    </row>
    <row r="2042" spans="1:1" ht="13">
      <c r="A2042" s="50"/>
    </row>
    <row r="2043" spans="1:1" ht="13">
      <c r="A2043" s="50"/>
    </row>
    <row r="2044" spans="1:1" ht="13">
      <c r="A2044" s="50"/>
    </row>
    <row r="2045" spans="1:1" ht="13">
      <c r="A2045" s="50"/>
    </row>
    <row r="2046" spans="1:1" ht="13">
      <c r="A2046" s="50"/>
    </row>
    <row r="2047" spans="1:1" ht="13">
      <c r="A2047" s="50"/>
    </row>
    <row r="2048" spans="1:1" ht="13">
      <c r="A2048" s="50"/>
    </row>
    <row r="2049" spans="1:1" ht="13">
      <c r="A2049" s="50"/>
    </row>
    <row r="2050" spans="1:1" ht="13">
      <c r="A2050" s="50"/>
    </row>
    <row r="2051" spans="1:1" ht="13">
      <c r="A2051" s="50"/>
    </row>
    <row r="2052" spans="1:1" ht="13">
      <c r="A2052" s="50"/>
    </row>
    <row r="2053" spans="1:1" ht="13">
      <c r="A2053" s="50"/>
    </row>
    <row r="2054" spans="1:1" ht="13">
      <c r="A2054" s="50"/>
    </row>
    <row r="2055" spans="1:1" ht="13">
      <c r="A2055" s="50"/>
    </row>
    <row r="2056" spans="1:1" ht="13">
      <c r="A2056" s="50"/>
    </row>
    <row r="2057" spans="1:1" ht="13">
      <c r="A2057" s="50"/>
    </row>
    <row r="2058" spans="1:1" ht="13">
      <c r="A2058" s="50"/>
    </row>
    <row r="2059" spans="1:1" ht="13">
      <c r="A2059" s="50"/>
    </row>
    <row r="2060" spans="1:1" ht="13">
      <c r="A2060" s="50"/>
    </row>
    <row r="2061" spans="1:1" ht="13">
      <c r="A2061" s="50"/>
    </row>
    <row r="2062" spans="1:1" ht="13">
      <c r="A2062" s="50"/>
    </row>
    <row r="2063" spans="1:1" ht="13">
      <c r="A2063" s="50"/>
    </row>
    <row r="2064" spans="1:1" ht="13">
      <c r="A2064" s="50"/>
    </row>
    <row r="2065" spans="1:1" ht="13">
      <c r="A2065" s="50"/>
    </row>
    <row r="2066" spans="1:1" ht="13">
      <c r="A2066" s="50"/>
    </row>
    <row r="2067" spans="1:1" ht="13">
      <c r="A2067" s="50"/>
    </row>
    <row r="2068" spans="1:1" ht="13">
      <c r="A2068" s="50"/>
    </row>
    <row r="2069" spans="1:1" ht="13">
      <c r="A2069" s="50"/>
    </row>
    <row r="2070" spans="1:1" ht="13">
      <c r="A2070" s="50"/>
    </row>
    <row r="2071" spans="1:1" ht="13">
      <c r="A2071" s="50"/>
    </row>
    <row r="2072" spans="1:1" ht="13">
      <c r="A2072" s="50"/>
    </row>
    <row r="2073" spans="1:1" ht="13">
      <c r="A2073" s="50"/>
    </row>
    <row r="2074" spans="1:1" ht="13">
      <c r="A2074" s="50"/>
    </row>
    <row r="2075" spans="1:1" ht="13">
      <c r="A2075" s="50"/>
    </row>
    <row r="2076" spans="1:1" ht="13">
      <c r="A2076" s="50"/>
    </row>
    <row r="2077" spans="1:1" ht="13">
      <c r="A2077" s="50"/>
    </row>
    <row r="2078" spans="1:1" ht="13">
      <c r="A2078" s="50"/>
    </row>
    <row r="2079" spans="1:1" ht="13">
      <c r="A2079" s="50"/>
    </row>
    <row r="2080" spans="1:1" ht="13">
      <c r="A2080" s="50"/>
    </row>
    <row r="2081" spans="1:1" ht="13">
      <c r="A2081" s="50"/>
    </row>
    <row r="2082" spans="1:1" ht="13">
      <c r="A2082" s="50"/>
    </row>
    <row r="2083" spans="1:1" ht="13">
      <c r="A2083" s="50"/>
    </row>
    <row r="2084" spans="1:1" ht="13">
      <c r="A2084" s="50"/>
    </row>
    <row r="2085" spans="1:1" ht="13">
      <c r="A2085" s="50"/>
    </row>
    <row r="2086" spans="1:1" ht="13">
      <c r="A2086" s="50"/>
    </row>
    <row r="2087" spans="1:1" ht="13">
      <c r="A2087" s="50"/>
    </row>
    <row r="2088" spans="1:1" ht="13">
      <c r="A2088" s="50"/>
    </row>
    <row r="2089" spans="1:1" ht="13">
      <c r="A2089" s="50"/>
    </row>
    <row r="2090" spans="1:1" ht="13">
      <c r="A2090" s="50"/>
    </row>
    <row r="2091" spans="1:1" ht="13">
      <c r="A2091" s="50"/>
    </row>
    <row r="2092" spans="1:1" ht="13">
      <c r="A2092" s="50"/>
    </row>
    <row r="2093" spans="1:1" ht="13">
      <c r="A2093" s="50"/>
    </row>
    <row r="2094" spans="1:1" ht="13">
      <c r="A2094" s="50"/>
    </row>
    <row r="2095" spans="1:1" ht="13">
      <c r="A2095" s="50"/>
    </row>
    <row r="2096" spans="1:1" ht="13">
      <c r="A2096" s="50"/>
    </row>
    <row r="2097" spans="1:1" ht="13">
      <c r="A2097" s="50"/>
    </row>
    <row r="2098" spans="1:1" ht="13">
      <c r="A2098" s="50"/>
    </row>
    <row r="2099" spans="1:1" ht="13">
      <c r="A2099" s="50"/>
    </row>
    <row r="2100" spans="1:1" ht="13">
      <c r="A2100" s="50"/>
    </row>
    <row r="2101" spans="1:1" ht="13">
      <c r="A2101" s="50"/>
    </row>
    <row r="2102" spans="1:1" ht="13">
      <c r="A2102" s="50"/>
    </row>
    <row r="2103" spans="1:1" ht="13">
      <c r="A2103" s="50"/>
    </row>
    <row r="2104" spans="1:1" ht="13">
      <c r="A2104" s="50"/>
    </row>
    <row r="2105" spans="1:1" ht="13">
      <c r="A2105" s="50"/>
    </row>
    <row r="2106" spans="1:1" ht="13">
      <c r="A2106" s="50"/>
    </row>
    <row r="2107" spans="1:1" ht="13">
      <c r="A2107" s="50"/>
    </row>
    <row r="2108" spans="1:1" ht="13">
      <c r="A2108" s="50"/>
    </row>
    <row r="2109" spans="1:1" ht="13">
      <c r="A2109" s="50"/>
    </row>
    <row r="2110" spans="1:1" ht="13">
      <c r="A2110" s="50"/>
    </row>
    <row r="2111" spans="1:1" ht="13">
      <c r="A2111" s="50"/>
    </row>
    <row r="2112" spans="1:1" ht="13">
      <c r="A2112" s="50"/>
    </row>
    <row r="2113" spans="1:1" ht="13">
      <c r="A2113" s="50"/>
    </row>
    <row r="2114" spans="1:1" ht="13">
      <c r="A2114" s="50"/>
    </row>
    <row r="2115" spans="1:1" ht="13">
      <c r="A2115" s="50"/>
    </row>
    <row r="2116" spans="1:1" ht="13">
      <c r="A2116" s="50"/>
    </row>
    <row r="2117" spans="1:1" ht="13">
      <c r="A2117" s="50"/>
    </row>
    <row r="2118" spans="1:1" ht="13">
      <c r="A2118" s="50"/>
    </row>
    <row r="2119" spans="1:1" ht="13">
      <c r="A2119" s="50"/>
    </row>
    <row r="2120" spans="1:1" ht="13">
      <c r="A2120" s="50"/>
    </row>
    <row r="2121" spans="1:1" ht="13">
      <c r="A2121" s="50"/>
    </row>
    <row r="2122" spans="1:1" ht="13">
      <c r="A2122" s="50"/>
    </row>
    <row r="2123" spans="1:1" ht="13">
      <c r="A2123" s="50"/>
    </row>
    <row r="2124" spans="1:1" ht="13">
      <c r="A2124" s="50"/>
    </row>
    <row r="2125" spans="1:1" ht="13">
      <c r="A2125" s="50"/>
    </row>
    <row r="2126" spans="1:1" ht="13">
      <c r="A2126" s="50"/>
    </row>
    <row r="2127" spans="1:1" ht="13">
      <c r="A2127" s="50"/>
    </row>
    <row r="2128" spans="1:1" ht="13">
      <c r="A2128" s="50"/>
    </row>
    <row r="2129" spans="1:1" ht="13">
      <c r="A2129" s="50"/>
    </row>
    <row r="2130" spans="1:1" ht="13">
      <c r="A2130" s="50"/>
    </row>
    <row r="2131" spans="1:1" ht="13">
      <c r="A2131" s="50"/>
    </row>
    <row r="2132" spans="1:1" ht="13">
      <c r="A2132" s="50"/>
    </row>
    <row r="2133" spans="1:1" ht="13">
      <c r="A2133" s="50"/>
    </row>
    <row r="2134" spans="1:1" ht="13">
      <c r="A2134" s="50"/>
    </row>
    <row r="2135" spans="1:1" ht="13">
      <c r="A2135" s="50"/>
    </row>
    <row r="2136" spans="1:1" ht="13">
      <c r="A2136" s="50"/>
    </row>
    <row r="2137" spans="1:1" ht="13">
      <c r="A2137" s="50"/>
    </row>
    <row r="2138" spans="1:1" ht="13">
      <c r="A2138" s="50"/>
    </row>
    <row r="2139" spans="1:1" ht="13">
      <c r="A2139" s="50"/>
    </row>
    <row r="2140" spans="1:1" ht="13">
      <c r="A2140" s="50"/>
    </row>
    <row r="2141" spans="1:1" ht="13">
      <c r="A2141" s="50"/>
    </row>
    <row r="2142" spans="1:1" ht="13">
      <c r="A2142" s="50"/>
    </row>
    <row r="2143" spans="1:1" ht="13">
      <c r="A2143" s="50"/>
    </row>
    <row r="2144" spans="1:1" ht="13">
      <c r="A2144" s="50"/>
    </row>
    <row r="2145" spans="1:1" ht="13">
      <c r="A2145" s="50"/>
    </row>
    <row r="2146" spans="1:1" ht="13">
      <c r="A2146" s="50"/>
    </row>
    <row r="2147" spans="1:1" ht="13">
      <c r="A2147" s="50"/>
    </row>
    <row r="2148" spans="1:1" ht="13">
      <c r="A2148" s="50"/>
    </row>
    <row r="2149" spans="1:1" ht="13">
      <c r="A2149" s="50"/>
    </row>
    <row r="2150" spans="1:1" ht="13">
      <c r="A2150" s="50"/>
    </row>
    <row r="2151" spans="1:1" ht="13">
      <c r="A2151" s="50"/>
    </row>
    <row r="2152" spans="1:1" ht="13">
      <c r="A2152" s="50"/>
    </row>
    <row r="2153" spans="1:1" ht="13">
      <c r="A2153" s="50"/>
    </row>
    <row r="2154" spans="1:1" ht="13">
      <c r="A2154" s="50"/>
    </row>
    <row r="2155" spans="1:1" ht="13">
      <c r="A2155" s="50"/>
    </row>
    <row r="2156" spans="1:1" ht="13">
      <c r="A2156" s="50"/>
    </row>
    <row r="2157" spans="1:1" ht="13">
      <c r="A2157" s="50"/>
    </row>
    <row r="2158" spans="1:1" ht="13">
      <c r="A2158" s="50"/>
    </row>
    <row r="2159" spans="1:1" ht="13">
      <c r="A2159" s="50"/>
    </row>
    <row r="2160" spans="1:1" ht="13">
      <c r="A2160" s="50"/>
    </row>
    <row r="2161" spans="1:1" ht="13">
      <c r="A2161" s="50"/>
    </row>
    <row r="2162" spans="1:1" ht="13">
      <c r="A2162" s="50"/>
    </row>
    <row r="2163" spans="1:1" ht="13">
      <c r="A2163" s="50"/>
    </row>
    <row r="2164" spans="1:1" ht="13">
      <c r="A2164" s="50"/>
    </row>
    <row r="2165" spans="1:1" ht="13">
      <c r="A2165" s="50"/>
    </row>
    <row r="2166" spans="1:1" ht="13">
      <c r="A2166" s="50"/>
    </row>
    <row r="2167" spans="1:1" ht="13">
      <c r="A2167" s="50"/>
    </row>
    <row r="2168" spans="1:1" ht="13">
      <c r="A2168" s="50"/>
    </row>
    <row r="2169" spans="1:1" ht="13">
      <c r="A2169" s="50"/>
    </row>
    <row r="2170" spans="1:1" ht="13">
      <c r="A2170" s="50"/>
    </row>
    <row r="2171" spans="1:1" ht="13">
      <c r="A2171" s="50"/>
    </row>
    <row r="2172" spans="1:1" ht="13">
      <c r="A2172" s="50"/>
    </row>
    <row r="2173" spans="1:1" ht="13">
      <c r="A2173" s="50"/>
    </row>
    <row r="2174" spans="1:1" ht="13">
      <c r="A2174" s="50"/>
    </row>
    <row r="2175" spans="1:1" ht="13">
      <c r="A2175" s="50"/>
    </row>
    <row r="2176" spans="1:1" ht="13">
      <c r="A2176" s="50"/>
    </row>
    <row r="2177" spans="1:1" ht="13">
      <c r="A2177" s="50"/>
    </row>
    <row r="2178" spans="1:1" ht="13">
      <c r="A2178" s="50"/>
    </row>
    <row r="2179" spans="1:1" ht="13">
      <c r="A2179" s="50"/>
    </row>
    <row r="2180" spans="1:1" ht="13">
      <c r="A2180" s="50"/>
    </row>
    <row r="2181" spans="1:1" ht="13">
      <c r="A2181" s="50"/>
    </row>
    <row r="2182" spans="1:1" ht="13">
      <c r="A2182" s="50"/>
    </row>
    <row r="2183" spans="1:1" ht="13">
      <c r="A2183" s="50"/>
    </row>
    <row r="2184" spans="1:1" ht="13">
      <c r="A2184" s="50"/>
    </row>
    <row r="2185" spans="1:1" ht="13">
      <c r="A2185" s="50"/>
    </row>
    <row r="2186" spans="1:1" ht="13">
      <c r="A2186" s="50"/>
    </row>
    <row r="2187" spans="1:1" ht="13">
      <c r="A2187" s="50"/>
    </row>
    <row r="2188" spans="1:1" ht="13">
      <c r="A2188" s="50"/>
    </row>
    <row r="2189" spans="1:1" ht="13">
      <c r="A2189" s="50"/>
    </row>
    <row r="2190" spans="1:1" ht="13">
      <c r="A2190" s="50"/>
    </row>
    <row r="2191" spans="1:1" ht="13">
      <c r="A2191" s="50"/>
    </row>
    <row r="2192" spans="1:1" ht="13">
      <c r="A2192" s="50"/>
    </row>
    <row r="2193" spans="1:1" ht="13">
      <c r="A2193" s="50"/>
    </row>
    <row r="2194" spans="1:1" ht="13">
      <c r="A2194" s="50"/>
    </row>
    <row r="2195" spans="1:1" ht="13">
      <c r="A2195" s="50"/>
    </row>
    <row r="2196" spans="1:1" ht="13">
      <c r="A2196" s="50"/>
    </row>
    <row r="2197" spans="1:1" ht="13">
      <c r="A2197" s="50"/>
    </row>
    <row r="2198" spans="1:1" ht="13">
      <c r="A2198" s="50"/>
    </row>
    <row r="2199" spans="1:1" ht="13">
      <c r="A2199" s="50"/>
    </row>
    <row r="2200" spans="1:1" ht="13">
      <c r="A2200" s="50"/>
    </row>
    <row r="2201" spans="1:1" ht="13">
      <c r="A2201" s="50"/>
    </row>
    <row r="2202" spans="1:1" ht="13">
      <c r="A2202" s="50"/>
    </row>
    <row r="2203" spans="1:1" ht="13">
      <c r="A2203" s="50"/>
    </row>
    <row r="2204" spans="1:1" ht="13">
      <c r="A2204" s="50"/>
    </row>
    <row r="2205" spans="1:1" ht="13">
      <c r="A2205" s="50"/>
    </row>
    <row r="2206" spans="1:1" ht="13">
      <c r="A2206" s="50"/>
    </row>
    <row r="2207" spans="1:1" ht="13">
      <c r="A2207" s="50"/>
    </row>
    <row r="2208" spans="1:1" ht="13">
      <c r="A2208" s="50"/>
    </row>
    <row r="2209" spans="1:1" ht="13">
      <c r="A2209" s="50"/>
    </row>
    <row r="2210" spans="1:1" ht="13">
      <c r="A2210" s="50"/>
    </row>
    <row r="2211" spans="1:1" ht="13">
      <c r="A2211" s="50"/>
    </row>
    <row r="2212" spans="1:1" ht="13">
      <c r="A2212" s="50"/>
    </row>
    <row r="2213" spans="1:1" ht="13">
      <c r="A2213" s="50"/>
    </row>
    <row r="2214" spans="1:1" ht="13">
      <c r="A2214" s="50"/>
    </row>
    <row r="2215" spans="1:1" ht="13">
      <c r="A2215" s="50"/>
    </row>
    <row r="2216" spans="1:1" ht="13">
      <c r="A2216" s="50"/>
    </row>
    <row r="2217" spans="1:1" ht="13">
      <c r="A2217" s="50"/>
    </row>
    <row r="2218" spans="1:1" ht="13">
      <c r="A2218" s="50"/>
    </row>
    <row r="2219" spans="1:1" ht="13">
      <c r="A2219" s="50"/>
    </row>
    <row r="2220" spans="1:1" ht="13">
      <c r="A2220" s="50"/>
    </row>
    <row r="2221" spans="1:1" ht="13">
      <c r="A2221" s="50"/>
    </row>
    <row r="2222" spans="1:1" ht="13">
      <c r="A2222" s="50"/>
    </row>
    <row r="2223" spans="1:1" ht="13">
      <c r="A2223" s="50"/>
    </row>
    <row r="2224" spans="1:1" ht="13">
      <c r="A2224" s="50"/>
    </row>
    <row r="2225" spans="1:1" ht="13">
      <c r="A2225" s="50"/>
    </row>
    <row r="2226" spans="1:1" ht="13">
      <c r="A2226" s="50"/>
    </row>
    <row r="2227" spans="1:1" ht="13">
      <c r="A2227" s="50"/>
    </row>
    <row r="2228" spans="1:1" ht="13">
      <c r="A2228" s="50"/>
    </row>
    <row r="2229" spans="1:1" ht="13">
      <c r="A2229" s="50"/>
    </row>
    <row r="2230" spans="1:1" ht="13">
      <c r="A2230" s="50"/>
    </row>
    <row r="2231" spans="1:1" ht="13">
      <c r="A2231" s="50"/>
    </row>
    <row r="2232" spans="1:1" ht="13">
      <c r="A2232" s="50"/>
    </row>
    <row r="2233" spans="1:1" ht="13">
      <c r="A2233" s="50"/>
    </row>
    <row r="2234" spans="1:1" ht="13">
      <c r="A2234" s="50"/>
    </row>
    <row r="2235" spans="1:1" ht="13">
      <c r="A2235" s="50"/>
    </row>
    <row r="2236" spans="1:1" ht="13">
      <c r="A2236" s="50"/>
    </row>
    <row r="2237" spans="1:1" ht="13">
      <c r="A2237" s="50"/>
    </row>
    <row r="2238" spans="1:1" ht="13">
      <c r="A2238" s="50"/>
    </row>
    <row r="2239" spans="1:1" ht="13">
      <c r="A2239" s="50"/>
    </row>
    <row r="2240" spans="1:1" ht="13">
      <c r="A2240" s="50"/>
    </row>
    <row r="2241" spans="1:1" ht="13">
      <c r="A2241" s="50"/>
    </row>
    <row r="2242" spans="1:1" ht="13">
      <c r="A2242" s="50"/>
    </row>
    <row r="2243" spans="1:1" ht="13">
      <c r="A2243" s="50"/>
    </row>
    <row r="2244" spans="1:1" ht="13">
      <c r="A2244" s="50"/>
    </row>
    <row r="2245" spans="1:1" ht="13">
      <c r="A2245" s="50"/>
    </row>
    <row r="2246" spans="1:1" ht="13">
      <c r="A2246" s="50"/>
    </row>
    <row r="2247" spans="1:1" ht="13">
      <c r="A2247" s="50"/>
    </row>
    <row r="2248" spans="1:1" ht="13">
      <c r="A2248" s="50"/>
    </row>
    <row r="2249" spans="1:1" ht="13">
      <c r="A2249" s="50"/>
    </row>
    <row r="2250" spans="1:1" ht="13">
      <c r="A2250" s="50"/>
    </row>
    <row r="2251" spans="1:1" ht="13">
      <c r="A2251" s="50"/>
    </row>
    <row r="2252" spans="1:1" ht="13">
      <c r="A2252" s="50"/>
    </row>
    <row r="2253" spans="1:1" ht="13">
      <c r="A2253" s="50"/>
    </row>
    <row r="2254" spans="1:1" ht="13">
      <c r="A2254" s="50"/>
    </row>
    <row r="2255" spans="1:1" ht="13">
      <c r="A2255" s="50"/>
    </row>
    <row r="2256" spans="1:1" ht="13">
      <c r="A2256" s="50"/>
    </row>
    <row r="2257" spans="1:1" ht="13">
      <c r="A2257" s="50"/>
    </row>
    <row r="2258" spans="1:1" ht="13">
      <c r="A2258" s="50"/>
    </row>
    <row r="2259" spans="1:1" ht="13">
      <c r="A2259" s="50"/>
    </row>
    <row r="2260" spans="1:1" ht="13">
      <c r="A2260" s="50"/>
    </row>
    <row r="2261" spans="1:1" ht="13">
      <c r="A2261" s="50"/>
    </row>
    <row r="2262" spans="1:1" ht="13">
      <c r="A2262" s="50"/>
    </row>
    <row r="2263" spans="1:1" ht="13">
      <c r="A2263" s="50"/>
    </row>
    <row r="2264" spans="1:1" ht="13">
      <c r="A2264" s="50"/>
    </row>
    <row r="2265" spans="1:1" ht="13">
      <c r="A2265" s="50"/>
    </row>
    <row r="2266" spans="1:1" ht="13">
      <c r="A2266" s="50"/>
    </row>
    <row r="2267" spans="1:1" ht="13">
      <c r="A2267" s="50"/>
    </row>
    <row r="2268" spans="1:1" ht="13">
      <c r="A2268" s="50"/>
    </row>
    <row r="2269" spans="1:1" ht="13">
      <c r="A2269" s="50"/>
    </row>
    <row r="2270" spans="1:1" ht="13">
      <c r="A2270" s="50"/>
    </row>
    <row r="2271" spans="1:1" ht="13">
      <c r="A2271" s="50"/>
    </row>
    <row r="2272" spans="1:1" ht="13">
      <c r="A2272" s="50"/>
    </row>
    <row r="2273" spans="1:1" ht="13">
      <c r="A2273" s="50"/>
    </row>
    <row r="2274" spans="1:1" ht="13">
      <c r="A2274" s="50"/>
    </row>
    <row r="2275" spans="1:1" ht="13">
      <c r="A2275" s="50"/>
    </row>
    <row r="2276" spans="1:1" ht="13">
      <c r="A2276" s="50"/>
    </row>
    <row r="2277" spans="1:1" ht="13">
      <c r="A2277" s="50"/>
    </row>
    <row r="2278" spans="1:1" ht="13">
      <c r="A2278" s="50"/>
    </row>
    <row r="2279" spans="1:1" ht="13">
      <c r="A2279" s="50"/>
    </row>
    <row r="2280" spans="1:1" ht="13">
      <c r="A2280" s="50"/>
    </row>
    <row r="2281" spans="1:1" ht="13">
      <c r="A2281" s="50"/>
    </row>
    <row r="2282" spans="1:1" ht="13">
      <c r="A2282" s="50"/>
    </row>
    <row r="2283" spans="1:1" ht="13">
      <c r="A2283" s="50"/>
    </row>
    <row r="2284" spans="1:1" ht="13">
      <c r="A2284" s="50"/>
    </row>
    <row r="2285" spans="1:1" ht="13">
      <c r="A2285" s="50"/>
    </row>
    <row r="2286" spans="1:1" ht="13">
      <c r="A2286" s="50"/>
    </row>
    <row r="2287" spans="1:1" ht="13">
      <c r="A2287" s="50"/>
    </row>
    <row r="2288" spans="1:1" ht="13">
      <c r="A2288" s="50"/>
    </row>
    <row r="2289" spans="1:1" ht="13">
      <c r="A2289" s="50"/>
    </row>
    <row r="2290" spans="1:1" ht="13">
      <c r="A2290" s="50"/>
    </row>
    <row r="2291" spans="1:1" ht="13">
      <c r="A2291" s="50"/>
    </row>
    <row r="2292" spans="1:1" ht="13">
      <c r="A2292" s="50"/>
    </row>
    <row r="2293" spans="1:1" ht="13">
      <c r="A2293" s="50"/>
    </row>
    <row r="2294" spans="1:1" ht="13">
      <c r="A2294" s="50"/>
    </row>
    <row r="2295" spans="1:1" ht="13">
      <c r="A2295" s="50"/>
    </row>
    <row r="2296" spans="1:1" ht="13">
      <c r="A2296" s="50"/>
    </row>
    <row r="2297" spans="1:1" ht="13">
      <c r="A2297" s="50"/>
    </row>
    <row r="2298" spans="1:1" ht="13">
      <c r="A2298" s="50"/>
    </row>
    <row r="2299" spans="1:1" ht="13">
      <c r="A2299" s="50"/>
    </row>
    <row r="2300" spans="1:1" ht="13">
      <c r="A2300" s="50"/>
    </row>
    <row r="2301" spans="1:1" ht="13">
      <c r="A2301" s="50"/>
    </row>
    <row r="2302" spans="1:1" ht="13">
      <c r="A2302" s="50"/>
    </row>
    <row r="2303" spans="1:1" ht="13">
      <c r="A2303" s="50"/>
    </row>
    <row r="2304" spans="1:1" ht="13">
      <c r="A2304" s="50"/>
    </row>
    <row r="2305" spans="1:1" ht="13">
      <c r="A2305" s="50"/>
    </row>
    <row r="2306" spans="1:1" ht="13">
      <c r="A2306" s="50"/>
    </row>
    <row r="2307" spans="1:1" ht="13">
      <c r="A2307" s="50"/>
    </row>
    <row r="2308" spans="1:1" ht="13">
      <c r="A2308" s="50"/>
    </row>
    <row r="2309" spans="1:1" ht="13">
      <c r="A2309" s="50"/>
    </row>
    <row r="2310" spans="1:1" ht="13">
      <c r="A2310" s="50"/>
    </row>
    <row r="2311" spans="1:1" ht="13">
      <c r="A2311" s="50"/>
    </row>
    <row r="2312" spans="1:1" ht="13">
      <c r="A2312" s="50"/>
    </row>
    <row r="2313" spans="1:1" ht="13">
      <c r="A2313" s="50"/>
    </row>
    <row r="2314" spans="1:1" ht="13">
      <c r="A2314" s="50"/>
    </row>
    <row r="2315" spans="1:1" ht="13">
      <c r="A2315" s="50"/>
    </row>
    <row r="2316" spans="1:1" ht="13">
      <c r="A2316" s="50"/>
    </row>
    <row r="2317" spans="1:1" ht="13">
      <c r="A2317" s="50"/>
    </row>
    <row r="2318" spans="1:1" ht="13">
      <c r="A2318" s="50"/>
    </row>
    <row r="2319" spans="1:1" ht="13">
      <c r="A2319" s="50"/>
    </row>
    <row r="2320" spans="1:1" ht="13">
      <c r="A2320" s="50"/>
    </row>
    <row r="2321" spans="1:1" ht="13">
      <c r="A2321" s="50"/>
    </row>
    <row r="2322" spans="1:1" ht="13">
      <c r="A2322" s="50"/>
    </row>
    <row r="2323" spans="1:1" ht="13">
      <c r="A2323" s="50"/>
    </row>
    <row r="2324" spans="1:1" ht="13">
      <c r="A2324" s="50"/>
    </row>
    <row r="2325" spans="1:1" ht="13">
      <c r="A2325" s="50"/>
    </row>
    <row r="2326" spans="1:1" ht="13">
      <c r="A2326" s="50"/>
    </row>
    <row r="2327" spans="1:1" ht="13">
      <c r="A2327" s="50"/>
    </row>
    <row r="2328" spans="1:1" ht="13">
      <c r="A2328" s="50"/>
    </row>
    <row r="2329" spans="1:1" ht="13">
      <c r="A2329" s="50"/>
    </row>
    <row r="2330" spans="1:1" ht="13">
      <c r="A2330" s="50"/>
    </row>
    <row r="2331" spans="1:1" ht="13">
      <c r="A2331" s="50"/>
    </row>
    <row r="2332" spans="1:1" ht="13">
      <c r="A2332" s="50"/>
    </row>
    <row r="2333" spans="1:1" ht="13">
      <c r="A2333" s="50"/>
    </row>
    <row r="2334" spans="1:1" ht="13">
      <c r="A2334" s="50"/>
    </row>
    <row r="2335" spans="1:1" ht="13">
      <c r="A2335" s="50"/>
    </row>
    <row r="2336" spans="1:1" ht="13">
      <c r="A2336" s="50"/>
    </row>
    <row r="2337" spans="1:1" ht="13">
      <c r="A2337" s="50"/>
    </row>
    <row r="2338" spans="1:1" ht="13">
      <c r="A2338" s="50"/>
    </row>
    <row r="2339" spans="1:1" ht="13">
      <c r="A2339" s="50"/>
    </row>
    <row r="2340" spans="1:1" ht="13">
      <c r="A2340" s="50"/>
    </row>
    <row r="2341" spans="1:1" ht="13">
      <c r="A2341" s="50"/>
    </row>
    <row r="2342" spans="1:1" ht="13">
      <c r="A2342" s="50"/>
    </row>
    <row r="2343" spans="1:1" ht="13">
      <c r="A2343" s="50"/>
    </row>
    <row r="2344" spans="1:1" ht="13">
      <c r="A2344" s="50"/>
    </row>
    <row r="2345" spans="1:1" ht="13">
      <c r="A2345" s="50"/>
    </row>
    <row r="2346" spans="1:1" ht="13">
      <c r="A2346" s="50"/>
    </row>
    <row r="2347" spans="1:1" ht="13">
      <c r="A2347" s="50"/>
    </row>
    <row r="2348" spans="1:1" ht="13">
      <c r="A2348" s="50"/>
    </row>
    <row r="2349" spans="1:1" ht="13">
      <c r="A2349" s="50"/>
    </row>
    <row r="2350" spans="1:1" ht="13">
      <c r="A2350" s="50"/>
    </row>
    <row r="2351" spans="1:1" ht="13">
      <c r="A2351" s="50"/>
    </row>
    <row r="2352" spans="1:1" ht="13">
      <c r="A2352" s="50"/>
    </row>
    <row r="2353" spans="1:1" ht="13">
      <c r="A2353" s="50"/>
    </row>
    <row r="2354" spans="1:1" ht="13">
      <c r="A2354" s="50"/>
    </row>
    <row r="2355" spans="1:1" ht="13">
      <c r="A2355" s="50"/>
    </row>
    <row r="2356" spans="1:1" ht="13">
      <c r="A2356" s="50"/>
    </row>
    <row r="2357" spans="1:1" ht="13">
      <c r="A2357" s="50"/>
    </row>
    <row r="2358" spans="1:1" ht="13">
      <c r="A2358" s="50"/>
    </row>
    <row r="2359" spans="1:1" ht="13">
      <c r="A2359" s="50"/>
    </row>
    <row r="2360" spans="1:1" ht="13">
      <c r="A2360" s="50"/>
    </row>
    <row r="2361" spans="1:1" ht="13">
      <c r="A2361" s="50"/>
    </row>
    <row r="2362" spans="1:1" ht="13">
      <c r="A2362" s="50"/>
    </row>
    <row r="2363" spans="1:1" ht="13">
      <c r="A2363" s="50"/>
    </row>
    <row r="2364" spans="1:1" ht="13">
      <c r="A2364" s="50"/>
    </row>
    <row r="2365" spans="1:1" ht="13">
      <c r="A2365" s="50"/>
    </row>
    <row r="2366" spans="1:1" ht="13">
      <c r="A2366" s="50"/>
    </row>
    <row r="2367" spans="1:1" ht="13">
      <c r="A2367" s="50"/>
    </row>
    <row r="2368" spans="1:1" ht="13">
      <c r="A2368" s="50"/>
    </row>
    <row r="2369" spans="1:1" ht="13">
      <c r="A2369" s="50"/>
    </row>
    <row r="2370" spans="1:1" ht="13">
      <c r="A2370" s="50"/>
    </row>
    <row r="2371" spans="1:1" ht="13">
      <c r="A2371" s="50"/>
    </row>
    <row r="2372" spans="1:1" ht="13">
      <c r="A2372" s="50"/>
    </row>
    <row r="2373" spans="1:1" ht="13">
      <c r="A2373" s="50"/>
    </row>
    <row r="2374" spans="1:1" ht="13">
      <c r="A2374" s="50"/>
    </row>
    <row r="2375" spans="1:1" ht="13">
      <c r="A2375" s="50"/>
    </row>
    <row r="2376" spans="1:1" ht="13">
      <c r="A2376" s="50"/>
    </row>
    <row r="2377" spans="1:1" ht="13">
      <c r="A2377" s="50"/>
    </row>
    <row r="2378" spans="1:1" ht="13">
      <c r="A2378" s="50"/>
    </row>
    <row r="2379" spans="1:1" ht="13">
      <c r="A2379" s="50"/>
    </row>
    <row r="2380" spans="1:1" ht="13">
      <c r="A2380" s="50"/>
    </row>
    <row r="2381" spans="1:1" ht="13">
      <c r="A2381" s="50"/>
    </row>
    <row r="2382" spans="1:1" ht="13">
      <c r="A2382" s="50"/>
    </row>
    <row r="2383" spans="1:1" ht="13">
      <c r="A2383" s="50"/>
    </row>
    <row r="2384" spans="1:1" ht="13">
      <c r="A2384" s="50"/>
    </row>
    <row r="2385" spans="1:1" ht="13">
      <c r="A2385" s="50"/>
    </row>
    <row r="2386" spans="1:1" ht="13">
      <c r="A2386" s="50"/>
    </row>
    <row r="2387" spans="1:1" ht="13">
      <c r="A2387" s="50"/>
    </row>
    <row r="2388" spans="1:1" ht="13">
      <c r="A2388" s="50"/>
    </row>
    <row r="2389" spans="1:1" ht="13">
      <c r="A2389" s="50"/>
    </row>
    <row r="2390" spans="1:1" ht="13">
      <c r="A2390" s="50"/>
    </row>
    <row r="2391" spans="1:1" ht="13">
      <c r="A2391" s="50"/>
    </row>
    <row r="2392" spans="1:1" ht="13">
      <c r="A2392" s="50"/>
    </row>
    <row r="2393" spans="1:1" ht="13">
      <c r="A2393" s="50"/>
    </row>
    <row r="2394" spans="1:1" ht="13">
      <c r="A2394" s="50"/>
    </row>
    <row r="2395" spans="1:1" ht="13">
      <c r="A2395" s="50"/>
    </row>
    <row r="2396" spans="1:1" ht="13">
      <c r="A2396" s="50"/>
    </row>
    <row r="2397" spans="1:1" ht="13">
      <c r="A2397" s="50"/>
    </row>
    <row r="2398" spans="1:1" ht="13">
      <c r="A2398" s="50"/>
    </row>
    <row r="2399" spans="1:1" ht="13">
      <c r="A2399" s="50"/>
    </row>
    <row r="2400" spans="1:1" ht="13">
      <c r="A2400" s="50"/>
    </row>
    <row r="2401" spans="1:1" ht="13">
      <c r="A2401" s="50"/>
    </row>
    <row r="2402" spans="1:1" ht="13">
      <c r="A2402" s="50"/>
    </row>
    <row r="2403" spans="1:1" ht="13">
      <c r="A2403" s="50"/>
    </row>
    <row r="2404" spans="1:1" ht="13">
      <c r="A2404" s="50"/>
    </row>
    <row r="2405" spans="1:1" ht="13">
      <c r="A2405" s="50"/>
    </row>
    <row r="2406" spans="1:1" ht="13">
      <c r="A2406" s="50"/>
    </row>
    <row r="2407" spans="1:1" ht="13">
      <c r="A2407" s="50"/>
    </row>
    <row r="2408" spans="1:1" ht="13">
      <c r="A2408" s="50"/>
    </row>
    <row r="2409" spans="1:1" ht="13">
      <c r="A2409" s="50"/>
    </row>
    <row r="2410" spans="1:1" ht="13">
      <c r="A2410" s="50"/>
    </row>
    <row r="2411" spans="1:1" ht="13">
      <c r="A2411" s="50"/>
    </row>
    <row r="2412" spans="1:1" ht="13">
      <c r="A2412" s="50"/>
    </row>
    <row r="2413" spans="1:1" ht="13">
      <c r="A2413" s="50"/>
    </row>
    <row r="2414" spans="1:1" ht="13">
      <c r="A2414" s="50"/>
    </row>
    <row r="2415" spans="1:1" ht="13">
      <c r="A2415" s="50"/>
    </row>
    <row r="2416" spans="1:1" ht="13">
      <c r="A2416" s="50"/>
    </row>
    <row r="2417" spans="1:1" ht="13">
      <c r="A2417" s="50"/>
    </row>
    <row r="2418" spans="1:1" ht="13">
      <c r="A2418" s="50"/>
    </row>
    <row r="2419" spans="1:1" ht="13">
      <c r="A2419" s="50"/>
    </row>
    <row r="2420" spans="1:1" ht="13">
      <c r="A2420" s="50"/>
    </row>
    <row r="2421" spans="1:1" ht="13">
      <c r="A2421" s="50"/>
    </row>
    <row r="2422" spans="1:1" ht="13">
      <c r="A2422" s="50"/>
    </row>
    <row r="2423" spans="1:1" ht="13">
      <c r="A2423" s="50"/>
    </row>
    <row r="2424" spans="1:1" ht="13">
      <c r="A2424" s="50"/>
    </row>
    <row r="2425" spans="1:1" ht="13">
      <c r="A2425" s="50"/>
    </row>
    <row r="2426" spans="1:1" ht="13">
      <c r="A2426" s="50"/>
    </row>
    <row r="2427" spans="1:1" ht="13">
      <c r="A2427" s="50"/>
    </row>
    <row r="2428" spans="1:1" ht="13">
      <c r="A2428" s="50"/>
    </row>
    <row r="2429" spans="1:1" ht="13">
      <c r="A2429" s="50"/>
    </row>
    <row r="2430" spans="1:1" ht="13">
      <c r="A2430" s="50"/>
    </row>
    <row r="2431" spans="1:1" ht="13">
      <c r="A2431" s="50"/>
    </row>
    <row r="2432" spans="1:1" ht="13">
      <c r="A2432" s="50"/>
    </row>
    <row r="2433" spans="1:1" ht="13">
      <c r="A2433" s="50"/>
    </row>
    <row r="2434" spans="1:1" ht="13">
      <c r="A2434" s="50"/>
    </row>
    <row r="2435" spans="1:1" ht="13">
      <c r="A2435" s="50"/>
    </row>
    <row r="2436" spans="1:1" ht="13">
      <c r="A2436" s="50"/>
    </row>
    <row r="2437" spans="1:1" ht="13">
      <c r="A2437" s="50"/>
    </row>
    <row r="2438" spans="1:1" ht="13">
      <c r="A2438" s="50"/>
    </row>
    <row r="2439" spans="1:1" ht="13">
      <c r="A2439" s="50"/>
    </row>
    <row r="2440" spans="1:1" ht="13">
      <c r="A2440" s="50"/>
    </row>
    <row r="2441" spans="1:1" ht="13">
      <c r="A2441" s="50"/>
    </row>
    <row r="2442" spans="1:1" ht="13">
      <c r="A2442" s="50"/>
    </row>
    <row r="2443" spans="1:1" ht="13">
      <c r="A2443" s="50"/>
    </row>
    <row r="2444" spans="1:1" ht="13">
      <c r="A2444" s="50"/>
    </row>
    <row r="2445" spans="1:1" ht="13">
      <c r="A2445" s="50"/>
    </row>
    <row r="2446" spans="1:1" ht="13">
      <c r="A2446" s="50"/>
    </row>
    <row r="2447" spans="1:1" ht="13">
      <c r="A2447" s="50"/>
    </row>
    <row r="2448" spans="1:1" ht="13">
      <c r="A2448" s="50"/>
    </row>
    <row r="2449" spans="1:1" ht="13">
      <c r="A2449" s="50"/>
    </row>
    <row r="2450" spans="1:1" ht="13">
      <c r="A2450" s="50"/>
    </row>
    <row r="2451" spans="1:1" ht="13">
      <c r="A2451" s="50"/>
    </row>
    <row r="2452" spans="1:1" ht="13">
      <c r="A2452" s="50"/>
    </row>
    <row r="2453" spans="1:1" ht="13">
      <c r="A2453" s="50"/>
    </row>
    <row r="2454" spans="1:1" ht="13">
      <c r="A2454" s="50"/>
    </row>
    <row r="2455" spans="1:1" ht="13">
      <c r="A2455" s="50"/>
    </row>
    <row r="2456" spans="1:1" ht="13">
      <c r="A2456" s="50"/>
    </row>
    <row r="2457" spans="1:1" ht="13">
      <c r="A2457" s="50"/>
    </row>
    <row r="2458" spans="1:1" ht="13">
      <c r="A2458" s="50"/>
    </row>
    <row r="2459" spans="1:1" ht="13">
      <c r="A2459" s="50"/>
    </row>
    <row r="2460" spans="1:1" ht="13">
      <c r="A2460" s="50"/>
    </row>
    <row r="2461" spans="1:1" ht="13">
      <c r="A2461" s="50"/>
    </row>
    <row r="2462" spans="1:1" ht="13">
      <c r="A2462" s="50"/>
    </row>
    <row r="2463" spans="1:1" ht="13">
      <c r="A2463" s="50"/>
    </row>
    <row r="2464" spans="1:1" ht="13">
      <c r="A2464" s="50"/>
    </row>
    <row r="2465" spans="1:1" ht="13">
      <c r="A2465" s="50"/>
    </row>
    <row r="2466" spans="1:1" ht="13">
      <c r="A2466" s="50"/>
    </row>
    <row r="2467" spans="1:1" ht="13">
      <c r="A2467" s="50"/>
    </row>
    <row r="2468" spans="1:1" ht="13">
      <c r="A2468" s="50"/>
    </row>
    <row r="2469" spans="1:1" ht="13">
      <c r="A2469" s="50"/>
    </row>
    <row r="2470" spans="1:1" ht="13">
      <c r="A2470" s="50"/>
    </row>
    <row r="2471" spans="1:1" ht="13">
      <c r="A2471" s="50"/>
    </row>
    <row r="2472" spans="1:1" ht="13">
      <c r="A2472" s="50"/>
    </row>
    <row r="2473" spans="1:1" ht="13">
      <c r="A2473" s="50"/>
    </row>
    <row r="2474" spans="1:1" ht="13">
      <c r="A2474" s="50"/>
    </row>
    <row r="2475" spans="1:1" ht="13">
      <c r="A2475" s="50"/>
    </row>
    <row r="2476" spans="1:1" ht="13">
      <c r="A2476" s="50"/>
    </row>
    <row r="2477" spans="1:1" ht="13">
      <c r="A2477" s="50"/>
    </row>
    <row r="2478" spans="1:1" ht="13">
      <c r="A2478" s="50"/>
    </row>
    <row r="2479" spans="1:1" ht="13">
      <c r="A2479" s="50"/>
    </row>
    <row r="2480" spans="1:1" ht="13">
      <c r="A2480" s="50"/>
    </row>
    <row r="2481" spans="1:1" ht="13">
      <c r="A2481" s="50"/>
    </row>
    <row r="2482" spans="1:1" ht="13">
      <c r="A2482" s="50"/>
    </row>
    <row r="2483" spans="1:1" ht="13">
      <c r="A2483" s="50"/>
    </row>
    <row r="2484" spans="1:1" ht="13">
      <c r="A2484" s="50"/>
    </row>
    <row r="2485" spans="1:1" ht="13">
      <c r="A2485" s="50"/>
    </row>
    <row r="2486" spans="1:1" ht="13">
      <c r="A2486" s="50"/>
    </row>
    <row r="2487" spans="1:1" ht="13">
      <c r="A2487" s="50"/>
    </row>
    <row r="2488" spans="1:1" ht="13">
      <c r="A2488" s="50"/>
    </row>
    <row r="2489" spans="1:1" ht="13">
      <c r="A2489" s="50"/>
    </row>
    <row r="2490" spans="1:1" ht="13">
      <c r="A2490" s="50"/>
    </row>
  </sheetData>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W21"/>
  <sheetViews>
    <sheetView workbookViewId="0"/>
  </sheetViews>
  <sheetFormatPr baseColWidth="10" defaultColWidth="14.5" defaultRowHeight="15.75" customHeight="1"/>
  <cols>
    <col min="1" max="1" width="12.33203125" customWidth="1"/>
    <col min="2" max="2" width="6.83203125" customWidth="1"/>
    <col min="4" max="4" width="15.33203125" customWidth="1"/>
    <col min="5" max="5" width="5.83203125" customWidth="1"/>
    <col min="9" max="9" width="19.1640625" customWidth="1"/>
    <col min="10" max="10" width="7.83203125" customWidth="1"/>
    <col min="11" max="11" width="5.5" customWidth="1"/>
  </cols>
  <sheetData>
    <row r="1" spans="1:23" ht="15.75" customHeight="1">
      <c r="A1" s="129" t="s">
        <v>2447</v>
      </c>
      <c r="B1" s="129" t="s">
        <v>2990</v>
      </c>
      <c r="C1" s="50"/>
      <c r="D1" s="129" t="s">
        <v>2501</v>
      </c>
      <c r="E1" s="167" t="s">
        <v>2991</v>
      </c>
      <c r="F1" s="50"/>
      <c r="G1" s="129" t="s">
        <v>1193</v>
      </c>
      <c r="H1" s="50"/>
      <c r="I1" s="129" t="s">
        <v>1400</v>
      </c>
      <c r="J1" s="129" t="s">
        <v>2291</v>
      </c>
      <c r="K1" s="129" t="s">
        <v>2991</v>
      </c>
      <c r="L1" s="50"/>
      <c r="M1" s="50"/>
      <c r="N1" s="50"/>
      <c r="O1" s="50"/>
      <c r="P1" s="50"/>
      <c r="Q1" s="50"/>
      <c r="R1" s="50"/>
      <c r="S1" s="50"/>
      <c r="T1" s="50"/>
      <c r="U1" s="50"/>
      <c r="V1" s="50"/>
      <c r="W1" s="50"/>
    </row>
    <row r="2" spans="1:23" ht="15.75" customHeight="1">
      <c r="A2" s="42" t="s">
        <v>1537</v>
      </c>
      <c r="B2" s="42">
        <v>2</v>
      </c>
      <c r="D2" s="42" t="s">
        <v>2548</v>
      </c>
      <c r="E2" s="42">
        <v>1</v>
      </c>
      <c r="G2" s="42" t="s">
        <v>2992</v>
      </c>
      <c r="I2" s="42" t="s">
        <v>1994</v>
      </c>
      <c r="J2" s="42">
        <v>1</v>
      </c>
    </row>
    <row r="3" spans="1:23" ht="15.75" customHeight="1">
      <c r="A3" s="42" t="s">
        <v>1976</v>
      </c>
      <c r="B3" s="42">
        <v>10</v>
      </c>
      <c r="D3" s="42" t="s">
        <v>2557</v>
      </c>
      <c r="E3" s="42">
        <v>3</v>
      </c>
      <c r="G3" s="42" t="s">
        <v>133</v>
      </c>
      <c r="I3" s="42" t="s">
        <v>1997</v>
      </c>
      <c r="J3" s="42">
        <v>2</v>
      </c>
    </row>
    <row r="4" spans="1:23" ht="15.75" customHeight="1">
      <c r="A4" s="42" t="s">
        <v>1667</v>
      </c>
      <c r="B4" s="42">
        <v>10</v>
      </c>
      <c r="D4" s="42" t="s">
        <v>2546</v>
      </c>
      <c r="E4" s="42">
        <v>8</v>
      </c>
      <c r="I4" s="42" t="s">
        <v>2001</v>
      </c>
      <c r="J4" s="42">
        <v>3</v>
      </c>
      <c r="K4" s="42">
        <v>1</v>
      </c>
    </row>
    <row r="5" spans="1:23" ht="15.75" customHeight="1">
      <c r="A5" s="42" t="s">
        <v>2461</v>
      </c>
      <c r="B5" s="174">
        <v>10</v>
      </c>
      <c r="D5" s="42" t="s">
        <v>2571</v>
      </c>
      <c r="E5" s="42">
        <v>13</v>
      </c>
      <c r="I5" s="42" t="s">
        <v>2993</v>
      </c>
      <c r="J5" s="42">
        <v>4</v>
      </c>
      <c r="K5" s="42">
        <v>3</v>
      </c>
    </row>
    <row r="6" spans="1:23" ht="15.75" customHeight="1">
      <c r="A6" s="42" t="s">
        <v>1824</v>
      </c>
      <c r="B6" s="42">
        <v>2</v>
      </c>
      <c r="D6" s="42" t="s">
        <v>2563</v>
      </c>
      <c r="E6" s="42">
        <v>18</v>
      </c>
      <c r="I6" s="42" t="s">
        <v>2010</v>
      </c>
      <c r="J6" s="42">
        <v>5</v>
      </c>
      <c r="K6" s="42">
        <v>5</v>
      </c>
    </row>
    <row r="7" spans="1:23" ht="15.75" customHeight="1">
      <c r="A7" s="42" t="s">
        <v>1727</v>
      </c>
      <c r="B7" s="42">
        <v>3</v>
      </c>
      <c r="D7" s="42" t="s">
        <v>2513</v>
      </c>
      <c r="E7" s="42">
        <v>23</v>
      </c>
      <c r="I7" s="42" t="s">
        <v>1542</v>
      </c>
      <c r="J7" s="42">
        <v>6</v>
      </c>
      <c r="K7" s="42">
        <v>7</v>
      </c>
    </row>
    <row r="8" spans="1:23" ht="15.75" customHeight="1">
      <c r="D8" s="42" t="s">
        <v>2355</v>
      </c>
      <c r="E8" s="42">
        <v>28</v>
      </c>
      <c r="I8" s="42" t="s">
        <v>1763</v>
      </c>
      <c r="J8" s="42">
        <v>7</v>
      </c>
      <c r="K8" s="42">
        <v>9</v>
      </c>
    </row>
    <row r="9" spans="1:23" ht="15.75" customHeight="1">
      <c r="I9" s="42" t="s">
        <v>1544</v>
      </c>
      <c r="J9" s="42">
        <v>8</v>
      </c>
      <c r="K9" s="42">
        <v>11</v>
      </c>
    </row>
    <row r="10" spans="1:23" ht="15.75" customHeight="1">
      <c r="I10" s="42" t="s">
        <v>2994</v>
      </c>
      <c r="J10" s="42">
        <v>9</v>
      </c>
      <c r="K10" s="42">
        <v>13</v>
      </c>
    </row>
    <row r="11" spans="1:23" ht="15.75" customHeight="1">
      <c r="A11" s="42" t="s">
        <v>2991</v>
      </c>
      <c r="B11">
        <f>SUM(B2:B10)/2-4+(VLOOKUP("Polymorph",A:B,2,FALSE)/2)</f>
        <v>16</v>
      </c>
      <c r="I11" s="42" t="s">
        <v>2020</v>
      </c>
      <c r="J11" s="42">
        <v>10</v>
      </c>
      <c r="K11" s="42">
        <v>15</v>
      </c>
    </row>
    <row r="12" spans="1:23" ht="15.75" customHeight="1">
      <c r="I12" s="42" t="s">
        <v>1711</v>
      </c>
      <c r="J12" s="42">
        <v>11</v>
      </c>
      <c r="K12" s="42">
        <v>17</v>
      </c>
    </row>
    <row r="13" spans="1:23" ht="15.75" customHeight="1">
      <c r="I13" s="42" t="s">
        <v>1713</v>
      </c>
      <c r="J13" s="42">
        <v>12</v>
      </c>
      <c r="K13" s="42">
        <v>19</v>
      </c>
    </row>
    <row r="14" spans="1:23" ht="15.75" customHeight="1">
      <c r="I14" s="42" t="s">
        <v>2995</v>
      </c>
      <c r="J14" s="42">
        <v>13</v>
      </c>
      <c r="K14" s="42">
        <v>21</v>
      </c>
    </row>
    <row r="15" spans="1:23" ht="15.75" customHeight="1">
      <c r="I15" s="42" t="s">
        <v>2028</v>
      </c>
      <c r="J15" s="42">
        <v>14</v>
      </c>
      <c r="K15" s="42">
        <v>23</v>
      </c>
    </row>
    <row r="16" spans="1:23" ht="15.75" customHeight="1">
      <c r="I16" s="42"/>
      <c r="J16" s="42">
        <v>15</v>
      </c>
      <c r="K16" s="42">
        <v>25</v>
      </c>
    </row>
    <row r="17" spans="2:11" ht="15.75" customHeight="1">
      <c r="J17" s="42">
        <v>16</v>
      </c>
      <c r="K17" s="42">
        <v>27</v>
      </c>
    </row>
    <row r="18" spans="2:11" ht="15.75" customHeight="1">
      <c r="J18" s="42">
        <v>17</v>
      </c>
      <c r="K18" s="42">
        <v>29</v>
      </c>
    </row>
    <row r="21" spans="2:11" ht="15.75" customHeight="1">
      <c r="B21" s="42"/>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vt:lpstr>
      <vt:lpstr>Recipes</vt:lpstr>
      <vt:lpstr>Craftables by Ingredient</vt:lpstr>
      <vt:lpstr>Ingredients</vt:lpstr>
      <vt:lpstr>Skills</vt:lpstr>
      <vt:lpstr>2-Ability Skills</vt:lpstr>
      <vt:lpstr>SurfacesClouds</vt:lpstr>
      <vt:lpstr>Status</vt:lpstr>
      <vt:lpstr>Runes</vt:lpstr>
      <vt:lpstr>Summons</vt:lpstr>
      <vt:lpstr>V</vt:lpstr>
      <vt:lpstr>Attributes</vt:lpstr>
      <vt:lpstr>Abilities</vt:lpstr>
      <vt:lpstr>Talents</vt:lpstr>
      <vt:lpstr>Race Traits</vt:lpstr>
      <vt:lpstr>Classes</vt:lpstr>
      <vt:lpstr>Weapons</vt:lpstr>
      <vt:lpstr>Armor</vt:lpstr>
      <vt:lpstr>Gear Stats</vt:lpstr>
      <vt:lpstr>Rarity Multipliers</vt:lpstr>
      <vt:lpstr>Bugs</vt:lpstr>
      <vt:lpstr>_</vt:lpstr>
      <vt:lpstr>__</vt:lpstr>
      <vt:lpstr>_.</vt:lpstr>
      <vt:lpstr>._</vt:lpstr>
      <vt:lpstr>.</vt:lpstr>
      <vt:lpstr>Build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2021-11-27T13:02:17Z</dcterms:created>
  <dcterms:modified xsi:type="dcterms:W3CDTF">2021-11-27T13:02:18Z</dcterms:modified>
</cp:coreProperties>
</file>